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min\Desktop\"/>
    </mc:Choice>
  </mc:AlternateContent>
  <xr:revisionPtr revIDLastSave="0" documentId="13_ncr:1_{1099DD13-2297-4C1C-B4E5-CAABD01AB98A}" xr6:coauthVersionLast="47" xr6:coauthVersionMax="47" xr10:uidLastSave="{00000000-0000-0000-0000-000000000000}"/>
  <bookViews>
    <workbookView xWindow="-120" yWindow="-120" windowWidth="29040" windowHeight="15840" tabRatio="936" firstSheet="5" activeTab="5" xr2:uid="{00000000-000D-0000-FFFF-FFFF00000000}"/>
  </bookViews>
  <sheets>
    <sheet name="1" sheetId="25" state="hidden" r:id="rId1"/>
    <sheet name="2" sheetId="31" state="hidden" r:id="rId2"/>
    <sheet name="3" sheetId="33" state="hidden" r:id="rId3"/>
    <sheet name="4" sheetId="34" state="hidden" r:id="rId4"/>
    <sheet name="5" sheetId="35" state="hidden" r:id="rId5"/>
    <sheet name="پیش فاکتور سقف متحرک" sheetId="32" r:id="rId6"/>
    <sheet name="قرارداد" sheetId="50" state="hidden" r:id="rId7"/>
    <sheet name="SALE" sheetId="36" state="hidden" r:id="rId8"/>
    <sheet name="A1" sheetId="28" state="hidden" r:id="rId9"/>
    <sheet name="D1" sheetId="29" state="hidden" r:id="rId10"/>
    <sheet name="A2" sheetId="38" state="hidden" r:id="rId11"/>
    <sheet name="D2" sheetId="39" state="hidden" r:id="rId12"/>
    <sheet name="A3" sheetId="40" state="hidden" r:id="rId13"/>
    <sheet name="D3" sheetId="41" state="hidden" r:id="rId14"/>
    <sheet name="A4" sheetId="42" state="hidden" r:id="rId15"/>
    <sheet name="D4" sheetId="43" state="hidden" r:id="rId16"/>
    <sheet name="A5" sheetId="44" state="hidden" r:id="rId17"/>
    <sheet name="D5" sheetId="45" state="hidden" r:id="rId18"/>
    <sheet name="AAA1" sheetId="48" state="hidden" r:id="rId19"/>
    <sheet name="DDD1" sheetId="49" state="hidden" r:id="rId20"/>
  </sheets>
  <definedNames>
    <definedName name="_xlnm.Print_Area" localSheetId="0">'1'!$B$2:$BC$33</definedName>
    <definedName name="_xlnm.Print_Area" localSheetId="1">'2'!$B$2:$BC$33</definedName>
    <definedName name="_xlnm.Print_Area" localSheetId="2">'3'!$B$2:$BC$33</definedName>
    <definedName name="_xlnm.Print_Area" localSheetId="3">'4'!$B$2:$BC$33</definedName>
    <definedName name="_xlnm.Print_Area" localSheetId="4">'5'!$B$2:$BC$33</definedName>
    <definedName name="_xlnm.Print_Area" localSheetId="7">SALE!$B$2:$BC$33</definedName>
    <definedName name="_xlnm.Print_Area" localSheetId="5">'پیش فاکتور سقف متحرک'!$L$1:$V$97</definedName>
    <definedName name="_xlnm.Print_Area" localSheetId="6">قرارداد!$F$2:$S$61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45" l="1"/>
  <c r="F101" i="43"/>
  <c r="F101" i="41"/>
  <c r="F101" i="39"/>
  <c r="F101" i="29"/>
  <c r="O31" i="32"/>
  <c r="O28" i="32"/>
  <c r="O25" i="32"/>
  <c r="O22" i="32"/>
  <c r="O18" i="32"/>
  <c r="N17" i="32" l="1"/>
  <c r="U40" i="32" l="1"/>
  <c r="R40" i="32"/>
  <c r="T36" i="32" l="1"/>
  <c r="T37" i="32"/>
  <c r="T38" i="32"/>
  <c r="T35" i="32"/>
  <c r="T32" i="32"/>
  <c r="O43" i="32" l="1"/>
  <c r="S40" i="32" l="1"/>
  <c r="M41" i="32"/>
  <c r="M40" i="32"/>
  <c r="M33" i="32" l="1"/>
  <c r="M32" i="32"/>
  <c r="M23" i="32"/>
  <c r="M26" i="32"/>
  <c r="M29" i="32"/>
  <c r="M20" i="32"/>
  <c r="M15" i="32"/>
  <c r="N32" i="32"/>
  <c r="P32" i="32"/>
  <c r="Q32" i="32"/>
  <c r="R32" i="32" l="1"/>
  <c r="U32" i="32" s="1"/>
  <c r="M36" i="32"/>
  <c r="M37" i="32"/>
  <c r="M38" i="32"/>
  <c r="M39" i="32"/>
  <c r="M35" i="32"/>
  <c r="Q9" i="50" l="1"/>
  <c r="Q8" i="50"/>
  <c r="Q7" i="50"/>
  <c r="P67" i="32"/>
  <c r="O24" i="32" l="1"/>
  <c r="O16" i="32" l="1"/>
  <c r="T64" i="32" l="1"/>
  <c r="T63" i="32"/>
  <c r="T62" i="32"/>
  <c r="P13" i="32"/>
  <c r="Q13" i="32"/>
  <c r="U13" i="32"/>
  <c r="T11" i="32"/>
  <c r="T9" i="32"/>
  <c r="T10" i="32"/>
  <c r="N20" i="32"/>
  <c r="Q20" i="32"/>
  <c r="O21" i="32"/>
  <c r="Q21" i="32"/>
  <c r="N23" i="32"/>
  <c r="Q23" i="32"/>
  <c r="Q24" i="32"/>
  <c r="R23" i="32" l="1"/>
  <c r="R20" i="32"/>
  <c r="N39" i="32"/>
  <c r="H19" i="50"/>
  <c r="H20" i="50"/>
  <c r="H21" i="50"/>
  <c r="H22" i="50"/>
  <c r="H18" i="50"/>
  <c r="N19" i="50"/>
  <c r="N20" i="50"/>
  <c r="N21" i="50"/>
  <c r="N22" i="50"/>
  <c r="L19" i="50"/>
  <c r="L20" i="50"/>
  <c r="L21" i="50"/>
  <c r="L22" i="50"/>
  <c r="N18" i="50"/>
  <c r="L18" i="50"/>
  <c r="P22" i="50" l="1"/>
  <c r="P21" i="50"/>
  <c r="P19" i="50"/>
  <c r="P18" i="50"/>
  <c r="P20" i="50"/>
  <c r="E17" i="35"/>
  <c r="E15" i="35"/>
  <c r="E9" i="35"/>
  <c r="E17" i="34"/>
  <c r="E15" i="34"/>
  <c r="E9" i="34"/>
  <c r="E17" i="33"/>
  <c r="E15" i="33"/>
  <c r="E9" i="33"/>
  <c r="E17" i="31"/>
  <c r="E15" i="31"/>
  <c r="E9" i="31"/>
  <c r="E17" i="25"/>
  <c r="E15" i="25"/>
  <c r="E9" i="25"/>
  <c r="K34" i="50" l="1"/>
  <c r="P34" i="50" s="1"/>
  <c r="K35" i="50"/>
  <c r="P35" i="50" s="1"/>
  <c r="K36" i="50"/>
  <c r="P36" i="50" s="1"/>
  <c r="K37" i="50"/>
  <c r="P37" i="50" s="1"/>
  <c r="F134" i="49" l="1"/>
  <c r="F171" i="49"/>
  <c r="F182" i="49" s="1"/>
  <c r="L157" i="49"/>
  <c r="F157" i="49"/>
  <c r="L156" i="49"/>
  <c r="L155" i="49"/>
  <c r="F139" i="49"/>
  <c r="L124" i="49"/>
  <c r="F124" i="49"/>
  <c r="L123" i="49"/>
  <c r="F123" i="49"/>
  <c r="L122" i="49"/>
  <c r="F122" i="49"/>
  <c r="F71" i="49"/>
  <c r="L57" i="49"/>
  <c r="F57" i="49"/>
  <c r="R17" i="48"/>
  <c r="D48" i="48" s="1"/>
  <c r="R14" i="48"/>
  <c r="M45" i="48" s="1"/>
  <c r="R12" i="48"/>
  <c r="R7" i="48"/>
  <c r="O38" i="48" s="1"/>
  <c r="T2" i="48"/>
  <c r="F184" i="49" s="1"/>
  <c r="E194" i="49"/>
  <c r="K21" i="48" s="1"/>
  <c r="E193" i="49"/>
  <c r="K164" i="49"/>
  <c r="E164" i="49"/>
  <c r="K163" i="49"/>
  <c r="E163" i="49"/>
  <c r="K161" i="49"/>
  <c r="E161" i="49"/>
  <c r="K160" i="49"/>
  <c r="E160" i="49"/>
  <c r="K159" i="49"/>
  <c r="E159" i="49"/>
  <c r="E148" i="49"/>
  <c r="E146" i="49"/>
  <c r="E143" i="49"/>
  <c r="K16" i="48" s="1"/>
  <c r="E141" i="49"/>
  <c r="K130" i="49"/>
  <c r="E130" i="49"/>
  <c r="K117" i="49"/>
  <c r="E117" i="49"/>
  <c r="K116" i="49"/>
  <c r="E116" i="49"/>
  <c r="K115" i="49"/>
  <c r="E115" i="49"/>
  <c r="K114" i="49"/>
  <c r="E114" i="49"/>
  <c r="K113" i="49"/>
  <c r="E113" i="49"/>
  <c r="K112" i="49"/>
  <c r="E112" i="49"/>
  <c r="K111" i="49"/>
  <c r="E111" i="49"/>
  <c r="K110" i="49"/>
  <c r="E110" i="49"/>
  <c r="K109" i="49"/>
  <c r="E109" i="49"/>
  <c r="K108" i="49"/>
  <c r="E108" i="49"/>
  <c r="K107" i="49"/>
  <c r="E12" i="48" s="1"/>
  <c r="E107" i="49"/>
  <c r="K106" i="49"/>
  <c r="E106" i="49"/>
  <c r="K105" i="49"/>
  <c r="E105" i="49"/>
  <c r="K104" i="49"/>
  <c r="E104" i="49"/>
  <c r="K103" i="49"/>
  <c r="E103" i="49"/>
  <c r="K102" i="49"/>
  <c r="E102" i="49"/>
  <c r="J13" i="48" s="1"/>
  <c r="K101" i="49"/>
  <c r="G12" i="48" s="1"/>
  <c r="E101" i="49"/>
  <c r="E95" i="49"/>
  <c r="E94" i="49"/>
  <c r="E93" i="49"/>
  <c r="E88" i="49"/>
  <c r="E87" i="49"/>
  <c r="E85" i="49"/>
  <c r="E84" i="49"/>
  <c r="E83" i="49"/>
  <c r="E78" i="49"/>
  <c r="E77" i="49"/>
  <c r="E76" i="49"/>
  <c r="E75" i="49"/>
  <c r="E73" i="49"/>
  <c r="E72" i="49"/>
  <c r="K10" i="48" s="1"/>
  <c r="E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K11" i="49"/>
  <c r="E11" i="49"/>
  <c r="K10" i="49"/>
  <c r="E10" i="49"/>
  <c r="K9" i="49"/>
  <c r="E9" i="49"/>
  <c r="K8" i="49"/>
  <c r="E8" i="49"/>
  <c r="K7" i="49"/>
  <c r="E7" i="49"/>
  <c r="K6" i="49"/>
  <c r="E6" i="49"/>
  <c r="K5" i="49"/>
  <c r="E5" i="49"/>
  <c r="F4" i="48" s="1"/>
  <c r="A35" i="48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W2" i="48"/>
  <c r="R17" i="44"/>
  <c r="J48" i="44" s="1"/>
  <c r="R14" i="44"/>
  <c r="M45" i="44" s="1"/>
  <c r="R12" i="44"/>
  <c r="I43" i="44" s="1"/>
  <c r="R7" i="44"/>
  <c r="O38" i="44" s="1"/>
  <c r="T2" i="44"/>
  <c r="F134" i="45" s="1"/>
  <c r="F171" i="45"/>
  <c r="L157" i="45"/>
  <c r="F157" i="45"/>
  <c r="L156" i="45"/>
  <c r="L155" i="45"/>
  <c r="F139" i="45"/>
  <c r="L124" i="45"/>
  <c r="F124" i="45"/>
  <c r="L123" i="45"/>
  <c r="F123" i="45"/>
  <c r="L122" i="45"/>
  <c r="F122" i="45"/>
  <c r="F71" i="45"/>
  <c r="L57" i="45"/>
  <c r="F57" i="45"/>
  <c r="E194" i="45"/>
  <c r="K21" i="44" s="1"/>
  <c r="E193" i="45"/>
  <c r="J21" i="44" s="1"/>
  <c r="K164" i="45"/>
  <c r="E164" i="45"/>
  <c r="K163" i="45"/>
  <c r="E163" i="45"/>
  <c r="K161" i="45"/>
  <c r="E161" i="45"/>
  <c r="K160" i="45"/>
  <c r="E160" i="45"/>
  <c r="K159" i="45"/>
  <c r="E159" i="45"/>
  <c r="E148" i="45"/>
  <c r="E146" i="45"/>
  <c r="E143" i="45"/>
  <c r="K16" i="44" s="1"/>
  <c r="E141" i="45"/>
  <c r="K130" i="45"/>
  <c r="E130" i="45"/>
  <c r="K117" i="45"/>
  <c r="E117" i="45"/>
  <c r="K116" i="45"/>
  <c r="E116" i="45"/>
  <c r="K115" i="45"/>
  <c r="E115" i="45"/>
  <c r="K114" i="45"/>
  <c r="E114" i="45"/>
  <c r="K113" i="45"/>
  <c r="E113" i="45"/>
  <c r="K112" i="45"/>
  <c r="E112" i="45"/>
  <c r="K111" i="45"/>
  <c r="E111" i="45"/>
  <c r="K110" i="45"/>
  <c r="E110" i="45"/>
  <c r="K109" i="45"/>
  <c r="E109" i="45"/>
  <c r="K108" i="45"/>
  <c r="E108" i="45"/>
  <c r="K107" i="45"/>
  <c r="E12" i="44" s="1"/>
  <c r="E107" i="45"/>
  <c r="E13" i="44" s="1"/>
  <c r="K106" i="45"/>
  <c r="E106" i="45"/>
  <c r="K105" i="45"/>
  <c r="E105" i="45"/>
  <c r="K104" i="45"/>
  <c r="E104" i="45"/>
  <c r="K103" i="45"/>
  <c r="E103" i="45"/>
  <c r="J13" i="44" s="1"/>
  <c r="K102" i="45"/>
  <c r="E102" i="45"/>
  <c r="K101" i="45"/>
  <c r="I118" i="45" s="1"/>
  <c r="Q12" i="44" s="1"/>
  <c r="E101" i="45"/>
  <c r="C118" i="45" s="1"/>
  <c r="Q13" i="44" s="1"/>
  <c r="E95" i="45"/>
  <c r="E94" i="45"/>
  <c r="E93" i="45"/>
  <c r="E88" i="45"/>
  <c r="E87" i="45"/>
  <c r="E85" i="45"/>
  <c r="E84" i="45"/>
  <c r="E83" i="45"/>
  <c r="K9" i="44" s="1"/>
  <c r="E78" i="45"/>
  <c r="E77" i="45"/>
  <c r="E76" i="45"/>
  <c r="E75" i="45"/>
  <c r="E10" i="44" s="1"/>
  <c r="E73" i="45"/>
  <c r="E72" i="45"/>
  <c r="E52" i="45"/>
  <c r="E51" i="45"/>
  <c r="E50" i="45"/>
  <c r="E49" i="45"/>
  <c r="E48" i="45"/>
  <c r="E47" i="45"/>
  <c r="E46" i="45"/>
  <c r="E45" i="45"/>
  <c r="E44" i="45"/>
  <c r="E43" i="45"/>
  <c r="E42" i="45"/>
  <c r="E41" i="45"/>
  <c r="E40" i="45"/>
  <c r="E39" i="45"/>
  <c r="E38" i="45"/>
  <c r="E37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K11" i="45"/>
  <c r="E11" i="45"/>
  <c r="K10" i="45"/>
  <c r="E10" i="45"/>
  <c r="K9" i="45"/>
  <c r="E9" i="45"/>
  <c r="K8" i="45"/>
  <c r="E8" i="45"/>
  <c r="K7" i="45"/>
  <c r="E7" i="45"/>
  <c r="K6" i="45"/>
  <c r="E6" i="45"/>
  <c r="K5" i="45"/>
  <c r="F3" i="44" s="1"/>
  <c r="E5" i="45"/>
  <c r="F4" i="44" s="1"/>
  <c r="A35" i="44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4" i="44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W2" i="44"/>
  <c r="R17" i="42"/>
  <c r="M48" i="42" s="1"/>
  <c r="R14" i="42"/>
  <c r="K45" i="42" s="1"/>
  <c r="R12" i="42"/>
  <c r="I43" i="42" s="1"/>
  <c r="R7" i="42"/>
  <c r="K38" i="42" s="1"/>
  <c r="T2" i="42"/>
  <c r="F134" i="43" s="1"/>
  <c r="F171" i="43"/>
  <c r="F182" i="43" s="1"/>
  <c r="L157" i="43"/>
  <c r="F157" i="43"/>
  <c r="L156" i="43"/>
  <c r="L155" i="43"/>
  <c r="F139" i="43"/>
  <c r="L124" i="43"/>
  <c r="F124" i="43"/>
  <c r="L123" i="43"/>
  <c r="F123" i="43"/>
  <c r="L122" i="43"/>
  <c r="F122" i="43"/>
  <c r="F71" i="43"/>
  <c r="L57" i="43"/>
  <c r="F57" i="43"/>
  <c r="E194" i="43"/>
  <c r="E193" i="43"/>
  <c r="J21" i="42" s="1"/>
  <c r="K164" i="43"/>
  <c r="E164" i="43"/>
  <c r="K163" i="43"/>
  <c r="E163" i="43"/>
  <c r="K161" i="43"/>
  <c r="E161" i="43"/>
  <c r="K160" i="43"/>
  <c r="E160" i="43"/>
  <c r="K159" i="43"/>
  <c r="E159" i="43"/>
  <c r="E148" i="43"/>
  <c r="E146" i="43"/>
  <c r="E143" i="43"/>
  <c r="K16" i="42" s="1"/>
  <c r="E141" i="43"/>
  <c r="K130" i="43"/>
  <c r="E130" i="43"/>
  <c r="K117" i="43"/>
  <c r="E117" i="43"/>
  <c r="K116" i="43"/>
  <c r="E116" i="43"/>
  <c r="K115" i="43"/>
  <c r="E115" i="43"/>
  <c r="K114" i="43"/>
  <c r="E114" i="43"/>
  <c r="K113" i="43"/>
  <c r="E113" i="43"/>
  <c r="K112" i="43"/>
  <c r="E112" i="43"/>
  <c r="K111" i="43"/>
  <c r="E111" i="43"/>
  <c r="K110" i="43"/>
  <c r="E110" i="43"/>
  <c r="K109" i="43"/>
  <c r="E109" i="43"/>
  <c r="K108" i="43"/>
  <c r="E108" i="43"/>
  <c r="K107" i="43"/>
  <c r="E12" i="42" s="1"/>
  <c r="E107" i="43"/>
  <c r="K106" i="43"/>
  <c r="E106" i="43"/>
  <c r="K105" i="43"/>
  <c r="E105" i="43"/>
  <c r="K104" i="43"/>
  <c r="E104" i="43"/>
  <c r="K103" i="43"/>
  <c r="E103" i="43"/>
  <c r="K102" i="43"/>
  <c r="E102" i="43"/>
  <c r="B118" i="43" s="1"/>
  <c r="K101" i="43"/>
  <c r="E101" i="43"/>
  <c r="F118" i="43" s="1"/>
  <c r="E95" i="43"/>
  <c r="E94" i="43"/>
  <c r="E93" i="43"/>
  <c r="E88" i="43"/>
  <c r="E87" i="43"/>
  <c r="E85" i="43"/>
  <c r="E84" i="43"/>
  <c r="E83" i="43"/>
  <c r="K9" i="42" s="1"/>
  <c r="E78" i="43"/>
  <c r="E77" i="43"/>
  <c r="E76" i="43"/>
  <c r="E75" i="43"/>
  <c r="E73" i="43"/>
  <c r="E72" i="43"/>
  <c r="K10" i="42" s="1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K11" i="43"/>
  <c r="E11" i="43"/>
  <c r="K10" i="43"/>
  <c r="E10" i="43"/>
  <c r="K9" i="43"/>
  <c r="E9" i="43"/>
  <c r="K8" i="43"/>
  <c r="E8" i="43"/>
  <c r="K7" i="43"/>
  <c r="E7" i="43"/>
  <c r="K6" i="43"/>
  <c r="E6" i="43"/>
  <c r="K5" i="43"/>
  <c r="F3" i="42" s="1"/>
  <c r="E5" i="43"/>
  <c r="A35" i="42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4" i="42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W2" i="42"/>
  <c r="R17" i="40"/>
  <c r="J48" i="40" s="1"/>
  <c r="R14" i="40"/>
  <c r="M45" i="40" s="1"/>
  <c r="R12" i="40"/>
  <c r="R7" i="40"/>
  <c r="O38" i="40" s="1"/>
  <c r="T2" i="40"/>
  <c r="F134" i="41" s="1"/>
  <c r="F171" i="41"/>
  <c r="L157" i="41"/>
  <c r="F157" i="41"/>
  <c r="L156" i="41"/>
  <c r="L155" i="41"/>
  <c r="F139" i="41"/>
  <c r="L124" i="41"/>
  <c r="F124" i="41"/>
  <c r="L123" i="41"/>
  <c r="F123" i="41"/>
  <c r="L122" i="41"/>
  <c r="F122" i="41"/>
  <c r="F71" i="41"/>
  <c r="L57" i="41"/>
  <c r="F57" i="41"/>
  <c r="E194" i="41"/>
  <c r="K21" i="40" s="1"/>
  <c r="E193" i="41"/>
  <c r="J21" i="40" s="1"/>
  <c r="K164" i="41"/>
  <c r="E164" i="41"/>
  <c r="K163" i="41"/>
  <c r="E163" i="41"/>
  <c r="K161" i="41"/>
  <c r="E161" i="41"/>
  <c r="K160" i="41"/>
  <c r="E160" i="41"/>
  <c r="K159" i="41"/>
  <c r="E159" i="41"/>
  <c r="E148" i="41"/>
  <c r="E146" i="41"/>
  <c r="E143" i="41"/>
  <c r="K16" i="40" s="1"/>
  <c r="E141" i="41"/>
  <c r="K130" i="41"/>
  <c r="E130" i="41"/>
  <c r="K117" i="41"/>
  <c r="E117" i="41"/>
  <c r="K116" i="41"/>
  <c r="E116" i="41"/>
  <c r="K115" i="41"/>
  <c r="E115" i="41"/>
  <c r="K114" i="41"/>
  <c r="E114" i="41"/>
  <c r="K113" i="41"/>
  <c r="E113" i="41"/>
  <c r="K112" i="41"/>
  <c r="E112" i="41"/>
  <c r="K111" i="41"/>
  <c r="E111" i="41"/>
  <c r="K110" i="41"/>
  <c r="E110" i="41"/>
  <c r="K109" i="41"/>
  <c r="E109" i="41"/>
  <c r="K108" i="41"/>
  <c r="E108" i="41"/>
  <c r="K107" i="41"/>
  <c r="E12" i="40" s="1"/>
  <c r="E107" i="41"/>
  <c r="E13" i="40" s="1"/>
  <c r="K106" i="41"/>
  <c r="E106" i="41"/>
  <c r="K105" i="41"/>
  <c r="E105" i="41"/>
  <c r="K104" i="41"/>
  <c r="E104" i="41"/>
  <c r="K103" i="41"/>
  <c r="E103" i="41"/>
  <c r="J13" i="40" s="1"/>
  <c r="K102" i="41"/>
  <c r="E102" i="41"/>
  <c r="K101" i="41"/>
  <c r="E101" i="41"/>
  <c r="C118" i="41" s="1"/>
  <c r="Q13" i="40" s="1"/>
  <c r="E95" i="41"/>
  <c r="E94" i="41"/>
  <c r="E93" i="41"/>
  <c r="E88" i="41"/>
  <c r="E87" i="41"/>
  <c r="E85" i="41"/>
  <c r="E84" i="41"/>
  <c r="E83" i="41"/>
  <c r="K9" i="40" s="1"/>
  <c r="E78" i="41"/>
  <c r="E77" i="41"/>
  <c r="E76" i="41"/>
  <c r="E75" i="41"/>
  <c r="E73" i="41"/>
  <c r="E72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K11" i="41"/>
  <c r="E11" i="41"/>
  <c r="K10" i="41"/>
  <c r="E10" i="41"/>
  <c r="K9" i="41"/>
  <c r="E9" i="41"/>
  <c r="K8" i="41"/>
  <c r="E8" i="41"/>
  <c r="K7" i="41"/>
  <c r="E7" i="41"/>
  <c r="K6" i="41"/>
  <c r="E6" i="41"/>
  <c r="K5" i="41"/>
  <c r="F3" i="40" s="1"/>
  <c r="E5" i="41"/>
  <c r="F4" i="40" s="1"/>
  <c r="A35" i="40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W2" i="40"/>
  <c r="F171" i="39"/>
  <c r="F182" i="39" s="1"/>
  <c r="L157" i="39"/>
  <c r="F157" i="39"/>
  <c r="L156" i="39"/>
  <c r="L155" i="39"/>
  <c r="F139" i="39"/>
  <c r="L124" i="39"/>
  <c r="F124" i="39"/>
  <c r="L123" i="39"/>
  <c r="F123" i="39"/>
  <c r="L122" i="39"/>
  <c r="F122" i="39"/>
  <c r="F71" i="39"/>
  <c r="L57" i="39"/>
  <c r="F57" i="39"/>
  <c r="R17" i="38"/>
  <c r="D48" i="38" s="1"/>
  <c r="R14" i="38"/>
  <c r="F45" i="38" s="1"/>
  <c r="R12" i="38"/>
  <c r="R7" i="38"/>
  <c r="T2" i="38"/>
  <c r="F166" i="39" s="1"/>
  <c r="K21" i="38"/>
  <c r="E194" i="39"/>
  <c r="E193" i="39"/>
  <c r="J21" i="38" s="1"/>
  <c r="K164" i="39"/>
  <c r="E164" i="39"/>
  <c r="K163" i="39"/>
  <c r="E163" i="39"/>
  <c r="K161" i="39"/>
  <c r="E161" i="39"/>
  <c r="K160" i="39"/>
  <c r="E160" i="39"/>
  <c r="K159" i="39"/>
  <c r="E159" i="39"/>
  <c r="E148" i="39"/>
  <c r="E146" i="39"/>
  <c r="E143" i="39"/>
  <c r="K16" i="38" s="1"/>
  <c r="E141" i="39"/>
  <c r="K130" i="39"/>
  <c r="E130" i="39"/>
  <c r="K117" i="39"/>
  <c r="E117" i="39"/>
  <c r="K116" i="39"/>
  <c r="E116" i="39"/>
  <c r="K115" i="39"/>
  <c r="E115" i="39"/>
  <c r="K114" i="39"/>
  <c r="E114" i="39"/>
  <c r="K113" i="39"/>
  <c r="E113" i="39"/>
  <c r="K112" i="39"/>
  <c r="E112" i="39"/>
  <c r="K111" i="39"/>
  <c r="E111" i="39"/>
  <c r="K110" i="39"/>
  <c r="E110" i="39"/>
  <c r="K109" i="39"/>
  <c r="E109" i="39"/>
  <c r="K108" i="39"/>
  <c r="E108" i="39"/>
  <c r="K107" i="39"/>
  <c r="E12" i="38" s="1"/>
  <c r="E107" i="39"/>
  <c r="K106" i="39"/>
  <c r="E106" i="39"/>
  <c r="K105" i="39"/>
  <c r="E105" i="39"/>
  <c r="K104" i="39"/>
  <c r="E104" i="39"/>
  <c r="K103" i="39"/>
  <c r="E103" i="39"/>
  <c r="K102" i="39"/>
  <c r="J12" i="38" s="1"/>
  <c r="E102" i="39"/>
  <c r="K101" i="39"/>
  <c r="G12" i="38" s="1"/>
  <c r="E101" i="39"/>
  <c r="E95" i="39"/>
  <c r="E94" i="39"/>
  <c r="E93" i="39"/>
  <c r="E88" i="39"/>
  <c r="E87" i="39"/>
  <c r="E85" i="39"/>
  <c r="E84" i="39"/>
  <c r="E83" i="39"/>
  <c r="E78" i="39"/>
  <c r="E77" i="39"/>
  <c r="E76" i="39"/>
  <c r="E75" i="39"/>
  <c r="E73" i="39"/>
  <c r="E72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K11" i="39"/>
  <c r="E11" i="39"/>
  <c r="K10" i="39"/>
  <c r="E10" i="39"/>
  <c r="K9" i="39"/>
  <c r="E9" i="39"/>
  <c r="K8" i="39"/>
  <c r="E8" i="39"/>
  <c r="K7" i="39"/>
  <c r="E7" i="39"/>
  <c r="K6" i="39"/>
  <c r="E6" i="39"/>
  <c r="K5" i="39"/>
  <c r="F3" i="38" s="1"/>
  <c r="E5" i="39"/>
  <c r="A35" i="38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4" i="38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W2" i="38"/>
  <c r="F12" i="49" l="1"/>
  <c r="E12" i="49" s="1"/>
  <c r="I4" i="48" s="1"/>
  <c r="C53" i="41"/>
  <c r="K10" i="40"/>
  <c r="B118" i="41"/>
  <c r="J12" i="42"/>
  <c r="B196" i="43"/>
  <c r="B79" i="45"/>
  <c r="B118" i="45"/>
  <c r="F3" i="48"/>
  <c r="E10" i="48"/>
  <c r="K9" i="48"/>
  <c r="J12" i="48"/>
  <c r="P12" i="48" s="1"/>
  <c r="L66" i="49"/>
  <c r="F173" i="49"/>
  <c r="B79" i="39"/>
  <c r="C196" i="49"/>
  <c r="Q21" i="48" s="1"/>
  <c r="F150" i="49"/>
  <c r="F4" i="38"/>
  <c r="E10" i="38"/>
  <c r="K9" i="38"/>
  <c r="E13" i="38"/>
  <c r="E10" i="40"/>
  <c r="J12" i="40"/>
  <c r="F4" i="42"/>
  <c r="E10" i="42"/>
  <c r="E13" i="42"/>
  <c r="J12" i="44"/>
  <c r="E13" i="48"/>
  <c r="P13" i="48" s="1"/>
  <c r="F86" i="49"/>
  <c r="E86" i="49" s="1"/>
  <c r="F89" i="49" s="1"/>
  <c r="F195" i="49"/>
  <c r="E195" i="49" s="1"/>
  <c r="F196" i="49" s="1"/>
  <c r="G13" i="42"/>
  <c r="F166" i="45"/>
  <c r="Q6" i="40"/>
  <c r="F6" i="40"/>
  <c r="P12" i="38"/>
  <c r="C118" i="49"/>
  <c r="Q13" i="48" s="1"/>
  <c r="I118" i="39"/>
  <c r="Q12" i="38" s="1"/>
  <c r="K10" i="38"/>
  <c r="C118" i="43"/>
  <c r="Q13" i="42" s="1"/>
  <c r="K21" i="42"/>
  <c r="I118" i="49"/>
  <c r="Q12" i="48" s="1"/>
  <c r="G13" i="48"/>
  <c r="S12" i="48"/>
  <c r="J43" i="40"/>
  <c r="L134" i="49"/>
  <c r="C118" i="39"/>
  <c r="Q13" i="38" s="1"/>
  <c r="G13" i="40"/>
  <c r="P13" i="40" s="1"/>
  <c r="G13" i="44"/>
  <c r="P13" i="44" s="1"/>
  <c r="L12" i="49"/>
  <c r="K12" i="49" s="1"/>
  <c r="I3" i="48" s="1"/>
  <c r="F166" i="49"/>
  <c r="J13" i="42"/>
  <c r="C33" i="45"/>
  <c r="C53" i="45"/>
  <c r="F118" i="45"/>
  <c r="K10" i="44"/>
  <c r="C33" i="49"/>
  <c r="C53" i="49"/>
  <c r="B79" i="49"/>
  <c r="J21" i="48"/>
  <c r="F66" i="49"/>
  <c r="L166" i="49"/>
  <c r="P4" i="48"/>
  <c r="C33" i="39"/>
  <c r="C53" i="39"/>
  <c r="B118" i="39"/>
  <c r="F118" i="39"/>
  <c r="C33" i="41"/>
  <c r="I118" i="41"/>
  <c r="Q12" i="40" s="1"/>
  <c r="S12" i="40" s="1"/>
  <c r="I118" i="43"/>
  <c r="Q12" i="42" s="1"/>
  <c r="C13" i="49"/>
  <c r="Q4" i="48" s="1"/>
  <c r="B118" i="49"/>
  <c r="F118" i="49"/>
  <c r="G13" i="38"/>
  <c r="G43" i="38"/>
  <c r="B79" i="41"/>
  <c r="G12" i="40"/>
  <c r="C33" i="43"/>
  <c r="C53" i="43"/>
  <c r="G12" i="44"/>
  <c r="P12" i="44" s="1"/>
  <c r="F74" i="49"/>
  <c r="B89" i="39"/>
  <c r="J13" i="38"/>
  <c r="B79" i="43"/>
  <c r="G12" i="42"/>
  <c r="P12" i="42" s="1"/>
  <c r="B89" i="49"/>
  <c r="F166" i="41"/>
  <c r="F166" i="43"/>
  <c r="F150" i="41"/>
  <c r="F12" i="45"/>
  <c r="E12" i="45" s="1"/>
  <c r="I4" i="44" s="1"/>
  <c r="P4" i="44" s="1"/>
  <c r="J38" i="42"/>
  <c r="L12" i="45"/>
  <c r="K12" i="45" s="1"/>
  <c r="I3" i="44" s="1"/>
  <c r="P3" i="44" s="1"/>
  <c r="L134" i="45"/>
  <c r="F150" i="45"/>
  <c r="F66" i="39"/>
  <c r="L166" i="39"/>
  <c r="F150" i="43"/>
  <c r="F12" i="43"/>
  <c r="E12" i="43" s="1"/>
  <c r="I4" i="42" s="1"/>
  <c r="L12" i="43"/>
  <c r="K12" i="43" s="1"/>
  <c r="I3" i="42" s="1"/>
  <c r="P3" i="42" s="1"/>
  <c r="L134" i="43"/>
  <c r="F12" i="41"/>
  <c r="E12" i="41" s="1"/>
  <c r="I4" i="40" s="1"/>
  <c r="P4" i="40" s="1"/>
  <c r="L12" i="41"/>
  <c r="K12" i="41" s="1"/>
  <c r="I3" i="40" s="1"/>
  <c r="P3" i="40" s="1"/>
  <c r="L134" i="41"/>
  <c r="L66" i="39"/>
  <c r="F173" i="39"/>
  <c r="F74" i="39"/>
  <c r="F184" i="39"/>
  <c r="F86" i="39"/>
  <c r="E86" i="39" s="1"/>
  <c r="F89" i="39" s="1"/>
  <c r="F195" i="39"/>
  <c r="E195" i="39" s="1"/>
  <c r="F196" i="39" s="1"/>
  <c r="F134" i="39"/>
  <c r="L134" i="39"/>
  <c r="F12" i="39"/>
  <c r="E12" i="39" s="1"/>
  <c r="I4" i="38" s="1"/>
  <c r="P4" i="38" s="1"/>
  <c r="F150" i="39"/>
  <c r="L12" i="39"/>
  <c r="K12" i="39" s="1"/>
  <c r="I13" i="39" s="1"/>
  <c r="Q3" i="38" s="1"/>
  <c r="J43" i="38"/>
  <c r="G43" i="42"/>
  <c r="S12" i="42"/>
  <c r="O45" i="40"/>
  <c r="J43" i="42"/>
  <c r="G43" i="48"/>
  <c r="K45" i="44"/>
  <c r="L38" i="44"/>
  <c r="L38" i="48"/>
  <c r="S12" i="38"/>
  <c r="E48" i="38"/>
  <c r="J43" i="44"/>
  <c r="L48" i="48"/>
  <c r="M45" i="42"/>
  <c r="H43" i="48"/>
  <c r="I43" i="40"/>
  <c r="C89" i="49"/>
  <c r="Q9" i="48" s="1"/>
  <c r="I9" i="48"/>
  <c r="I21" i="48"/>
  <c r="F183" i="49"/>
  <c r="G48" i="48"/>
  <c r="K48" i="48"/>
  <c r="J48" i="48"/>
  <c r="I43" i="48"/>
  <c r="P3" i="48"/>
  <c r="I13" i="49"/>
  <c r="Q3" i="48" s="1"/>
  <c r="B196" i="49"/>
  <c r="F172" i="49"/>
  <c r="F45" i="48"/>
  <c r="N45" i="48"/>
  <c r="J38" i="48"/>
  <c r="E43" i="48"/>
  <c r="G45" i="48"/>
  <c r="O45" i="48"/>
  <c r="E48" i="48"/>
  <c r="M48" i="48"/>
  <c r="K38" i="48"/>
  <c r="H45" i="48"/>
  <c r="F48" i="48"/>
  <c r="M38" i="48"/>
  <c r="J45" i="48"/>
  <c r="H48" i="48"/>
  <c r="K45" i="48"/>
  <c r="F66" i="45"/>
  <c r="L166" i="45"/>
  <c r="L66" i="45"/>
  <c r="F173" i="45"/>
  <c r="F74" i="45"/>
  <c r="F184" i="45"/>
  <c r="F86" i="45"/>
  <c r="E86" i="45" s="1"/>
  <c r="F195" i="45"/>
  <c r="E195" i="45" s="1"/>
  <c r="C196" i="45" s="1"/>
  <c r="Q21" i="44" s="1"/>
  <c r="F182" i="45"/>
  <c r="F183" i="45"/>
  <c r="N45" i="40"/>
  <c r="J38" i="40"/>
  <c r="G45" i="40"/>
  <c r="H43" i="44"/>
  <c r="J45" i="40"/>
  <c r="S12" i="44"/>
  <c r="F48" i="44"/>
  <c r="K45" i="40"/>
  <c r="H45" i="44"/>
  <c r="G48" i="44"/>
  <c r="H45" i="40"/>
  <c r="K38" i="44"/>
  <c r="K48" i="44"/>
  <c r="O38" i="42"/>
  <c r="J48" i="42"/>
  <c r="E43" i="42"/>
  <c r="B89" i="45"/>
  <c r="B196" i="45"/>
  <c r="F172" i="45"/>
  <c r="F45" i="44"/>
  <c r="N45" i="44"/>
  <c r="D48" i="44"/>
  <c r="L48" i="44"/>
  <c r="J38" i="44"/>
  <c r="E43" i="44"/>
  <c r="G45" i="44"/>
  <c r="O45" i="44"/>
  <c r="E48" i="44"/>
  <c r="M48" i="44"/>
  <c r="M38" i="44"/>
  <c r="J45" i="44"/>
  <c r="H48" i="44"/>
  <c r="E48" i="42"/>
  <c r="L166" i="43"/>
  <c r="F48" i="42"/>
  <c r="L66" i="43"/>
  <c r="F173" i="43"/>
  <c r="F66" i="43"/>
  <c r="K48" i="42"/>
  <c r="F74" i="43"/>
  <c r="F184" i="43"/>
  <c r="D48" i="42"/>
  <c r="L48" i="42"/>
  <c r="F86" i="43"/>
  <c r="E86" i="43" s="1"/>
  <c r="C89" i="43" s="1"/>
  <c r="Q9" i="42" s="1"/>
  <c r="F195" i="43"/>
  <c r="E195" i="43" s="1"/>
  <c r="F183" i="43"/>
  <c r="B89" i="43"/>
  <c r="F172" i="43"/>
  <c r="F45" i="42"/>
  <c r="N45" i="42"/>
  <c r="L38" i="42"/>
  <c r="H43" i="42"/>
  <c r="G48" i="42"/>
  <c r="O45" i="42"/>
  <c r="M38" i="42"/>
  <c r="J45" i="42"/>
  <c r="H48" i="42"/>
  <c r="G45" i="42"/>
  <c r="H45" i="42"/>
  <c r="F74" i="41"/>
  <c r="F184" i="41"/>
  <c r="L166" i="41"/>
  <c r="L66" i="41"/>
  <c r="F173" i="41"/>
  <c r="F86" i="41"/>
  <c r="E86" i="41" s="1"/>
  <c r="F195" i="41"/>
  <c r="E195" i="41" s="1"/>
  <c r="C196" i="41" s="1"/>
  <c r="Q21" i="40" s="1"/>
  <c r="F66" i="41"/>
  <c r="F183" i="41"/>
  <c r="F182" i="41"/>
  <c r="F172" i="41"/>
  <c r="F118" i="41"/>
  <c r="B89" i="41"/>
  <c r="B196" i="41"/>
  <c r="K48" i="40"/>
  <c r="F45" i="40"/>
  <c r="D48" i="40"/>
  <c r="L48" i="40"/>
  <c r="E43" i="40"/>
  <c r="E48" i="40"/>
  <c r="M48" i="40"/>
  <c r="P6" i="40"/>
  <c r="K38" i="40"/>
  <c r="F48" i="40"/>
  <c r="L38" i="40"/>
  <c r="H43" i="40"/>
  <c r="G48" i="40"/>
  <c r="M38" i="40"/>
  <c r="H48" i="40"/>
  <c r="F48" i="38"/>
  <c r="F183" i="39"/>
  <c r="G48" i="38"/>
  <c r="J48" i="38"/>
  <c r="K48" i="38"/>
  <c r="L48" i="38"/>
  <c r="H48" i="38"/>
  <c r="M48" i="38"/>
  <c r="B196" i="39"/>
  <c r="F172" i="39"/>
  <c r="L38" i="38"/>
  <c r="K38" i="38"/>
  <c r="M38" i="38"/>
  <c r="J38" i="38"/>
  <c r="K45" i="38"/>
  <c r="H45" i="38"/>
  <c r="O45" i="38"/>
  <c r="J45" i="38"/>
  <c r="G45" i="38"/>
  <c r="O38" i="38"/>
  <c r="M45" i="38"/>
  <c r="H43" i="38"/>
  <c r="I43" i="38"/>
  <c r="N45" i="38"/>
  <c r="E43" i="38"/>
  <c r="P4" i="42" l="1"/>
  <c r="J43" i="48"/>
  <c r="P13" i="38"/>
  <c r="G43" i="44"/>
  <c r="P12" i="40"/>
  <c r="P13" i="42"/>
  <c r="Q5" i="40"/>
  <c r="F5" i="40"/>
  <c r="P5" i="40" s="1"/>
  <c r="Q5" i="44"/>
  <c r="F5" i="44"/>
  <c r="P5" i="44" s="1"/>
  <c r="Q6" i="48"/>
  <c r="F6" i="48"/>
  <c r="P6" i="48" s="1"/>
  <c r="G43" i="40"/>
  <c r="Q6" i="38"/>
  <c r="F6" i="38"/>
  <c r="P6" i="38" s="1"/>
  <c r="Q5" i="48"/>
  <c r="F5" i="48"/>
  <c r="P5" i="48" s="1"/>
  <c r="F5" i="38"/>
  <c r="P5" i="38" s="1"/>
  <c r="Q5" i="38"/>
  <c r="Q6" i="42"/>
  <c r="F6" i="42"/>
  <c r="P6" i="42" s="1"/>
  <c r="F5" i="42"/>
  <c r="P5" i="42" s="1"/>
  <c r="Q5" i="42"/>
  <c r="Q6" i="44"/>
  <c r="F6" i="44"/>
  <c r="P6" i="44" s="1"/>
  <c r="I13" i="45"/>
  <c r="Q3" i="44" s="1"/>
  <c r="I9" i="38"/>
  <c r="P9" i="38" s="1"/>
  <c r="C89" i="39"/>
  <c r="Q9" i="38" s="1"/>
  <c r="I13" i="41"/>
  <c r="Q3" i="40" s="1"/>
  <c r="C13" i="45"/>
  <c r="Q4" i="44" s="1"/>
  <c r="C13" i="39"/>
  <c r="Q4" i="38" s="1"/>
  <c r="I3" i="38"/>
  <c r="P3" i="38" s="1"/>
  <c r="I21" i="38"/>
  <c r="P21" i="38" s="1"/>
  <c r="C13" i="41"/>
  <c r="Q4" i="40" s="1"/>
  <c r="F89" i="45"/>
  <c r="I9" i="44"/>
  <c r="P9" i="44" s="1"/>
  <c r="C89" i="45"/>
  <c r="Q9" i="44" s="1"/>
  <c r="F196" i="45"/>
  <c r="I21" i="44"/>
  <c r="P21" i="44" s="1"/>
  <c r="I13" i="43"/>
  <c r="Q3" i="42" s="1"/>
  <c r="C13" i="43"/>
  <c r="Q4" i="42" s="1"/>
  <c r="F196" i="43"/>
  <c r="I21" i="42"/>
  <c r="P21" i="42" s="1"/>
  <c r="F89" i="43"/>
  <c r="I9" i="42"/>
  <c r="P9" i="42" s="1"/>
  <c r="F196" i="41"/>
  <c r="I21" i="40"/>
  <c r="P21" i="40" s="1"/>
  <c r="F89" i="41"/>
  <c r="I9" i="40"/>
  <c r="P9" i="40" s="1"/>
  <c r="C196" i="39"/>
  <c r="Q21" i="38" s="1"/>
  <c r="P9" i="48"/>
  <c r="P21" i="48"/>
  <c r="C196" i="43"/>
  <c r="Q21" i="42" s="1"/>
  <c r="C89" i="41"/>
  <c r="Q9" i="40" s="1"/>
  <c r="D10" i="36" l="1"/>
  <c r="AK4" i="36"/>
  <c r="D16" i="35"/>
  <c r="D15" i="35"/>
  <c r="D10" i="35"/>
  <c r="D9" i="35"/>
  <c r="D8" i="35"/>
  <c r="D16" i="34"/>
  <c r="D15" i="34"/>
  <c r="D10" i="34"/>
  <c r="D9" i="34"/>
  <c r="D8" i="34"/>
  <c r="D16" i="33"/>
  <c r="D15" i="33"/>
  <c r="D10" i="33"/>
  <c r="D9" i="33"/>
  <c r="D8" i="33"/>
  <c r="AK4" i="35"/>
  <c r="AK4" i="34"/>
  <c r="AK4" i="33"/>
  <c r="D16" i="31"/>
  <c r="D15" i="31"/>
  <c r="D10" i="31"/>
  <c r="D9" i="31"/>
  <c r="D8" i="31"/>
  <c r="D16" i="25"/>
  <c r="D15" i="25"/>
  <c r="D10" i="25"/>
  <c r="D9" i="25"/>
  <c r="D8" i="25"/>
  <c r="Q29" i="32"/>
  <c r="Q26" i="32"/>
  <c r="Q15" i="32"/>
  <c r="O30" i="32"/>
  <c r="Q30" i="32"/>
  <c r="N29" i="32"/>
  <c r="O27" i="32"/>
  <c r="Q27" i="32"/>
  <c r="N26" i="32"/>
  <c r="Q16" i="32"/>
  <c r="N15" i="32"/>
  <c r="F26" i="32" l="1"/>
  <c r="R26" i="32"/>
  <c r="R29" i="32"/>
  <c r="R16" i="44"/>
  <c r="R5" i="44"/>
  <c r="R18" i="44"/>
  <c r="R15" i="44"/>
  <c r="R3" i="44"/>
  <c r="R8" i="44"/>
  <c r="R13" i="44"/>
  <c r="R11" i="44"/>
  <c r="R16" i="40"/>
  <c r="R5" i="40"/>
  <c r="R18" i="40"/>
  <c r="R15" i="40"/>
  <c r="R3" i="40"/>
  <c r="R11" i="40"/>
  <c r="R8" i="40"/>
  <c r="R13" i="40"/>
  <c r="R13" i="42"/>
  <c r="R11" i="42"/>
  <c r="R15" i="42"/>
  <c r="R18" i="42"/>
  <c r="R8" i="42"/>
  <c r="R3" i="42"/>
  <c r="R16" i="42"/>
  <c r="R5" i="42"/>
  <c r="R15" i="48"/>
  <c r="R3" i="48"/>
  <c r="R18" i="48"/>
  <c r="R5" i="48"/>
  <c r="R13" i="48"/>
  <c r="R16" i="48"/>
  <c r="R11" i="48"/>
  <c r="R8" i="48"/>
  <c r="R19" i="48"/>
  <c r="R20" i="48"/>
  <c r="E5" i="34"/>
  <c r="C58" i="43" s="1"/>
  <c r="E58" i="43" s="1"/>
  <c r="H8" i="42" s="1"/>
  <c r="C144" i="43"/>
  <c r="E144" i="43" s="1"/>
  <c r="I157" i="43"/>
  <c r="K157" i="43" s="1"/>
  <c r="C157" i="43"/>
  <c r="C142" i="43"/>
  <c r="E142" i="43" s="1"/>
  <c r="C124" i="43"/>
  <c r="I156" i="43"/>
  <c r="K156" i="43" s="1"/>
  <c r="C172" i="43"/>
  <c r="E172" i="43" s="1"/>
  <c r="C71" i="43"/>
  <c r="I158" i="43"/>
  <c r="K158" i="43" s="1"/>
  <c r="N17" i="42" s="1"/>
  <c r="N48" i="42" s="1"/>
  <c r="C156" i="43"/>
  <c r="E156" i="43" s="1"/>
  <c r="I126" i="43"/>
  <c r="K126" i="43" s="1"/>
  <c r="I155" i="43"/>
  <c r="C155" i="43"/>
  <c r="C158" i="43"/>
  <c r="E158" i="43" s="1"/>
  <c r="N18" i="42" s="1"/>
  <c r="C126" i="43"/>
  <c r="E126" i="43" s="1"/>
  <c r="I124" i="43"/>
  <c r="K124" i="43" s="1"/>
  <c r="E5" i="35"/>
  <c r="I58" i="45" s="1"/>
  <c r="K58" i="45" s="1"/>
  <c r="H7" i="44" s="1"/>
  <c r="H38" i="44" s="1"/>
  <c r="I156" i="45"/>
  <c r="K156" i="45" s="1"/>
  <c r="I155" i="45"/>
  <c r="I158" i="45"/>
  <c r="K158" i="45" s="1"/>
  <c r="N17" i="44" s="1"/>
  <c r="N48" i="44" s="1"/>
  <c r="C156" i="45"/>
  <c r="E156" i="45" s="1"/>
  <c r="I126" i="45"/>
  <c r="K126" i="45" s="1"/>
  <c r="C158" i="45"/>
  <c r="E158" i="45" s="1"/>
  <c r="N18" i="44" s="1"/>
  <c r="C126" i="45"/>
  <c r="E126" i="45" s="1"/>
  <c r="C172" i="45"/>
  <c r="C63" i="44" s="1"/>
  <c r="E63" i="44" s="1"/>
  <c r="I157" i="45"/>
  <c r="K157" i="45" s="1"/>
  <c r="C155" i="45"/>
  <c r="I124" i="45"/>
  <c r="K124" i="45" s="1"/>
  <c r="C71" i="45"/>
  <c r="C157" i="45"/>
  <c r="C124" i="45"/>
  <c r="C144" i="45"/>
  <c r="E144" i="45" s="1"/>
  <c r="C142" i="45"/>
  <c r="E142" i="45" s="1"/>
  <c r="E5" i="33"/>
  <c r="R10" i="40" s="1"/>
  <c r="C158" i="41"/>
  <c r="E158" i="41" s="1"/>
  <c r="N18" i="40" s="1"/>
  <c r="C126" i="41"/>
  <c r="E126" i="41" s="1"/>
  <c r="C155" i="41"/>
  <c r="C144" i="41"/>
  <c r="E144" i="41" s="1"/>
  <c r="I155" i="41"/>
  <c r="C172" i="41"/>
  <c r="C63" i="40" s="1"/>
  <c r="E63" i="40" s="1"/>
  <c r="I157" i="41"/>
  <c r="K157" i="41" s="1"/>
  <c r="I124" i="41"/>
  <c r="K124" i="41" s="1"/>
  <c r="C71" i="41"/>
  <c r="C157" i="41"/>
  <c r="C142" i="41"/>
  <c r="E142" i="41" s="1"/>
  <c r="C124" i="41"/>
  <c r="I156" i="41"/>
  <c r="K156" i="41" s="1"/>
  <c r="I126" i="41"/>
  <c r="K126" i="41" s="1"/>
  <c r="C156" i="41"/>
  <c r="E156" i="41" s="1"/>
  <c r="I158" i="41"/>
  <c r="K158" i="41" s="1"/>
  <c r="N17" i="40" s="1"/>
  <c r="N48" i="40" s="1"/>
  <c r="E5" i="36"/>
  <c r="R10" i="48" s="1"/>
  <c r="I158" i="49"/>
  <c r="K158" i="49" s="1"/>
  <c r="N17" i="48" s="1"/>
  <c r="N48" i="48" s="1"/>
  <c r="C156" i="49"/>
  <c r="E156" i="49" s="1"/>
  <c r="I126" i="49"/>
  <c r="K126" i="49" s="1"/>
  <c r="C155" i="49"/>
  <c r="I156" i="49"/>
  <c r="K156" i="49" s="1"/>
  <c r="C158" i="49"/>
  <c r="E158" i="49" s="1"/>
  <c r="N18" i="48" s="1"/>
  <c r="C126" i="49"/>
  <c r="E126" i="49" s="1"/>
  <c r="I157" i="49"/>
  <c r="K157" i="49" s="1"/>
  <c r="C71" i="49"/>
  <c r="I155" i="49"/>
  <c r="C172" i="49"/>
  <c r="I124" i="49"/>
  <c r="K124" i="49" s="1"/>
  <c r="C144" i="49"/>
  <c r="E144" i="49" s="1"/>
  <c r="C157" i="49"/>
  <c r="C142" i="49"/>
  <c r="E142" i="49" s="1"/>
  <c r="C124" i="49"/>
  <c r="Q2" i="42"/>
  <c r="C127" i="43"/>
  <c r="E127" i="43" s="1"/>
  <c r="I123" i="43"/>
  <c r="I122" i="43"/>
  <c r="K122" i="43" s="1"/>
  <c r="D14" i="42" s="1"/>
  <c r="D45" i="42" s="1"/>
  <c r="C139" i="43"/>
  <c r="C123" i="43"/>
  <c r="C183" i="43"/>
  <c r="I59" i="43"/>
  <c r="K59" i="43" s="1"/>
  <c r="N7" i="42" s="1"/>
  <c r="N38" i="42" s="1"/>
  <c r="C59" i="43"/>
  <c r="E59" i="43" s="1"/>
  <c r="N8" i="42" s="1"/>
  <c r="I129" i="43"/>
  <c r="C129" i="43"/>
  <c r="C122" i="43"/>
  <c r="E122" i="43" s="1"/>
  <c r="I127" i="43"/>
  <c r="K127" i="43" s="1"/>
  <c r="C6" i="33"/>
  <c r="I129" i="41"/>
  <c r="C129" i="41"/>
  <c r="C122" i="41"/>
  <c r="E122" i="41" s="1"/>
  <c r="C123" i="41"/>
  <c r="C139" i="41"/>
  <c r="I127" i="41"/>
  <c r="K127" i="41" s="1"/>
  <c r="C59" i="41"/>
  <c r="E59" i="41" s="1"/>
  <c r="N8" i="40" s="1"/>
  <c r="Q2" i="40"/>
  <c r="C127" i="41"/>
  <c r="E127" i="41" s="1"/>
  <c r="I123" i="41"/>
  <c r="I122" i="41"/>
  <c r="K122" i="41" s="1"/>
  <c r="C183" i="41"/>
  <c r="C65" i="40" s="1"/>
  <c r="E65" i="40" s="1"/>
  <c r="I59" i="41"/>
  <c r="K59" i="41" s="1"/>
  <c r="N7" i="40" s="1"/>
  <c r="N38" i="40" s="1"/>
  <c r="C183" i="49"/>
  <c r="C65" i="48" s="1"/>
  <c r="E65" i="48" s="1"/>
  <c r="I59" i="49"/>
  <c r="K59" i="49" s="1"/>
  <c r="N7" i="48" s="1"/>
  <c r="N38" i="48" s="1"/>
  <c r="Q2" i="48"/>
  <c r="C139" i="49"/>
  <c r="I122" i="49"/>
  <c r="K122" i="49" s="1"/>
  <c r="C59" i="49"/>
  <c r="E59" i="49" s="1"/>
  <c r="N8" i="48" s="1"/>
  <c r="I129" i="49"/>
  <c r="C129" i="49"/>
  <c r="C122" i="49"/>
  <c r="E122" i="49" s="1"/>
  <c r="I127" i="49"/>
  <c r="K127" i="49" s="1"/>
  <c r="C127" i="49"/>
  <c r="E127" i="49" s="1"/>
  <c r="I123" i="49"/>
  <c r="C123" i="49"/>
  <c r="C123" i="45"/>
  <c r="C183" i="45"/>
  <c r="I59" i="45"/>
  <c r="K59" i="45" s="1"/>
  <c r="N7" i="44" s="1"/>
  <c r="N38" i="44" s="1"/>
  <c r="C139" i="45"/>
  <c r="I122" i="45"/>
  <c r="K122" i="45" s="1"/>
  <c r="C59" i="45"/>
  <c r="E59" i="45" s="1"/>
  <c r="N8" i="44" s="1"/>
  <c r="C122" i="45"/>
  <c r="E122" i="45" s="1"/>
  <c r="I129" i="45"/>
  <c r="C129" i="45"/>
  <c r="I127" i="45"/>
  <c r="K127" i="45" s="1"/>
  <c r="Q2" i="44"/>
  <c r="C127" i="45"/>
  <c r="E127" i="45" s="1"/>
  <c r="I123" i="45"/>
  <c r="C65" i="42"/>
  <c r="E65" i="42" s="1"/>
  <c r="R20" i="42"/>
  <c r="C64" i="42"/>
  <c r="E64" i="42" s="1"/>
  <c r="R19" i="42"/>
  <c r="C65" i="44"/>
  <c r="E65" i="44" s="1"/>
  <c r="R19" i="44"/>
  <c r="R20" i="44"/>
  <c r="R19" i="40"/>
  <c r="R20" i="40"/>
  <c r="F10" i="36"/>
  <c r="C6" i="36"/>
  <c r="R15" i="38"/>
  <c r="R3" i="38"/>
  <c r="R11" i="38"/>
  <c r="R8" i="38"/>
  <c r="R16" i="38"/>
  <c r="R13" i="38"/>
  <c r="R18" i="38"/>
  <c r="R5" i="38"/>
  <c r="I158" i="39"/>
  <c r="K158" i="39" s="1"/>
  <c r="N17" i="38" s="1"/>
  <c r="N48" i="38" s="1"/>
  <c r="C156" i="39"/>
  <c r="E156" i="39" s="1"/>
  <c r="I126" i="39"/>
  <c r="K126" i="39" s="1"/>
  <c r="C158" i="39"/>
  <c r="E158" i="39" s="1"/>
  <c r="N18" i="38" s="1"/>
  <c r="C126" i="39"/>
  <c r="E126" i="39" s="1"/>
  <c r="I155" i="39"/>
  <c r="C172" i="39"/>
  <c r="E172" i="39" s="1"/>
  <c r="I157" i="39"/>
  <c r="K157" i="39" s="1"/>
  <c r="C155" i="39"/>
  <c r="I124" i="39"/>
  <c r="K124" i="39" s="1"/>
  <c r="C71" i="39"/>
  <c r="C144" i="39"/>
  <c r="E144" i="39" s="1"/>
  <c r="C157" i="39"/>
  <c r="C142" i="39"/>
  <c r="E142" i="39" s="1"/>
  <c r="C124" i="39"/>
  <c r="I156" i="39"/>
  <c r="K156" i="39" s="1"/>
  <c r="C139" i="39"/>
  <c r="I122" i="39"/>
  <c r="K122" i="39" s="1"/>
  <c r="C59" i="39"/>
  <c r="E59" i="39" s="1"/>
  <c r="N8" i="38" s="1"/>
  <c r="C123" i="39"/>
  <c r="I129" i="39"/>
  <c r="Q2" i="38"/>
  <c r="I123" i="39"/>
  <c r="C183" i="39"/>
  <c r="C129" i="39"/>
  <c r="C122" i="39"/>
  <c r="E122" i="39" s="1"/>
  <c r="I127" i="39"/>
  <c r="K127" i="39" s="1"/>
  <c r="I59" i="39"/>
  <c r="K59" i="39" s="1"/>
  <c r="N7" i="38" s="1"/>
  <c r="N38" i="38" s="1"/>
  <c r="C127" i="39"/>
  <c r="E127" i="39" s="1"/>
  <c r="C65" i="38"/>
  <c r="E65" i="38" s="1"/>
  <c r="C64" i="38"/>
  <c r="E64" i="38" s="1"/>
  <c r="R20" i="38"/>
  <c r="R19" i="38"/>
  <c r="C6" i="34"/>
  <c r="C6" i="35"/>
  <c r="R15" i="32"/>
  <c r="F10" i="33"/>
  <c r="F10" i="34"/>
  <c r="F10" i="35"/>
  <c r="R33" i="32" l="1"/>
  <c r="R37" i="32" s="1"/>
  <c r="U37" i="32" s="1"/>
  <c r="R10" i="42"/>
  <c r="M41" i="42" s="1"/>
  <c r="N49" i="48"/>
  <c r="N49" i="40"/>
  <c r="N49" i="44"/>
  <c r="N39" i="42"/>
  <c r="N39" i="44"/>
  <c r="R21" i="42"/>
  <c r="D52" i="42" s="1"/>
  <c r="H39" i="42"/>
  <c r="N49" i="42"/>
  <c r="C47" i="42"/>
  <c r="O47" i="42"/>
  <c r="L47" i="42"/>
  <c r="M47" i="42"/>
  <c r="F47" i="42"/>
  <c r="N47" i="42"/>
  <c r="K47" i="42"/>
  <c r="G47" i="42"/>
  <c r="H47" i="42"/>
  <c r="M47" i="48"/>
  <c r="O47" i="48"/>
  <c r="K47" i="48"/>
  <c r="N47" i="48"/>
  <c r="G47" i="48"/>
  <c r="F47" i="48"/>
  <c r="C47" i="48"/>
  <c r="H47" i="48"/>
  <c r="L47" i="48"/>
  <c r="F34" i="42"/>
  <c r="S3" i="42"/>
  <c r="I34" i="42"/>
  <c r="N42" i="40"/>
  <c r="C42" i="40"/>
  <c r="M42" i="40"/>
  <c r="L42" i="40"/>
  <c r="I42" i="40"/>
  <c r="O42" i="40"/>
  <c r="E42" i="40"/>
  <c r="K42" i="40"/>
  <c r="L39" i="44"/>
  <c r="K39" i="44"/>
  <c r="J39" i="44"/>
  <c r="M39" i="44"/>
  <c r="O39" i="44"/>
  <c r="N39" i="40"/>
  <c r="G44" i="48"/>
  <c r="I44" i="48"/>
  <c r="J44" i="48"/>
  <c r="S13" i="48"/>
  <c r="E44" i="48"/>
  <c r="H44" i="48"/>
  <c r="M39" i="42"/>
  <c r="J39" i="42"/>
  <c r="O39" i="42"/>
  <c r="L39" i="42"/>
  <c r="K39" i="42"/>
  <c r="S3" i="40"/>
  <c r="F34" i="40"/>
  <c r="I34" i="40"/>
  <c r="I34" i="44"/>
  <c r="S3" i="44"/>
  <c r="F34" i="44"/>
  <c r="I36" i="42"/>
  <c r="S5" i="42"/>
  <c r="F36" i="42"/>
  <c r="L39" i="48"/>
  <c r="J39" i="48"/>
  <c r="O39" i="48"/>
  <c r="M39" i="48"/>
  <c r="K39" i="48"/>
  <c r="O42" i="44"/>
  <c r="K42" i="44"/>
  <c r="C42" i="44"/>
  <c r="N42" i="44"/>
  <c r="I42" i="44"/>
  <c r="L42" i="44"/>
  <c r="M42" i="44"/>
  <c r="E42" i="44"/>
  <c r="H44" i="44"/>
  <c r="G44" i="44"/>
  <c r="J44" i="44"/>
  <c r="I44" i="44"/>
  <c r="S13" i="44"/>
  <c r="E44" i="44"/>
  <c r="F36" i="48"/>
  <c r="I36" i="48"/>
  <c r="S5" i="48"/>
  <c r="N46" i="40"/>
  <c r="M46" i="40"/>
  <c r="H46" i="40"/>
  <c r="J46" i="40"/>
  <c r="G46" i="40"/>
  <c r="F46" i="40"/>
  <c r="O46" i="40"/>
  <c r="K46" i="40"/>
  <c r="R9" i="44"/>
  <c r="J40" i="44" s="1"/>
  <c r="L49" i="48"/>
  <c r="F49" i="48"/>
  <c r="E49" i="48"/>
  <c r="K49" i="48"/>
  <c r="D49" i="48"/>
  <c r="M49" i="48"/>
  <c r="G49" i="48"/>
  <c r="H49" i="48"/>
  <c r="J49" i="48"/>
  <c r="O46" i="42"/>
  <c r="G46" i="42"/>
  <c r="H46" i="42"/>
  <c r="N46" i="42"/>
  <c r="F46" i="42"/>
  <c r="M46" i="42"/>
  <c r="J46" i="42"/>
  <c r="K46" i="42"/>
  <c r="K49" i="40"/>
  <c r="J49" i="40"/>
  <c r="G49" i="40"/>
  <c r="E49" i="40"/>
  <c r="F49" i="40"/>
  <c r="L49" i="40"/>
  <c r="M49" i="40"/>
  <c r="H49" i="40"/>
  <c r="D49" i="40"/>
  <c r="H49" i="44"/>
  <c r="M49" i="44"/>
  <c r="L49" i="44"/>
  <c r="J49" i="44"/>
  <c r="K49" i="44"/>
  <c r="F49" i="44"/>
  <c r="G49" i="44"/>
  <c r="D49" i="44"/>
  <c r="E49" i="44"/>
  <c r="H44" i="40"/>
  <c r="I44" i="40"/>
  <c r="G44" i="40"/>
  <c r="S13" i="40"/>
  <c r="E44" i="40"/>
  <c r="J44" i="40"/>
  <c r="O42" i="48"/>
  <c r="E42" i="48"/>
  <c r="C42" i="48"/>
  <c r="N42" i="48"/>
  <c r="K42" i="48"/>
  <c r="L42" i="48"/>
  <c r="I42" i="48"/>
  <c r="M42" i="48"/>
  <c r="K39" i="40"/>
  <c r="M39" i="40"/>
  <c r="J39" i="40"/>
  <c r="L39" i="40"/>
  <c r="O39" i="40"/>
  <c r="F49" i="42"/>
  <c r="G49" i="42"/>
  <c r="D49" i="42"/>
  <c r="M49" i="42"/>
  <c r="J49" i="42"/>
  <c r="L49" i="42"/>
  <c r="H49" i="42"/>
  <c r="K49" i="42"/>
  <c r="E49" i="42"/>
  <c r="N46" i="44"/>
  <c r="H46" i="44"/>
  <c r="J46" i="44"/>
  <c r="K46" i="44"/>
  <c r="F46" i="44"/>
  <c r="O46" i="44"/>
  <c r="G46" i="44"/>
  <c r="M46" i="44"/>
  <c r="I34" i="48"/>
  <c r="F34" i="48"/>
  <c r="S3" i="48"/>
  <c r="O42" i="42"/>
  <c r="C42" i="42"/>
  <c r="I42" i="42"/>
  <c r="E42" i="42"/>
  <c r="N42" i="42"/>
  <c r="M42" i="42"/>
  <c r="K42" i="42"/>
  <c r="L42" i="42"/>
  <c r="I36" i="40"/>
  <c r="S5" i="40"/>
  <c r="F36" i="40"/>
  <c r="I36" i="44"/>
  <c r="S5" i="44"/>
  <c r="F36" i="44"/>
  <c r="N39" i="48"/>
  <c r="O46" i="48"/>
  <c r="J46" i="48"/>
  <c r="N46" i="48"/>
  <c r="G46" i="48"/>
  <c r="F46" i="48"/>
  <c r="M46" i="48"/>
  <c r="K46" i="48"/>
  <c r="H46" i="48"/>
  <c r="I44" i="42"/>
  <c r="H44" i="42"/>
  <c r="G44" i="42"/>
  <c r="E44" i="42"/>
  <c r="J44" i="42"/>
  <c r="S13" i="42"/>
  <c r="N47" i="40"/>
  <c r="L47" i="40"/>
  <c r="M47" i="40"/>
  <c r="C47" i="40"/>
  <c r="O47" i="40"/>
  <c r="K47" i="40"/>
  <c r="F47" i="40"/>
  <c r="G47" i="40"/>
  <c r="H47" i="40"/>
  <c r="H47" i="44"/>
  <c r="K47" i="44"/>
  <c r="G47" i="44"/>
  <c r="M47" i="44"/>
  <c r="O47" i="44"/>
  <c r="C47" i="44"/>
  <c r="L47" i="44"/>
  <c r="F47" i="44"/>
  <c r="N47" i="44"/>
  <c r="R10" i="44"/>
  <c r="L41" i="44" s="1"/>
  <c r="C5" i="34"/>
  <c r="I57" i="43" s="1"/>
  <c r="I58" i="49"/>
  <c r="K58" i="49" s="1"/>
  <c r="H7" i="48" s="1"/>
  <c r="H38" i="48" s="1"/>
  <c r="C5" i="36"/>
  <c r="C57" i="49" s="1"/>
  <c r="I58" i="43"/>
  <c r="K58" i="43" s="1"/>
  <c r="H7" i="42" s="1"/>
  <c r="H38" i="42" s="1"/>
  <c r="C58" i="41"/>
  <c r="E58" i="41" s="1"/>
  <c r="H8" i="40" s="1"/>
  <c r="H39" i="40" s="1"/>
  <c r="R9" i="40"/>
  <c r="O40" i="40" s="1"/>
  <c r="C5" i="33"/>
  <c r="C57" i="41" s="1"/>
  <c r="R21" i="40"/>
  <c r="M52" i="40" s="1"/>
  <c r="I58" i="41"/>
  <c r="K58" i="41" s="1"/>
  <c r="H7" i="40" s="1"/>
  <c r="H38" i="40" s="1"/>
  <c r="G50" i="48"/>
  <c r="O50" i="48"/>
  <c r="N50" i="48"/>
  <c r="M50" i="48"/>
  <c r="D50" i="48"/>
  <c r="H50" i="48"/>
  <c r="F50" i="48"/>
  <c r="L50" i="48"/>
  <c r="M51" i="48"/>
  <c r="N51" i="48"/>
  <c r="H51" i="48"/>
  <c r="O51" i="48"/>
  <c r="G51" i="48"/>
  <c r="D51" i="48"/>
  <c r="L51" i="48"/>
  <c r="F51" i="48"/>
  <c r="R21" i="48"/>
  <c r="D52" i="48" s="1"/>
  <c r="C58" i="49"/>
  <c r="E58" i="49" s="1"/>
  <c r="H8" i="48" s="1"/>
  <c r="H39" i="48" s="1"/>
  <c r="R9" i="48"/>
  <c r="N40" i="48" s="1"/>
  <c r="R9" i="42"/>
  <c r="O40" i="42" s="1"/>
  <c r="C166" i="49"/>
  <c r="E166" i="49" s="1"/>
  <c r="E155" i="49"/>
  <c r="K155" i="41"/>
  <c r="C17" i="40" s="1"/>
  <c r="C48" i="40" s="1"/>
  <c r="I166" i="41"/>
  <c r="K166" i="41" s="1"/>
  <c r="C58" i="45"/>
  <c r="E58" i="45" s="1"/>
  <c r="H8" i="44" s="1"/>
  <c r="H39" i="44" s="1"/>
  <c r="C63" i="48"/>
  <c r="E63" i="48" s="1"/>
  <c r="E172" i="49"/>
  <c r="E124" i="41"/>
  <c r="C60" i="40"/>
  <c r="E60" i="40" s="1"/>
  <c r="C61" i="44"/>
  <c r="E61" i="44" s="1"/>
  <c r="E157" i="45"/>
  <c r="C18" i="44" s="1"/>
  <c r="C166" i="43"/>
  <c r="E166" i="43" s="1"/>
  <c r="E155" i="43"/>
  <c r="C5" i="35"/>
  <c r="C57" i="45" s="1"/>
  <c r="C63" i="38"/>
  <c r="E63" i="38" s="1"/>
  <c r="R21" i="44"/>
  <c r="I52" i="44" s="1"/>
  <c r="C92" i="49"/>
  <c r="C58" i="48"/>
  <c r="E58" i="48" s="1"/>
  <c r="C74" i="49"/>
  <c r="E74" i="49" s="1"/>
  <c r="E71" i="49"/>
  <c r="C61" i="40"/>
  <c r="E61" i="40" s="1"/>
  <c r="E157" i="41"/>
  <c r="C18" i="40" s="1"/>
  <c r="I166" i="43"/>
  <c r="K166" i="43" s="1"/>
  <c r="K155" i="43"/>
  <c r="C17" i="42" s="1"/>
  <c r="C48" i="42" s="1"/>
  <c r="C60" i="44"/>
  <c r="E60" i="44" s="1"/>
  <c r="E124" i="45"/>
  <c r="I166" i="49"/>
  <c r="K166" i="49" s="1"/>
  <c r="I17" i="48" s="1"/>
  <c r="I48" i="48" s="1"/>
  <c r="K155" i="49"/>
  <c r="E155" i="41"/>
  <c r="C166" i="41"/>
  <c r="E166" i="41" s="1"/>
  <c r="E124" i="43"/>
  <c r="C60" i="42"/>
  <c r="E60" i="42" s="1"/>
  <c r="C60" i="48"/>
  <c r="E60" i="48" s="1"/>
  <c r="E124" i="49"/>
  <c r="C182" i="49"/>
  <c r="I63" i="49"/>
  <c r="K63" i="49" s="1"/>
  <c r="R6" i="48"/>
  <c r="C62" i="49"/>
  <c r="E62" i="49" s="1"/>
  <c r="C176" i="49"/>
  <c r="C63" i="49"/>
  <c r="E63" i="49" s="1"/>
  <c r="C174" i="49"/>
  <c r="I62" i="49"/>
  <c r="K62" i="49" s="1"/>
  <c r="R4" i="48"/>
  <c r="C162" i="49"/>
  <c r="I65" i="49"/>
  <c r="K65" i="49" s="1"/>
  <c r="I61" i="49"/>
  <c r="K61" i="49" s="1"/>
  <c r="I162" i="49"/>
  <c r="C140" i="49"/>
  <c r="C64" i="49"/>
  <c r="E64" i="49" s="1"/>
  <c r="C171" i="49"/>
  <c r="C173" i="49" s="1"/>
  <c r="E173" i="49" s="1"/>
  <c r="C65" i="49"/>
  <c r="E65" i="49" s="1"/>
  <c r="C61" i="49"/>
  <c r="E61" i="49" s="1"/>
  <c r="C187" i="49"/>
  <c r="I64" i="49"/>
  <c r="K64" i="49" s="1"/>
  <c r="C185" i="49"/>
  <c r="C92" i="41"/>
  <c r="C58" i="40"/>
  <c r="E58" i="40" s="1"/>
  <c r="E71" i="41"/>
  <c r="C74" i="41"/>
  <c r="E74" i="41" s="1"/>
  <c r="E155" i="45"/>
  <c r="C166" i="45"/>
  <c r="E166" i="45" s="1"/>
  <c r="I166" i="45"/>
  <c r="K166" i="45" s="1"/>
  <c r="K155" i="45"/>
  <c r="C17" i="44" s="1"/>
  <c r="C48" i="44" s="1"/>
  <c r="C61" i="42"/>
  <c r="E61" i="42" s="1"/>
  <c r="E157" i="43"/>
  <c r="C18" i="42" s="1"/>
  <c r="C92" i="45"/>
  <c r="C58" i="44"/>
  <c r="E58" i="44" s="1"/>
  <c r="C74" i="45"/>
  <c r="E74" i="45" s="1"/>
  <c r="E71" i="45"/>
  <c r="C63" i="42"/>
  <c r="E63" i="42" s="1"/>
  <c r="R6" i="40"/>
  <c r="C176" i="41"/>
  <c r="C63" i="41"/>
  <c r="E63" i="41" s="1"/>
  <c r="R4" i="40"/>
  <c r="C62" i="41"/>
  <c r="E62" i="41" s="1"/>
  <c r="I65" i="41"/>
  <c r="K65" i="41" s="1"/>
  <c r="I61" i="41"/>
  <c r="K61" i="41" s="1"/>
  <c r="C174" i="41"/>
  <c r="I62" i="41"/>
  <c r="K62" i="41" s="1"/>
  <c r="C171" i="41"/>
  <c r="C173" i="41" s="1"/>
  <c r="E173" i="41" s="1"/>
  <c r="C65" i="41"/>
  <c r="E65" i="41" s="1"/>
  <c r="C61" i="41"/>
  <c r="E61" i="41" s="1"/>
  <c r="C162" i="41"/>
  <c r="C64" i="41"/>
  <c r="E64" i="41" s="1"/>
  <c r="C187" i="41"/>
  <c r="I162" i="41"/>
  <c r="C140" i="41"/>
  <c r="I64" i="41"/>
  <c r="K64" i="41" s="1"/>
  <c r="C185" i="41"/>
  <c r="I63" i="41"/>
  <c r="K63" i="41" s="1"/>
  <c r="C182" i="41"/>
  <c r="C184" i="41" s="1"/>
  <c r="E184" i="41" s="1"/>
  <c r="C61" i="48"/>
  <c r="E61" i="48" s="1"/>
  <c r="E157" i="49"/>
  <c r="C18" i="48" s="1"/>
  <c r="E172" i="45"/>
  <c r="C185" i="45"/>
  <c r="C162" i="45"/>
  <c r="C64" i="45"/>
  <c r="E64" i="45" s="1"/>
  <c r="C182" i="45"/>
  <c r="I63" i="45"/>
  <c r="K63" i="45" s="1"/>
  <c r="I62" i="45"/>
  <c r="K62" i="45" s="1"/>
  <c r="R6" i="44"/>
  <c r="C176" i="45"/>
  <c r="C63" i="45"/>
  <c r="E63" i="45" s="1"/>
  <c r="C174" i="45"/>
  <c r="R4" i="44"/>
  <c r="C62" i="45"/>
  <c r="E62" i="45" s="1"/>
  <c r="C61" i="45"/>
  <c r="E61" i="45" s="1"/>
  <c r="C187" i="45"/>
  <c r="C140" i="45"/>
  <c r="I65" i="45"/>
  <c r="K65" i="45" s="1"/>
  <c r="I61" i="45"/>
  <c r="K61" i="45" s="1"/>
  <c r="C171" i="45"/>
  <c r="C173" i="45" s="1"/>
  <c r="E173" i="45" s="1"/>
  <c r="C65" i="45"/>
  <c r="E65" i="45" s="1"/>
  <c r="I162" i="45"/>
  <c r="I64" i="45"/>
  <c r="K64" i="45" s="1"/>
  <c r="E172" i="41"/>
  <c r="C74" i="43"/>
  <c r="E74" i="43" s="1"/>
  <c r="C58" i="42"/>
  <c r="E58" i="42" s="1"/>
  <c r="C92" i="43"/>
  <c r="E71" i="43"/>
  <c r="I65" i="43"/>
  <c r="K65" i="43" s="1"/>
  <c r="I61" i="43"/>
  <c r="K61" i="43" s="1"/>
  <c r="I162" i="43"/>
  <c r="C140" i="43"/>
  <c r="C162" i="43"/>
  <c r="C64" i="43"/>
  <c r="E64" i="43" s="1"/>
  <c r="C171" i="43"/>
  <c r="C65" i="43"/>
  <c r="E65" i="43" s="1"/>
  <c r="C61" i="43"/>
  <c r="E61" i="43" s="1"/>
  <c r="C187" i="43"/>
  <c r="I64" i="43"/>
  <c r="K64" i="43" s="1"/>
  <c r="C185" i="43"/>
  <c r="R4" i="42"/>
  <c r="C182" i="43"/>
  <c r="E182" i="43" s="1"/>
  <c r="I63" i="43"/>
  <c r="K63" i="43" s="1"/>
  <c r="I62" i="43"/>
  <c r="K62" i="43" s="1"/>
  <c r="C62" i="43"/>
  <c r="E62" i="43" s="1"/>
  <c r="R6" i="42"/>
  <c r="C176" i="43"/>
  <c r="C63" i="43"/>
  <c r="E63" i="43" s="1"/>
  <c r="C174" i="43"/>
  <c r="D15" i="48"/>
  <c r="D46" i="48" s="1"/>
  <c r="V2" i="40"/>
  <c r="C77" i="40"/>
  <c r="C89" i="40" s="1"/>
  <c r="D15" i="40"/>
  <c r="D46" i="40" s="1"/>
  <c r="E183" i="43"/>
  <c r="C77" i="44"/>
  <c r="C89" i="44" s="1"/>
  <c r="V2" i="44"/>
  <c r="K129" i="45"/>
  <c r="I132" i="45"/>
  <c r="K132" i="45" s="1"/>
  <c r="I131" i="45"/>
  <c r="K131" i="45" s="1"/>
  <c r="I133" i="45"/>
  <c r="K133" i="45" s="1"/>
  <c r="O41" i="48"/>
  <c r="K41" i="48"/>
  <c r="E41" i="48"/>
  <c r="M41" i="48"/>
  <c r="L41" i="48"/>
  <c r="N41" i="48"/>
  <c r="J41" i="48"/>
  <c r="E129" i="49"/>
  <c r="C131" i="49"/>
  <c r="C131" i="41"/>
  <c r="E129" i="41"/>
  <c r="D15" i="42"/>
  <c r="D46" i="42" s="1"/>
  <c r="C134" i="43"/>
  <c r="E134" i="43" s="1"/>
  <c r="C59" i="42"/>
  <c r="E59" i="42" s="1"/>
  <c r="E123" i="43"/>
  <c r="C125" i="43"/>
  <c r="E125" i="43" s="1"/>
  <c r="C128" i="43"/>
  <c r="E128" i="43" s="1"/>
  <c r="D15" i="44"/>
  <c r="D46" i="44" s="1"/>
  <c r="C59" i="48"/>
  <c r="E59" i="48" s="1"/>
  <c r="E123" i="49"/>
  <c r="C134" i="49"/>
  <c r="E134" i="49" s="1"/>
  <c r="C125" i="49"/>
  <c r="E125" i="49" s="1"/>
  <c r="C128" i="49"/>
  <c r="E128" i="49" s="1"/>
  <c r="E183" i="49"/>
  <c r="E129" i="43"/>
  <c r="C131" i="43"/>
  <c r="C145" i="43"/>
  <c r="E145" i="43" s="1"/>
  <c r="E139" i="43"/>
  <c r="C149" i="43"/>
  <c r="E149" i="43" s="1"/>
  <c r="C150" i="43"/>
  <c r="E150" i="43" s="1"/>
  <c r="I125" i="49"/>
  <c r="K125" i="49" s="1"/>
  <c r="L14" i="48" s="1"/>
  <c r="L45" i="48" s="1"/>
  <c r="I134" i="49"/>
  <c r="K134" i="49" s="1"/>
  <c r="I14" i="48" s="1"/>
  <c r="I45" i="48" s="1"/>
  <c r="I128" i="49"/>
  <c r="K128" i="49" s="1"/>
  <c r="K123" i="49"/>
  <c r="C14" i="48" s="1"/>
  <c r="K129" i="49"/>
  <c r="I132" i="49"/>
  <c r="K132" i="49" s="1"/>
  <c r="I131" i="49"/>
  <c r="K131" i="49" s="1"/>
  <c r="I133" i="49"/>
  <c r="K133" i="49" s="1"/>
  <c r="E123" i="45"/>
  <c r="C134" i="45"/>
  <c r="E134" i="45" s="1"/>
  <c r="C59" i="44"/>
  <c r="E59" i="44" s="1"/>
  <c r="C125" i="45"/>
  <c r="E125" i="45" s="1"/>
  <c r="L15" i="44" s="1"/>
  <c r="L46" i="44" s="1"/>
  <c r="C128" i="45"/>
  <c r="E128" i="45" s="1"/>
  <c r="D14" i="44"/>
  <c r="D45" i="44" s="1"/>
  <c r="E183" i="41"/>
  <c r="M41" i="40"/>
  <c r="N41" i="40"/>
  <c r="J41" i="40"/>
  <c r="K41" i="40"/>
  <c r="L41" i="40"/>
  <c r="E41" i="40"/>
  <c r="O41" i="40"/>
  <c r="K129" i="41"/>
  <c r="I131" i="41"/>
  <c r="K131" i="41" s="1"/>
  <c r="I132" i="41"/>
  <c r="K132" i="41" s="1"/>
  <c r="I133" i="41"/>
  <c r="K133" i="41" s="1"/>
  <c r="I128" i="43"/>
  <c r="K128" i="43" s="1"/>
  <c r="K123" i="43"/>
  <c r="C14" i="42" s="1"/>
  <c r="I125" i="43"/>
  <c r="K125" i="43" s="1"/>
  <c r="L14" i="42" s="1"/>
  <c r="L45" i="42" s="1"/>
  <c r="I134" i="43"/>
  <c r="K134" i="43" s="1"/>
  <c r="E139" i="45"/>
  <c r="D16" i="44" s="1"/>
  <c r="C150" i="45"/>
  <c r="E150" i="45" s="1"/>
  <c r="C145" i="45"/>
  <c r="E145" i="45" s="1"/>
  <c r="C149" i="45"/>
  <c r="E149" i="45" s="1"/>
  <c r="D14" i="48"/>
  <c r="D45" i="48" s="1"/>
  <c r="D14" i="40"/>
  <c r="D45" i="40" s="1"/>
  <c r="C150" i="41"/>
  <c r="E150" i="41" s="1"/>
  <c r="C145" i="41"/>
  <c r="E145" i="41" s="1"/>
  <c r="E139" i="41"/>
  <c r="C149" i="41"/>
  <c r="E149" i="41" s="1"/>
  <c r="I133" i="43"/>
  <c r="K133" i="43" s="1"/>
  <c r="K129" i="43"/>
  <c r="I132" i="43"/>
  <c r="K132" i="43" s="1"/>
  <c r="I131" i="43"/>
  <c r="K131" i="43" s="1"/>
  <c r="E129" i="45"/>
  <c r="C131" i="45"/>
  <c r="E139" i="49"/>
  <c r="D16" i="48" s="1"/>
  <c r="C149" i="49"/>
  <c r="E149" i="49" s="1"/>
  <c r="C145" i="49"/>
  <c r="E145" i="49" s="1"/>
  <c r="C150" i="49"/>
  <c r="E150" i="49" s="1"/>
  <c r="I134" i="41"/>
  <c r="K134" i="41" s="1"/>
  <c r="I14" i="40" s="1"/>
  <c r="I45" i="40" s="1"/>
  <c r="I128" i="41"/>
  <c r="K128" i="41" s="1"/>
  <c r="K123" i="41"/>
  <c r="C14" i="40" s="1"/>
  <c r="I125" i="41"/>
  <c r="K125" i="41" s="1"/>
  <c r="L14" i="40" s="1"/>
  <c r="L45" i="40" s="1"/>
  <c r="C59" i="40"/>
  <c r="E59" i="40" s="1"/>
  <c r="E123" i="41"/>
  <c r="C134" i="41"/>
  <c r="E134" i="41" s="1"/>
  <c r="C128" i="41"/>
  <c r="E128" i="41" s="1"/>
  <c r="C125" i="41"/>
  <c r="E125" i="41" s="1"/>
  <c r="V2" i="42"/>
  <c r="C77" i="42"/>
  <c r="C89" i="42" s="1"/>
  <c r="I128" i="45"/>
  <c r="K128" i="45" s="1"/>
  <c r="I125" i="45"/>
  <c r="K125" i="45" s="1"/>
  <c r="L14" i="44" s="1"/>
  <c r="L45" i="44" s="1"/>
  <c r="I134" i="45"/>
  <c r="K134" i="45" s="1"/>
  <c r="I14" i="44" s="1"/>
  <c r="I45" i="44" s="1"/>
  <c r="K123" i="45"/>
  <c r="C14" i="44" s="1"/>
  <c r="E183" i="45"/>
  <c r="V2" i="48"/>
  <c r="C77" i="48"/>
  <c r="C89" i="48" s="1"/>
  <c r="E41" i="42"/>
  <c r="G50" i="42"/>
  <c r="O50" i="42"/>
  <c r="N50" i="42"/>
  <c r="D50" i="42"/>
  <c r="L50" i="42"/>
  <c r="M50" i="42"/>
  <c r="F50" i="42"/>
  <c r="H50" i="42"/>
  <c r="H51" i="42"/>
  <c r="O51" i="42"/>
  <c r="D51" i="42"/>
  <c r="M51" i="42"/>
  <c r="L51" i="42"/>
  <c r="F51" i="42"/>
  <c r="G51" i="42"/>
  <c r="N51" i="42"/>
  <c r="N50" i="44"/>
  <c r="O50" i="44"/>
  <c r="L50" i="44"/>
  <c r="G50" i="44"/>
  <c r="D50" i="44"/>
  <c r="H50" i="44"/>
  <c r="M50" i="44"/>
  <c r="F50" i="44"/>
  <c r="H51" i="44"/>
  <c r="D51" i="44"/>
  <c r="F51" i="44"/>
  <c r="L51" i="44"/>
  <c r="N51" i="44"/>
  <c r="M51" i="44"/>
  <c r="G51" i="44"/>
  <c r="O51" i="44"/>
  <c r="H51" i="40"/>
  <c r="G51" i="40"/>
  <c r="D51" i="40"/>
  <c r="M51" i="40"/>
  <c r="F51" i="40"/>
  <c r="N51" i="40"/>
  <c r="L51" i="40"/>
  <c r="O51" i="40"/>
  <c r="M50" i="40"/>
  <c r="N50" i="40"/>
  <c r="F50" i="40"/>
  <c r="H50" i="40"/>
  <c r="D50" i="40"/>
  <c r="O50" i="40"/>
  <c r="G50" i="40"/>
  <c r="L50" i="40"/>
  <c r="I36" i="38"/>
  <c r="S5" i="38"/>
  <c r="F36" i="38"/>
  <c r="E44" i="38"/>
  <c r="I44" i="38"/>
  <c r="S13" i="38"/>
  <c r="J44" i="38"/>
  <c r="H44" i="38"/>
  <c r="G44" i="38"/>
  <c r="M47" i="38"/>
  <c r="N47" i="38"/>
  <c r="K47" i="38"/>
  <c r="L47" i="38"/>
  <c r="F47" i="38"/>
  <c r="O47" i="38"/>
  <c r="G47" i="38"/>
  <c r="C47" i="38"/>
  <c r="H47" i="38"/>
  <c r="L39" i="38"/>
  <c r="J39" i="38"/>
  <c r="O39" i="38"/>
  <c r="K39" i="38"/>
  <c r="M39" i="38"/>
  <c r="E49" i="38"/>
  <c r="L49" i="38"/>
  <c r="F49" i="38"/>
  <c r="H49" i="38"/>
  <c r="G49" i="38"/>
  <c r="D49" i="38"/>
  <c r="M49" i="38"/>
  <c r="K49" i="38"/>
  <c r="J49" i="38"/>
  <c r="N39" i="38"/>
  <c r="E42" i="38"/>
  <c r="N42" i="38"/>
  <c r="C42" i="38"/>
  <c r="K42" i="38"/>
  <c r="M42" i="38"/>
  <c r="I42" i="38"/>
  <c r="L42" i="38"/>
  <c r="O42" i="38"/>
  <c r="N49" i="38"/>
  <c r="S3" i="38"/>
  <c r="F34" i="38"/>
  <c r="I34" i="38"/>
  <c r="N46" i="38"/>
  <c r="H46" i="38"/>
  <c r="G46" i="38"/>
  <c r="M46" i="38"/>
  <c r="F46" i="38"/>
  <c r="O46" i="38"/>
  <c r="K46" i="38"/>
  <c r="J46" i="38"/>
  <c r="C60" i="38"/>
  <c r="E60" i="38" s="1"/>
  <c r="E124" i="39"/>
  <c r="I166" i="39"/>
  <c r="K166" i="39" s="1"/>
  <c r="I17" i="38" s="1"/>
  <c r="I48" i="38" s="1"/>
  <c r="K155" i="39"/>
  <c r="C166" i="39"/>
  <c r="E166" i="39" s="1"/>
  <c r="E155" i="39"/>
  <c r="C61" i="38"/>
  <c r="E61" i="38" s="1"/>
  <c r="E157" i="39"/>
  <c r="C18" i="38" s="1"/>
  <c r="C74" i="39"/>
  <c r="E74" i="39" s="1"/>
  <c r="C58" i="38"/>
  <c r="E58" i="38" s="1"/>
  <c r="E71" i="39"/>
  <c r="C92" i="39"/>
  <c r="D15" i="38"/>
  <c r="D46" i="38" s="1"/>
  <c r="I133" i="39"/>
  <c r="K133" i="39" s="1"/>
  <c r="I132" i="39"/>
  <c r="K132" i="39" s="1"/>
  <c r="K129" i="39"/>
  <c r="I131" i="39"/>
  <c r="K131" i="39" s="1"/>
  <c r="C131" i="39"/>
  <c r="E129" i="39"/>
  <c r="C59" i="38"/>
  <c r="E59" i="38" s="1"/>
  <c r="C125" i="39"/>
  <c r="E125" i="39" s="1"/>
  <c r="C134" i="39"/>
  <c r="E134" i="39" s="1"/>
  <c r="C128" i="39"/>
  <c r="E128" i="39" s="1"/>
  <c r="E123" i="39"/>
  <c r="V2" i="38"/>
  <c r="C77" i="38"/>
  <c r="C89" i="38" s="1"/>
  <c r="E183" i="39"/>
  <c r="K123" i="39"/>
  <c r="C14" i="38" s="1"/>
  <c r="I125" i="39"/>
  <c r="K125" i="39" s="1"/>
  <c r="L14" i="38" s="1"/>
  <c r="L45" i="38" s="1"/>
  <c r="I128" i="39"/>
  <c r="K128" i="39" s="1"/>
  <c r="I134" i="39"/>
  <c r="K134" i="39" s="1"/>
  <c r="I14" i="38" s="1"/>
  <c r="I45" i="38" s="1"/>
  <c r="D14" i="38"/>
  <c r="D45" i="38" s="1"/>
  <c r="C150" i="39"/>
  <c r="E150" i="39" s="1"/>
  <c r="C149" i="39"/>
  <c r="E149" i="39" s="1"/>
  <c r="E139" i="39"/>
  <c r="C145" i="39"/>
  <c r="E145" i="39" s="1"/>
  <c r="N50" i="38"/>
  <c r="O50" i="38"/>
  <c r="G50" i="38"/>
  <c r="L50" i="38"/>
  <c r="F50" i="38"/>
  <c r="M50" i="38"/>
  <c r="D50" i="38"/>
  <c r="H50" i="38"/>
  <c r="O51" i="38"/>
  <c r="H51" i="38"/>
  <c r="G51" i="38"/>
  <c r="D51" i="38"/>
  <c r="M51" i="38"/>
  <c r="L51" i="38"/>
  <c r="F51" i="38"/>
  <c r="N51" i="38"/>
  <c r="T33" i="32" l="1"/>
  <c r="U33" i="32" s="1"/>
  <c r="R35" i="32"/>
  <c r="U35" i="32" s="1"/>
  <c r="N41" i="42"/>
  <c r="K41" i="42"/>
  <c r="L41" i="42"/>
  <c r="J41" i="42"/>
  <c r="O41" i="42"/>
  <c r="R38" i="32"/>
  <c r="U38" i="32" s="1"/>
  <c r="R36" i="32"/>
  <c r="U36" i="32" s="1"/>
  <c r="M52" i="42"/>
  <c r="E40" i="48"/>
  <c r="J52" i="42"/>
  <c r="I40" i="44"/>
  <c r="L52" i="42"/>
  <c r="H52" i="42"/>
  <c r="H32" i="42" s="1"/>
  <c r="C71" i="42" s="1"/>
  <c r="S21" i="42"/>
  <c r="C57" i="43"/>
  <c r="C60" i="43" s="1"/>
  <c r="E60" i="43" s="1"/>
  <c r="F52" i="42"/>
  <c r="I52" i="42"/>
  <c r="O52" i="42"/>
  <c r="C52" i="42"/>
  <c r="N52" i="42"/>
  <c r="E52" i="42"/>
  <c r="I57" i="49"/>
  <c r="K57" i="49" s="1"/>
  <c r="I52" i="48"/>
  <c r="K52" i="42"/>
  <c r="G52" i="42"/>
  <c r="G32" i="42" s="1"/>
  <c r="C72" i="42" s="1"/>
  <c r="C85" i="42" s="1"/>
  <c r="N52" i="48"/>
  <c r="N32" i="48" s="1"/>
  <c r="C78" i="48" s="1"/>
  <c r="C90" i="48" s="1"/>
  <c r="C40" i="48"/>
  <c r="O40" i="44"/>
  <c r="K40" i="44"/>
  <c r="E40" i="44"/>
  <c r="K52" i="48"/>
  <c r="N40" i="44"/>
  <c r="E52" i="48"/>
  <c r="C40" i="44"/>
  <c r="J52" i="48"/>
  <c r="M40" i="44"/>
  <c r="L40" i="44"/>
  <c r="G52" i="48"/>
  <c r="G32" i="48" s="1"/>
  <c r="C72" i="48" s="1"/>
  <c r="C85" i="48" s="1"/>
  <c r="S9" i="44"/>
  <c r="M40" i="48"/>
  <c r="E182" i="45"/>
  <c r="C20" i="44" s="1"/>
  <c r="C64" i="44"/>
  <c r="E64" i="44" s="1"/>
  <c r="C15" i="44"/>
  <c r="C46" i="44" s="1"/>
  <c r="E41" i="44"/>
  <c r="K41" i="44"/>
  <c r="M41" i="44"/>
  <c r="O41" i="44"/>
  <c r="E182" i="49"/>
  <c r="C20" i="48" s="1"/>
  <c r="C64" i="48"/>
  <c r="E64" i="48" s="1"/>
  <c r="J40" i="48"/>
  <c r="C15" i="48"/>
  <c r="C46" i="48" s="1"/>
  <c r="N41" i="44"/>
  <c r="S9" i="48"/>
  <c r="J41" i="44"/>
  <c r="K40" i="48"/>
  <c r="E14" i="44"/>
  <c r="E45" i="44" s="1"/>
  <c r="I40" i="48"/>
  <c r="G52" i="44"/>
  <c r="G32" i="44" s="1"/>
  <c r="C72" i="44" s="1"/>
  <c r="C85" i="44" s="1"/>
  <c r="L52" i="44"/>
  <c r="F52" i="44"/>
  <c r="S21" i="44"/>
  <c r="I40" i="42"/>
  <c r="M40" i="42"/>
  <c r="C184" i="43"/>
  <c r="E184" i="43" s="1"/>
  <c r="F189" i="43" s="1"/>
  <c r="J40" i="42"/>
  <c r="E40" i="42"/>
  <c r="S9" i="40"/>
  <c r="N40" i="40"/>
  <c r="O52" i="40"/>
  <c r="C40" i="40"/>
  <c r="I52" i="40"/>
  <c r="S21" i="40"/>
  <c r="F52" i="40"/>
  <c r="J52" i="40"/>
  <c r="I57" i="41"/>
  <c r="I66" i="41" s="1"/>
  <c r="K66" i="41" s="1"/>
  <c r="I7" i="40" s="1"/>
  <c r="I38" i="40" s="1"/>
  <c r="N52" i="40"/>
  <c r="H52" i="40"/>
  <c r="H32" i="40" s="1"/>
  <c r="C71" i="40" s="1"/>
  <c r="I40" i="40"/>
  <c r="K40" i="40"/>
  <c r="G52" i="40"/>
  <c r="G32" i="40" s="1"/>
  <c r="C72" i="40" s="1"/>
  <c r="C85" i="40" s="1"/>
  <c r="E52" i="40"/>
  <c r="E40" i="40"/>
  <c r="M40" i="40"/>
  <c r="M32" i="40" s="1"/>
  <c r="L52" i="40"/>
  <c r="J40" i="40"/>
  <c r="D52" i="40"/>
  <c r="K52" i="40"/>
  <c r="L40" i="40"/>
  <c r="C52" i="40"/>
  <c r="S21" i="48"/>
  <c r="H52" i="48"/>
  <c r="H32" i="48" s="1"/>
  <c r="C71" i="48" s="1"/>
  <c r="F52" i="48"/>
  <c r="L52" i="48"/>
  <c r="O52" i="48"/>
  <c r="M52" i="48"/>
  <c r="C52" i="48"/>
  <c r="C52" i="44"/>
  <c r="H52" i="44"/>
  <c r="H32" i="44" s="1"/>
  <c r="C71" i="44" s="1"/>
  <c r="M52" i="44"/>
  <c r="N52" i="44"/>
  <c r="I135" i="49"/>
  <c r="Q14" i="48" s="1"/>
  <c r="S14" i="48" s="1"/>
  <c r="O52" i="44"/>
  <c r="D52" i="44"/>
  <c r="O40" i="48"/>
  <c r="J52" i="44"/>
  <c r="K52" i="44"/>
  <c r="L40" i="48"/>
  <c r="E52" i="44"/>
  <c r="C40" i="42"/>
  <c r="N40" i="42"/>
  <c r="L40" i="42"/>
  <c r="S9" i="42"/>
  <c r="K40" i="42"/>
  <c r="C15" i="40"/>
  <c r="C46" i="40" s="1"/>
  <c r="E182" i="41"/>
  <c r="C20" i="40" s="1"/>
  <c r="C64" i="40"/>
  <c r="E64" i="40" s="1"/>
  <c r="C184" i="45"/>
  <c r="E184" i="45" s="1"/>
  <c r="F189" i="45" s="1"/>
  <c r="C184" i="49"/>
  <c r="E184" i="49" s="1"/>
  <c r="F189" i="49" s="1"/>
  <c r="E185" i="49"/>
  <c r="C186" i="49"/>
  <c r="E186" i="49" s="1"/>
  <c r="C186" i="43"/>
  <c r="E186" i="43" s="1"/>
  <c r="E185" i="43"/>
  <c r="C147" i="43"/>
  <c r="E147" i="43" s="1"/>
  <c r="E16" i="42" s="1"/>
  <c r="E47" i="42" s="1"/>
  <c r="E140" i="43"/>
  <c r="J16" i="42" s="1"/>
  <c r="J47" i="42" s="1"/>
  <c r="F178" i="45"/>
  <c r="I19" i="44"/>
  <c r="I50" i="44" s="1"/>
  <c r="F167" i="41"/>
  <c r="I18" i="40"/>
  <c r="I49" i="40" s="1"/>
  <c r="C49" i="40"/>
  <c r="S6" i="44"/>
  <c r="F37" i="44"/>
  <c r="I37" i="44"/>
  <c r="E14" i="42"/>
  <c r="E45" i="42" s="1"/>
  <c r="C177" i="43"/>
  <c r="E177" i="43" s="1"/>
  <c r="E19" i="42" s="1"/>
  <c r="E176" i="43"/>
  <c r="K19" i="42" s="1"/>
  <c r="K50" i="42" s="1"/>
  <c r="K162" i="43"/>
  <c r="I165" i="43"/>
  <c r="K165" i="43" s="1"/>
  <c r="F178" i="41"/>
  <c r="I19" i="40"/>
  <c r="I50" i="40" s="1"/>
  <c r="E187" i="45"/>
  <c r="K20" i="44" s="1"/>
  <c r="K51" i="44" s="1"/>
  <c r="C188" i="45"/>
  <c r="E188" i="45" s="1"/>
  <c r="E20" i="44" s="1"/>
  <c r="E51" i="44" s="1"/>
  <c r="C49" i="48"/>
  <c r="C188" i="41"/>
  <c r="E188" i="41" s="1"/>
  <c r="E20" i="40" s="1"/>
  <c r="E51" i="40" s="1"/>
  <c r="E187" i="41"/>
  <c r="K20" i="40" s="1"/>
  <c r="K51" i="40" s="1"/>
  <c r="C10" i="44"/>
  <c r="C79" i="45"/>
  <c r="Q10" i="44" s="1"/>
  <c r="S10" i="44" s="1"/>
  <c r="F167" i="45"/>
  <c r="I18" i="44"/>
  <c r="I49" i="44" s="1"/>
  <c r="C188" i="49"/>
  <c r="E188" i="49" s="1"/>
  <c r="E20" i="48" s="1"/>
  <c r="E51" i="48" s="1"/>
  <c r="E187" i="49"/>
  <c r="K20" i="48" s="1"/>
  <c r="K51" i="48" s="1"/>
  <c r="S6" i="48"/>
  <c r="F37" i="48"/>
  <c r="I37" i="48"/>
  <c r="F178" i="49"/>
  <c r="I19" i="48"/>
  <c r="I50" i="48" s="1"/>
  <c r="C165" i="43"/>
  <c r="E165" i="43" s="1"/>
  <c r="E162" i="43"/>
  <c r="I17" i="42"/>
  <c r="I48" i="42" s="1"/>
  <c r="C175" i="41"/>
  <c r="E175" i="41" s="1"/>
  <c r="E174" i="41"/>
  <c r="C15" i="38"/>
  <c r="C46" i="38" s="1"/>
  <c r="S6" i="42"/>
  <c r="F37" i="42"/>
  <c r="I37" i="42"/>
  <c r="E187" i="43"/>
  <c r="K20" i="42" s="1"/>
  <c r="K51" i="42" s="1"/>
  <c r="C188" i="43"/>
  <c r="E188" i="43" s="1"/>
  <c r="F79" i="45"/>
  <c r="I10" i="44"/>
  <c r="I41" i="44" s="1"/>
  <c r="C165" i="49"/>
  <c r="E165" i="49" s="1"/>
  <c r="E162" i="49"/>
  <c r="C17" i="48"/>
  <c r="C10" i="48"/>
  <c r="C79" i="49"/>
  <c r="Q10" i="48" s="1"/>
  <c r="S10" i="48" s="1"/>
  <c r="F167" i="43"/>
  <c r="I18" i="42"/>
  <c r="I49" i="42" s="1"/>
  <c r="C175" i="43"/>
  <c r="E175" i="43" s="1"/>
  <c r="E174" i="43"/>
  <c r="K162" i="49"/>
  <c r="I165" i="49"/>
  <c r="K165" i="49" s="1"/>
  <c r="E14" i="40"/>
  <c r="E45" i="40" s="1"/>
  <c r="C147" i="45"/>
  <c r="E147" i="45" s="1"/>
  <c r="E16" i="44" s="1"/>
  <c r="E47" i="44" s="1"/>
  <c r="E140" i="45"/>
  <c r="J16" i="44" s="1"/>
  <c r="J47" i="44" s="1"/>
  <c r="C15" i="42"/>
  <c r="C46" i="42" s="1"/>
  <c r="K162" i="45"/>
  <c r="I165" i="45"/>
  <c r="K165" i="45" s="1"/>
  <c r="C165" i="41"/>
  <c r="E165" i="41" s="1"/>
  <c r="E162" i="41"/>
  <c r="F79" i="41"/>
  <c r="I10" i="40"/>
  <c r="F35" i="48"/>
  <c r="I35" i="48"/>
  <c r="S4" i="48"/>
  <c r="I10" i="48"/>
  <c r="I41" i="48" s="1"/>
  <c r="F79" i="49"/>
  <c r="C49" i="44"/>
  <c r="I17" i="40"/>
  <c r="I48" i="40" s="1"/>
  <c r="I35" i="42"/>
  <c r="F35" i="42"/>
  <c r="S4" i="42"/>
  <c r="C177" i="45"/>
  <c r="E177" i="45" s="1"/>
  <c r="E19" i="44" s="1"/>
  <c r="E176" i="45"/>
  <c r="K19" i="44" s="1"/>
  <c r="K50" i="44" s="1"/>
  <c r="E140" i="41"/>
  <c r="J16" i="40" s="1"/>
  <c r="J47" i="40" s="1"/>
  <c r="C147" i="41"/>
  <c r="E147" i="41" s="1"/>
  <c r="E16" i="40" s="1"/>
  <c r="E47" i="40" s="1"/>
  <c r="S6" i="40"/>
  <c r="F37" i="40"/>
  <c r="I37" i="40"/>
  <c r="E176" i="49"/>
  <c r="K19" i="48" s="1"/>
  <c r="K50" i="48" s="1"/>
  <c r="C177" i="49"/>
  <c r="E177" i="49" s="1"/>
  <c r="E19" i="48" s="1"/>
  <c r="E50" i="48" s="1"/>
  <c r="I57" i="45"/>
  <c r="I66" i="45" s="1"/>
  <c r="K66" i="45" s="1"/>
  <c r="I7" i="44" s="1"/>
  <c r="I38" i="44" s="1"/>
  <c r="C10" i="42"/>
  <c r="C79" i="43"/>
  <c r="Q10" i="42" s="1"/>
  <c r="S10" i="42" s="1"/>
  <c r="S4" i="44"/>
  <c r="I35" i="44"/>
  <c r="F35" i="44"/>
  <c r="S4" i="40"/>
  <c r="F35" i="40"/>
  <c r="I35" i="40"/>
  <c r="E92" i="45"/>
  <c r="C96" i="45"/>
  <c r="E96" i="45" s="1"/>
  <c r="C10" i="40"/>
  <c r="C41" i="40" s="1"/>
  <c r="C79" i="41"/>
  <c r="Q10" i="40" s="1"/>
  <c r="S10" i="40" s="1"/>
  <c r="C62" i="48"/>
  <c r="E62" i="48" s="1"/>
  <c r="E171" i="49"/>
  <c r="F79" i="43"/>
  <c r="I10" i="42"/>
  <c r="I41" i="42" s="1"/>
  <c r="I165" i="41"/>
  <c r="K165" i="41" s="1"/>
  <c r="K162" i="41"/>
  <c r="C173" i="43"/>
  <c r="E173" i="43" s="1"/>
  <c r="E171" i="43"/>
  <c r="C62" i="42"/>
  <c r="E62" i="42" s="1"/>
  <c r="E92" i="43"/>
  <c r="C96" i="43"/>
  <c r="E96" i="43" s="1"/>
  <c r="E171" i="45"/>
  <c r="C62" i="44"/>
  <c r="E62" i="44" s="1"/>
  <c r="E174" i="45"/>
  <c r="C175" i="45"/>
  <c r="E175" i="45" s="1"/>
  <c r="C165" i="45"/>
  <c r="E165" i="45" s="1"/>
  <c r="E162" i="45"/>
  <c r="E185" i="41"/>
  <c r="C186" i="41"/>
  <c r="E186" i="41" s="1"/>
  <c r="C49" i="42"/>
  <c r="C175" i="49"/>
  <c r="E175" i="49" s="1"/>
  <c r="E174" i="49"/>
  <c r="E92" i="49"/>
  <c r="C96" i="49"/>
  <c r="E96" i="49" s="1"/>
  <c r="I17" i="44"/>
  <c r="I48" i="44" s="1"/>
  <c r="C186" i="45"/>
  <c r="E186" i="45" s="1"/>
  <c r="E185" i="45"/>
  <c r="E171" i="41"/>
  <c r="C62" i="40"/>
  <c r="E62" i="40" s="1"/>
  <c r="E176" i="41"/>
  <c r="K19" i="40" s="1"/>
  <c r="K50" i="40" s="1"/>
  <c r="C177" i="41"/>
  <c r="E177" i="41" s="1"/>
  <c r="E19" i="40" s="1"/>
  <c r="E92" i="41"/>
  <c r="C96" i="41"/>
  <c r="E96" i="41" s="1"/>
  <c r="E140" i="49"/>
  <c r="J16" i="48" s="1"/>
  <c r="J47" i="48" s="1"/>
  <c r="C147" i="49"/>
  <c r="E147" i="49" s="1"/>
  <c r="E16" i="48" s="1"/>
  <c r="E47" i="48" s="1"/>
  <c r="F167" i="49"/>
  <c r="I18" i="48"/>
  <c r="I49" i="48" s="1"/>
  <c r="F135" i="41"/>
  <c r="I15" i="40"/>
  <c r="I46" i="40" s="1"/>
  <c r="I135" i="45"/>
  <c r="Q14" i="44" s="1"/>
  <c r="S14" i="44" s="1"/>
  <c r="L15" i="42"/>
  <c r="L46" i="42" s="1"/>
  <c r="F151" i="45"/>
  <c r="I16" i="44"/>
  <c r="I47" i="44" s="1"/>
  <c r="D16" i="40"/>
  <c r="C45" i="40"/>
  <c r="I135" i="43"/>
  <c r="Q14" i="42" s="1"/>
  <c r="S14" i="42" s="1"/>
  <c r="I14" i="42"/>
  <c r="I45" i="42" s="1"/>
  <c r="F135" i="49"/>
  <c r="I15" i="48"/>
  <c r="I46" i="48" s="1"/>
  <c r="C57" i="48"/>
  <c r="E57" i="48" s="1"/>
  <c r="C60" i="49"/>
  <c r="E60" i="49" s="1"/>
  <c r="C66" i="49"/>
  <c r="E66" i="49" s="1"/>
  <c r="E57" i="49"/>
  <c r="F135" i="43"/>
  <c r="I15" i="42"/>
  <c r="I46" i="42" s="1"/>
  <c r="C133" i="49"/>
  <c r="E133" i="49" s="1"/>
  <c r="C132" i="49"/>
  <c r="E132" i="49" s="1"/>
  <c r="E131" i="49"/>
  <c r="C20" i="42"/>
  <c r="E14" i="38"/>
  <c r="E45" i="38" s="1"/>
  <c r="C45" i="44"/>
  <c r="F151" i="41"/>
  <c r="I16" i="40"/>
  <c r="I47" i="40" s="1"/>
  <c r="C45" i="48"/>
  <c r="D16" i="42"/>
  <c r="C132" i="41"/>
  <c r="E132" i="41" s="1"/>
  <c r="E131" i="41"/>
  <c r="C133" i="41"/>
  <c r="E133" i="41" s="1"/>
  <c r="D47" i="48"/>
  <c r="D32" i="48" s="1"/>
  <c r="C68" i="48" s="1"/>
  <c r="C83" i="48" s="1"/>
  <c r="C132" i="45"/>
  <c r="E132" i="45" s="1"/>
  <c r="C133" i="45"/>
  <c r="E133" i="45" s="1"/>
  <c r="E131" i="45"/>
  <c r="D47" i="44"/>
  <c r="F151" i="43"/>
  <c r="I16" i="42"/>
  <c r="I47" i="42" s="1"/>
  <c r="L15" i="48"/>
  <c r="L46" i="48" s="1"/>
  <c r="L15" i="40"/>
  <c r="L46" i="40" s="1"/>
  <c r="I135" i="41"/>
  <c r="Q14" i="40" s="1"/>
  <c r="S14" i="40" s="1"/>
  <c r="C45" i="42"/>
  <c r="E14" i="48"/>
  <c r="E45" i="48" s="1"/>
  <c r="E57" i="41"/>
  <c r="C57" i="40"/>
  <c r="E57" i="40" s="1"/>
  <c r="C66" i="41"/>
  <c r="E66" i="41" s="1"/>
  <c r="C60" i="41"/>
  <c r="E60" i="41" s="1"/>
  <c r="F135" i="45"/>
  <c r="I15" i="44"/>
  <c r="I46" i="44" s="1"/>
  <c r="E57" i="45"/>
  <c r="C57" i="44"/>
  <c r="E57" i="44" s="1"/>
  <c r="C60" i="45"/>
  <c r="E60" i="45" s="1"/>
  <c r="C66" i="45"/>
  <c r="E66" i="45" s="1"/>
  <c r="F151" i="49"/>
  <c r="I16" i="48"/>
  <c r="I47" i="48" s="1"/>
  <c r="F189" i="41"/>
  <c r="I20" i="40"/>
  <c r="I51" i="40" s="1"/>
  <c r="C132" i="43"/>
  <c r="E132" i="43" s="1"/>
  <c r="C133" i="43"/>
  <c r="E133" i="43" s="1"/>
  <c r="E131" i="43"/>
  <c r="I60" i="43"/>
  <c r="K60" i="43" s="1"/>
  <c r="E7" i="42" s="1"/>
  <c r="E38" i="42" s="1"/>
  <c r="I66" i="43"/>
  <c r="K66" i="43" s="1"/>
  <c r="K57" i="43"/>
  <c r="C7" i="42" s="1"/>
  <c r="E92" i="39"/>
  <c r="C96" i="39"/>
  <c r="E96" i="39" s="1"/>
  <c r="F167" i="39"/>
  <c r="I18" i="38"/>
  <c r="I49" i="38" s="1"/>
  <c r="C10" i="38"/>
  <c r="C79" i="39"/>
  <c r="Q10" i="38" s="1"/>
  <c r="C17" i="38"/>
  <c r="C49" i="38"/>
  <c r="F79" i="39"/>
  <c r="I10" i="38"/>
  <c r="D16" i="38"/>
  <c r="C45" i="38"/>
  <c r="F135" i="39"/>
  <c r="I15" i="38"/>
  <c r="I46" i="38" s="1"/>
  <c r="L15" i="38"/>
  <c r="L46" i="38" s="1"/>
  <c r="F151" i="39"/>
  <c r="I16" i="38"/>
  <c r="I47" i="38" s="1"/>
  <c r="I135" i="39"/>
  <c r="Q14" i="38" s="1"/>
  <c r="S14" i="38" s="1"/>
  <c r="C132" i="39"/>
  <c r="E132" i="39" s="1"/>
  <c r="C133" i="39"/>
  <c r="E133" i="39" s="1"/>
  <c r="E131" i="39"/>
  <c r="F10" i="31"/>
  <c r="C6" i="31"/>
  <c r="E5" i="31"/>
  <c r="AK4" i="31"/>
  <c r="I60" i="49" l="1"/>
  <c r="K60" i="49" s="1"/>
  <c r="E7" i="48" s="1"/>
  <c r="E38" i="48" s="1"/>
  <c r="C167" i="49"/>
  <c r="Q18" i="48" s="1"/>
  <c r="S18" i="48" s="1"/>
  <c r="M32" i="42"/>
  <c r="R23" i="50"/>
  <c r="I66" i="49"/>
  <c r="K66" i="49" s="1"/>
  <c r="I7" i="48" s="1"/>
  <c r="I38" i="48" s="1"/>
  <c r="C57" i="42"/>
  <c r="E57" i="42" s="1"/>
  <c r="E56" i="42" s="1"/>
  <c r="D56" i="42" s="1"/>
  <c r="E57" i="43"/>
  <c r="C8" i="42" s="1"/>
  <c r="C66" i="43"/>
  <c r="E66" i="43" s="1"/>
  <c r="F67" i="43" s="1"/>
  <c r="N32" i="42"/>
  <c r="C78" i="42" s="1"/>
  <c r="C90" i="42" s="1"/>
  <c r="C151" i="49"/>
  <c r="Q16" i="48" s="1"/>
  <c r="S16" i="48" s="1"/>
  <c r="B135" i="49"/>
  <c r="L32" i="44"/>
  <c r="C76" i="44" s="1"/>
  <c r="C88" i="44" s="1"/>
  <c r="N32" i="40"/>
  <c r="C78" i="40" s="1"/>
  <c r="C90" i="40" s="1"/>
  <c r="M32" i="48"/>
  <c r="K57" i="41"/>
  <c r="C7" i="40" s="1"/>
  <c r="C38" i="40" s="1"/>
  <c r="I167" i="45"/>
  <c r="Q17" i="44" s="1"/>
  <c r="S17" i="44" s="1"/>
  <c r="I60" i="41"/>
  <c r="K60" i="41" s="1"/>
  <c r="E7" i="40" s="1"/>
  <c r="C167" i="41"/>
  <c r="Q18" i="40" s="1"/>
  <c r="S18" i="40" s="1"/>
  <c r="F32" i="42"/>
  <c r="C70" i="42" s="1"/>
  <c r="I20" i="42"/>
  <c r="I51" i="42" s="1"/>
  <c r="N32" i="44"/>
  <c r="C78" i="44" s="1"/>
  <c r="C90" i="44" s="1"/>
  <c r="M32" i="44"/>
  <c r="P14" i="44"/>
  <c r="K32" i="48"/>
  <c r="C75" i="48" s="1"/>
  <c r="C87" i="48" s="1"/>
  <c r="F32" i="48"/>
  <c r="C70" i="48" s="1"/>
  <c r="L32" i="48"/>
  <c r="C76" i="48" s="1"/>
  <c r="C88" i="48" s="1"/>
  <c r="D32" i="44"/>
  <c r="C68" i="44" s="1"/>
  <c r="C83" i="44" s="1"/>
  <c r="K32" i="44"/>
  <c r="C75" i="44" s="1"/>
  <c r="C87" i="44" s="1"/>
  <c r="E56" i="44"/>
  <c r="D56" i="44" s="1"/>
  <c r="L32" i="40"/>
  <c r="C76" i="40" s="1"/>
  <c r="C88" i="40" s="1"/>
  <c r="F32" i="44"/>
  <c r="C70" i="44" s="1"/>
  <c r="I20" i="48"/>
  <c r="I51" i="48" s="1"/>
  <c r="L32" i="42"/>
  <c r="C76" i="42" s="1"/>
  <c r="C88" i="42" s="1"/>
  <c r="I167" i="43"/>
  <c r="Q17" i="42" s="1"/>
  <c r="S17" i="42" s="1"/>
  <c r="I20" i="44"/>
  <c r="I51" i="44" s="1"/>
  <c r="C189" i="49"/>
  <c r="Q20" i="48" s="1"/>
  <c r="S20" i="48" s="1"/>
  <c r="E15" i="42"/>
  <c r="P15" i="42" s="1"/>
  <c r="E15" i="40"/>
  <c r="E46" i="40" s="1"/>
  <c r="F32" i="40"/>
  <c r="C70" i="40" s="1"/>
  <c r="I167" i="41"/>
  <c r="Q17" i="40" s="1"/>
  <c r="S17" i="40" s="1"/>
  <c r="E56" i="40"/>
  <c r="D56" i="40" s="1"/>
  <c r="C135" i="39"/>
  <c r="Q15" i="38" s="1"/>
  <c r="S15" i="38" s="1"/>
  <c r="K32" i="40"/>
  <c r="C75" i="40" s="1"/>
  <c r="C87" i="40" s="1"/>
  <c r="E56" i="48"/>
  <c r="D56" i="48" s="1"/>
  <c r="O17" i="44"/>
  <c r="P17" i="44" s="1"/>
  <c r="C97" i="45"/>
  <c r="Q11" i="44" s="1"/>
  <c r="S11" i="44" s="1"/>
  <c r="I167" i="49"/>
  <c r="Q17" i="48" s="1"/>
  <c r="S17" i="48" s="1"/>
  <c r="C97" i="41"/>
  <c r="J11" i="40" s="1"/>
  <c r="C151" i="43"/>
  <c r="Q16" i="42" s="1"/>
  <c r="S16" i="42" s="1"/>
  <c r="J20" i="42"/>
  <c r="J51" i="42" s="1"/>
  <c r="K57" i="45"/>
  <c r="C7" i="44" s="1"/>
  <c r="C38" i="44" s="1"/>
  <c r="P14" i="42"/>
  <c r="C135" i="43"/>
  <c r="Q15" i="42" s="1"/>
  <c r="S15" i="42" s="1"/>
  <c r="B135" i="41"/>
  <c r="P14" i="40"/>
  <c r="C135" i="41"/>
  <c r="Q15" i="40" s="1"/>
  <c r="S15" i="40" s="1"/>
  <c r="C19" i="44"/>
  <c r="C50" i="44" s="1"/>
  <c r="C178" i="45"/>
  <c r="Q19" i="44" s="1"/>
  <c r="S19" i="44" s="1"/>
  <c r="C19" i="48"/>
  <c r="C178" i="49"/>
  <c r="Q19" i="48" s="1"/>
  <c r="S19" i="48" s="1"/>
  <c r="O18" i="40"/>
  <c r="O49" i="40" s="1"/>
  <c r="B167" i="41"/>
  <c r="O17" i="42"/>
  <c r="P10" i="42"/>
  <c r="C41" i="42"/>
  <c r="C97" i="43"/>
  <c r="B189" i="43"/>
  <c r="E20" i="42"/>
  <c r="E51" i="42" s="1"/>
  <c r="B151" i="45"/>
  <c r="C189" i="43"/>
  <c r="Q20" i="42" s="1"/>
  <c r="S20" i="42" s="1"/>
  <c r="J20" i="44"/>
  <c r="J51" i="44" s="1"/>
  <c r="B189" i="45"/>
  <c r="C97" i="49"/>
  <c r="C19" i="42"/>
  <c r="C50" i="42" s="1"/>
  <c r="C178" i="43"/>
  <c r="Q19" i="42" s="1"/>
  <c r="S19" i="42" s="1"/>
  <c r="E50" i="44"/>
  <c r="O17" i="48"/>
  <c r="O48" i="48" s="1"/>
  <c r="C48" i="48"/>
  <c r="C167" i="43"/>
  <c r="Q18" i="42" s="1"/>
  <c r="S18" i="42" s="1"/>
  <c r="O18" i="42"/>
  <c r="B167" i="43"/>
  <c r="K32" i="42"/>
  <c r="C75" i="42" s="1"/>
  <c r="C87" i="42" s="1"/>
  <c r="E50" i="40"/>
  <c r="B178" i="41"/>
  <c r="J19" i="40"/>
  <c r="J50" i="40" s="1"/>
  <c r="P10" i="44"/>
  <c r="C41" i="44"/>
  <c r="P10" i="48"/>
  <c r="C41" i="48"/>
  <c r="P14" i="38"/>
  <c r="J19" i="48"/>
  <c r="J50" i="48" s="1"/>
  <c r="B178" i="49"/>
  <c r="F178" i="43"/>
  <c r="I19" i="42"/>
  <c r="I50" i="42" s="1"/>
  <c r="J19" i="42"/>
  <c r="J50" i="42" s="1"/>
  <c r="B178" i="43"/>
  <c r="O18" i="48"/>
  <c r="O49" i="48" s="1"/>
  <c r="B167" i="49"/>
  <c r="E50" i="42"/>
  <c r="P10" i="40"/>
  <c r="I41" i="40"/>
  <c r="J20" i="40"/>
  <c r="J51" i="40" s="1"/>
  <c r="B189" i="41"/>
  <c r="B151" i="43"/>
  <c r="C151" i="41"/>
  <c r="Q16" i="40" s="1"/>
  <c r="S16" i="40" s="1"/>
  <c r="B167" i="45"/>
  <c r="O18" i="44"/>
  <c r="C189" i="41"/>
  <c r="Q20" i="40" s="1"/>
  <c r="S20" i="40" s="1"/>
  <c r="I60" i="45"/>
  <c r="K60" i="45" s="1"/>
  <c r="B151" i="49"/>
  <c r="J19" i="44"/>
  <c r="J50" i="44" s="1"/>
  <c r="B178" i="45"/>
  <c r="C151" i="45"/>
  <c r="Q16" i="44" s="1"/>
  <c r="S16" i="44" s="1"/>
  <c r="C19" i="40"/>
  <c r="C50" i="40" s="1"/>
  <c r="C178" i="41"/>
  <c r="Q19" i="40" s="1"/>
  <c r="S19" i="40" s="1"/>
  <c r="C189" i="45"/>
  <c r="Q20" i="44" s="1"/>
  <c r="S20" i="44" s="1"/>
  <c r="B151" i="41"/>
  <c r="O17" i="40"/>
  <c r="C167" i="45"/>
  <c r="Q18" i="44" s="1"/>
  <c r="S18" i="44" s="1"/>
  <c r="B189" i="49"/>
  <c r="J20" i="48"/>
  <c r="J51" i="48" s="1"/>
  <c r="C8" i="40"/>
  <c r="C67" i="41"/>
  <c r="Q8" i="40" s="1"/>
  <c r="S8" i="40" s="1"/>
  <c r="C8" i="48"/>
  <c r="C39" i="48" s="1"/>
  <c r="C67" i="49"/>
  <c r="Q8" i="48" s="1"/>
  <c r="S8" i="48" s="1"/>
  <c r="B135" i="43"/>
  <c r="B67" i="43"/>
  <c r="E8" i="42"/>
  <c r="E39" i="42" s="1"/>
  <c r="C7" i="48"/>
  <c r="I67" i="49"/>
  <c r="Q7" i="48" s="1"/>
  <c r="S7" i="48" s="1"/>
  <c r="P14" i="48"/>
  <c r="F67" i="49"/>
  <c r="I8" i="48"/>
  <c r="E8" i="48"/>
  <c r="E39" i="48" s="1"/>
  <c r="B67" i="49"/>
  <c r="F67" i="45"/>
  <c r="I8" i="44"/>
  <c r="I39" i="44" s="1"/>
  <c r="C135" i="49"/>
  <c r="Q15" i="48" s="1"/>
  <c r="S15" i="48" s="1"/>
  <c r="E15" i="48"/>
  <c r="B135" i="39"/>
  <c r="C51" i="48"/>
  <c r="C38" i="42"/>
  <c r="B67" i="45"/>
  <c r="E8" i="44"/>
  <c r="E39" i="44" s="1"/>
  <c r="P16" i="44"/>
  <c r="P16" i="48"/>
  <c r="D47" i="40"/>
  <c r="D32" i="40" s="1"/>
  <c r="C68" i="40" s="1"/>
  <c r="C83" i="40" s="1"/>
  <c r="P16" i="40"/>
  <c r="C51" i="44"/>
  <c r="I67" i="43"/>
  <c r="Q7" i="42" s="1"/>
  <c r="S7" i="42" s="1"/>
  <c r="I7" i="42"/>
  <c r="I38" i="42" s="1"/>
  <c r="B67" i="41"/>
  <c r="E8" i="40"/>
  <c r="E39" i="40" s="1"/>
  <c r="C51" i="40"/>
  <c r="E15" i="44"/>
  <c r="C135" i="45"/>
  <c r="Q15" i="44" s="1"/>
  <c r="S15" i="44" s="1"/>
  <c r="D47" i="42"/>
  <c r="D32" i="42" s="1"/>
  <c r="C68" i="42" s="1"/>
  <c r="C83" i="42" s="1"/>
  <c r="P16" i="42"/>
  <c r="C8" i="44"/>
  <c r="C67" i="45"/>
  <c r="Q8" i="44" s="1"/>
  <c r="S8" i="44" s="1"/>
  <c r="F67" i="41"/>
  <c r="I8" i="40"/>
  <c r="I39" i="40" s="1"/>
  <c r="B135" i="45"/>
  <c r="C51" i="42"/>
  <c r="C48" i="38"/>
  <c r="P10" i="38"/>
  <c r="C5" i="31"/>
  <c r="C57" i="39" s="1"/>
  <c r="C182" i="39"/>
  <c r="I63" i="39"/>
  <c r="K63" i="39" s="1"/>
  <c r="C176" i="39"/>
  <c r="C63" i="39"/>
  <c r="E63" i="39" s="1"/>
  <c r="I65" i="39"/>
  <c r="K65" i="39" s="1"/>
  <c r="R4" i="38"/>
  <c r="I162" i="39"/>
  <c r="I64" i="39"/>
  <c r="K64" i="39" s="1"/>
  <c r="C162" i="39"/>
  <c r="C174" i="39"/>
  <c r="I62" i="39"/>
  <c r="K62" i="39" s="1"/>
  <c r="R6" i="38"/>
  <c r="C62" i="39"/>
  <c r="E62" i="39" s="1"/>
  <c r="I61" i="39"/>
  <c r="K61" i="39" s="1"/>
  <c r="C171" i="39"/>
  <c r="C62" i="38" s="1"/>
  <c r="E62" i="38" s="1"/>
  <c r="C65" i="39"/>
  <c r="E65" i="39" s="1"/>
  <c r="C61" i="39"/>
  <c r="E61" i="39" s="1"/>
  <c r="C187" i="39"/>
  <c r="C140" i="39"/>
  <c r="C64" i="39"/>
  <c r="E64" i="39" s="1"/>
  <c r="C185" i="39"/>
  <c r="R10" i="38"/>
  <c r="C41" i="38" s="1"/>
  <c r="R21" i="38"/>
  <c r="I58" i="39"/>
  <c r="K58" i="39" s="1"/>
  <c r="H7" i="38" s="1"/>
  <c r="H38" i="38" s="1"/>
  <c r="C58" i="39"/>
  <c r="E58" i="39" s="1"/>
  <c r="H8" i="38" s="1"/>
  <c r="H39" i="38" s="1"/>
  <c r="R9" i="38"/>
  <c r="C97" i="39"/>
  <c r="E15" i="38"/>
  <c r="D47" i="38"/>
  <c r="C6" i="25"/>
  <c r="AK4" i="25"/>
  <c r="I8" i="42" l="1"/>
  <c r="I39" i="42" s="1"/>
  <c r="I32" i="42" s="1"/>
  <c r="C73" i="42" s="1"/>
  <c r="C67" i="43"/>
  <c r="Q8" i="42" s="1"/>
  <c r="S8" i="42" s="1"/>
  <c r="I67" i="41"/>
  <c r="Q7" i="40" s="1"/>
  <c r="S7" i="40" s="1"/>
  <c r="E46" i="42"/>
  <c r="E32" i="42" s="1"/>
  <c r="C69" i="42" s="1"/>
  <c r="C84" i="42" s="1"/>
  <c r="J11" i="44"/>
  <c r="P11" i="44" s="1"/>
  <c r="P20" i="42"/>
  <c r="O48" i="44"/>
  <c r="I32" i="44"/>
  <c r="C73" i="44" s="1"/>
  <c r="P20" i="44"/>
  <c r="I67" i="45"/>
  <c r="Q7" i="44" s="1"/>
  <c r="S7" i="44" s="1"/>
  <c r="S23" i="44" s="1"/>
  <c r="S22" i="44" s="1"/>
  <c r="I32" i="40"/>
  <c r="C73" i="40" s="1"/>
  <c r="Q11" i="40"/>
  <c r="S11" i="40" s="1"/>
  <c r="P19" i="40"/>
  <c r="P15" i="40"/>
  <c r="P19" i="44"/>
  <c r="P20" i="40"/>
  <c r="E7" i="44"/>
  <c r="P17" i="40"/>
  <c r="O48" i="40"/>
  <c r="O32" i="40" s="1"/>
  <c r="C79" i="40" s="1"/>
  <c r="C91" i="40" s="1"/>
  <c r="P20" i="48"/>
  <c r="P18" i="40"/>
  <c r="O49" i="42"/>
  <c r="P18" i="42"/>
  <c r="C50" i="48"/>
  <c r="P19" i="48"/>
  <c r="O32" i="48"/>
  <c r="C79" i="48" s="1"/>
  <c r="C91" i="48" s="1"/>
  <c r="P17" i="42"/>
  <c r="O48" i="42"/>
  <c r="P11" i="40"/>
  <c r="J42" i="40"/>
  <c r="J32" i="40" s="1"/>
  <c r="C74" i="40" s="1"/>
  <c r="C86" i="40" s="1"/>
  <c r="Q11" i="48"/>
  <c r="S11" i="48" s="1"/>
  <c r="S23" i="48" s="1"/>
  <c r="J11" i="48"/>
  <c r="J11" i="42"/>
  <c r="Q11" i="42"/>
  <c r="S11" i="42" s="1"/>
  <c r="O49" i="44"/>
  <c r="P18" i="44"/>
  <c r="P18" i="48"/>
  <c r="I57" i="39"/>
  <c r="I66" i="39" s="1"/>
  <c r="K66" i="39" s="1"/>
  <c r="I7" i="38" s="1"/>
  <c r="I38" i="38" s="1"/>
  <c r="P19" i="42"/>
  <c r="P17" i="48"/>
  <c r="C38" i="48"/>
  <c r="P7" i="48"/>
  <c r="C39" i="42"/>
  <c r="C32" i="42" s="1"/>
  <c r="P8" i="40"/>
  <c r="C39" i="40"/>
  <c r="C32" i="40" s="1"/>
  <c r="P7" i="40"/>
  <c r="E38" i="40"/>
  <c r="E32" i="40" s="1"/>
  <c r="C69" i="40" s="1"/>
  <c r="C84" i="40" s="1"/>
  <c r="E46" i="44"/>
  <c r="P15" i="44"/>
  <c r="E46" i="48"/>
  <c r="E32" i="48" s="1"/>
  <c r="C69" i="48" s="1"/>
  <c r="C84" i="48" s="1"/>
  <c r="P15" i="48"/>
  <c r="P8" i="44"/>
  <c r="C39" i="44"/>
  <c r="C32" i="44" s="1"/>
  <c r="P7" i="42"/>
  <c r="P8" i="48"/>
  <c r="I39" i="48"/>
  <c r="I32" i="48" s="1"/>
  <c r="C73" i="48" s="1"/>
  <c r="Q11" i="38"/>
  <c r="S11" i="38" s="1"/>
  <c r="J11" i="38"/>
  <c r="E176" i="39"/>
  <c r="K19" i="38" s="1"/>
  <c r="K50" i="38" s="1"/>
  <c r="C177" i="39"/>
  <c r="E177" i="39" s="1"/>
  <c r="E19" i="38" s="1"/>
  <c r="E50" i="38" s="1"/>
  <c r="E174" i="39"/>
  <c r="C175" i="39"/>
  <c r="E175" i="39" s="1"/>
  <c r="C173" i="39"/>
  <c r="E173" i="39" s="1"/>
  <c r="E171" i="39"/>
  <c r="O41" i="38"/>
  <c r="L41" i="38"/>
  <c r="N41" i="38"/>
  <c r="S10" i="38"/>
  <c r="J41" i="38"/>
  <c r="K41" i="38"/>
  <c r="M41" i="38"/>
  <c r="E41" i="38"/>
  <c r="S4" i="38"/>
  <c r="I35" i="38"/>
  <c r="F35" i="38"/>
  <c r="I37" i="38"/>
  <c r="F37" i="38"/>
  <c r="S6" i="38"/>
  <c r="E140" i="39"/>
  <c r="C147" i="39"/>
  <c r="E147" i="39" s="1"/>
  <c r="E16" i="38" s="1"/>
  <c r="N40" i="38"/>
  <c r="S9" i="38"/>
  <c r="M40" i="38"/>
  <c r="O40" i="38"/>
  <c r="L40" i="38"/>
  <c r="E40" i="38"/>
  <c r="K40" i="38"/>
  <c r="C40" i="38"/>
  <c r="I40" i="38"/>
  <c r="J40" i="38"/>
  <c r="E187" i="39"/>
  <c r="K20" i="38" s="1"/>
  <c r="K51" i="38" s="1"/>
  <c r="C188" i="39"/>
  <c r="E188" i="39" s="1"/>
  <c r="E20" i="38" s="1"/>
  <c r="E51" i="38" s="1"/>
  <c r="C165" i="39"/>
  <c r="E165" i="39" s="1"/>
  <c r="E162" i="39"/>
  <c r="E182" i="39"/>
  <c r="C184" i="39"/>
  <c r="E184" i="39" s="1"/>
  <c r="L52" i="38"/>
  <c r="D52" i="38"/>
  <c r="D32" i="38" s="1"/>
  <c r="C68" i="38" s="1"/>
  <c r="C83" i="38" s="1"/>
  <c r="I52" i="38"/>
  <c r="O52" i="38"/>
  <c r="E52" i="38"/>
  <c r="M52" i="38"/>
  <c r="F52" i="38"/>
  <c r="C52" i="38"/>
  <c r="K52" i="38"/>
  <c r="N52" i="38"/>
  <c r="J52" i="38"/>
  <c r="S21" i="38"/>
  <c r="G52" i="38"/>
  <c r="G32" i="38" s="1"/>
  <c r="C72" i="38" s="1"/>
  <c r="C85" i="38" s="1"/>
  <c r="H52" i="38"/>
  <c r="H32" i="38" s="1"/>
  <c r="C71" i="38" s="1"/>
  <c r="K162" i="39"/>
  <c r="I165" i="39"/>
  <c r="K165" i="39" s="1"/>
  <c r="E185" i="39"/>
  <c r="C186" i="39"/>
  <c r="E186" i="39" s="1"/>
  <c r="I41" i="38"/>
  <c r="E46" i="38"/>
  <c r="P15" i="38"/>
  <c r="C57" i="38"/>
  <c r="E57" i="38" s="1"/>
  <c r="E56" i="38" s="1"/>
  <c r="D56" i="38" s="1"/>
  <c r="C60" i="39"/>
  <c r="E60" i="39" s="1"/>
  <c r="E57" i="39"/>
  <c r="C66" i="39"/>
  <c r="E66" i="39" s="1"/>
  <c r="F139" i="29"/>
  <c r="E113" i="29"/>
  <c r="K113" i="29"/>
  <c r="E114" i="29"/>
  <c r="K114" i="29"/>
  <c r="S25" i="44" l="1"/>
  <c r="S28" i="44"/>
  <c r="S27" i="44"/>
  <c r="S26" i="44"/>
  <c r="P8" i="42"/>
  <c r="S23" i="42"/>
  <c r="S22" i="42" s="1"/>
  <c r="J42" i="44"/>
  <c r="J32" i="44" s="1"/>
  <c r="C74" i="44" s="1"/>
  <c r="C86" i="44" s="1"/>
  <c r="O32" i="44"/>
  <c r="C79" i="44" s="1"/>
  <c r="C91" i="44" s="1"/>
  <c r="S23" i="40"/>
  <c r="S22" i="40" s="1"/>
  <c r="K57" i="39"/>
  <c r="C7" i="38" s="1"/>
  <c r="O32" i="42"/>
  <c r="C79" i="42" s="1"/>
  <c r="C91" i="42" s="1"/>
  <c r="C32" i="48"/>
  <c r="C67" i="48" s="1"/>
  <c r="C82" i="48" s="1"/>
  <c r="P11" i="48"/>
  <c r="J42" i="48"/>
  <c r="J32" i="48" s="1"/>
  <c r="C74" i="48" s="1"/>
  <c r="C86" i="48" s="1"/>
  <c r="J42" i="42"/>
  <c r="J32" i="42" s="1"/>
  <c r="C74" i="42" s="1"/>
  <c r="C86" i="42" s="1"/>
  <c r="P11" i="42"/>
  <c r="I60" i="39"/>
  <c r="K60" i="39" s="1"/>
  <c r="E7" i="38" s="1"/>
  <c r="E38" i="38" s="1"/>
  <c r="E38" i="44"/>
  <c r="E32" i="44" s="1"/>
  <c r="C69" i="44" s="1"/>
  <c r="C84" i="44" s="1"/>
  <c r="P7" i="44"/>
  <c r="C67" i="44"/>
  <c r="C82" i="44" s="1"/>
  <c r="B32" i="40"/>
  <c r="C67" i="40"/>
  <c r="C82" i="40" s="1"/>
  <c r="C67" i="42"/>
  <c r="C82" i="42" s="1"/>
  <c r="L32" i="38"/>
  <c r="C76" i="38" s="1"/>
  <c r="C88" i="38" s="1"/>
  <c r="S25" i="48"/>
  <c r="S26" i="48" s="1"/>
  <c r="S27" i="48" s="1"/>
  <c r="K32" i="38"/>
  <c r="C75" i="38" s="1"/>
  <c r="C87" i="38" s="1"/>
  <c r="E47" i="38"/>
  <c r="P11" i="38"/>
  <c r="J42" i="38"/>
  <c r="O17" i="38"/>
  <c r="I167" i="39"/>
  <c r="Q17" i="38" s="1"/>
  <c r="S17" i="38" s="1"/>
  <c r="C20" i="38"/>
  <c r="C189" i="39"/>
  <c r="Q20" i="38" s="1"/>
  <c r="S20" i="38" s="1"/>
  <c r="J16" i="38"/>
  <c r="J47" i="38" s="1"/>
  <c r="B151" i="39"/>
  <c r="C151" i="39"/>
  <c r="Q16" i="38" s="1"/>
  <c r="S16" i="38" s="1"/>
  <c r="O18" i="38"/>
  <c r="B167" i="39"/>
  <c r="C167" i="39"/>
  <c r="Q18" i="38" s="1"/>
  <c r="S18" i="38" s="1"/>
  <c r="F32" i="38"/>
  <c r="C70" i="38" s="1"/>
  <c r="F189" i="39"/>
  <c r="I20" i="38"/>
  <c r="I51" i="38" s="1"/>
  <c r="C19" i="38"/>
  <c r="C178" i="39"/>
  <c r="Q19" i="38" s="1"/>
  <c r="S19" i="38" s="1"/>
  <c r="I19" i="38"/>
  <c r="I50" i="38" s="1"/>
  <c r="F178" i="39"/>
  <c r="M32" i="38"/>
  <c r="J19" i="38"/>
  <c r="J50" i="38" s="1"/>
  <c r="B178" i="39"/>
  <c r="J20" i="38"/>
  <c r="J51" i="38" s="1"/>
  <c r="B189" i="39"/>
  <c r="N32" i="38"/>
  <c r="C78" i="38" s="1"/>
  <c r="C90" i="38" s="1"/>
  <c r="C8" i="38"/>
  <c r="C67" i="39"/>
  <c r="Q8" i="38" s="1"/>
  <c r="S8" i="38" s="1"/>
  <c r="I8" i="38"/>
  <c r="I39" i="38" s="1"/>
  <c r="F67" i="39"/>
  <c r="B67" i="39"/>
  <c r="E8" i="38"/>
  <c r="E39" i="38" s="1"/>
  <c r="T2" i="28"/>
  <c r="F12" i="35" l="1"/>
  <c r="S25" i="42"/>
  <c r="S27" i="42"/>
  <c r="S28" i="42"/>
  <c r="S26" i="42"/>
  <c r="S25" i="40"/>
  <c r="S26" i="40"/>
  <c r="S28" i="40"/>
  <c r="S27" i="40"/>
  <c r="P16" i="38"/>
  <c r="J32" i="38"/>
  <c r="C74" i="38" s="1"/>
  <c r="C86" i="38" s="1"/>
  <c r="B32" i="44"/>
  <c r="I67" i="39"/>
  <c r="Q7" i="38" s="1"/>
  <c r="S7" i="38" s="1"/>
  <c r="S23" i="38" s="1"/>
  <c r="S22" i="38" s="1"/>
  <c r="B32" i="48"/>
  <c r="B32" i="42"/>
  <c r="S28" i="48"/>
  <c r="S29" i="48" s="1"/>
  <c r="S29" i="44"/>
  <c r="I32" i="38"/>
  <c r="C73" i="38" s="1"/>
  <c r="E32" i="38"/>
  <c r="C69" i="38" s="1"/>
  <c r="C84" i="38" s="1"/>
  <c r="O49" i="38"/>
  <c r="P18" i="38"/>
  <c r="P20" i="38"/>
  <c r="C51" i="38"/>
  <c r="P19" i="38"/>
  <c r="C50" i="38"/>
  <c r="O48" i="38"/>
  <c r="P17" i="38"/>
  <c r="P8" i="38"/>
  <c r="C39" i="38"/>
  <c r="C38" i="38"/>
  <c r="P7" i="38"/>
  <c r="R20" i="28"/>
  <c r="R19" i="28"/>
  <c r="R18" i="28"/>
  <c r="R15" i="28"/>
  <c r="R13" i="28"/>
  <c r="R8" i="28"/>
  <c r="R3" i="28"/>
  <c r="E5" i="25"/>
  <c r="R4" i="28" s="1"/>
  <c r="A35" i="28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F195" i="29"/>
  <c r="E195" i="29" s="1"/>
  <c r="F196" i="29" s="1"/>
  <c r="E194" i="29"/>
  <c r="K21" i="28" s="1"/>
  <c r="E193" i="29"/>
  <c r="J21" i="28" s="1"/>
  <c r="F184" i="29"/>
  <c r="F173" i="29"/>
  <c r="C172" i="29"/>
  <c r="C63" i="28" s="1"/>
  <c r="F171" i="29"/>
  <c r="C183" i="29"/>
  <c r="C65" i="28" s="1"/>
  <c r="E65" i="28" s="1"/>
  <c r="F166" i="29"/>
  <c r="F157" i="29"/>
  <c r="E164" i="29"/>
  <c r="E163" i="29"/>
  <c r="E161" i="29"/>
  <c r="C158" i="29"/>
  <c r="E158" i="29" s="1"/>
  <c r="N18" i="28" s="1"/>
  <c r="E160" i="29"/>
  <c r="E159" i="29"/>
  <c r="C157" i="29"/>
  <c r="C61" i="28" s="1"/>
  <c r="C156" i="29"/>
  <c r="E156" i="29" s="1"/>
  <c r="C155" i="29"/>
  <c r="C166" i="29" s="1"/>
  <c r="L166" i="29"/>
  <c r="L157" i="29"/>
  <c r="L156" i="29"/>
  <c r="L155" i="29"/>
  <c r="K164" i="29"/>
  <c r="K163" i="29"/>
  <c r="K161" i="29"/>
  <c r="I158" i="29"/>
  <c r="K158" i="29" s="1"/>
  <c r="N17" i="28" s="1"/>
  <c r="K160" i="29"/>
  <c r="K159" i="29"/>
  <c r="I157" i="29"/>
  <c r="I156" i="29"/>
  <c r="I155" i="29"/>
  <c r="I166" i="29" s="1"/>
  <c r="F150" i="29"/>
  <c r="E148" i="29"/>
  <c r="E146" i="29"/>
  <c r="E143" i="29"/>
  <c r="K16" i="28" s="1"/>
  <c r="C144" i="29"/>
  <c r="E144" i="29" s="1"/>
  <c r="C142" i="29"/>
  <c r="E142" i="29" s="1"/>
  <c r="E141" i="29"/>
  <c r="C139" i="29"/>
  <c r="C150" i="29" s="1"/>
  <c r="F134" i="29"/>
  <c r="F123" i="29"/>
  <c r="F124" i="29"/>
  <c r="F122" i="29"/>
  <c r="E130" i="29"/>
  <c r="C129" i="29"/>
  <c r="E129" i="29" s="1"/>
  <c r="C127" i="29"/>
  <c r="E127" i="29" s="1"/>
  <c r="C126" i="29"/>
  <c r="E126" i="29" s="1"/>
  <c r="C124" i="29"/>
  <c r="C60" i="28" s="1"/>
  <c r="C123" i="29"/>
  <c r="C59" i="28" s="1"/>
  <c r="C122" i="29"/>
  <c r="L134" i="29"/>
  <c r="L124" i="29"/>
  <c r="L123" i="29"/>
  <c r="L122" i="29"/>
  <c r="K130" i="29"/>
  <c r="I129" i="29"/>
  <c r="K129" i="29" s="1"/>
  <c r="I127" i="29"/>
  <c r="K127" i="29" s="1"/>
  <c r="I126" i="29"/>
  <c r="K126" i="29" s="1"/>
  <c r="I124" i="29"/>
  <c r="I123" i="29"/>
  <c r="I122" i="29"/>
  <c r="K117" i="29"/>
  <c r="K116" i="29"/>
  <c r="K115" i="29"/>
  <c r="K110" i="29"/>
  <c r="K109" i="29"/>
  <c r="K105" i="29"/>
  <c r="K108" i="29"/>
  <c r="K104" i="29"/>
  <c r="K106" i="29"/>
  <c r="K107" i="29"/>
  <c r="K112" i="29"/>
  <c r="K111" i="29"/>
  <c r="K103" i="29"/>
  <c r="K102" i="29"/>
  <c r="K101" i="29"/>
  <c r="G12" i="28" s="1"/>
  <c r="E117" i="29"/>
  <c r="E116" i="29"/>
  <c r="E115" i="29"/>
  <c r="E110" i="29"/>
  <c r="E109" i="29"/>
  <c r="E105" i="29"/>
  <c r="E108" i="29"/>
  <c r="E104" i="29"/>
  <c r="E106" i="29"/>
  <c r="E107" i="29"/>
  <c r="E112" i="29"/>
  <c r="E111" i="29"/>
  <c r="E103" i="29"/>
  <c r="E102" i="29"/>
  <c r="E101" i="29"/>
  <c r="F118" i="29" s="1"/>
  <c r="E95" i="29"/>
  <c r="E94" i="29"/>
  <c r="E93" i="29"/>
  <c r="F86" i="29"/>
  <c r="E86" i="29" s="1"/>
  <c r="F89" i="29" s="1"/>
  <c r="E88" i="29"/>
  <c r="E87" i="29"/>
  <c r="E85" i="29"/>
  <c r="E84" i="29"/>
  <c r="E83" i="29"/>
  <c r="F74" i="29"/>
  <c r="F71" i="29"/>
  <c r="C71" i="29"/>
  <c r="C92" i="29" s="1"/>
  <c r="C96" i="29" s="1"/>
  <c r="E78" i="29"/>
  <c r="E77" i="29"/>
  <c r="E76" i="29"/>
  <c r="E75" i="29"/>
  <c r="E73" i="29"/>
  <c r="E72" i="29"/>
  <c r="K10" i="28" s="1"/>
  <c r="F66" i="29"/>
  <c r="F57" i="29"/>
  <c r="C59" i="29"/>
  <c r="E59" i="29" s="1"/>
  <c r="N8" i="28" s="1"/>
  <c r="L66" i="29"/>
  <c r="L57" i="29"/>
  <c r="I59" i="29"/>
  <c r="K59" i="29" s="1"/>
  <c r="N7" i="28" s="1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1" i="29"/>
  <c r="E32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L12" i="29"/>
  <c r="K12" i="29" s="1"/>
  <c r="I3" i="28" s="1"/>
  <c r="F12" i="29"/>
  <c r="E12" i="29" s="1"/>
  <c r="I4" i="28" s="1"/>
  <c r="K11" i="29"/>
  <c r="K10" i="29"/>
  <c r="K9" i="29"/>
  <c r="K8" i="29"/>
  <c r="K7" i="29"/>
  <c r="K6" i="29"/>
  <c r="K5" i="29"/>
  <c r="E11" i="29"/>
  <c r="E10" i="29"/>
  <c r="E9" i="29"/>
  <c r="E8" i="29"/>
  <c r="E7" i="29"/>
  <c r="E6" i="29"/>
  <c r="E5" i="29"/>
  <c r="S29" i="42" l="1"/>
  <c r="S25" i="38"/>
  <c r="S26" i="38"/>
  <c r="S28" i="38"/>
  <c r="S27" i="38"/>
  <c r="F12" i="34"/>
  <c r="O32" i="38"/>
  <c r="C79" i="38" s="1"/>
  <c r="C91" i="38" s="1"/>
  <c r="S22" i="48"/>
  <c r="F12" i="33"/>
  <c r="F12" i="36"/>
  <c r="C32" i="38"/>
  <c r="N49" i="28"/>
  <c r="N39" i="28"/>
  <c r="J39" i="28"/>
  <c r="M39" i="28"/>
  <c r="K39" i="28"/>
  <c r="L39" i="28"/>
  <c r="O39" i="28"/>
  <c r="I44" i="28"/>
  <c r="H44" i="28"/>
  <c r="N50" i="28"/>
  <c r="D50" i="28"/>
  <c r="L50" i="28"/>
  <c r="M50" i="28"/>
  <c r="G50" i="28"/>
  <c r="O50" i="28"/>
  <c r="F50" i="28"/>
  <c r="H50" i="28"/>
  <c r="J46" i="28"/>
  <c r="K46" i="28"/>
  <c r="M46" i="28"/>
  <c r="G46" i="28"/>
  <c r="O46" i="28"/>
  <c r="F46" i="28"/>
  <c r="N46" i="28"/>
  <c r="H46" i="28"/>
  <c r="D49" i="28"/>
  <c r="E49" i="28"/>
  <c r="J49" i="28"/>
  <c r="F49" i="28"/>
  <c r="K49" i="28"/>
  <c r="G49" i="28"/>
  <c r="L49" i="28"/>
  <c r="H49" i="28"/>
  <c r="M49" i="28"/>
  <c r="F51" i="28"/>
  <c r="M51" i="28"/>
  <c r="G51" i="28"/>
  <c r="N51" i="28"/>
  <c r="H51" i="28"/>
  <c r="L51" i="28"/>
  <c r="O51" i="28"/>
  <c r="D51" i="28"/>
  <c r="E12" i="28"/>
  <c r="J12" i="28"/>
  <c r="J13" i="28"/>
  <c r="J44" i="28" s="1"/>
  <c r="E13" i="28"/>
  <c r="K9" i="28"/>
  <c r="E10" i="28"/>
  <c r="F3" i="28"/>
  <c r="P3" i="28" s="1"/>
  <c r="F4" i="28"/>
  <c r="P4" i="28" s="1"/>
  <c r="G13" i="28"/>
  <c r="I21" i="28"/>
  <c r="I9" i="28"/>
  <c r="C58" i="28"/>
  <c r="B196" i="29"/>
  <c r="C196" i="29"/>
  <c r="Q21" i="28" s="1"/>
  <c r="F182" i="29"/>
  <c r="F172" i="29"/>
  <c r="E172" i="29" s="1"/>
  <c r="F183" i="29"/>
  <c r="E183" i="29" s="1"/>
  <c r="K157" i="29"/>
  <c r="K166" i="29"/>
  <c r="I17" i="28" s="1"/>
  <c r="E155" i="29"/>
  <c r="K155" i="29"/>
  <c r="K156" i="29"/>
  <c r="E157" i="29"/>
  <c r="C18" i="28" s="1"/>
  <c r="E166" i="29"/>
  <c r="E150" i="29"/>
  <c r="I128" i="29"/>
  <c r="K128" i="29" s="1"/>
  <c r="C128" i="29"/>
  <c r="E128" i="29" s="1"/>
  <c r="E139" i="29"/>
  <c r="D16" i="28" s="1"/>
  <c r="C149" i="29"/>
  <c r="E149" i="29" s="1"/>
  <c r="C145" i="29"/>
  <c r="E145" i="29" s="1"/>
  <c r="I134" i="29"/>
  <c r="K134" i="29" s="1"/>
  <c r="I14" i="28" s="1"/>
  <c r="K122" i="29"/>
  <c r="D14" i="28" s="1"/>
  <c r="K124" i="29"/>
  <c r="C131" i="29"/>
  <c r="C132" i="29" s="1"/>
  <c r="E132" i="29" s="1"/>
  <c r="K123" i="29"/>
  <c r="I131" i="29"/>
  <c r="K131" i="29" s="1"/>
  <c r="C134" i="29"/>
  <c r="E134" i="29" s="1"/>
  <c r="I125" i="29"/>
  <c r="K125" i="29" s="1"/>
  <c r="L14" i="28" s="1"/>
  <c r="I132" i="29"/>
  <c r="K132" i="29" s="1"/>
  <c r="C125" i="29"/>
  <c r="E125" i="29" s="1"/>
  <c r="L15" i="28" s="1"/>
  <c r="L46" i="28" s="1"/>
  <c r="I133" i="29"/>
  <c r="K133" i="29" s="1"/>
  <c r="E122" i="29"/>
  <c r="E124" i="29"/>
  <c r="E123" i="29"/>
  <c r="B79" i="29"/>
  <c r="C74" i="29"/>
  <c r="E74" i="29" s="1"/>
  <c r="I10" i="28" s="1"/>
  <c r="I118" i="29"/>
  <c r="Q12" i="28" s="1"/>
  <c r="B118" i="29"/>
  <c r="C118" i="29"/>
  <c r="Q13" i="28" s="1"/>
  <c r="E96" i="29"/>
  <c r="E92" i="29"/>
  <c r="C89" i="29"/>
  <c r="Q9" i="28" s="1"/>
  <c r="B89" i="29"/>
  <c r="E71" i="29"/>
  <c r="C10" i="28" s="1"/>
  <c r="C33" i="29"/>
  <c r="C53" i="29"/>
  <c r="C13" i="29"/>
  <c r="I13" i="29"/>
  <c r="Q3" i="28" s="1"/>
  <c r="S29" i="38" l="1"/>
  <c r="B32" i="38"/>
  <c r="S29" i="40"/>
  <c r="F12" i="31"/>
  <c r="C67" i="38"/>
  <c r="C82" i="38" s="1"/>
  <c r="P12" i="28"/>
  <c r="E14" i="28"/>
  <c r="P21" i="28"/>
  <c r="P9" i="28"/>
  <c r="P10" i="28"/>
  <c r="P13" i="28"/>
  <c r="Q5" i="28"/>
  <c r="F5" i="28"/>
  <c r="P5" i="28" s="1"/>
  <c r="Q6" i="28"/>
  <c r="F6" i="28"/>
  <c r="P6" i="28" s="1"/>
  <c r="C15" i="28"/>
  <c r="C14" i="28"/>
  <c r="C17" i="28"/>
  <c r="D15" i="28"/>
  <c r="F151" i="29"/>
  <c r="I16" i="28"/>
  <c r="F167" i="29"/>
  <c r="I18" i="28"/>
  <c r="F135" i="29"/>
  <c r="I15" i="28"/>
  <c r="I46" i="28" s="1"/>
  <c r="Q4" i="28"/>
  <c r="F79" i="29"/>
  <c r="E131" i="29"/>
  <c r="C133" i="29"/>
  <c r="E133" i="29" s="1"/>
  <c r="I135" i="29"/>
  <c r="Q14" i="28" s="1"/>
  <c r="C97" i="29"/>
  <c r="J11" i="28" s="1"/>
  <c r="C79" i="29"/>
  <c r="Q10" i="28" s="1"/>
  <c r="P11" i="28" l="1"/>
  <c r="E15" i="28"/>
  <c r="P15" i="28" s="1"/>
  <c r="P14" i="28"/>
  <c r="Q11" i="28"/>
  <c r="C135" i="29"/>
  <c r="Q15" i="28" s="1"/>
  <c r="B135" i="29"/>
  <c r="R17" i="28" l="1"/>
  <c r="E48" i="28" l="1"/>
  <c r="K48" i="28"/>
  <c r="M48" i="28"/>
  <c r="D48" i="28"/>
  <c r="J48" i="28"/>
  <c r="F48" i="28"/>
  <c r="L48" i="28"/>
  <c r="G48" i="28"/>
  <c r="H48" i="28"/>
  <c r="N48" i="28"/>
  <c r="C48" i="28"/>
  <c r="I48" i="28"/>
  <c r="C49" i="28"/>
  <c r="I49" i="28"/>
  <c r="R14" i="28"/>
  <c r="R12" i="28"/>
  <c r="R7" i="28"/>
  <c r="Q2" i="28"/>
  <c r="C77" i="28" s="1"/>
  <c r="C89" i="28" s="1"/>
  <c r="R16" i="28"/>
  <c r="R11" i="28"/>
  <c r="R5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H43" i="28" l="1"/>
  <c r="I43" i="28"/>
  <c r="J43" i="28"/>
  <c r="K38" i="28"/>
  <c r="J38" i="28"/>
  <c r="M38" i="28"/>
  <c r="O38" i="28"/>
  <c r="L38" i="28"/>
  <c r="N38" i="28"/>
  <c r="F45" i="28"/>
  <c r="G45" i="28"/>
  <c r="H45" i="28"/>
  <c r="N45" i="28"/>
  <c r="O45" i="28"/>
  <c r="J45" i="28"/>
  <c r="K45" i="28"/>
  <c r="M45" i="28"/>
  <c r="I45" i="28"/>
  <c r="L45" i="28"/>
  <c r="M47" i="28"/>
  <c r="N47" i="28"/>
  <c r="O47" i="28"/>
  <c r="H47" i="28"/>
  <c r="F47" i="28"/>
  <c r="G47" i="28"/>
  <c r="C47" i="28"/>
  <c r="L47" i="28"/>
  <c r="K47" i="28"/>
  <c r="D47" i="28"/>
  <c r="M42" i="28"/>
  <c r="N42" i="28"/>
  <c r="O42" i="28"/>
  <c r="K42" i="28"/>
  <c r="L42" i="28"/>
  <c r="J42" i="28"/>
  <c r="F36" i="28"/>
  <c r="I36" i="28"/>
  <c r="C46" i="28"/>
  <c r="E46" i="28"/>
  <c r="D46" i="28"/>
  <c r="I47" i="28"/>
  <c r="C42" i="28"/>
  <c r="I42" i="28"/>
  <c r="E42" i="28"/>
  <c r="G43" i="28"/>
  <c r="E43" i="28"/>
  <c r="G44" i="28"/>
  <c r="E44" i="28"/>
  <c r="D45" i="28"/>
  <c r="C45" i="28"/>
  <c r="E45" i="28"/>
  <c r="A19" i="28"/>
  <c r="A20" i="28" s="1"/>
  <c r="A21" i="28" s="1"/>
  <c r="S13" i="28"/>
  <c r="E60" i="28"/>
  <c r="E63" i="28"/>
  <c r="S11" i="28"/>
  <c r="E61" i="28" l="1"/>
  <c r="E58" i="28"/>
  <c r="E59" i="28"/>
  <c r="S5" i="28" l="1"/>
  <c r="C174" i="29" l="1"/>
  <c r="I58" i="29"/>
  <c r="K58" i="29" s="1"/>
  <c r="C140" i="29"/>
  <c r="C65" i="29"/>
  <c r="E65" i="29" s="1"/>
  <c r="C187" i="29"/>
  <c r="I162" i="29"/>
  <c r="C64" i="29"/>
  <c r="E64" i="29" s="1"/>
  <c r="I65" i="29"/>
  <c r="K65" i="29" s="1"/>
  <c r="C62" i="29"/>
  <c r="E62" i="29" s="1"/>
  <c r="I63" i="29"/>
  <c r="K63" i="29" s="1"/>
  <c r="C171" i="29"/>
  <c r="C62" i="28" s="1"/>
  <c r="I61" i="29"/>
  <c r="K61" i="29" s="1"/>
  <c r="I64" i="29"/>
  <c r="K64" i="29" s="1"/>
  <c r="C162" i="29"/>
  <c r="C63" i="29"/>
  <c r="E63" i="29" s="1"/>
  <c r="C182" i="29"/>
  <c r="C64" i="28" s="1"/>
  <c r="E64" i="28" s="1"/>
  <c r="C185" i="29"/>
  <c r="C176" i="29"/>
  <c r="C61" i="29"/>
  <c r="E61" i="29" s="1"/>
  <c r="I62" i="29"/>
  <c r="K62" i="29" s="1"/>
  <c r="C58" i="29"/>
  <c r="E58" i="29" s="1"/>
  <c r="R21" i="28"/>
  <c r="R9" i="28"/>
  <c r="R6" i="28"/>
  <c r="R10" i="28"/>
  <c r="K41" i="28" l="1"/>
  <c r="L41" i="28"/>
  <c r="N41" i="28"/>
  <c r="J41" i="28"/>
  <c r="M41" i="28"/>
  <c r="O41" i="28"/>
  <c r="J40" i="28"/>
  <c r="K40" i="28"/>
  <c r="N40" i="28"/>
  <c r="O40" i="28"/>
  <c r="L40" i="28"/>
  <c r="M40" i="28"/>
  <c r="H7" i="28"/>
  <c r="H38" i="28" s="1"/>
  <c r="G52" i="28"/>
  <c r="G32" i="28" s="1"/>
  <c r="C72" i="28" s="1"/>
  <c r="C85" i="28" s="1"/>
  <c r="M52" i="28"/>
  <c r="H52" i="28"/>
  <c r="N52" i="28"/>
  <c r="C52" i="28"/>
  <c r="O52" i="28"/>
  <c r="D52" i="28"/>
  <c r="D32" i="28" s="1"/>
  <c r="C68" i="28" s="1"/>
  <c r="C83" i="28" s="1"/>
  <c r="J52" i="28"/>
  <c r="K52" i="28"/>
  <c r="F52" i="28"/>
  <c r="L52" i="28"/>
  <c r="H8" i="28"/>
  <c r="H39" i="28" s="1"/>
  <c r="C184" i="29"/>
  <c r="E184" i="29" s="1"/>
  <c r="I20" i="28" s="1"/>
  <c r="E182" i="29"/>
  <c r="C20" i="28" s="1"/>
  <c r="E162" i="29"/>
  <c r="C165" i="29"/>
  <c r="E165" i="29" s="1"/>
  <c r="K162" i="29"/>
  <c r="I165" i="29"/>
  <c r="K165" i="29" s="1"/>
  <c r="F35" i="28"/>
  <c r="I35" i="28"/>
  <c r="C173" i="29"/>
  <c r="E173" i="29" s="1"/>
  <c r="E171" i="29"/>
  <c r="C19" i="28" s="1"/>
  <c r="C147" i="29"/>
  <c r="E147" i="29" s="1"/>
  <c r="E16" i="28" s="1"/>
  <c r="E140" i="29"/>
  <c r="J16" i="28" s="1"/>
  <c r="J47" i="28" s="1"/>
  <c r="C188" i="29"/>
  <c r="E188" i="29" s="1"/>
  <c r="E20" i="28" s="1"/>
  <c r="E51" i="28" s="1"/>
  <c r="E187" i="29"/>
  <c r="K20" i="28" s="1"/>
  <c r="K51" i="28" s="1"/>
  <c r="F34" i="28"/>
  <c r="I34" i="28"/>
  <c r="C177" i="29"/>
  <c r="E177" i="29" s="1"/>
  <c r="E19" i="28" s="1"/>
  <c r="E50" i="28" s="1"/>
  <c r="E176" i="29"/>
  <c r="K19" i="28" s="1"/>
  <c r="K50" i="28" s="1"/>
  <c r="F37" i="28"/>
  <c r="I37" i="28"/>
  <c r="C186" i="29"/>
  <c r="E186" i="29" s="1"/>
  <c r="E185" i="29"/>
  <c r="C175" i="29"/>
  <c r="E175" i="29" s="1"/>
  <c r="E174" i="29"/>
  <c r="I52" i="28"/>
  <c r="E52" i="28"/>
  <c r="C41" i="28"/>
  <c r="I41" i="28"/>
  <c r="E41" i="28"/>
  <c r="E40" i="28"/>
  <c r="C40" i="28"/>
  <c r="I40" i="28"/>
  <c r="S21" i="28"/>
  <c r="S4" i="28"/>
  <c r="S6" i="28"/>
  <c r="S10" i="28"/>
  <c r="S9" i="28"/>
  <c r="S3" i="28"/>
  <c r="E62" i="28"/>
  <c r="J20" i="28" l="1"/>
  <c r="J51" i="28" s="1"/>
  <c r="H32" i="28"/>
  <c r="C71" i="28" s="1"/>
  <c r="N32" i="28"/>
  <c r="C78" i="28" s="1"/>
  <c r="C90" i="28" s="1"/>
  <c r="K32" i="28"/>
  <c r="C75" i="28" s="1"/>
  <c r="C87" i="28" s="1"/>
  <c r="M32" i="28"/>
  <c r="L32" i="28"/>
  <c r="C76" i="28" s="1"/>
  <c r="C88" i="28" s="1"/>
  <c r="O17" i="28"/>
  <c r="O48" i="28" s="1"/>
  <c r="O18" i="28"/>
  <c r="J19" i="28"/>
  <c r="J50" i="28" s="1"/>
  <c r="F32" i="28"/>
  <c r="C70" i="28" s="1"/>
  <c r="B189" i="29"/>
  <c r="I167" i="29"/>
  <c r="Q17" i="28" s="1"/>
  <c r="C151" i="29"/>
  <c r="Q16" i="28" s="1"/>
  <c r="S16" i="28" s="1"/>
  <c r="P16" i="28"/>
  <c r="B151" i="29"/>
  <c r="B167" i="29"/>
  <c r="C167" i="29"/>
  <c r="Q18" i="28" s="1"/>
  <c r="S18" i="28" s="1"/>
  <c r="C178" i="29"/>
  <c r="Q19" i="28" s="1"/>
  <c r="S19" i="28" s="1"/>
  <c r="C189" i="29"/>
  <c r="Q20" i="28" s="1"/>
  <c r="S20" i="28" s="1"/>
  <c r="B178" i="29"/>
  <c r="F178" i="29"/>
  <c r="I19" i="28"/>
  <c r="I50" i="28" s="1"/>
  <c r="F189" i="29"/>
  <c r="I51" i="28"/>
  <c r="S14" i="28"/>
  <c r="S15" i="28"/>
  <c r="S23" i="28" l="1"/>
  <c r="J32" i="28"/>
  <c r="C74" i="28" s="1"/>
  <c r="C86" i="28" s="1"/>
  <c r="P17" i="28"/>
  <c r="S17" i="28"/>
  <c r="P18" i="28"/>
  <c r="O49" i="28"/>
  <c r="O32" i="28" s="1"/>
  <c r="C79" i="28" s="1"/>
  <c r="C91" i="28" s="1"/>
  <c r="P20" i="28"/>
  <c r="P19" i="28"/>
  <c r="E47" i="28"/>
  <c r="C50" i="28"/>
  <c r="C51" i="28"/>
  <c r="C5" i="25" l="1"/>
  <c r="F10" i="25"/>
  <c r="C57" i="29" l="1"/>
  <c r="I57" i="29"/>
  <c r="I60" i="29" l="1"/>
  <c r="K60" i="29" s="1"/>
  <c r="K57" i="29"/>
  <c r="C7" i="28" s="1"/>
  <c r="I66" i="29"/>
  <c r="K66" i="29" s="1"/>
  <c r="I7" i="28" s="1"/>
  <c r="I38" i="28" s="1"/>
  <c r="C60" i="29"/>
  <c r="E60" i="29" s="1"/>
  <c r="E8" i="28" s="1"/>
  <c r="C57" i="28"/>
  <c r="E57" i="28" s="1"/>
  <c r="E56" i="28" s="1"/>
  <c r="D56" i="28" s="1"/>
  <c r="E57" i="29"/>
  <c r="C8" i="28" s="1"/>
  <c r="C66" i="29"/>
  <c r="E66" i="29" s="1"/>
  <c r="E7" i="28" l="1"/>
  <c r="E38" i="28" s="1"/>
  <c r="C67" i="29"/>
  <c r="Q8" i="28" s="1"/>
  <c r="E39" i="28"/>
  <c r="B67" i="29"/>
  <c r="I67" i="29"/>
  <c r="Q7" i="28" s="1"/>
  <c r="S7" i="28" s="1"/>
  <c r="I8" i="28"/>
  <c r="F67" i="29"/>
  <c r="P7" i="28" l="1"/>
  <c r="E32" i="28"/>
  <c r="C69" i="28" s="1"/>
  <c r="C84" i="28" s="1"/>
  <c r="C39" i="28"/>
  <c r="P8" i="28"/>
  <c r="I39" i="28"/>
  <c r="I32" i="28" s="1"/>
  <c r="C38" i="28"/>
  <c r="S8" i="28"/>
  <c r="C73" i="28" l="1"/>
  <c r="C32" i="28"/>
  <c r="C67" i="28" s="1"/>
  <c r="C82" i="28" l="1"/>
  <c r="B32" i="28"/>
  <c r="S12" i="28" l="1"/>
  <c r="W2" i="28" l="1"/>
  <c r="V2" i="28" s="1"/>
  <c r="S22" i="28"/>
  <c r="S28" i="28" l="1"/>
  <c r="S27" i="28"/>
  <c r="S26" i="28"/>
  <c r="S25" i="28"/>
  <c r="S29" i="28" l="1"/>
  <c r="F13" i="31" s="1"/>
  <c r="F12" i="25"/>
  <c r="F14" i="31" l="1"/>
  <c r="D14" i="31" s="1"/>
  <c r="F18" i="31" s="1"/>
  <c r="F16" i="31" s="1"/>
  <c r="T20" i="32" s="1"/>
  <c r="F13" i="36"/>
  <c r="F14" i="36" s="1"/>
  <c r="D14" i="36" s="1"/>
  <c r="F18" i="36" s="1"/>
  <c r="F16" i="36" s="1"/>
  <c r="F13" i="33"/>
  <c r="F13" i="34"/>
  <c r="F13" i="35"/>
  <c r="F13" i="25"/>
  <c r="F14" i="25" s="1"/>
  <c r="U20" i="32" l="1"/>
  <c r="R19" i="50" s="1"/>
  <c r="F14" i="35"/>
  <c r="D14" i="35" s="1"/>
  <c r="F18" i="35" s="1"/>
  <c r="F16" i="35" s="1"/>
  <c r="T29" i="32" s="1"/>
  <c r="F14" i="34"/>
  <c r="D14" i="34" s="1"/>
  <c r="F18" i="34" s="1"/>
  <c r="F16" i="34" s="1"/>
  <c r="T26" i="32" s="1"/>
  <c r="F14" i="33"/>
  <c r="D14" i="33" s="1"/>
  <c r="F18" i="33" s="1"/>
  <c r="F16" i="33" s="1"/>
  <c r="T23" i="32" s="1"/>
  <c r="D14" i="25"/>
  <c r="F18" i="25" s="1"/>
  <c r="F16" i="25" s="1"/>
  <c r="T15" i="32" s="1"/>
  <c r="U29" i="32" l="1"/>
  <c r="R22" i="50" s="1"/>
  <c r="U23" i="32"/>
  <c r="R20" i="50" s="1"/>
  <c r="U26" i="32"/>
  <c r="R21" i="50" s="1"/>
  <c r="U15" i="32"/>
  <c r="T1" i="32" l="1"/>
  <c r="U39" i="32" s="1"/>
  <c r="U41" i="32" s="1"/>
  <c r="R18" i="50"/>
  <c r="K33" i="50" s="1"/>
  <c r="K38" i="50" s="1"/>
  <c r="P33" i="50" l="1"/>
  <c r="P38" i="50" s="1"/>
  <c r="K40" i="50" s="1"/>
  <c r="K52" i="50" l="1"/>
  <c r="K49" i="50"/>
  <c r="L44" i="50"/>
</calcChain>
</file>

<file path=xl/sharedStrings.xml><?xml version="1.0" encoding="utf-8"?>
<sst xmlns="http://schemas.openxmlformats.org/spreadsheetml/2006/main" count="4428" uniqueCount="416">
  <si>
    <t>تعداد ریل جانبی</t>
  </si>
  <si>
    <t>تعداد ریل میانی</t>
  </si>
  <si>
    <t>متراژ پروژه</t>
  </si>
  <si>
    <t xml:space="preserve"> </t>
  </si>
  <si>
    <t>تعداد</t>
  </si>
  <si>
    <t>کلگی عقب جانبی</t>
  </si>
  <si>
    <t>کلگی عقب میانی</t>
  </si>
  <si>
    <t>هزینه مصالح (m2)</t>
  </si>
  <si>
    <t>هزینه نیرو انسانی  (m2)</t>
  </si>
  <si>
    <t>سایر  (m2)</t>
  </si>
  <si>
    <t>خدمات  (m2)</t>
  </si>
  <si>
    <t>بالاسری  (m2)</t>
  </si>
  <si>
    <t>فروش  (m2)</t>
  </si>
  <si>
    <t>نصب  (m2)</t>
  </si>
  <si>
    <t>قیمت جزء (ریال)</t>
  </si>
  <si>
    <t>واحد</t>
  </si>
  <si>
    <t>قیمت</t>
  </si>
  <si>
    <t>کلگی سر جلو آلومینیومی</t>
  </si>
  <si>
    <t>عدد</t>
  </si>
  <si>
    <t>هرزگرد تفلون 2.5- تراس خور</t>
  </si>
  <si>
    <t>درپوش کلگی آلومینیومی</t>
  </si>
  <si>
    <t>زبانه ی رگلاژ</t>
  </si>
  <si>
    <t>پیچ آلنی 6 در 6 - کشش زبانه رگلاژ</t>
  </si>
  <si>
    <t>پیچ 5 در 1 - اتصال درپوش کلگی</t>
  </si>
  <si>
    <t>پلیت کلگی عقب</t>
  </si>
  <si>
    <t>پلیت 12 میلی متری یاتاقان چشمی</t>
  </si>
  <si>
    <t>بلبرینگ 6005</t>
  </si>
  <si>
    <t>هزار خاری 25 - 15 سانتی متر</t>
  </si>
  <si>
    <t>بوشن هزار خاری</t>
  </si>
  <si>
    <t>پولی دندانه دار آلومینیومی 2.5</t>
  </si>
  <si>
    <t>درپوش پولی دندانه دار</t>
  </si>
  <si>
    <t xml:space="preserve">بست گونیا </t>
  </si>
  <si>
    <t>کاور کلگی عقب</t>
  </si>
  <si>
    <t>پیچ واشردار 8 در 1.5 - اتصال پلیت کلگی عقب به ریل</t>
  </si>
  <si>
    <t>پیچ 8 در 12 - اتصال دو پلیت کلگی</t>
  </si>
  <si>
    <t>پیچ واشر دار 6 در 1.5 - اتصال بست گونیا به کلگی</t>
  </si>
  <si>
    <t>پیچ 4 در 5 - اتصال پلیت پولی</t>
  </si>
  <si>
    <t>مغزی 6 در 1.5 - اتصال پولی به ترانس</t>
  </si>
  <si>
    <t>هزار خاری 25 - 20 سانتی متر</t>
  </si>
  <si>
    <t>تسمه (10 سانتی متری ) T10</t>
  </si>
  <si>
    <t>متر</t>
  </si>
  <si>
    <t>پلیت اتصال چرخ اول 2.5</t>
  </si>
  <si>
    <t>پلیت نگهدارنده چرخ</t>
  </si>
  <si>
    <t>لاستیک آب بند ریل</t>
  </si>
  <si>
    <t>مهره 8 مربعی داخل ریل</t>
  </si>
  <si>
    <t>پیچ واشر دار 8 در 1.5 - اتصال تسمه نگهدارنده چرخ اول</t>
  </si>
  <si>
    <t>تسمه اتصال ریل به ریل 10 سانتی متری</t>
  </si>
  <si>
    <t>پیچ واشر دار 8 در 1.5 - اتصال بدنه ریل به ریل</t>
  </si>
  <si>
    <t>پیچ واشر دار 8 در 3 - اتصال روی ریل به ریل</t>
  </si>
  <si>
    <t>اتصال ریل به ریل با پلیت 40 سانتی متری</t>
  </si>
  <si>
    <t>پلیت اتصال 40 سانتی متری - ریل به ریل</t>
  </si>
  <si>
    <t xml:space="preserve">پلیت مهره دار داخل ریل 40 سانتی متری </t>
  </si>
  <si>
    <t>پلیت لیزر اتصال سر رابط</t>
  </si>
  <si>
    <t>پلیت اتصال (مهره) رابط میانی به ریل</t>
  </si>
  <si>
    <t>پیچ آلنی 8 در 2 - اتصال رابط به ریل</t>
  </si>
  <si>
    <t>مغزی 5 در 1 - اتصال مهره انتظار رابط میانی به ریل</t>
  </si>
  <si>
    <t>رابط 30 در 60</t>
  </si>
  <si>
    <t>قوطی 30 در 60</t>
  </si>
  <si>
    <t>موتور سامفی</t>
  </si>
  <si>
    <t>پلیت لیزر مشترک</t>
  </si>
  <si>
    <t>پلیت لیزر موتور سامفی</t>
  </si>
  <si>
    <t>پلی آمید 90</t>
  </si>
  <si>
    <t>پلی آمید 60</t>
  </si>
  <si>
    <t>قوطی 20 در 20</t>
  </si>
  <si>
    <t>بوشن سر موتور</t>
  </si>
  <si>
    <t>پلیت لیزر ستاره ای سر موتور سامفی</t>
  </si>
  <si>
    <t>دور شمار سامفی - ریخته گری</t>
  </si>
  <si>
    <t>پیچ 8 در 10 - اتصال پلی آمید 90 به شافت 8 پر</t>
  </si>
  <si>
    <t>نوار لاستیکی پارچه</t>
  </si>
  <si>
    <t>چسبونک قسمت رگال</t>
  </si>
  <si>
    <t>چسب MDF</t>
  </si>
  <si>
    <t>نوار پفکی 9 میلی متر</t>
  </si>
  <si>
    <t>پیچ 5 در 12.5 - کشش پارچه</t>
  </si>
  <si>
    <t>در پوش پروفیل ابتدا و انتها</t>
  </si>
  <si>
    <t xml:space="preserve">پیچ 2.5 گل عدسی - اتصال درپوش به پروفیل </t>
  </si>
  <si>
    <t>مهره 8 برای بیس کشش</t>
  </si>
  <si>
    <t>محفظه دپوی پارچه</t>
  </si>
  <si>
    <t>چسب سیلیکون Sika - 600 ml</t>
  </si>
  <si>
    <t>پلیت لیزر لولایی منقاری</t>
  </si>
  <si>
    <t>پلیت لیزر اتصال سر باکس موتور ( D )</t>
  </si>
  <si>
    <t>قوطی 20 در 20 - نگهدارنده پارچه رگال</t>
  </si>
  <si>
    <t>لوله 27 - شافت اصلی موتور</t>
  </si>
  <si>
    <t>پلیت قاب بغل - برش پلاسما</t>
  </si>
  <si>
    <t>پیچ و مهره 18 در 5 اتصال باکس موتور به بیس</t>
  </si>
  <si>
    <t>پیچ و مهره 18 در 15 اتصال ریل به بیس</t>
  </si>
  <si>
    <t>پیچ و مهره 12 در 3 اتصال باکس موتور به قوطی 30 در 60</t>
  </si>
  <si>
    <t>پیچ تلگرافی 6 سرمته</t>
  </si>
  <si>
    <t>اجزاء آبراه آلومینیومی</t>
  </si>
  <si>
    <t>نشمین آبراه آلومینیومی به تیر(ورق لیزر)</t>
  </si>
  <si>
    <t>پلیت لیزر درپوش آبراه آلومینیومی</t>
  </si>
  <si>
    <t>لاستیک آب بند آبراه آلومینیومی</t>
  </si>
  <si>
    <t>پلیت لیزر اتصال آبراه به آبراه</t>
  </si>
  <si>
    <t>نبشی 4 در 4 آلومینیومی - اتصال ریل به آبراه</t>
  </si>
  <si>
    <t>پیچ سرمته 4 در 2 - اتصال درپوش آبراه - استیل</t>
  </si>
  <si>
    <t>پیچ 8 در 1.5 اتصال نشیمن ریل به آبراه و اتصال آبراه به آبراه</t>
  </si>
  <si>
    <t>لوله پولیکا - خروجی آب</t>
  </si>
  <si>
    <t>مترمربع</t>
  </si>
  <si>
    <t>پارچه</t>
  </si>
  <si>
    <t>لطفا در این قسمت درصد های مربوطه را مشخص نمایید</t>
  </si>
  <si>
    <t>قیمت نهایی بر مترمربع (ریال)</t>
  </si>
  <si>
    <t>سایر (درصد)</t>
  </si>
  <si>
    <t>خدمات (درصد)</t>
  </si>
  <si>
    <t>بالاسری (درصد)</t>
  </si>
  <si>
    <t>فروش (درصد)</t>
  </si>
  <si>
    <t>نصب (درصد)</t>
  </si>
  <si>
    <t>پروفیل آلومینیومی ریل</t>
  </si>
  <si>
    <t>رنگ پودری الکترواستاتیک</t>
  </si>
  <si>
    <t>کیلوگرم</t>
  </si>
  <si>
    <t>آبکاری</t>
  </si>
  <si>
    <t>رنگ</t>
  </si>
  <si>
    <t>پروفیل آلومینیومی آبراه</t>
  </si>
  <si>
    <t>پروفیل آلومینیومی مکمل آبراه</t>
  </si>
  <si>
    <t>رنگ ستون</t>
  </si>
  <si>
    <t>قیمت یک متر دستک لوله ای</t>
  </si>
  <si>
    <t>اجزاء دستک لوله ای 90</t>
  </si>
  <si>
    <t>اتصالات ابتدا و انتها</t>
  </si>
  <si>
    <t>پارچه ، یراق پارچه و پروفیل پارچه</t>
  </si>
  <si>
    <t>عرض دهانه سقف متحرک (m)</t>
  </si>
  <si>
    <t>طول کل ریل های سیستم  (m)</t>
  </si>
  <si>
    <t>تعداد سقف متحرک (عدد)</t>
  </si>
  <si>
    <t>متراژ سقف متحرک (m2)</t>
  </si>
  <si>
    <t>قیمت کل (ریال)</t>
  </si>
  <si>
    <t>رابط میانی آلومینیومی</t>
  </si>
  <si>
    <t>پروفیل آلومینیومی رابط میانی</t>
  </si>
  <si>
    <t>پروفیل آلومینیوم پارچه ابتدایی</t>
  </si>
  <si>
    <t>پروفیل آلومینیوم پارچه میانی</t>
  </si>
  <si>
    <t>در پوش پروفیل میانی میانی</t>
  </si>
  <si>
    <t>تایل پارچه ای محافظ</t>
  </si>
  <si>
    <t>اجزاء ستون 125 در 125 آلومینیومی</t>
  </si>
  <si>
    <t>قوطی 10در 10 - 2میل</t>
  </si>
  <si>
    <t>پروفیل 125 آلومینیومی - ستون</t>
  </si>
  <si>
    <t>پروفیل 125 آلومینیومی - تیر</t>
  </si>
  <si>
    <t>اتصالات لیزری تیر به ستون</t>
  </si>
  <si>
    <t>پیچ و مهره 8 در 1.5</t>
  </si>
  <si>
    <t>اجزاء ریل رویال - VIP</t>
  </si>
  <si>
    <t>اجزاء ریل اکونومی - REGULAR</t>
  </si>
  <si>
    <t>VIP</t>
  </si>
  <si>
    <t>REGULAR</t>
  </si>
  <si>
    <t>SAYANEH</t>
  </si>
  <si>
    <t>PAVLION</t>
  </si>
  <si>
    <t>باکس موتور - SOMFY رویال - VIP</t>
  </si>
  <si>
    <t>باکس موتور- MOOSEL اکونومی - REGULAR</t>
  </si>
  <si>
    <t>پارچه ، یراق پارچه و پروفیل پارچه اکونومی - REGULAR</t>
  </si>
  <si>
    <t>پارچه ، یراق پارچه و پروفیل پارچه رویال - VIP</t>
  </si>
  <si>
    <t>اجزاء آبراه آلومینیومی  رویال - VIP</t>
  </si>
  <si>
    <t>اجزاء آبراه آلومینیومی اکونومی - REGULAR</t>
  </si>
  <si>
    <t>ستون آلومینیومی اکونومی - REGULAR - سایانه</t>
  </si>
  <si>
    <t>ستون آلومینیومی اکونومی - REGULAR - پاولیون</t>
  </si>
  <si>
    <t>ریل</t>
  </si>
  <si>
    <t>موتور</t>
  </si>
  <si>
    <t>آبراه</t>
  </si>
  <si>
    <t>کلگی</t>
  </si>
  <si>
    <t>ROOF LEVEL</t>
  </si>
  <si>
    <t>قیمت هر کیلو آلومینیوم</t>
  </si>
  <si>
    <t>پروفیل آلومینیومی زیر آبراه</t>
  </si>
  <si>
    <t>قیمت یورو</t>
  </si>
  <si>
    <t>کلگی جلو آلومینیوم - VIP</t>
  </si>
  <si>
    <t>FRONT CASTING ALUMINUM APPARATUS</t>
  </si>
  <si>
    <t>FRONT STEEL APPARATUS</t>
  </si>
  <si>
    <t>لوله PVC</t>
  </si>
  <si>
    <t>SIDE REAR APPARATUS</t>
  </si>
  <si>
    <t>MIDDLE REAR APPARATUS</t>
  </si>
  <si>
    <t>پیچ 8 در 3 اتاقی - اتصال یاتاقان چشمی به کلگی</t>
  </si>
  <si>
    <t>ALUMINUM RAIL PROFILE WITH ACCESORES</t>
  </si>
  <si>
    <t>چرخ ABS</t>
  </si>
  <si>
    <t>چرخ POLYAMID</t>
  </si>
  <si>
    <t>ALUMINUM PROFILE MIDDLE CONNECTOR</t>
  </si>
  <si>
    <t>CONNECTOR PLATE FOR RAIL TO RAIL</t>
  </si>
  <si>
    <t>SOMFY</t>
  </si>
  <si>
    <t>MOSEL , DOOYA</t>
  </si>
  <si>
    <t xml:space="preserve">موتور موسل ، دویا </t>
  </si>
  <si>
    <t>پلیت لیزر موتور موسل یا دویا</t>
  </si>
  <si>
    <t>پلیت 12 میلی متری یاتاقان چشمی 205</t>
  </si>
  <si>
    <t>پلیت 12 میلی متری یاتاقان چشمی 204</t>
  </si>
  <si>
    <t>بلبرینگ 6004</t>
  </si>
  <si>
    <t>سایانه</t>
  </si>
  <si>
    <t xml:space="preserve"> پاولیون</t>
  </si>
  <si>
    <t>لوله 60</t>
  </si>
  <si>
    <t>اجزاء دستک لوله ای 60</t>
  </si>
  <si>
    <t>کلگی جلو آلومینیوم 110</t>
  </si>
  <si>
    <t>کلگی جلو آلومینیوم 80</t>
  </si>
  <si>
    <t>MASHHAD</t>
  </si>
  <si>
    <t>TEHRAN</t>
  </si>
  <si>
    <t>OTHER CITY</t>
  </si>
  <si>
    <t>سایر</t>
  </si>
  <si>
    <t>پارچه و پروفیل های آلومینیوم پارچه</t>
  </si>
  <si>
    <t>هرزگرد تفلون 2.5- همراه با پیچ 8 و بلبرینگ 628</t>
  </si>
  <si>
    <t>پلی کربنات یاتاقان چشمی</t>
  </si>
  <si>
    <t xml:space="preserve">پیچ 8 در 3 </t>
  </si>
  <si>
    <t>شافت هزار خاری آلومینیوم</t>
  </si>
  <si>
    <t>پلیت اتصال 30 در 60 به ریل - داخل ریل  ( مهره )</t>
  </si>
  <si>
    <t>پلیت اتصال 30 در 60 به ریل- روی ریل ( یو شکل )</t>
  </si>
  <si>
    <t>پیچ واشر دار 8 در 1.5- اتصال پلیت یو شکل به ریل</t>
  </si>
  <si>
    <t>Aluminum</t>
  </si>
  <si>
    <t>Fabric</t>
  </si>
  <si>
    <t>Accessories</t>
  </si>
  <si>
    <t>T10</t>
  </si>
  <si>
    <t>Apparatus</t>
  </si>
  <si>
    <t>رنگ پودری</t>
  </si>
  <si>
    <t>Motor</t>
  </si>
  <si>
    <t>Powder coating</t>
  </si>
  <si>
    <t>پروفیل 125 آلومینیومی - ستون - سایانه</t>
  </si>
  <si>
    <t>پروفیل 125 آلومینیومی - تیر - سایانه</t>
  </si>
  <si>
    <t>پروفیل 125 آلومینیومی - ستون - پاولیون</t>
  </si>
  <si>
    <t>پروفیل 125 آلومینیومی - تیر - پاولیون</t>
  </si>
  <si>
    <t>کلگی جلو آلومینیوم - REGULAR</t>
  </si>
  <si>
    <t>طول ریل</t>
  </si>
  <si>
    <t>عرض دهانه</t>
  </si>
  <si>
    <t xml:space="preserve">نوع  سیستم </t>
  </si>
  <si>
    <r>
      <t xml:space="preserve">ALUMINUM RAIL  </t>
    </r>
    <r>
      <rPr>
        <b/>
        <sz val="11"/>
        <color rgb="FFC00000"/>
        <rFont val="Calibri"/>
        <family val="2"/>
        <scheme val="minor"/>
      </rPr>
      <t>140</t>
    </r>
  </si>
  <si>
    <t>ALUMINUM RAIL  140</t>
  </si>
  <si>
    <t>نوع  موتور و پارچه</t>
  </si>
  <si>
    <t>BECKER + MEHLER</t>
  </si>
  <si>
    <t>SOMFY + FERRARI</t>
  </si>
  <si>
    <t>BARZANTEH + FABRIC</t>
  </si>
  <si>
    <t>ALUMINUM+STEEL</t>
  </si>
  <si>
    <t>Mehler / Becker - Somfy</t>
  </si>
  <si>
    <t>Steel Tube</t>
  </si>
  <si>
    <t>Connection Plate</t>
  </si>
  <si>
    <t>Rubber</t>
  </si>
  <si>
    <t>Lighting</t>
  </si>
  <si>
    <t>Sealing</t>
  </si>
  <si>
    <t>Waterway+Connection</t>
  </si>
  <si>
    <t>Aluminum+powdercoating</t>
  </si>
  <si>
    <t>طول سقف در راستای ریل (m)</t>
  </si>
  <si>
    <t>Mana</t>
  </si>
  <si>
    <t>Shana</t>
  </si>
  <si>
    <t>Mah Sayeh</t>
  </si>
  <si>
    <t>Sayaneh</t>
  </si>
  <si>
    <t>Pavlion</t>
  </si>
  <si>
    <t>Atin</t>
  </si>
  <si>
    <t>Atin Plus</t>
  </si>
  <si>
    <t>Paina</t>
  </si>
  <si>
    <t>Horno</t>
  </si>
  <si>
    <t>Aavan</t>
  </si>
  <si>
    <t>Roof Level</t>
  </si>
  <si>
    <t>Nothing</t>
  </si>
  <si>
    <t>-----</t>
  </si>
  <si>
    <t xml:space="preserve">ساختار های اصلی </t>
  </si>
  <si>
    <t xml:space="preserve">ساختار های فرعی </t>
  </si>
  <si>
    <t>لطفا فقط اعداد سبز رنگ ، اطلاعات مربوط به سقف متحرک را وارد نمایید
در انتخاب ساختار سقف دقت داشته باشید که ابتدا ساختار اصلی و سپس ساختار فرعی را انتخاب نمایید .</t>
  </si>
  <si>
    <t>پیش فاکتور</t>
  </si>
  <si>
    <t>نوع روشنایی</t>
  </si>
  <si>
    <t>ساختار سقف</t>
  </si>
  <si>
    <t>خطی</t>
  </si>
  <si>
    <t xml:space="preserve">شماره تماس : </t>
  </si>
  <si>
    <t xml:space="preserve">اکریلیک استوانه ای </t>
  </si>
  <si>
    <t>اکریلیک نقطه‌ای</t>
  </si>
  <si>
    <t>مبلغ کل (ریال)</t>
  </si>
  <si>
    <t>مبلغ جزء (ریال)</t>
  </si>
  <si>
    <t>ردیف</t>
  </si>
  <si>
    <t>کریستال</t>
  </si>
  <si>
    <t>به ابعاد :</t>
  </si>
  <si>
    <t>حباب نور از نوع خطی</t>
  </si>
  <si>
    <t>حباب نور از نوع اکریلیک نقطه‌ای</t>
  </si>
  <si>
    <t>حباب نور از نوع کریستال</t>
  </si>
  <si>
    <t xml:space="preserve">حباب نور از نوع اکریلیک استوانه ای </t>
  </si>
  <si>
    <t xml:space="preserve">جمع کل </t>
  </si>
  <si>
    <t>• اعتبار این پیش فاکتور 48 ساعت می‌باشد.</t>
  </si>
  <si>
    <t>• تامین تکیه‌‌گاه مناسب (BASE) جهت نصب به عهده کارفرما می‌باشد.</t>
  </si>
  <si>
    <t xml:space="preserve">• تامین برق، داربست، حمل‌ونقل و جرثقیل(در صورت نیاز)  به عهده کارفرما می باشد. </t>
  </si>
  <si>
    <t>• 80 % مبلغ کل به عنوان پیش پرداخت، 10 % قبل از ارسال محصولات موضوع پیش‌فاکتور از درب کارخــانه و باقیمانده پس از نصب دریافت می‌گردد.</t>
  </si>
  <si>
    <t>• در بخش سقفهای ‌جمع‌شونده پوشش پروفیل‌های آلومینیومی از نوع پودری‌الکترواستاتیک به کد1013 و 9016 بر اساس استاندارد موسسه بین المللی RAL ارائه می‌گردد و در صورت انتخاب سایر رنگها مازاد هزینه دریافت خواهد شد.</t>
  </si>
  <si>
    <t>• درحوزه سقف‌های جمع‌شونده غشاء PVC، موتور و سایر قطعات حرکتی به مدت 5 سال دارای گارانتی و 15 سال خدمات پس‌از فروش می‌باشد.</t>
  </si>
  <si>
    <t>• سیستم نور پردازی یک آپشن می باشد که در صورت درخواست مشتری (با توجه به مدل انتخابی) محـاسبه و به قیمت اضافه می‌شود.</t>
  </si>
  <si>
    <t>ساختار اصلی</t>
  </si>
  <si>
    <t>ساختار فرعی</t>
  </si>
  <si>
    <t xml:space="preserve"> سقف متحرک پارچه‌ای</t>
  </si>
  <si>
    <r>
      <t xml:space="preserve">این قرارداد بین جناب آقای </t>
    </r>
    <r>
      <rPr>
        <sz val="12"/>
        <color rgb="FFFF0000"/>
        <rFont val="B Mitra"/>
        <charset val="178"/>
      </rPr>
      <t>محمدرضا سلیمیان</t>
    </r>
    <r>
      <rPr>
        <sz val="12"/>
        <color theme="1"/>
        <rFont val="B Mitra"/>
        <charset val="178"/>
      </rPr>
      <t xml:space="preserve">  فرزند </t>
    </r>
    <r>
      <rPr>
        <sz val="12"/>
        <color rgb="FFFF0000"/>
        <rFont val="B Mitra"/>
        <charset val="178"/>
      </rPr>
      <t>حسین</t>
    </r>
    <r>
      <rPr>
        <sz val="12"/>
        <color theme="1"/>
        <rFont val="B Mitra"/>
        <charset val="178"/>
      </rPr>
      <t xml:space="preserve"> دارای کد ملی </t>
    </r>
    <r>
      <rPr>
        <sz val="12"/>
        <color rgb="FFFF0000"/>
        <rFont val="B Mitra"/>
        <charset val="178"/>
      </rPr>
      <t>00000000000000</t>
    </r>
    <r>
      <rPr>
        <sz val="12"/>
        <color theme="1"/>
        <rFont val="B Mitra"/>
        <charset val="178"/>
      </rPr>
      <t xml:space="preserve">  به عنوان کارفرما، به آدرس: ا</t>
    </r>
    <r>
      <rPr>
        <sz val="12"/>
        <color rgb="FFFF0000"/>
        <rFont val="B Mitra"/>
        <charset val="178"/>
      </rPr>
      <t xml:space="preserve">صفهان – خ شهید کلینی- دومین پلاک بعد از خیابان استقلال روبروی پارک </t>
    </r>
    <r>
      <rPr>
        <sz val="12"/>
        <color theme="1"/>
        <rFont val="B Mitra"/>
        <charset val="178"/>
      </rPr>
      <t xml:space="preserve"> از یک سو و از سوی دیگر جناب آقای مرتضی سیامک به کد ملی 0941170543، مدیرعامل مجموعه تولیدی صنعتی سایه روشن به عنـوان پیمانکار، به آدرس: تهران، سعادت آباد، خیابان یازدهم شرقی،  پلاک 3، طبقه 2، واحد 201 و تلفن: 22367612-021 و شماره همراه 09123044354 منعقد میگردد.</t>
    </r>
  </si>
  <si>
    <t>ماده یک) موضوع قرارداد:</t>
  </si>
  <si>
    <t>الف)</t>
  </si>
  <si>
    <t xml:space="preserve">سقف جمع شونده پارچه ای </t>
  </si>
  <si>
    <t>در</t>
  </si>
  <si>
    <t xml:space="preserve">مجموعا به مساحت : </t>
  </si>
  <si>
    <t>متر مربع</t>
  </si>
  <si>
    <t>ب)</t>
  </si>
  <si>
    <t xml:space="preserve">سقف ثابت پارچه ای </t>
  </si>
  <si>
    <t>ج)</t>
  </si>
  <si>
    <t>پنجره گیوتینی 3 پانله - شیشه ثابت پایین</t>
  </si>
  <si>
    <t>د)</t>
  </si>
  <si>
    <t>پنجره اسلایدینگ 4 پانله یک طرفه</t>
  </si>
  <si>
    <t>ه)</t>
  </si>
  <si>
    <t>دو جداره</t>
  </si>
  <si>
    <t>5mm+10 air spacer+5mm</t>
  </si>
  <si>
    <t>کلیر سکوریت</t>
  </si>
  <si>
    <t>تبصره 1 ) :</t>
  </si>
  <si>
    <t xml:space="preserve"> ابعاد و انداره استراکچر، پیش از تولید به صورت دقیق برداشت و محصول نهایی بر اساس اندازه های ازبیلت وضع موجود در پروژه طراحی و پس از تایید کارفرما  ساخته خواهد شد.</t>
  </si>
  <si>
    <t>ماده چهار) مبلغ قرارداد :</t>
  </si>
  <si>
    <t xml:space="preserve">بابت بند الف موضوع قرارداد مبلغ : </t>
  </si>
  <si>
    <t>ریال</t>
  </si>
  <si>
    <t xml:space="preserve">پنجره گیوتینی 2 پانله </t>
  </si>
  <si>
    <t>پنجره گیوتینی 3 پانله - شیشه ثابت بالا</t>
  </si>
  <si>
    <t>پنجره گیوتینی 4 پانله - - شیشه ثابت بالا</t>
  </si>
  <si>
    <t>مجموع کل مبالغ فروش :</t>
  </si>
  <si>
    <t>و مجموع کارمزد نصب:</t>
  </si>
  <si>
    <t>پنجره گیوتینی 4 پانله - - شیشه ثابت پایین</t>
  </si>
  <si>
    <t xml:space="preserve">مجموع کل مبلغ قرارداد :   </t>
  </si>
  <si>
    <t>پنجره اسلایدینگ 5 پانله یک طرفه</t>
  </si>
  <si>
    <t>پنجره اسلایدینگ 6 پانله یک طرفه</t>
  </si>
  <si>
    <t>ماده پنج) شرح پرداخت :</t>
  </si>
  <si>
    <t xml:space="preserve">پیش پرداخت: </t>
  </si>
  <si>
    <t>پنجره اسلایدینگ 8 پانله - Expansion</t>
  </si>
  <si>
    <t xml:space="preserve">درصــد از مبــــلغ کل قرارداد برابر با </t>
  </si>
  <si>
    <t>تک جداره</t>
  </si>
  <si>
    <t>8mm</t>
  </si>
  <si>
    <t>10mm</t>
  </si>
  <si>
    <t>سوپر کلیر سکوریت</t>
  </si>
  <si>
    <t>لمینیت</t>
  </si>
  <si>
    <t>4mm+12 air spacer+4mm</t>
  </si>
  <si>
    <t>پرداخت دوم:</t>
  </si>
  <si>
    <t>5mm+1.52PVB+5mm</t>
  </si>
  <si>
    <t>6mm+1.52PVB+6mm</t>
  </si>
  <si>
    <t>پرداخت سوم :</t>
  </si>
  <si>
    <t>8mm+1.52PVB+8mm</t>
  </si>
  <si>
    <t>درصد نصب</t>
  </si>
  <si>
    <t>و کارمزد نصب آن مبلغ:</t>
  </si>
  <si>
    <t>که به صورت ذیل پرداخت میگردد :</t>
  </si>
  <si>
    <t>شهرستان</t>
  </si>
  <si>
    <t>محل نصب پروژه</t>
  </si>
  <si>
    <t>تهران</t>
  </si>
  <si>
    <t>قیمت آلومینیوم</t>
  </si>
  <si>
    <t>نصب تهران و مشهد</t>
  </si>
  <si>
    <t>نصب شهرستان</t>
  </si>
  <si>
    <t>مشهد</t>
  </si>
  <si>
    <t>سیستم روشنایی سقف های جمع‌شونده</t>
  </si>
  <si>
    <r>
      <rPr>
        <sz val="11"/>
        <color rgb="FF002060"/>
        <rFont val="Calibri"/>
        <family val="2"/>
        <scheme val="minor"/>
      </rPr>
      <t>Pavlion</t>
    </r>
    <r>
      <rPr>
        <sz val="11"/>
        <color rgb="FF66FFFF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*</t>
    </r>
  </si>
  <si>
    <r>
      <rPr>
        <sz val="11"/>
        <color rgb="FF008000"/>
        <rFont val="Calibri"/>
        <family val="2"/>
        <scheme val="minor"/>
      </rPr>
      <t>Sayaneh</t>
    </r>
    <r>
      <rPr>
        <sz val="11"/>
        <color rgb="FFFFFF00"/>
        <rFont val="Calibri"/>
        <family val="2"/>
        <charset val="178"/>
        <scheme val="minor"/>
      </rPr>
      <t xml:space="preserve"> </t>
    </r>
    <r>
      <rPr>
        <sz val="11"/>
        <color rgb="FFFF0000"/>
        <rFont val="Calibri"/>
        <family val="2"/>
        <scheme val="minor"/>
      </rPr>
      <t>*</t>
    </r>
  </si>
  <si>
    <t>شماره</t>
  </si>
  <si>
    <t>تاریخ</t>
  </si>
  <si>
    <t>پیوست</t>
  </si>
  <si>
    <t xml:space="preserve">شماره تماس </t>
  </si>
  <si>
    <t>4930045/023</t>
  </si>
  <si>
    <t>ندارد</t>
  </si>
  <si>
    <t>سرکار خانم</t>
  </si>
  <si>
    <t>مشخصات کارفرما یا نماینده ایشان</t>
  </si>
  <si>
    <t>عنوان</t>
  </si>
  <si>
    <t>نام و نام خانوادگی</t>
  </si>
  <si>
    <t>مشخصات پیش فاکتور</t>
  </si>
  <si>
    <t xml:space="preserve">عایق‌سازی‌ کابل‌برق، اتصالات،درپوش پروفیل آلومینیوم و منبع تغذیه </t>
  </si>
  <si>
    <t xml:space="preserve">سیستم روشنایی سقف جمع‌شونده مشتمل بر سیم‌کشی مخفی، </t>
  </si>
  <si>
    <t>دارد</t>
  </si>
  <si>
    <t>جناب آقای</t>
  </si>
  <si>
    <r>
      <rPr>
        <b/>
        <sz val="10"/>
        <color theme="1"/>
        <rFont val="B Nazanin"/>
        <charset val="178"/>
      </rPr>
      <t>نام کارفرما یا نماینده ایشان :</t>
    </r>
    <r>
      <rPr>
        <sz val="10"/>
        <color theme="1"/>
        <rFont val="B Nazanin"/>
        <charset val="178"/>
      </rPr>
      <t xml:space="preserve"> </t>
    </r>
  </si>
  <si>
    <t>• مبلغ پیش فاکتور فوق بصورت خالص تنظیم گردیده و در صورت نیاز پرداخت کلیه حقوق دولتی اعم از تامین اجتماعی ،ارزش افزوده و..به این مبلغ اضافه خواهد شد .</t>
  </si>
  <si>
    <t xml:space="preserve">بسمه تعالی </t>
  </si>
  <si>
    <t>قرارداد سقف های جمع شونده پارچه ای</t>
  </si>
  <si>
    <t xml:space="preserve">بابت بند ب موضوع قرارداد مبلغ : </t>
  </si>
  <si>
    <t xml:space="preserve">بابت بند ج موضوع قرارداد مبلغ : </t>
  </si>
  <si>
    <t xml:space="preserve">بابت بند د موضوع قرارداد مبلغ : </t>
  </si>
  <si>
    <t xml:space="preserve">بابت بند ه موضوع قرارداد مبلغ : </t>
  </si>
  <si>
    <t xml:space="preserve">• کارمزد نصب سازه برای شهر تهران 8% و شهرستان 10%  لحاظ خواهد شد. </t>
  </si>
  <si>
    <t>• مدت زمان تحویل و نصب پروژه</t>
  </si>
  <si>
    <t xml:space="preserve">     پس از وصول پبش‌پرداخت می‌باشد.</t>
  </si>
  <si>
    <t>مدت زمان تحویل</t>
  </si>
  <si>
    <t>1401/05/02</t>
  </si>
  <si>
    <r>
      <t xml:space="preserve"> </t>
    </r>
    <r>
      <rPr>
        <sz val="12"/>
        <color rgb="FFFF0000"/>
        <rFont val="B Nazanin"/>
        <charset val="178"/>
      </rPr>
      <t>*</t>
    </r>
    <r>
      <rPr>
        <sz val="12"/>
        <color theme="1"/>
        <rFont val="B Nazanin"/>
        <charset val="178"/>
      </rPr>
      <t xml:space="preserve"> در جداول ذیل فقط خانه های خاکستری رنگ را تغییر دهید</t>
    </r>
  </si>
  <si>
    <t>به همراه موتور</t>
  </si>
  <si>
    <t>پارچه EPS-PVC با لایه محافظ اکریلیک از نوع Black Out شرکت مهلر آلمان</t>
  </si>
  <si>
    <t xml:space="preserve">120Nm بکر آلمان </t>
  </si>
  <si>
    <t>مقاطع اختصاصی آلومینیومی</t>
  </si>
  <si>
    <t xml:space="preserve">  سازه سقف تمام آلومینیوم  دارای پوشش رنگ پودری‌الکترو‌استاتیک با پخت کوره‌ای </t>
  </si>
  <si>
    <r>
      <rPr>
        <sz val="10"/>
        <color rgb="FFFF0000"/>
        <rFont val="B Nazanin"/>
        <charset val="178"/>
      </rPr>
      <t>*</t>
    </r>
    <r>
      <rPr>
        <sz val="10"/>
        <color rgb="FF66FFFF"/>
        <rFont val="B Nazanin"/>
        <charset val="178"/>
      </rPr>
      <t xml:space="preserve"> </t>
    </r>
    <r>
      <rPr>
        <sz val="10"/>
        <rFont val="B Nazanin"/>
        <charset val="178"/>
      </rPr>
      <t>برای انتخاب ساختارهای سقف ، اگر فقط ساختار اصلی را بخواهید انتخاب کنید حتما ساختار فرعی باید در حالت Nothing باشد .</t>
    </r>
  </si>
  <si>
    <t>سقف ثابت پارچه ای</t>
  </si>
  <si>
    <t>نوع موتور</t>
  </si>
  <si>
    <t xml:space="preserve">120Nm  سامفی فرانسه </t>
  </si>
  <si>
    <t>مستطیلی</t>
  </si>
  <si>
    <t>مثلثی</t>
  </si>
  <si>
    <t>تخفیف در هر سیستم</t>
  </si>
  <si>
    <t>تخفیف شرکت همکار</t>
  </si>
  <si>
    <t>تخفیف ویژه طبق دستور مدیر عامل</t>
  </si>
  <si>
    <t>تخفیف کارشناس فروش</t>
  </si>
  <si>
    <t>تخفیف</t>
  </si>
  <si>
    <t>تنظیم کننده :</t>
  </si>
  <si>
    <t>تنظیم کننده پیش فاکتور</t>
  </si>
  <si>
    <t>گلچهره</t>
  </si>
  <si>
    <t>سیامک</t>
  </si>
  <si>
    <t>پورملائکه</t>
  </si>
  <si>
    <t>سیستم روشنایی</t>
  </si>
  <si>
    <t>Increase value</t>
  </si>
  <si>
    <t>آلومینیوم مازاد در سیستم نور خطی</t>
  </si>
  <si>
    <t>مبلغ</t>
  </si>
  <si>
    <t>درصد</t>
  </si>
  <si>
    <t>مبلغ تخفیف</t>
  </si>
  <si>
    <t>درصد تخفیف</t>
  </si>
  <si>
    <t>نوع تخفیف</t>
  </si>
  <si>
    <t>عنوان تخفیف</t>
  </si>
  <si>
    <t xml:space="preserve">• تمامی هزینه های ایاب و ذهاب پرسنل و اسکان در شهرستان ها به عهده کارفرما می باشد. </t>
  </si>
  <si>
    <t>شرکت</t>
  </si>
  <si>
    <t>نام شرکت</t>
  </si>
  <si>
    <t>اختصاصی سایه روشن 120Nm</t>
  </si>
  <si>
    <t>مونا مردانی</t>
  </si>
  <si>
    <t>FERRARI SOLTIC 622 VANILLA OPAQUE</t>
  </si>
  <si>
    <t>FERRARI SOLTIC 622 WHITE OPAQUE</t>
  </si>
  <si>
    <t>FERRARI SOLTIC 622 ANTHRAZITE OPAQUE</t>
  </si>
  <si>
    <t>FERRARI SOLTIC 622 GREY OPAQUE</t>
  </si>
  <si>
    <t>MEHLER VANILLA OPAQUE</t>
  </si>
  <si>
    <t>MEHLER VANILLA OPAQUE 3D</t>
  </si>
  <si>
    <t xml:space="preserve">FERRARI SOLTIC 622 VANILLA </t>
  </si>
  <si>
    <t xml:space="preserve">FERRARI SOLTIC 622 WHITE </t>
  </si>
  <si>
    <t xml:space="preserve">FERRARI SOLTIC 622 GREY </t>
  </si>
  <si>
    <t xml:space="preserve">FERRARI SOLTIC 622 ANTHRAZITE </t>
  </si>
  <si>
    <t>FERRARI FLEXLIGHT 6002 VANILLA OPAQUE-Matte PVDF</t>
  </si>
  <si>
    <t>FERRARI FLEXLIGHT 6002 WHITE OPAQUE-Matte PVDF</t>
  </si>
  <si>
    <t>FERRARI FLEXLIGHT 6002 GREY OPAQUE-Matte PVDF</t>
  </si>
  <si>
    <t>FERRARI FLEXLIGHT 6002 ANTHRAZITE OPAQUE-Matte PVDF</t>
  </si>
  <si>
    <t>FERRARI FLEXLIGHT 6002 VANILLA-Matte PVDF</t>
  </si>
  <si>
    <t>FERRARI FLEXLIGHT 6002 WHITE-Matte PVDF</t>
  </si>
  <si>
    <t>FERRARI FLEXLIGHT 6002 GREY-Matte PVDF</t>
  </si>
  <si>
    <t>FERRARI FLEXLIGHT 6002 ANTHRAZITE-Matte PVDF</t>
  </si>
  <si>
    <t>1403/01/20</t>
  </si>
  <si>
    <t xml:space="preserve">امین دارابی </t>
  </si>
  <si>
    <t>سارا قشقاوی</t>
  </si>
  <si>
    <t>روژین سبحانی</t>
  </si>
  <si>
    <t>نوع پارچه</t>
  </si>
  <si>
    <t>SALE</t>
  </si>
  <si>
    <t>• سازه فولادی بعهده کارفرما و در صورت درخواست مبنی بر ساخت توسط پیمانکار، بابت کارمزد به ازای هر کیلوگرم مبلغ 690.000 ریال دریافت می‌شود.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</si>
</sst>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"/>
    <numFmt numFmtId="165" formatCode="#,##0.0"/>
    <numFmt numFmtId="166" formatCode="_(\P* #,##0_);_(\P* \(#,##0\);_(\P* &quot;-&quot;_);_(@_)"/>
    <numFmt numFmtId="167" formatCode="_(\ع\د\د\ \س\ی\س\ت\م* #,##0_);_(\ع\د\د\ \س\ی\س\ت\م* \(#,##0\);_(\ع\د\د\ \س\ی\س\ت\م* &quot;-&quot;_);_(@_)"/>
    <numFmt numFmtId="168" formatCode="_(\س\ا\ن\ت\ی\ \م\ت\ر\ \ع\ر\ض\ \د\ه\ا\ن\ه* #,##0_);_(\س\ا\ن\ت\ی\ \م\ت\ر\ \ع\ر\ض\ \د\ه\ا\ن\ه* \(#,##0\);_(\س\ا\ن\ت\ی\ \م\ت\ر\ \ع\ر\ض\ \د\ه\ا\ن\ه* &quot;-&quot;_);_(@_)"/>
    <numFmt numFmtId="169" formatCode="_(\س\ا\ن\ت\ی\ \م\ت\ر\ \ط\و\ل\ \ر\ی\ل* #,##0_);_(\س\ا\ن\ت\ی\ \م\ت\ر\ \ط\و\ل\ \ر\ی\ل* \(#,##0\);_(\س\ا\ن\ت\ی\ \م\ت\ر\ \ط\و\ل\ \ر\ی\ل* &quot;-&quot;_);_(@_)"/>
    <numFmt numFmtId="170" formatCode="_(&quot;ریال&quot;* #,##0_);_(&quot;ریال&quot;* \(#,##0\);_(&quot;ریال&quot;* &quot;-&quot;?_);_(@_)"/>
    <numFmt numFmtId="171" formatCode="_(\ر\و\ز\ \ک\ا\ر\ی* #,##0_);_(\ر\و\ز\ \ک\ا\ر\ی* \(#,##0\);_(\ر\و\ز\ \ک\ا\ر\ی* &quot;-&quot;_);_(@_)"/>
    <numFmt numFmtId="172" formatCode="_(\ع\د\د\ \س\ق\ف\ \ث\ا\ب\ت\ \پ\ا\ر\چ\ه\ \ا\ی* #,##0_);_(\ع\د\د\ \س\ق\ف\ \ث\ا\ب\ت\ \پ\ا\ر\چ\ه\ \ا\ی* \(#,##0\);_(\ع\د\د\ \س\ق\ف\ \ث\ا\ب\ت\ \پ\ا\ر\چ\ه\ \ا\ی* &quot;-&quot;_);_(@_)"/>
    <numFmt numFmtId="173" formatCode="_(\س\ا\ن\ت\ی\م\ت\ر\ \ط\و\ل* #,##0_);_(\س\ا\ن\ت\ی\م\ت\ر\ \ط\و\ل* \(#,##0\);_(\س\ا\ن\ت\ی\م\ت\ر\ \ط\و\ل* &quot;-&quot;_);_(@_)"/>
    <numFmt numFmtId="174" formatCode="_(\س\ا\ن\ت\ی\م\ت\ر\ \ع\ر\ض* #,##0_);_(\س\ا\ن\ت\ی\م\ت\ر\ \ع\ر\ض* \(#,##0\);_(\س\ا\ن\ت\ی\م\ت\ر\ \ع\ر\ض* &quot;-&quot;_);_(@_)"/>
    <numFmt numFmtId="175" formatCode="_(\م\ت\ر\م\ر\ب\ع* #,##0.00_);_(\م\ت\ر\م\ر\ب\ع* \(#,##0.00\);_(\م\ت\ر\م\ر\ب\ع* &quot;-&quot;_);_(@_)"/>
    <numFmt numFmtId="176" formatCode="_(\د\ر\ص\د* #,##0_);_(\د\ر\ص\د\ل* \(#,##0\);_(\د\ر\ص\د* &quot;-&quot;_);_(@_)"/>
  </numFmts>
  <fonts count="105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2"/>
      <color rgb="FF002060"/>
      <name val="Calibri"/>
      <family val="2"/>
    </font>
    <font>
      <b/>
      <i/>
      <sz val="16"/>
      <color rgb="FF002060"/>
      <name val="Calibri"/>
      <family val="2"/>
    </font>
    <font>
      <b/>
      <i/>
      <sz val="12"/>
      <color rgb="FF002060"/>
      <name val="Calibri"/>
      <family val="2"/>
    </font>
    <font>
      <b/>
      <sz val="11"/>
      <name val="Calibri"/>
      <family val="2"/>
    </font>
    <font>
      <b/>
      <sz val="9"/>
      <name val="Calibri"/>
      <family val="2"/>
    </font>
    <font>
      <b/>
      <sz val="16"/>
      <name val="Calibri"/>
      <family val="2"/>
    </font>
    <font>
      <b/>
      <i/>
      <sz val="16"/>
      <color rgb="FF00B050"/>
      <name val="Calibri"/>
      <family val="2"/>
    </font>
    <font>
      <b/>
      <i/>
      <sz val="16"/>
      <color rgb="FF00B0F0"/>
      <name val="Calibri"/>
      <family val="2"/>
    </font>
    <font>
      <b/>
      <sz val="12"/>
      <name val="Calibri"/>
      <family val="2"/>
    </font>
    <font>
      <b/>
      <sz val="16"/>
      <color rgb="FFFF0000"/>
      <name val="Calibri"/>
      <family val="2"/>
    </font>
    <font>
      <b/>
      <sz val="14"/>
      <color theme="3" tint="0.39997558519241921"/>
      <name val="Calibri"/>
      <family val="2"/>
    </font>
    <font>
      <b/>
      <sz val="16"/>
      <color theme="3" tint="0.39997558519241921"/>
      <name val="Calibri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  <font>
      <sz val="8"/>
      <color rgb="FF002060"/>
      <name val="Calibri"/>
      <family val="2"/>
    </font>
    <font>
      <sz val="9"/>
      <color rgb="FFFF0000"/>
      <name val="Calibri"/>
      <family val="2"/>
    </font>
    <font>
      <b/>
      <sz val="10"/>
      <color rgb="FF7030A0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9"/>
      <color theme="1"/>
      <name val="Calibri"/>
      <family val="2"/>
    </font>
    <font>
      <b/>
      <sz val="10"/>
      <color rgb="FF002060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11"/>
      <color rgb="FF7030A0"/>
      <name val="Calibri"/>
      <family val="2"/>
    </font>
    <font>
      <sz val="10"/>
      <color rgb="FF002060"/>
      <name val="Calibri"/>
      <family val="2"/>
    </font>
    <font>
      <sz val="12"/>
      <color theme="0"/>
      <name val="Calibri"/>
      <family val="2"/>
    </font>
    <font>
      <b/>
      <sz val="12"/>
      <color rgb="FF008000"/>
      <name val="Calibri"/>
      <family val="2"/>
    </font>
    <font>
      <b/>
      <sz val="8"/>
      <color rgb="FFFF0000"/>
      <name val="Calibri"/>
      <family val="2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sz val="12"/>
      <color theme="1"/>
      <name val="B Titr"/>
      <charset val="178"/>
    </font>
    <font>
      <sz val="11.5"/>
      <color theme="1"/>
      <name val="B Nazanin"/>
      <charset val="178"/>
    </font>
    <font>
      <sz val="11"/>
      <color theme="1"/>
      <name val="B Mitra"/>
      <charset val="178"/>
    </font>
    <font>
      <sz val="12"/>
      <color theme="1"/>
      <name val="B Mitra"/>
      <charset val="178"/>
    </font>
    <font>
      <sz val="12"/>
      <color rgb="FFFF0000"/>
      <name val="B Mitra"/>
      <charset val="178"/>
    </font>
    <font>
      <b/>
      <sz val="12"/>
      <color theme="1"/>
      <name val="B Mitra"/>
      <charset val="178"/>
    </font>
    <font>
      <sz val="12"/>
      <color theme="1" tint="0.34998626667073579"/>
      <name val="B Mitra"/>
      <charset val="178"/>
    </font>
    <font>
      <sz val="12"/>
      <color rgb="FF002060"/>
      <name val="B Mitra"/>
      <charset val="178"/>
    </font>
    <font>
      <sz val="16"/>
      <color theme="1"/>
      <name val="B Mitra"/>
      <charset val="178"/>
    </font>
    <font>
      <b/>
      <sz val="11"/>
      <color theme="1"/>
      <name val="B Mitra"/>
      <charset val="178"/>
    </font>
    <font>
      <sz val="14"/>
      <color theme="1"/>
      <name val="B Mitra"/>
      <charset val="178"/>
    </font>
    <font>
      <sz val="12"/>
      <color rgb="FFC00000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charset val="178"/>
      <scheme val="minor"/>
    </font>
    <font>
      <sz val="11"/>
      <color rgb="FFFFFF00"/>
      <name val="Calibri"/>
      <family val="2"/>
      <scheme val="minor"/>
    </font>
    <font>
      <sz val="11"/>
      <color rgb="FF66FFFF"/>
      <name val="Calibri"/>
      <family val="2"/>
      <scheme val="minor"/>
    </font>
    <font>
      <sz val="10"/>
      <color rgb="FF66FFFF"/>
      <name val="Calibri"/>
      <family val="2"/>
      <charset val="178"/>
      <scheme val="minor"/>
    </font>
    <font>
      <sz val="11"/>
      <color rgb="FF002060"/>
      <name val="Calibri"/>
      <family val="2"/>
      <scheme val="minor"/>
    </font>
    <font>
      <sz val="11"/>
      <color rgb="FF008000"/>
      <name val="Calibri"/>
      <family val="2"/>
      <scheme val="minor"/>
    </font>
    <font>
      <sz val="12"/>
      <color rgb="FFFF0000"/>
      <name val="B Nazanin"/>
      <charset val="178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sz val="10"/>
      <color theme="1"/>
      <name val="Calibri"/>
      <family val="2"/>
      <charset val="178"/>
      <scheme val="minor"/>
    </font>
    <font>
      <sz val="10"/>
      <color theme="0"/>
      <name val="B Nazanin"/>
      <charset val="178"/>
    </font>
    <font>
      <sz val="11"/>
      <color theme="0"/>
      <name val="Calibri"/>
      <family val="2"/>
      <charset val="178"/>
      <scheme val="minor"/>
    </font>
    <font>
      <i/>
      <u/>
      <sz val="11"/>
      <color theme="1"/>
      <name val="B Mitra"/>
      <charset val="178"/>
    </font>
    <font>
      <b/>
      <sz val="11"/>
      <color theme="1"/>
      <name val="B Nazanin"/>
      <charset val="178"/>
    </font>
    <font>
      <sz val="11"/>
      <color rgb="FF0070C0"/>
      <name val="Calibri"/>
      <family val="2"/>
      <scheme val="minor"/>
    </font>
    <font>
      <b/>
      <sz val="11"/>
      <color theme="0"/>
      <name val="B Nazanin"/>
      <charset val="178"/>
    </font>
    <font>
      <b/>
      <sz val="11"/>
      <color theme="0"/>
      <name val="Calibri"/>
      <family val="2"/>
      <charset val="178"/>
      <scheme val="minor"/>
    </font>
    <font>
      <sz val="11"/>
      <color rgb="FF0070C0"/>
      <name val="Calibri"/>
      <family val="2"/>
    </font>
    <font>
      <b/>
      <sz val="11"/>
      <name val="B Nazanin"/>
      <charset val="178"/>
    </font>
    <font>
      <b/>
      <sz val="11"/>
      <name val="Calibri"/>
      <family val="2"/>
      <charset val="178"/>
      <scheme val="minor"/>
    </font>
    <font>
      <b/>
      <sz val="11"/>
      <name val="Calibri"/>
      <family val="2"/>
      <scheme val="minor"/>
    </font>
    <font>
      <sz val="10"/>
      <color rgb="FF66FFFF"/>
      <name val="B Nazanin"/>
      <charset val="178"/>
    </font>
    <font>
      <sz val="10"/>
      <color rgb="FFFF0000"/>
      <name val="B Nazanin"/>
      <charset val="178"/>
    </font>
    <font>
      <sz val="10"/>
      <name val="B Nazanin"/>
      <charset val="178"/>
    </font>
    <font>
      <b/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0" tint="-0.249977111117893"/>
      <name val="Calibri"/>
      <family val="2"/>
    </font>
    <font>
      <sz val="10"/>
      <color rgb="FF0070C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1">
    <xf numFmtId="0" fontId="0" fillId="0" borderId="0" xfId="0"/>
    <xf numFmtId="0" fontId="7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2" fontId="0" fillId="0" borderId="0" xfId="0" applyNumberFormat="1" applyBorder="1"/>
    <xf numFmtId="0" fontId="12" fillId="4" borderId="0" xfId="0" applyFont="1" applyFill="1" applyBorder="1" applyAlignment="1">
      <alignment vertical="center"/>
    </xf>
    <xf numFmtId="3" fontId="7" fillId="4" borderId="0" xfId="0" applyNumberFormat="1" applyFont="1" applyFill="1" applyBorder="1" applyAlignment="1">
      <alignment horizontal="center" vertical="center" wrapText="1"/>
    </xf>
    <xf numFmtId="2" fontId="12" fillId="4" borderId="0" xfId="0" applyNumberFormat="1" applyFont="1" applyFill="1" applyBorder="1" applyAlignment="1">
      <alignment vertical="center"/>
    </xf>
    <xf numFmtId="3" fontId="7" fillId="4" borderId="0" xfId="0" applyNumberFormat="1" applyFont="1" applyFill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3" fontId="7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2" fontId="7" fillId="4" borderId="0" xfId="0" applyNumberFormat="1" applyFont="1" applyFill="1" applyBorder="1" applyAlignment="1">
      <alignment horizontal="center" vertical="center"/>
    </xf>
    <xf numFmtId="3" fontId="7" fillId="4" borderId="0" xfId="0" applyNumberFormat="1" applyFont="1" applyFill="1" applyBorder="1" applyAlignment="1">
      <alignment vertical="center"/>
    </xf>
    <xf numFmtId="2" fontId="0" fillId="4" borderId="0" xfId="0" applyNumberFormat="1" applyFill="1" applyBorder="1"/>
    <xf numFmtId="3" fontId="6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0" fontId="16" fillId="4" borderId="29" xfId="0" applyFont="1" applyFill="1" applyBorder="1" applyAlignment="1">
      <alignment horizontal="center"/>
    </xf>
    <xf numFmtId="0" fontId="16" fillId="4" borderId="29" xfId="0" applyFont="1" applyFill="1" applyBorder="1" applyAlignment="1">
      <alignment horizontal="center" vertical="center" wrapText="1"/>
    </xf>
    <xf numFmtId="0" fontId="16" fillId="4" borderId="29" xfId="0" applyFont="1" applyFill="1" applyBorder="1" applyAlignment="1">
      <alignment horizontal="center" vertical="center"/>
    </xf>
    <xf numFmtId="3" fontId="16" fillId="4" borderId="29" xfId="0" applyNumberFormat="1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 wrapText="1"/>
    </xf>
    <xf numFmtId="3" fontId="16" fillId="3" borderId="0" xfId="0" applyNumberFormat="1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1" fontId="16" fillId="3" borderId="0" xfId="0" applyNumberFormat="1" applyFont="1" applyFill="1" applyBorder="1" applyAlignment="1">
      <alignment horizontal="center" vertical="center"/>
    </xf>
    <xf numFmtId="0" fontId="20" fillId="3" borderId="29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 wrapText="1"/>
    </xf>
    <xf numFmtId="3" fontId="16" fillId="3" borderId="29" xfId="0" applyNumberFormat="1" applyFont="1" applyFill="1" applyBorder="1" applyAlignment="1">
      <alignment horizontal="center" vertical="center"/>
    </xf>
    <xf numFmtId="1" fontId="16" fillId="3" borderId="29" xfId="0" applyNumberFormat="1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3" fontId="16" fillId="4" borderId="0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 wrapText="1"/>
    </xf>
    <xf numFmtId="3" fontId="16" fillId="4" borderId="30" xfId="0" applyNumberFormat="1" applyFont="1" applyFill="1" applyBorder="1" applyAlignment="1">
      <alignment horizontal="center" vertical="center"/>
    </xf>
    <xf numFmtId="1" fontId="16" fillId="4" borderId="30" xfId="0" applyNumberFormat="1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 wrapText="1"/>
    </xf>
    <xf numFmtId="3" fontId="16" fillId="3" borderId="30" xfId="0" applyNumberFormat="1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 wrapText="1"/>
    </xf>
    <xf numFmtId="3" fontId="16" fillId="8" borderId="0" xfId="0" applyNumberFormat="1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 wrapText="1"/>
    </xf>
    <xf numFmtId="3" fontId="16" fillId="8" borderId="0" xfId="0" applyNumberFormat="1" applyFont="1" applyFill="1" applyBorder="1" applyAlignment="1">
      <alignment horizontal="center"/>
    </xf>
    <xf numFmtId="3" fontId="16" fillId="8" borderId="0" xfId="0" applyNumberFormat="1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center" wrapText="1"/>
    </xf>
    <xf numFmtId="3" fontId="25" fillId="3" borderId="1" xfId="0" applyNumberFormat="1" applyFont="1" applyFill="1" applyBorder="1" applyAlignment="1">
      <alignment horizontal="center" vertical="center"/>
    </xf>
    <xf numFmtId="3" fontId="16" fillId="3" borderId="1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3" fontId="26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3" fontId="16" fillId="9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 readingOrder="2"/>
    </xf>
    <xf numFmtId="0" fontId="17" fillId="3" borderId="1" xfId="0" applyFont="1" applyFill="1" applyBorder="1" applyAlignment="1">
      <alignment horizontal="center" vertical="center" readingOrder="2"/>
    </xf>
    <xf numFmtId="3" fontId="16" fillId="2" borderId="1" xfId="0" applyNumberFormat="1" applyFont="1" applyFill="1" applyBorder="1" applyAlignment="1">
      <alignment horizontal="center" vertical="center"/>
    </xf>
    <xf numFmtId="2" fontId="16" fillId="3" borderId="1" xfId="0" applyNumberFormat="1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3" fontId="30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3" fontId="17" fillId="3" borderId="1" xfId="0" applyNumberFormat="1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vertical="center"/>
    </xf>
    <xf numFmtId="0" fontId="25" fillId="3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3" fontId="2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/>
    <xf numFmtId="3" fontId="17" fillId="0" borderId="0" xfId="0" applyNumberFormat="1" applyFont="1" applyFill="1" applyBorder="1" applyAlignment="1">
      <alignment horizontal="center" vertical="center" wrapText="1"/>
    </xf>
    <xf numFmtId="3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3" fontId="25" fillId="0" borderId="0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32" fillId="0" borderId="0" xfId="0" applyNumberFormat="1" applyFont="1" applyFill="1" applyBorder="1" applyAlignment="1">
      <alignment horizontal="center" vertical="center" wrapText="1"/>
    </xf>
    <xf numFmtId="3" fontId="33" fillId="0" borderId="0" xfId="0" applyNumberFormat="1" applyFont="1" applyFill="1" applyBorder="1" applyAlignment="1">
      <alignment horizontal="center" vertical="center" wrapText="1"/>
    </xf>
    <xf numFmtId="3" fontId="16" fillId="3" borderId="0" xfId="0" applyNumberFormat="1" applyFont="1" applyFill="1" applyBorder="1" applyAlignment="1">
      <alignment vertical="center"/>
    </xf>
    <xf numFmtId="3" fontId="16" fillId="4" borderId="0" xfId="0" applyNumberFormat="1" applyFont="1" applyFill="1" applyBorder="1" applyAlignment="1">
      <alignment vertical="center"/>
    </xf>
    <xf numFmtId="3" fontId="16" fillId="4" borderId="0" xfId="0" applyNumberFormat="1" applyFont="1" applyFill="1" applyBorder="1" applyAlignment="1">
      <alignment horizontal="right" vertical="center"/>
    </xf>
    <xf numFmtId="3" fontId="16" fillId="10" borderId="1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3" fontId="34" fillId="3" borderId="1" xfId="0" applyNumberFormat="1" applyFont="1" applyFill="1" applyBorder="1" applyAlignment="1">
      <alignment horizontal="center" vertical="center" wrapText="1"/>
    </xf>
    <xf numFmtId="3" fontId="34" fillId="3" borderId="1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Border="1" applyAlignment="1">
      <alignment vertical="center" wrapText="1"/>
    </xf>
    <xf numFmtId="3" fontId="17" fillId="3" borderId="0" xfId="0" applyNumberFormat="1" applyFont="1" applyFill="1" applyBorder="1" applyAlignment="1">
      <alignment vertical="center" wrapText="1"/>
    </xf>
    <xf numFmtId="3" fontId="17" fillId="4" borderId="0" xfId="0" applyNumberFormat="1" applyFont="1" applyFill="1" applyBorder="1" applyAlignment="1">
      <alignment vertical="center" wrapText="1"/>
    </xf>
    <xf numFmtId="3" fontId="20" fillId="4" borderId="0" xfId="0" applyNumberFormat="1" applyFont="1" applyFill="1" applyBorder="1" applyAlignment="1">
      <alignment vertical="center" wrapText="1"/>
    </xf>
    <xf numFmtId="3" fontId="17" fillId="3" borderId="0" xfId="0" applyNumberFormat="1" applyFont="1" applyFill="1" applyBorder="1" applyAlignment="1">
      <alignment horizontal="left" vertical="center"/>
    </xf>
    <xf numFmtId="3" fontId="17" fillId="4" borderId="0" xfId="0" applyNumberFormat="1" applyFont="1" applyFill="1" applyBorder="1" applyAlignment="1">
      <alignment horizontal="left" vertical="center"/>
    </xf>
    <xf numFmtId="3" fontId="20" fillId="3" borderId="0" xfId="0" applyNumberFormat="1" applyFont="1" applyFill="1" applyBorder="1" applyAlignment="1">
      <alignment horizontal="left" vertical="center"/>
    </xf>
    <xf numFmtId="3" fontId="20" fillId="4" borderId="0" xfId="0" applyNumberFormat="1" applyFont="1" applyFill="1" applyBorder="1" applyAlignment="1">
      <alignment horizontal="left" vertical="center"/>
    </xf>
    <xf numFmtId="3" fontId="35" fillId="3" borderId="1" xfId="0" applyNumberFormat="1" applyFont="1" applyFill="1" applyBorder="1" applyAlignment="1">
      <alignment horizontal="center" vertical="center"/>
    </xf>
    <xf numFmtId="3" fontId="36" fillId="3" borderId="1" xfId="0" applyNumberFormat="1" applyFont="1" applyFill="1" applyBorder="1" applyAlignment="1">
      <alignment horizontal="center" vertical="center"/>
    </xf>
    <xf numFmtId="3" fontId="16" fillId="8" borderId="0" xfId="0" applyNumberFormat="1" applyFont="1" applyFill="1" applyBorder="1" applyAlignment="1">
      <alignment vertical="center"/>
    </xf>
    <xf numFmtId="0" fontId="16" fillId="3" borderId="0" xfId="0" applyFont="1" applyFill="1" applyBorder="1" applyAlignment="1">
      <alignment horizontal="left" vertical="center" wrapText="1"/>
    </xf>
    <xf numFmtId="3" fontId="0" fillId="0" borderId="0" xfId="0" applyNumberFormat="1"/>
    <xf numFmtId="0" fontId="20" fillId="4" borderId="30" xfId="0" applyFont="1" applyFill="1" applyBorder="1" applyAlignment="1">
      <alignment horizontal="center" vertical="center" wrapText="1"/>
    </xf>
    <xf numFmtId="2" fontId="17" fillId="3" borderId="1" xfId="0" applyNumberFormat="1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 wrapText="1"/>
    </xf>
    <xf numFmtId="3" fontId="17" fillId="3" borderId="0" xfId="0" applyNumberFormat="1" applyFont="1" applyFill="1" applyBorder="1" applyAlignment="1">
      <alignment horizontal="center" vertical="center" wrapText="1"/>
    </xf>
    <xf numFmtId="3" fontId="17" fillId="3" borderId="29" xfId="0" applyNumberFormat="1" applyFont="1" applyFill="1" applyBorder="1" applyAlignment="1">
      <alignment horizontal="center" vertical="center" wrapText="1"/>
    </xf>
    <xf numFmtId="3" fontId="38" fillId="3" borderId="0" xfId="0" applyNumberFormat="1" applyFont="1" applyFill="1" applyBorder="1" applyAlignment="1">
      <alignment horizontal="center" vertical="center" wrapText="1"/>
    </xf>
    <xf numFmtId="3" fontId="17" fillId="4" borderId="0" xfId="0" applyNumberFormat="1" applyFont="1" applyFill="1" applyBorder="1" applyAlignment="1">
      <alignment horizontal="center" vertical="center" wrapText="1"/>
    </xf>
    <xf numFmtId="3" fontId="17" fillId="4" borderId="29" xfId="0" applyNumberFormat="1" applyFont="1" applyFill="1" applyBorder="1" applyAlignment="1">
      <alignment horizontal="center" vertical="center" wrapText="1"/>
    </xf>
    <xf numFmtId="3" fontId="38" fillId="4" borderId="0" xfId="0" applyNumberFormat="1" applyFont="1" applyFill="1" applyBorder="1" applyAlignment="1">
      <alignment horizontal="center" vertical="center" wrapText="1"/>
    </xf>
    <xf numFmtId="3" fontId="17" fillId="4" borderId="30" xfId="0" applyNumberFormat="1" applyFont="1" applyFill="1" applyBorder="1" applyAlignment="1">
      <alignment horizontal="center" vertical="center" wrapText="1"/>
    </xf>
    <xf numFmtId="3" fontId="17" fillId="3" borderId="30" xfId="0" applyNumberFormat="1" applyFont="1" applyFill="1" applyBorder="1" applyAlignment="1">
      <alignment horizontal="center" vertical="center" wrapText="1"/>
    </xf>
    <xf numFmtId="3" fontId="16" fillId="8" borderId="29" xfId="0" applyNumberFormat="1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 wrapText="1"/>
    </xf>
    <xf numFmtId="3" fontId="17" fillId="8" borderId="0" xfId="0" applyNumberFormat="1" applyFont="1" applyFill="1" applyBorder="1" applyAlignment="1">
      <alignment horizontal="center" vertical="center" wrapText="1"/>
    </xf>
    <xf numFmtId="3" fontId="17" fillId="8" borderId="29" xfId="0" applyNumberFormat="1" applyFont="1" applyFill="1" applyBorder="1" applyAlignment="1">
      <alignment horizontal="center" vertical="center" wrapText="1"/>
    </xf>
    <xf numFmtId="3" fontId="17" fillId="8" borderId="30" xfId="0" applyNumberFormat="1" applyFont="1" applyFill="1" applyBorder="1" applyAlignment="1">
      <alignment horizontal="center" vertical="center" wrapText="1"/>
    </xf>
    <xf numFmtId="3" fontId="17" fillId="8" borderId="31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/>
    </xf>
    <xf numFmtId="2" fontId="40" fillId="0" borderId="1" xfId="0" applyNumberFormat="1" applyFont="1" applyBorder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3" fontId="16" fillId="9" borderId="29" xfId="0" applyNumberFormat="1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left" vertical="center" wrapText="1"/>
    </xf>
    <xf numFmtId="0" fontId="44" fillId="0" borderId="12" xfId="0" applyFont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3" fontId="11" fillId="4" borderId="0" xfId="0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vertical="center"/>
    </xf>
    <xf numFmtId="3" fontId="11" fillId="4" borderId="0" xfId="0" applyNumberFormat="1" applyFont="1" applyFill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165" fontId="47" fillId="0" borderId="16" xfId="0" applyNumberFormat="1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2" fontId="45" fillId="6" borderId="1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/>
    </xf>
    <xf numFmtId="0" fontId="44" fillId="7" borderId="1" xfId="0" applyFont="1" applyFill="1" applyBorder="1" applyAlignment="1">
      <alignment horizontal="center" vertical="center"/>
    </xf>
    <xf numFmtId="3" fontId="44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66" fontId="44" fillId="7" borderId="1" xfId="0" applyNumberFormat="1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3" fontId="46" fillId="0" borderId="1" xfId="0" applyNumberFormat="1" applyFont="1" applyFill="1" applyBorder="1" applyAlignment="1">
      <alignment horizontal="center" vertical="center"/>
    </xf>
    <xf numFmtId="1" fontId="41" fillId="6" borderId="1" xfId="0" applyNumberFormat="1" applyFont="1" applyFill="1" applyBorder="1" applyAlignment="1">
      <alignment horizontal="center" vertical="center"/>
    </xf>
    <xf numFmtId="0" fontId="41" fillId="6" borderId="12" xfId="0" applyFont="1" applyFill="1" applyBorder="1" applyAlignment="1">
      <alignment horizontal="center" vertical="center"/>
    </xf>
    <xf numFmtId="0" fontId="44" fillId="11" borderId="12" xfId="0" applyFont="1" applyFill="1" applyBorder="1" applyAlignment="1">
      <alignment horizontal="center" vertical="center"/>
    </xf>
    <xf numFmtId="0" fontId="11" fillId="12" borderId="20" xfId="0" applyFont="1" applyFill="1" applyBorder="1" applyAlignment="1">
      <alignment horizontal="center" vertical="center"/>
    </xf>
    <xf numFmtId="0" fontId="11" fillId="12" borderId="2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vertical="center"/>
    </xf>
    <xf numFmtId="0" fontId="11" fillId="4" borderId="21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vertical="center"/>
    </xf>
    <xf numFmtId="0" fontId="7" fillId="4" borderId="22" xfId="0" applyFont="1" applyFill="1" applyBorder="1" applyAlignment="1">
      <alignment horizontal="center" vertical="center"/>
    </xf>
    <xf numFmtId="2" fontId="7" fillId="4" borderId="28" xfId="0" applyNumberFormat="1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vertical="center"/>
    </xf>
    <xf numFmtId="0" fontId="7" fillId="12" borderId="18" xfId="0" applyFont="1" applyFill="1" applyBorder="1" applyAlignment="1">
      <alignment horizontal="center" vertical="center"/>
    </xf>
    <xf numFmtId="0" fontId="7" fillId="12" borderId="27" xfId="0" applyFont="1" applyFill="1" applyBorder="1" applyAlignment="1">
      <alignment horizontal="center" vertical="center"/>
    </xf>
    <xf numFmtId="2" fontId="0" fillId="12" borderId="27" xfId="0" applyNumberFormat="1" applyFill="1" applyBorder="1"/>
    <xf numFmtId="0" fontId="9" fillId="12" borderId="27" xfId="0" applyFont="1" applyFill="1" applyBorder="1" applyAlignment="1">
      <alignment vertical="center"/>
    </xf>
    <xf numFmtId="0" fontId="8" fillId="12" borderId="27" xfId="0" applyFont="1" applyFill="1" applyBorder="1" applyAlignment="1">
      <alignment vertical="center"/>
    </xf>
    <xf numFmtId="0" fontId="11" fillId="12" borderId="27" xfId="0" applyFont="1" applyFill="1" applyBorder="1" applyAlignment="1">
      <alignment horizontal="center" vertical="center"/>
    </xf>
    <xf numFmtId="3" fontId="7" fillId="12" borderId="19" xfId="0" applyNumberFormat="1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center" vertical="center"/>
    </xf>
    <xf numFmtId="3" fontId="7" fillId="12" borderId="21" xfId="0" applyNumberFormat="1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vertical="center" wrapText="1"/>
    </xf>
    <xf numFmtId="0" fontId="7" fillId="12" borderId="20" xfId="0" applyFont="1" applyFill="1" applyBorder="1" applyAlignment="1">
      <alignment horizontal="right" vertical="center"/>
    </xf>
    <xf numFmtId="0" fontId="7" fillId="12" borderId="22" xfId="0" applyFont="1" applyFill="1" applyBorder="1" applyAlignment="1">
      <alignment horizontal="center" vertical="center"/>
    </xf>
    <xf numFmtId="0" fontId="11" fillId="12" borderId="28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50" fillId="12" borderId="1" xfId="0" applyNumberFormat="1" applyFont="1" applyFill="1" applyBorder="1" applyAlignment="1">
      <alignment horizontal="center" vertical="center"/>
    </xf>
    <xf numFmtId="0" fontId="47" fillId="12" borderId="12" xfId="0" applyFont="1" applyFill="1" applyBorder="1" applyAlignment="1">
      <alignment horizontal="center" vertical="center"/>
    </xf>
    <xf numFmtId="2" fontId="49" fillId="7" borderId="1" xfId="0" applyNumberFormat="1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2" fontId="51" fillId="7" borderId="1" xfId="0" applyNumberFormat="1" applyFont="1" applyFill="1" applyBorder="1" applyAlignment="1">
      <alignment horizontal="center" vertical="center"/>
    </xf>
    <xf numFmtId="1" fontId="51" fillId="7" borderId="1" xfId="0" applyNumberFormat="1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3" fontId="16" fillId="3" borderId="0" xfId="0" applyNumberFormat="1" applyFont="1" applyFill="1" applyBorder="1" applyAlignment="1">
      <alignment horizontal="center" vertical="center"/>
    </xf>
    <xf numFmtId="3" fontId="16" fillId="3" borderId="29" xfId="0" applyNumberFormat="1" applyFont="1" applyFill="1" applyBorder="1" applyAlignment="1">
      <alignment horizontal="center" vertical="center"/>
    </xf>
    <xf numFmtId="3" fontId="16" fillId="4" borderId="29" xfId="0" applyNumberFormat="1" applyFont="1" applyFill="1" applyBorder="1" applyAlignment="1">
      <alignment horizontal="center" vertical="center"/>
    </xf>
    <xf numFmtId="3" fontId="16" fillId="4" borderId="0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quotePrefix="1" applyBorder="1"/>
    <xf numFmtId="0" fontId="54" fillId="0" borderId="0" xfId="0" applyFont="1" applyBorder="1" applyAlignment="1">
      <alignment vertical="center" readingOrder="2"/>
    </xf>
    <xf numFmtId="0" fontId="58" fillId="0" borderId="0" xfId="0" applyFont="1"/>
    <xf numFmtId="0" fontId="58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58" fillId="0" borderId="0" xfId="0" applyFont="1" applyAlignment="1">
      <alignment wrapText="1"/>
    </xf>
    <xf numFmtId="0" fontId="58" fillId="0" borderId="0" xfId="0" applyFont="1" applyAlignment="1">
      <alignment horizontal="right" wrapText="1"/>
    </xf>
    <xf numFmtId="0" fontId="58" fillId="0" borderId="0" xfId="0" applyFont="1" applyAlignment="1"/>
    <xf numFmtId="0" fontId="61" fillId="0" borderId="0" xfId="0" applyFont="1" applyAlignment="1"/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left"/>
    </xf>
    <xf numFmtId="0" fontId="58" fillId="0" borderId="0" xfId="0" applyFont="1" applyAlignment="1">
      <alignment horizontal="center"/>
    </xf>
    <xf numFmtId="0" fontId="62" fillId="0" borderId="0" xfId="0" applyFont="1" applyAlignment="1">
      <alignment horizontal="left"/>
    </xf>
    <xf numFmtId="0" fontId="62" fillId="0" borderId="0" xfId="0" applyFont="1"/>
    <xf numFmtId="0" fontId="64" fillId="0" borderId="0" xfId="0" applyFont="1"/>
    <xf numFmtId="2" fontId="65" fillId="0" borderId="4" xfId="0" applyNumberFormat="1" applyFont="1" applyBorder="1"/>
    <xf numFmtId="0" fontId="0" fillId="0" borderId="0" xfId="0" applyAlignment="1">
      <alignment readingOrder="1"/>
    </xf>
    <xf numFmtId="0" fontId="0" fillId="0" borderId="0" xfId="0" applyAlignment="1">
      <alignment readingOrder="2"/>
    </xf>
    <xf numFmtId="4" fontId="58" fillId="0" borderId="0" xfId="0" applyNumberFormat="1" applyFont="1" applyAlignment="1">
      <alignment horizontal="center" vertical="center"/>
    </xf>
    <xf numFmtId="170" fontId="58" fillId="0" borderId="0" xfId="0" applyNumberFormat="1" applyFont="1"/>
    <xf numFmtId="0" fontId="66" fillId="0" borderId="0" xfId="0" applyFont="1" applyAlignment="1">
      <alignment horizontal="center" readingOrder="2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 readingOrder="2"/>
    </xf>
    <xf numFmtId="0" fontId="0" fillId="0" borderId="0" xfId="0" quotePrefix="1" applyBorder="1" applyAlignment="1">
      <alignment horizontal="right"/>
    </xf>
    <xf numFmtId="0" fontId="54" fillId="0" borderId="0" xfId="0" applyFont="1" applyFill="1" applyBorder="1" applyAlignment="1">
      <alignment vertical="center" readingOrder="2"/>
    </xf>
    <xf numFmtId="0" fontId="0" fillId="0" borderId="0" xfId="0" applyBorder="1" applyAlignment="1">
      <alignment horizontal="center" vertical="center"/>
    </xf>
    <xf numFmtId="0" fontId="1" fillId="0" borderId="0" xfId="0" quotePrefix="1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58" fillId="0" borderId="0" xfId="0" applyFont="1" applyFill="1" applyAlignment="1"/>
    <xf numFmtId="0" fontId="58" fillId="0" borderId="0" xfId="0" applyFont="1" applyFill="1" applyAlignment="1">
      <alignment horizontal="center" vertical="center"/>
    </xf>
    <xf numFmtId="0" fontId="58" fillId="0" borderId="0" xfId="0" applyFont="1" applyFill="1"/>
    <xf numFmtId="0" fontId="61" fillId="0" borderId="0" xfId="0" applyFont="1" applyAlignment="1">
      <alignment horizontal="right"/>
    </xf>
    <xf numFmtId="0" fontId="72" fillId="0" borderId="0" xfId="0" applyFont="1" applyBorder="1" applyAlignment="1">
      <alignment horizontal="right" vertical="center" readingOrder="2"/>
    </xf>
    <xf numFmtId="0" fontId="68" fillId="0" borderId="0" xfId="0" applyFont="1" applyBorder="1" applyAlignment="1">
      <alignment horizontal="center" vertical="center"/>
    </xf>
    <xf numFmtId="49" fontId="54" fillId="0" borderId="0" xfId="0" applyNumberFormat="1" applyFont="1" applyBorder="1" applyAlignment="1">
      <alignment horizontal="right" vertical="center" readingOrder="2"/>
    </xf>
    <xf numFmtId="3" fontId="54" fillId="0" borderId="0" xfId="0" applyNumberFormat="1" applyFont="1" applyBorder="1" applyAlignment="1">
      <alignment horizontal="center" vertical="center" readingOrder="2"/>
    </xf>
    <xf numFmtId="3" fontId="54" fillId="0" borderId="0" xfId="0" applyNumberFormat="1" applyFont="1" applyBorder="1" applyAlignment="1">
      <alignment horizontal="center" vertical="center"/>
    </xf>
    <xf numFmtId="3" fontId="53" fillId="0" borderId="0" xfId="0" applyNumberFormat="1" applyFont="1" applyBorder="1" applyAlignment="1">
      <alignment horizontal="center" vertical="center" readingOrder="2"/>
    </xf>
    <xf numFmtId="0" fontId="54" fillId="0" borderId="0" xfId="0" applyFont="1" applyAlignment="1">
      <alignment horizontal="center" vertical="center"/>
    </xf>
    <xf numFmtId="3" fontId="57" fillId="0" borderId="0" xfId="0" applyNumberFormat="1" applyFont="1" applyBorder="1" applyAlignment="1">
      <alignment horizontal="right" vertical="center" wrapText="1" readingOrder="2"/>
    </xf>
    <xf numFmtId="0" fontId="54" fillId="0" borderId="0" xfId="0" applyFont="1" applyBorder="1" applyAlignment="1">
      <alignment horizontal="center" vertical="center"/>
    </xf>
    <xf numFmtId="0" fontId="53" fillId="0" borderId="1" xfId="0" applyFont="1" applyBorder="1" applyAlignment="1">
      <alignment horizontal="left" vertical="center"/>
    </xf>
    <xf numFmtId="0" fontId="53" fillId="0" borderId="25" xfId="0" applyFont="1" applyBorder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76" fillId="0" borderId="3" xfId="0" applyFont="1" applyBorder="1" applyAlignment="1">
      <alignment horizontal="center" vertical="center"/>
    </xf>
    <xf numFmtId="0" fontId="77" fillId="0" borderId="3" xfId="0" applyFont="1" applyBorder="1" applyAlignment="1">
      <alignment vertical="center" readingOrder="2"/>
    </xf>
    <xf numFmtId="2" fontId="76" fillId="0" borderId="4" xfId="0" applyNumberFormat="1" applyFont="1" applyBorder="1" applyAlignment="1">
      <alignment horizontal="left" vertical="center" readingOrder="2"/>
    </xf>
    <xf numFmtId="0" fontId="76" fillId="0" borderId="24" xfId="0" applyFont="1" applyBorder="1" applyAlignment="1">
      <alignment horizontal="center" vertical="center" readingOrder="2"/>
    </xf>
    <xf numFmtId="0" fontId="76" fillId="0" borderId="34" xfId="0" applyFont="1" applyBorder="1" applyAlignment="1">
      <alignment horizontal="center" vertical="center" readingOrder="2"/>
    </xf>
    <xf numFmtId="167" fontId="76" fillId="0" borderId="35" xfId="0" applyNumberFormat="1" applyFont="1" applyBorder="1" applyAlignment="1">
      <alignment horizontal="center" vertical="center" readingOrder="2"/>
    </xf>
    <xf numFmtId="0" fontId="78" fillId="3" borderId="38" xfId="0" applyFont="1" applyFill="1" applyBorder="1" applyAlignment="1">
      <alignment horizontal="center" vertical="center"/>
    </xf>
    <xf numFmtId="0" fontId="76" fillId="0" borderId="36" xfId="0" applyFont="1" applyBorder="1" applyAlignment="1">
      <alignment horizontal="center" vertical="top" wrapText="1" readingOrder="2"/>
    </xf>
    <xf numFmtId="168" fontId="76" fillId="0" borderId="37" xfId="0" applyNumberFormat="1" applyFont="1" applyBorder="1" applyAlignment="1">
      <alignment horizontal="center" vertical="center" readingOrder="2"/>
    </xf>
    <xf numFmtId="167" fontId="76" fillId="0" borderId="45" xfId="0" applyNumberFormat="1" applyFont="1" applyBorder="1" applyAlignment="1">
      <alignment horizontal="center" vertical="center" readingOrder="2"/>
    </xf>
    <xf numFmtId="0" fontId="78" fillId="3" borderId="46" xfId="0" applyFont="1" applyFill="1" applyBorder="1" applyAlignment="1">
      <alignment horizontal="center" vertical="center"/>
    </xf>
    <xf numFmtId="168" fontId="76" fillId="0" borderId="44" xfId="0" applyNumberFormat="1" applyFont="1" applyBorder="1" applyAlignment="1">
      <alignment horizontal="center" vertical="center" readingOrder="2"/>
    </xf>
    <xf numFmtId="0" fontId="76" fillId="0" borderId="2" xfId="0" applyFont="1" applyBorder="1" applyAlignment="1">
      <alignment horizontal="center" vertical="center" readingOrder="2"/>
    </xf>
    <xf numFmtId="0" fontId="76" fillId="0" borderId="2" xfId="0" applyFont="1" applyBorder="1" applyAlignment="1">
      <alignment vertical="center" readingOrder="2"/>
    </xf>
    <xf numFmtId="0" fontId="76" fillId="0" borderId="3" xfId="0" applyFont="1" applyBorder="1" applyAlignment="1">
      <alignment vertical="center" readingOrder="2"/>
    </xf>
    <xf numFmtId="0" fontId="79" fillId="0" borderId="4" xfId="0" applyFont="1" applyBorder="1" applyAlignment="1">
      <alignment vertical="center" readingOrder="2"/>
    </xf>
    <xf numFmtId="1" fontId="76" fillId="0" borderId="10" xfId="0" applyNumberFormat="1" applyFont="1" applyBorder="1" applyAlignment="1">
      <alignment horizontal="center" vertical="center" readingOrder="1"/>
    </xf>
    <xf numFmtId="0" fontId="76" fillId="0" borderId="8" xfId="0" applyFont="1" applyBorder="1" applyAlignment="1">
      <alignment horizontal="center" vertical="center" readingOrder="2"/>
    </xf>
    <xf numFmtId="3" fontId="76" fillId="0" borderId="1" xfId="0" applyNumberFormat="1" applyFont="1" applyBorder="1" applyAlignment="1">
      <alignment horizontal="center" vertical="center" readingOrder="2"/>
    </xf>
    <xf numFmtId="1" fontId="76" fillId="0" borderId="4" xfId="0" applyNumberFormat="1" applyFont="1" applyBorder="1" applyAlignment="1">
      <alignment horizontal="center" vertical="center" readingOrder="1"/>
    </xf>
    <xf numFmtId="3" fontId="76" fillId="0" borderId="1" xfId="0" applyNumberFormat="1" applyFont="1" applyBorder="1" applyAlignment="1">
      <alignment horizontal="center" vertical="center"/>
    </xf>
    <xf numFmtId="3" fontId="76" fillId="0" borderId="9" xfId="0" applyNumberFormat="1" applyFont="1" applyBorder="1" applyAlignment="1">
      <alignment vertical="center" readingOrder="2"/>
    </xf>
    <xf numFmtId="0" fontId="57" fillId="0" borderId="0" xfId="0" applyFont="1" applyAlignment="1">
      <alignment horizontal="right" vertical="center" wrapText="1" readingOrder="2"/>
    </xf>
    <xf numFmtId="0" fontId="0" fillId="0" borderId="0" xfId="0" applyAlignment="1">
      <alignment horizontal="right" wrapText="1" readingOrder="2"/>
    </xf>
    <xf numFmtId="3" fontId="57" fillId="0" borderId="0" xfId="0" applyNumberFormat="1" applyFont="1" applyBorder="1" applyAlignment="1">
      <alignment horizontal="right" vertical="center" wrapText="1" readingOrder="2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76" fillId="0" borderId="0" xfId="0" applyFont="1" applyBorder="1" applyAlignment="1">
      <alignment horizontal="center" vertical="center" readingOrder="2"/>
    </xf>
    <xf numFmtId="0" fontId="54" fillId="0" borderId="0" xfId="0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2" fontId="76" fillId="0" borderId="0" xfId="0" applyNumberFormat="1" applyFont="1" applyBorder="1" applyAlignment="1">
      <alignment horizontal="left" vertical="center" readingOrder="2"/>
    </xf>
    <xf numFmtId="3" fontId="76" fillId="0" borderId="0" xfId="0" applyNumberFormat="1" applyFont="1" applyBorder="1" applyAlignment="1">
      <alignment horizontal="center" vertical="center" readingOrder="2"/>
    </xf>
    <xf numFmtId="3" fontId="76" fillId="0" borderId="0" xfId="0" applyNumberFormat="1" applyFont="1" applyBorder="1" applyAlignment="1">
      <alignment horizontal="center" vertical="center"/>
    </xf>
    <xf numFmtId="170" fontId="63" fillId="0" borderId="0" xfId="0" applyNumberFormat="1" applyFont="1" applyAlignment="1">
      <alignment horizontal="center"/>
    </xf>
    <xf numFmtId="0" fontId="58" fillId="0" borderId="0" xfId="0" applyFont="1" applyAlignment="1">
      <alignment horizontal="center"/>
    </xf>
    <xf numFmtId="0" fontId="54" fillId="0" borderId="0" xfId="0" applyFont="1" applyAlignment="1">
      <alignment horizontal="center" vertical="center"/>
    </xf>
    <xf numFmtId="170" fontId="57" fillId="0" borderId="0" xfId="0" applyNumberFormat="1" applyFont="1"/>
    <xf numFmtId="0" fontId="58" fillId="0" borderId="0" xfId="0" applyFont="1" applyAlignment="1">
      <alignment horizontal="right"/>
    </xf>
    <xf numFmtId="0" fontId="76" fillId="0" borderId="2" xfId="0" applyFont="1" applyBorder="1" applyAlignment="1">
      <alignment horizontal="center" vertical="center" readingOrder="2"/>
    </xf>
    <xf numFmtId="0" fontId="76" fillId="0" borderId="1" xfId="0" applyFont="1" applyBorder="1" applyAlignment="1">
      <alignment horizontal="center" vertical="center" readingOrder="2"/>
    </xf>
    <xf numFmtId="0" fontId="81" fillId="0" borderId="0" xfId="0" applyFont="1" applyAlignment="1">
      <alignment horizontal="center" vertical="center" readingOrder="2"/>
    </xf>
    <xf numFmtId="0" fontId="64" fillId="0" borderId="0" xfId="0" applyFont="1" applyAlignment="1">
      <alignment horizontal="center" vertical="center" readingOrder="2"/>
    </xf>
    <xf numFmtId="171" fontId="82" fillId="0" borderId="0" xfId="0" applyNumberFormat="1" applyFont="1" applyBorder="1" applyAlignment="1">
      <alignment vertical="center" readingOrder="2"/>
    </xf>
    <xf numFmtId="3" fontId="57" fillId="0" borderId="0" xfId="0" applyNumberFormat="1" applyFont="1" applyBorder="1" applyAlignment="1">
      <alignment vertical="center" wrapText="1" readingOrder="2"/>
    </xf>
    <xf numFmtId="0" fontId="53" fillId="0" borderId="1" xfId="0" applyFont="1" applyBorder="1" applyAlignment="1">
      <alignment horizontal="right" vertical="center"/>
    </xf>
    <xf numFmtId="0" fontId="53" fillId="0" borderId="25" xfId="0" applyFont="1" applyBorder="1" applyAlignment="1">
      <alignment horizontal="right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 wrapText="1" readingOrder="2"/>
    </xf>
    <xf numFmtId="0" fontId="70" fillId="0" borderId="50" xfId="0" applyFont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6" fillId="0" borderId="34" xfId="0" applyFont="1" applyBorder="1" applyAlignment="1">
      <alignment horizontal="center" vertical="center" readingOrder="2"/>
    </xf>
    <xf numFmtId="0" fontId="76" fillId="0" borderId="1" xfId="0" applyFont="1" applyBorder="1" applyAlignment="1">
      <alignment horizontal="center" vertical="center" readingOrder="2"/>
    </xf>
    <xf numFmtId="0" fontId="76" fillId="0" borderId="5" xfId="0" applyFont="1" applyBorder="1" applyAlignment="1">
      <alignment horizontal="center" vertical="center" readingOrder="2"/>
    </xf>
    <xf numFmtId="0" fontId="53" fillId="0" borderId="0" xfId="0" applyFont="1" applyAlignment="1">
      <alignment horizontal="center" vertical="center"/>
    </xf>
    <xf numFmtId="0" fontId="0" fillId="12" borderId="0" xfId="0" applyFill="1"/>
    <xf numFmtId="0" fontId="0" fillId="12" borderId="0" xfId="0" applyFill="1" applyBorder="1" applyAlignment="1">
      <alignment horizontal="center" vertical="center"/>
    </xf>
    <xf numFmtId="0" fontId="76" fillId="3" borderId="33" xfId="0" applyFont="1" applyFill="1" applyBorder="1" applyAlignment="1">
      <alignment horizontal="left" vertical="center" readingOrder="2"/>
    </xf>
    <xf numFmtId="173" fontId="76" fillId="0" borderId="60" xfId="0" applyNumberFormat="1" applyFont="1" applyBorder="1" applyAlignment="1">
      <alignment vertical="center" readingOrder="2"/>
    </xf>
    <xf numFmtId="174" fontId="76" fillId="0" borderId="60" xfId="0" applyNumberFormat="1" applyFont="1" applyBorder="1" applyAlignment="1">
      <alignment vertical="center" readingOrder="2"/>
    </xf>
    <xf numFmtId="0" fontId="55" fillId="0" borderId="0" xfId="0" applyFont="1" applyBorder="1" applyAlignment="1">
      <alignment vertical="center"/>
    </xf>
    <xf numFmtId="0" fontId="76" fillId="0" borderId="2" xfId="0" applyFont="1" applyBorder="1" applyAlignment="1">
      <alignment horizontal="center" vertical="center" readingOrder="2"/>
    </xf>
    <xf numFmtId="3" fontId="44" fillId="13" borderId="12" xfId="0" applyNumberFormat="1" applyFont="1" applyFill="1" applyBorder="1" applyAlignment="1">
      <alignment vertical="center"/>
    </xf>
    <xf numFmtId="0" fontId="44" fillId="13" borderId="13" xfId="0" applyFont="1" applyFill="1" applyBorder="1" applyAlignment="1">
      <alignment vertical="center"/>
    </xf>
    <xf numFmtId="0" fontId="44" fillId="13" borderId="12" xfId="0" applyFont="1" applyFill="1" applyBorder="1" applyAlignment="1">
      <alignment vertical="center"/>
    </xf>
    <xf numFmtId="2" fontId="74" fillId="3" borderId="1" xfId="0" applyNumberFormat="1" applyFont="1" applyFill="1" applyBorder="1" applyAlignment="1">
      <alignment horizontal="center" vertical="center"/>
    </xf>
    <xf numFmtId="3" fontId="76" fillId="0" borderId="3" xfId="0" applyNumberFormat="1" applyFont="1" applyBorder="1" applyAlignment="1">
      <alignment vertical="center" readingOrder="1"/>
    </xf>
    <xf numFmtId="3" fontId="76" fillId="0" borderId="4" xfId="0" applyNumberFormat="1" applyFont="1" applyBorder="1" applyAlignment="1">
      <alignment horizontal="center" vertical="center"/>
    </xf>
    <xf numFmtId="3" fontId="76" fillId="0" borderId="9" xfId="0" applyNumberFormat="1" applyFont="1" applyBorder="1" applyAlignment="1">
      <alignment vertical="center" readingOrder="1"/>
    </xf>
    <xf numFmtId="0" fontId="0" fillId="0" borderId="2" xfId="0" applyBorder="1"/>
    <xf numFmtId="0" fontId="0" fillId="0" borderId="3" xfId="0" applyBorder="1"/>
    <xf numFmtId="176" fontId="76" fillId="0" borderId="3" xfId="0" applyNumberFormat="1" applyFont="1" applyBorder="1" applyAlignment="1">
      <alignment vertical="center" readingOrder="2"/>
    </xf>
    <xf numFmtId="0" fontId="76" fillId="0" borderId="12" xfId="0" applyFont="1" applyBorder="1" applyAlignment="1">
      <alignment vertical="center" readingOrder="2"/>
    </xf>
    <xf numFmtId="0" fontId="76" fillId="0" borderId="68" xfId="0" applyFont="1" applyBorder="1" applyAlignment="1">
      <alignment vertical="center" readingOrder="2"/>
    </xf>
    <xf numFmtId="3" fontId="57" fillId="0" borderId="0" xfId="0" applyNumberFormat="1" applyFont="1" applyBorder="1" applyAlignment="1">
      <alignment horizontal="right" vertical="center" wrapText="1" readingOrder="2"/>
    </xf>
    <xf numFmtId="3" fontId="57" fillId="0" borderId="0" xfId="0" applyNumberFormat="1" applyFont="1" applyBorder="1" applyAlignment="1">
      <alignment horizontal="right" vertical="center" wrapText="1" readingOrder="2"/>
    </xf>
    <xf numFmtId="0" fontId="76" fillId="0" borderId="34" xfId="0" applyFont="1" applyBorder="1" applyAlignment="1">
      <alignment horizontal="center" vertical="center" readingOrder="2"/>
    </xf>
    <xf numFmtId="0" fontId="76" fillId="0" borderId="26" xfId="0" applyFont="1" applyBorder="1" applyAlignment="1">
      <alignment horizontal="center" vertical="center" readingOrder="2"/>
    </xf>
    <xf numFmtId="3" fontId="18" fillId="0" borderId="1" xfId="0" applyNumberFormat="1" applyFont="1" applyFill="1" applyBorder="1" applyAlignment="1">
      <alignment horizontal="center" vertical="center"/>
    </xf>
    <xf numFmtId="165" fontId="20" fillId="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71" fillId="0" borderId="32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3" fontId="73" fillId="3" borderId="17" xfId="0" applyNumberFormat="1" applyFont="1" applyFill="1" applyBorder="1" applyAlignment="1">
      <alignment horizontal="center" vertical="center"/>
    </xf>
    <xf numFmtId="0" fontId="73" fillId="3" borderId="17" xfId="0" applyFont="1" applyFill="1" applyBorder="1" applyAlignment="1">
      <alignment horizontal="center" vertical="center"/>
    </xf>
    <xf numFmtId="3" fontId="73" fillId="3" borderId="67" xfId="0" applyNumberFormat="1" applyFont="1" applyFill="1" applyBorder="1" applyAlignment="1">
      <alignment horizontal="center" vertical="center"/>
    </xf>
    <xf numFmtId="0" fontId="89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9" fillId="6" borderId="12" xfId="0" applyFont="1" applyFill="1" applyBorder="1" applyAlignment="1">
      <alignment horizontal="center" vertical="center"/>
    </xf>
    <xf numFmtId="0" fontId="89" fillId="6" borderId="25" xfId="0" applyFont="1" applyFill="1" applyBorder="1" applyAlignment="1">
      <alignment horizontal="center" vertical="center"/>
    </xf>
    <xf numFmtId="0" fontId="89" fillId="6" borderId="66" xfId="0" applyFont="1" applyFill="1" applyBorder="1" applyAlignment="1">
      <alignment horizontal="center" vertical="center"/>
    </xf>
    <xf numFmtId="0" fontId="89" fillId="6" borderId="17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8" fillId="0" borderId="12" xfId="0" applyFont="1" applyBorder="1" applyAlignment="1">
      <alignment vertical="center"/>
    </xf>
    <xf numFmtId="0" fontId="78" fillId="0" borderId="68" xfId="0" applyFont="1" applyBorder="1" applyAlignment="1">
      <alignment vertical="center"/>
    </xf>
    <xf numFmtId="171" fontId="87" fillId="6" borderId="2" xfId="0" applyNumberFormat="1" applyFont="1" applyFill="1" applyBorder="1" applyAlignment="1">
      <alignment horizontal="center" vertical="center"/>
    </xf>
    <xf numFmtId="0" fontId="83" fillId="0" borderId="2" xfId="0" applyFont="1" applyFill="1" applyBorder="1" applyAlignment="1">
      <alignment horizontal="center" vertical="center"/>
    </xf>
    <xf numFmtId="3" fontId="98" fillId="0" borderId="15" xfId="0" applyNumberFormat="1" applyFont="1" applyFill="1" applyBorder="1" applyAlignment="1">
      <alignment horizontal="center" vertical="center"/>
    </xf>
    <xf numFmtId="3" fontId="98" fillId="0" borderId="16" xfId="0" applyNumberFormat="1" applyFont="1" applyFill="1" applyBorder="1" applyAlignment="1">
      <alignment horizontal="center" vertical="center"/>
    </xf>
    <xf numFmtId="3" fontId="44" fillId="13" borderId="68" xfId="0" applyNumberFormat="1" applyFont="1" applyFill="1" applyBorder="1" applyAlignment="1">
      <alignment vertical="center"/>
    </xf>
    <xf numFmtId="3" fontId="98" fillId="0" borderId="48" xfId="0" applyNumberFormat="1" applyFont="1" applyFill="1" applyBorder="1" applyAlignment="1">
      <alignment horizontal="center" vertical="center"/>
    </xf>
    <xf numFmtId="0" fontId="76" fillId="0" borderId="13" xfId="0" applyFont="1" applyBorder="1" applyAlignment="1">
      <alignment vertical="center" readingOrder="2"/>
    </xf>
    <xf numFmtId="3" fontId="97" fillId="0" borderId="15" xfId="0" applyNumberFormat="1" applyFont="1" applyFill="1" applyBorder="1" applyAlignment="1">
      <alignment horizontal="center" vertical="center"/>
    </xf>
    <xf numFmtId="3" fontId="97" fillId="0" borderId="16" xfId="0" applyNumberFormat="1" applyFont="1" applyFill="1" applyBorder="1" applyAlignment="1">
      <alignment horizontal="center" vertical="center"/>
    </xf>
    <xf numFmtId="3" fontId="97" fillId="0" borderId="48" xfId="0" applyNumberFormat="1" applyFont="1" applyFill="1" applyBorder="1" applyAlignment="1">
      <alignment horizontal="center" vertical="center"/>
    </xf>
    <xf numFmtId="0" fontId="83" fillId="0" borderId="63" xfId="0" applyFont="1" applyFill="1" applyBorder="1" applyAlignment="1">
      <alignment horizontal="center" vertical="center"/>
    </xf>
    <xf numFmtId="0" fontId="86" fillId="13" borderId="72" xfId="0" applyFont="1" applyFill="1" applyBorder="1" applyAlignment="1">
      <alignment horizontal="center" vertical="center"/>
    </xf>
    <xf numFmtId="0" fontId="102" fillId="13" borderId="68" xfId="0" applyFont="1" applyFill="1" applyBorder="1" applyAlignment="1">
      <alignment horizontal="center" vertical="center"/>
    </xf>
    <xf numFmtId="3" fontId="104" fillId="13" borderId="48" xfId="0" applyNumberFormat="1" applyFont="1" applyFill="1" applyBorder="1" applyAlignment="1">
      <alignment vertical="center"/>
    </xf>
    <xf numFmtId="0" fontId="0" fillId="12" borderId="0" xfId="0" applyFill="1" applyAlignment="1">
      <alignment horizontal="left"/>
    </xf>
    <xf numFmtId="0" fontId="99" fillId="0" borderId="13" xfId="0" applyFont="1" applyBorder="1" applyAlignment="1">
      <alignment horizontal="center" vertical="center"/>
    </xf>
    <xf numFmtId="0" fontId="99" fillId="0" borderId="14" xfId="0" applyFont="1" applyBorder="1" applyAlignment="1">
      <alignment horizontal="center" vertical="center"/>
    </xf>
    <xf numFmtId="0" fontId="99" fillId="0" borderId="14" xfId="0" applyFont="1" applyFill="1" applyBorder="1" applyAlignment="1">
      <alignment horizontal="center" vertical="center"/>
    </xf>
    <xf numFmtId="0" fontId="99" fillId="0" borderId="15" xfId="0" applyFont="1" applyBorder="1" applyAlignment="1">
      <alignment horizontal="center" vertical="center"/>
    </xf>
    <xf numFmtId="0" fontId="96" fillId="0" borderId="71" xfId="0" applyFont="1" applyFill="1" applyBorder="1" applyAlignment="1">
      <alignment vertical="center"/>
    </xf>
    <xf numFmtId="0" fontId="78" fillId="0" borderId="70" xfId="0" applyFont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37" fontId="87" fillId="6" borderId="16" xfId="0" applyNumberFormat="1" applyFont="1" applyFill="1" applyBorder="1" applyAlignment="1">
      <alignment vertical="center"/>
    </xf>
    <xf numFmtId="0" fontId="44" fillId="13" borderId="4" xfId="0" applyFont="1" applyFill="1" applyBorder="1" applyAlignment="1">
      <alignment vertical="center"/>
    </xf>
    <xf numFmtId="37" fontId="87" fillId="6" borderId="48" xfId="0" applyNumberFormat="1" applyFont="1" applyFill="1" applyBorder="1" applyAlignment="1">
      <alignment vertical="center"/>
    </xf>
    <xf numFmtId="3" fontId="44" fillId="13" borderId="43" xfId="0" applyNumberFormat="1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37" fontId="87" fillId="6" borderId="1" xfId="0" applyNumberFormat="1" applyFont="1" applyFill="1" applyBorder="1" applyAlignment="1">
      <alignment vertical="center"/>
    </xf>
    <xf numFmtId="37" fontId="87" fillId="6" borderId="25" xfId="0" applyNumberFormat="1" applyFont="1" applyFill="1" applyBorder="1" applyAlignment="1">
      <alignment vertical="center"/>
    </xf>
    <xf numFmtId="0" fontId="12" fillId="6" borderId="24" xfId="0" applyFont="1" applyFill="1" applyBorder="1" applyAlignment="1">
      <alignment vertical="center"/>
    </xf>
    <xf numFmtId="0" fontId="12" fillId="6" borderId="69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89" fillId="6" borderId="8" xfId="0" applyFont="1" applyFill="1" applyBorder="1" applyAlignment="1">
      <alignment horizontal="center" vertical="center"/>
    </xf>
    <xf numFmtId="2" fontId="45" fillId="7" borderId="5" xfId="0" applyNumberFormat="1" applyFont="1" applyFill="1" applyBorder="1" applyAlignment="1">
      <alignment horizontal="center" vertical="center"/>
    </xf>
    <xf numFmtId="2" fontId="45" fillId="7" borderId="7" xfId="0" applyNumberFormat="1" applyFont="1" applyFill="1" applyBorder="1" applyAlignment="1">
      <alignment horizontal="center" vertical="center"/>
    </xf>
    <xf numFmtId="0" fontId="42" fillId="3" borderId="1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32" xfId="0" applyFont="1" applyFill="1" applyBorder="1" applyAlignment="1">
      <alignment horizontal="center" vertical="center"/>
    </xf>
    <xf numFmtId="0" fontId="42" fillId="3" borderId="6" xfId="0" applyFont="1" applyFill="1" applyBorder="1" applyAlignment="1">
      <alignment horizontal="center" vertical="center"/>
    </xf>
    <xf numFmtId="0" fontId="42" fillId="3" borderId="7" xfId="0" applyFont="1" applyFill="1" applyBorder="1" applyAlignment="1">
      <alignment horizontal="center" vertical="center"/>
    </xf>
    <xf numFmtId="0" fontId="42" fillId="3" borderId="11" xfId="0" applyFont="1" applyFill="1" applyBorder="1" applyAlignment="1">
      <alignment horizontal="center" vertical="center"/>
    </xf>
    <xf numFmtId="0" fontId="42" fillId="3" borderId="9" xfId="0" applyFont="1" applyFill="1" applyBorder="1" applyAlignment="1">
      <alignment horizontal="center" vertical="center"/>
    </xf>
    <xf numFmtId="0" fontId="42" fillId="3" borderId="10" xfId="0" applyFont="1" applyFill="1" applyBorder="1" applyAlignment="1">
      <alignment horizontal="center" vertical="center"/>
    </xf>
    <xf numFmtId="3" fontId="30" fillId="11" borderId="1" xfId="0" applyNumberFormat="1" applyFont="1" applyFill="1" applyBorder="1" applyAlignment="1">
      <alignment horizontal="center" vertical="center"/>
    </xf>
    <xf numFmtId="3" fontId="30" fillId="11" borderId="16" xfId="0" applyNumberFormat="1" applyFont="1" applyFill="1" applyBorder="1" applyAlignment="1">
      <alignment horizontal="center" vertical="center"/>
    </xf>
    <xf numFmtId="3" fontId="39" fillId="5" borderId="1" xfId="0" applyNumberFormat="1" applyFont="1" applyFill="1" applyBorder="1" applyAlignment="1">
      <alignment horizontal="center" vertical="center"/>
    </xf>
    <xf numFmtId="3" fontId="39" fillId="5" borderId="16" xfId="0" applyNumberFormat="1" applyFont="1" applyFill="1" applyBorder="1" applyAlignment="1">
      <alignment horizontal="center" vertical="center"/>
    </xf>
    <xf numFmtId="3" fontId="48" fillId="6" borderId="1" xfId="0" applyNumberFormat="1" applyFont="1" applyFill="1" applyBorder="1" applyAlignment="1">
      <alignment horizontal="center" vertical="center"/>
    </xf>
    <xf numFmtId="3" fontId="48" fillId="6" borderId="16" xfId="0" applyNumberFormat="1" applyFont="1" applyFill="1" applyBorder="1" applyAlignment="1">
      <alignment horizontal="center" vertical="center"/>
    </xf>
    <xf numFmtId="0" fontId="52" fillId="0" borderId="13" xfId="0" applyFont="1" applyBorder="1" applyAlignment="1">
      <alignment horizontal="right" vertical="center" wrapText="1"/>
    </xf>
    <xf numFmtId="0" fontId="52" fillId="0" borderId="14" xfId="0" applyFont="1" applyBorder="1" applyAlignment="1">
      <alignment horizontal="right" vertical="center"/>
    </xf>
    <xf numFmtId="0" fontId="40" fillId="0" borderId="1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2" fontId="30" fillId="11" borderId="1" xfId="0" applyNumberFormat="1" applyFont="1" applyFill="1" applyBorder="1" applyAlignment="1">
      <alignment horizontal="center" vertical="center"/>
    </xf>
    <xf numFmtId="2" fontId="30" fillId="11" borderId="16" xfId="0" applyNumberFormat="1" applyFont="1" applyFill="1" applyBorder="1" applyAlignment="1">
      <alignment horizontal="center" vertical="center"/>
    </xf>
    <xf numFmtId="3" fontId="40" fillId="5" borderId="1" xfId="0" applyNumberFormat="1" applyFont="1" applyFill="1" applyBorder="1" applyAlignment="1">
      <alignment horizontal="center" vertical="center"/>
    </xf>
    <xf numFmtId="3" fontId="40" fillId="5" borderId="16" xfId="0" applyNumberFormat="1" applyFont="1" applyFill="1" applyBorder="1" applyAlignment="1">
      <alignment horizontal="center" vertical="center"/>
    </xf>
    <xf numFmtId="3" fontId="46" fillId="0" borderId="14" xfId="0" applyNumberFormat="1" applyFont="1" applyFill="1" applyBorder="1" applyAlignment="1">
      <alignment horizontal="center" vertical="center" wrapText="1"/>
    </xf>
    <xf numFmtId="3" fontId="46" fillId="0" borderId="15" xfId="0" applyNumberFormat="1" applyFont="1" applyFill="1" applyBorder="1" applyAlignment="1">
      <alignment horizontal="center" vertical="center" wrapText="1"/>
    </xf>
    <xf numFmtId="3" fontId="76" fillId="0" borderId="17" xfId="0" applyNumberFormat="1" applyFont="1" applyBorder="1" applyAlignment="1">
      <alignment horizontal="center" vertical="center" readingOrder="2"/>
    </xf>
    <xf numFmtId="3" fontId="76" fillId="0" borderId="26" xfId="0" applyNumberFormat="1" applyFont="1" applyBorder="1" applyAlignment="1">
      <alignment horizontal="center" vertical="center" readingOrder="2"/>
    </xf>
    <xf numFmtId="3" fontId="76" fillId="0" borderId="24" xfId="0" applyNumberFormat="1" applyFont="1" applyBorder="1" applyAlignment="1">
      <alignment horizontal="center" vertical="center" readingOrder="2"/>
    </xf>
    <xf numFmtId="175" fontId="76" fillId="0" borderId="5" xfId="0" applyNumberFormat="1" applyFont="1" applyBorder="1" applyAlignment="1">
      <alignment horizontal="center" vertical="center" readingOrder="2"/>
    </xf>
    <xf numFmtId="175" fontId="76" fillId="0" borderId="7" xfId="0" applyNumberFormat="1" applyFont="1" applyBorder="1" applyAlignment="1">
      <alignment horizontal="center" vertical="center" readingOrder="2"/>
    </xf>
    <xf numFmtId="175" fontId="76" fillId="0" borderId="33" xfId="0" applyNumberFormat="1" applyFont="1" applyBorder="1" applyAlignment="1">
      <alignment horizontal="center" vertical="center" readingOrder="2"/>
    </xf>
    <xf numFmtId="175" fontId="76" fillId="0" borderId="34" xfId="0" applyNumberFormat="1" applyFont="1" applyBorder="1" applyAlignment="1">
      <alignment horizontal="center" vertical="center" readingOrder="2"/>
    </xf>
    <xf numFmtId="175" fontId="76" fillId="0" borderId="8" xfId="0" applyNumberFormat="1" applyFont="1" applyBorder="1" applyAlignment="1">
      <alignment horizontal="center" vertical="center" readingOrder="2"/>
    </xf>
    <xf numFmtId="175" fontId="76" fillId="0" borderId="10" xfId="0" applyNumberFormat="1" applyFont="1" applyBorder="1" applyAlignment="1">
      <alignment horizontal="center" vertical="center" readingOrder="2"/>
    </xf>
    <xf numFmtId="0" fontId="95" fillId="6" borderId="47" xfId="0" applyFont="1" applyFill="1" applyBorder="1" applyAlignment="1">
      <alignment horizontal="center" vertical="center"/>
    </xf>
    <xf numFmtId="0" fontId="95" fillId="6" borderId="63" xfId="0" applyFont="1" applyFill="1" applyBorder="1" applyAlignment="1">
      <alignment horizontal="center" vertical="center"/>
    </xf>
    <xf numFmtId="0" fontId="101" fillId="0" borderId="13" xfId="0" applyFont="1" applyBorder="1" applyAlignment="1">
      <alignment horizontal="center" vertical="center"/>
    </xf>
    <xf numFmtId="0" fontId="101" fillId="0" borderId="12" xfId="0" applyFont="1" applyBorder="1" applyAlignment="1">
      <alignment horizontal="center" vertical="center"/>
    </xf>
    <xf numFmtId="0" fontId="103" fillId="0" borderId="15" xfId="0" applyFont="1" applyBorder="1" applyAlignment="1">
      <alignment horizontal="left" vertical="center"/>
    </xf>
    <xf numFmtId="0" fontId="103" fillId="0" borderId="16" xfId="0" applyFont="1" applyBorder="1" applyAlignment="1">
      <alignment horizontal="left" vertical="center"/>
    </xf>
    <xf numFmtId="3" fontId="0" fillId="0" borderId="16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78" fillId="0" borderId="12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 wrapText="1"/>
    </xf>
    <xf numFmtId="0" fontId="78" fillId="0" borderId="68" xfId="0" applyFont="1" applyBorder="1" applyAlignment="1">
      <alignment horizontal="center" vertical="center" wrapText="1"/>
    </xf>
    <xf numFmtId="0" fontId="78" fillId="0" borderId="25" xfId="0" applyFont="1" applyBorder="1" applyAlignment="1">
      <alignment horizontal="center" vertical="center" wrapText="1"/>
    </xf>
    <xf numFmtId="0" fontId="76" fillId="0" borderId="13" xfId="0" applyFont="1" applyBorder="1" applyAlignment="1">
      <alignment horizontal="center" vertical="center" readingOrder="2"/>
    </xf>
    <xf numFmtId="0" fontId="76" fillId="0" borderId="14" xfId="0" applyFont="1" applyBorder="1" applyAlignment="1">
      <alignment horizontal="center" vertical="center" readingOrder="2"/>
    </xf>
    <xf numFmtId="0" fontId="76" fillId="0" borderId="12" xfId="0" applyFont="1" applyBorder="1" applyAlignment="1">
      <alignment horizontal="center" vertical="center" readingOrder="2"/>
    </xf>
    <xf numFmtId="0" fontId="76" fillId="0" borderId="1" xfId="0" applyFont="1" applyBorder="1" applyAlignment="1">
      <alignment horizontal="center" vertical="center" readingOrder="2"/>
    </xf>
    <xf numFmtId="0" fontId="76" fillId="0" borderId="17" xfId="0" applyFont="1" applyBorder="1" applyAlignment="1">
      <alignment horizontal="center" vertical="center" readingOrder="2"/>
    </xf>
    <xf numFmtId="0" fontId="76" fillId="0" borderId="26" xfId="0" applyFont="1" applyBorder="1" applyAlignment="1">
      <alignment horizontal="center" vertical="center" readingOrder="2"/>
    </xf>
    <xf numFmtId="0" fontId="76" fillId="0" borderId="24" xfId="0" applyFont="1" applyBorder="1" applyAlignment="1">
      <alignment horizontal="center" vertical="center" readingOrder="2"/>
    </xf>
    <xf numFmtId="0" fontId="78" fillId="0" borderId="13" xfId="0" applyFont="1" applyBorder="1" applyAlignment="1">
      <alignment horizontal="center" vertical="center"/>
    </xf>
    <xf numFmtId="0" fontId="78" fillId="0" borderId="68" xfId="0" applyFont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48" xfId="0" applyFont="1" applyFill="1" applyBorder="1" applyAlignment="1">
      <alignment horizontal="center" vertical="center"/>
    </xf>
    <xf numFmtId="3" fontId="97" fillId="0" borderId="15" xfId="0" applyNumberFormat="1" applyFont="1" applyFill="1" applyBorder="1" applyAlignment="1">
      <alignment horizontal="center" vertical="center"/>
    </xf>
    <xf numFmtId="3" fontId="97" fillId="0" borderId="16" xfId="0" applyNumberFormat="1" applyFont="1" applyFill="1" applyBorder="1" applyAlignment="1">
      <alignment horizontal="center" vertical="center"/>
    </xf>
    <xf numFmtId="0" fontId="77" fillId="3" borderId="0" xfId="0" applyFont="1" applyFill="1" applyBorder="1" applyAlignment="1">
      <alignment horizontal="right" vertical="center" readingOrder="2"/>
    </xf>
    <xf numFmtId="3" fontId="76" fillId="0" borderId="7" xfId="0" applyNumberFormat="1" applyFont="1" applyBorder="1" applyAlignment="1">
      <alignment horizontal="center" vertical="center" readingOrder="2"/>
    </xf>
    <xf numFmtId="3" fontId="76" fillId="0" borderId="34" xfId="0" applyNumberFormat="1" applyFont="1" applyBorder="1" applyAlignment="1">
      <alignment horizontal="center" vertical="center" readingOrder="2"/>
    </xf>
    <xf numFmtId="0" fontId="53" fillId="0" borderId="0" xfId="0" applyFont="1" applyAlignment="1">
      <alignment horizontal="center" vertical="center"/>
    </xf>
    <xf numFmtId="0" fontId="57" fillId="0" borderId="0" xfId="0" applyFont="1" applyAlignment="1">
      <alignment horizontal="right" vertical="center" wrapText="1" readingOrder="2"/>
    </xf>
    <xf numFmtId="3" fontId="57" fillId="0" borderId="0" xfId="0" applyNumberFormat="1" applyFont="1" applyBorder="1" applyAlignment="1">
      <alignment horizontal="right" vertical="center" wrapText="1" readingOrder="2"/>
    </xf>
    <xf numFmtId="3" fontId="76" fillId="0" borderId="3" xfId="0" applyNumberFormat="1" applyFont="1" applyBorder="1" applyAlignment="1">
      <alignment horizontal="left" vertical="center" readingOrder="1"/>
    </xf>
    <xf numFmtId="3" fontId="76" fillId="0" borderId="4" xfId="0" applyNumberFormat="1" applyFont="1" applyBorder="1" applyAlignment="1">
      <alignment horizontal="left" vertical="center" readingOrder="1"/>
    </xf>
    <xf numFmtId="3" fontId="80" fillId="13" borderId="0" xfId="0" applyNumberFormat="1" applyFont="1" applyFill="1" applyAlignment="1">
      <alignment horizontal="center"/>
    </xf>
    <xf numFmtId="0" fontId="76" fillId="0" borderId="59" xfId="0" applyFont="1" applyBorder="1" applyAlignment="1">
      <alignment horizontal="center" vertical="center" readingOrder="2"/>
    </xf>
    <xf numFmtId="0" fontId="76" fillId="0" borderId="55" xfId="0" applyFont="1" applyBorder="1" applyAlignment="1">
      <alignment horizontal="center" vertical="center" readingOrder="2"/>
    </xf>
    <xf numFmtId="0" fontId="55" fillId="0" borderId="0" xfId="0" applyFont="1" applyBorder="1" applyAlignment="1">
      <alignment horizontal="center" vertical="top"/>
    </xf>
    <xf numFmtId="0" fontId="55" fillId="0" borderId="9" xfId="0" applyFont="1" applyBorder="1" applyAlignment="1">
      <alignment horizontal="center" vertical="top"/>
    </xf>
    <xf numFmtId="0" fontId="76" fillId="0" borderId="33" xfId="0" applyFont="1" applyBorder="1" applyAlignment="1">
      <alignment horizontal="center" vertical="center" readingOrder="2"/>
    </xf>
    <xf numFmtId="0" fontId="76" fillId="0" borderId="34" xfId="0" applyFont="1" applyBorder="1" applyAlignment="1">
      <alignment horizontal="center" vertical="center" readingOrder="2"/>
    </xf>
    <xf numFmtId="0" fontId="54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 readingOrder="2"/>
    </xf>
    <xf numFmtId="0" fontId="11" fillId="0" borderId="0" xfId="0" applyFont="1" applyBorder="1" applyAlignment="1">
      <alignment horizontal="center" vertical="center" readingOrder="2"/>
    </xf>
    <xf numFmtId="0" fontId="11" fillId="0" borderId="34" xfId="0" applyFont="1" applyBorder="1" applyAlignment="1">
      <alignment horizontal="center" vertical="center" readingOrder="2"/>
    </xf>
    <xf numFmtId="169" fontId="76" fillId="0" borderId="60" xfId="0" applyNumberFormat="1" applyFont="1" applyBorder="1" applyAlignment="1">
      <alignment horizontal="center" vertical="center" readingOrder="2"/>
    </xf>
    <xf numFmtId="169" fontId="76" fillId="0" borderId="56" xfId="0" applyNumberFormat="1" applyFont="1" applyBorder="1" applyAlignment="1">
      <alignment horizontal="center" vertical="center" readingOrder="2"/>
    </xf>
    <xf numFmtId="0" fontId="76" fillId="0" borderId="2" xfId="0" applyFont="1" applyBorder="1" applyAlignment="1">
      <alignment horizontal="center" vertical="center" readingOrder="2"/>
    </xf>
    <xf numFmtId="0" fontId="76" fillId="0" borderId="3" xfId="0" applyFont="1" applyBorder="1" applyAlignment="1">
      <alignment horizontal="center" vertical="center" readingOrder="2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90" fillId="0" borderId="52" xfId="0" applyFont="1" applyBorder="1" applyAlignment="1">
      <alignment horizontal="center" vertical="center" wrapText="1" readingOrder="2"/>
    </xf>
    <xf numFmtId="0" fontId="90" fillId="0" borderId="53" xfId="0" applyFont="1" applyBorder="1" applyAlignment="1">
      <alignment horizontal="center" vertical="center" wrapText="1" readingOrder="2"/>
    </xf>
    <xf numFmtId="0" fontId="90" fillId="0" borderId="27" xfId="0" applyFont="1" applyBorder="1" applyAlignment="1">
      <alignment horizontal="center" vertical="center" wrapText="1" readingOrder="2"/>
    </xf>
    <xf numFmtId="0" fontId="90" fillId="0" borderId="54" xfId="0" applyFont="1" applyBorder="1" applyAlignment="1">
      <alignment horizontal="center" vertical="center" wrapText="1" readingOrder="2"/>
    </xf>
    <xf numFmtId="0" fontId="87" fillId="6" borderId="2" xfId="0" applyFont="1" applyFill="1" applyBorder="1" applyAlignment="1">
      <alignment horizontal="center" vertical="center"/>
    </xf>
    <xf numFmtId="0" fontId="87" fillId="6" borderId="4" xfId="0" applyFont="1" applyFill="1" applyBorder="1" applyAlignment="1">
      <alignment horizontal="center" vertical="center"/>
    </xf>
    <xf numFmtId="0" fontId="87" fillId="6" borderId="49" xfId="0" applyFont="1" applyFill="1" applyBorder="1" applyAlignment="1">
      <alignment horizontal="center" vertical="center"/>
    </xf>
    <xf numFmtId="49" fontId="87" fillId="6" borderId="63" xfId="0" applyNumberFormat="1" applyFont="1" applyFill="1" applyBorder="1" applyAlignment="1">
      <alignment horizontal="center" vertical="center"/>
    </xf>
    <xf numFmtId="49" fontId="87" fillId="6" borderId="43" xfId="0" applyNumberFormat="1" applyFont="1" applyFill="1" applyBorder="1" applyAlignment="1">
      <alignment horizontal="center" vertical="center"/>
    </xf>
    <xf numFmtId="0" fontId="53" fillId="0" borderId="42" xfId="0" applyFont="1" applyBorder="1" applyAlignment="1">
      <alignment horizontal="center" vertical="center" readingOrder="2"/>
    </xf>
    <xf numFmtId="0" fontId="53" fillId="0" borderId="43" xfId="0" applyFont="1" applyBorder="1" applyAlignment="1">
      <alignment horizontal="center" vertical="center" readingOrder="2"/>
    </xf>
    <xf numFmtId="0" fontId="88" fillId="6" borderId="63" xfId="0" applyFont="1" applyFill="1" applyBorder="1" applyAlignment="1">
      <alignment horizontal="center" vertical="center"/>
    </xf>
    <xf numFmtId="0" fontId="88" fillId="6" borderId="64" xfId="0" applyFont="1" applyFill="1" applyBorder="1" applyAlignment="1">
      <alignment horizontal="center" vertical="center"/>
    </xf>
    <xf numFmtId="0" fontId="54" fillId="0" borderId="52" xfId="0" applyFont="1" applyBorder="1" applyAlignment="1">
      <alignment horizontal="center" vertical="center" readingOrder="2"/>
    </xf>
    <xf numFmtId="0" fontId="54" fillId="0" borderId="53" xfId="0" applyFont="1" applyBorder="1" applyAlignment="1">
      <alignment horizontal="center" vertical="center" readingOrder="2"/>
    </xf>
    <xf numFmtId="0" fontId="54" fillId="0" borderId="54" xfId="0" applyFont="1" applyBorder="1" applyAlignment="1">
      <alignment horizontal="center" vertical="center" readingOrder="2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1" xfId="0" applyBorder="1" applyAlignment="1">
      <alignment horizontal="center"/>
    </xf>
    <xf numFmtId="0" fontId="53" fillId="0" borderId="50" xfId="0" applyFont="1" applyBorder="1" applyAlignment="1">
      <alignment horizontal="center"/>
    </xf>
    <xf numFmtId="0" fontId="53" fillId="0" borderId="4" xfId="0" applyFont="1" applyBorder="1" applyAlignment="1">
      <alignment horizontal="center"/>
    </xf>
    <xf numFmtId="0" fontId="53" fillId="0" borderId="0" xfId="0" applyFont="1" applyAlignment="1">
      <alignment horizontal="right" wrapText="1" readingOrder="2"/>
    </xf>
    <xf numFmtId="3" fontId="76" fillId="0" borderId="9" xfId="0" applyNumberFormat="1" applyFont="1" applyBorder="1" applyAlignment="1">
      <alignment horizontal="left" vertical="center" readingOrder="2"/>
    </xf>
    <xf numFmtId="3" fontId="76" fillId="0" borderId="10" xfId="0" applyNumberFormat="1" applyFont="1" applyBorder="1" applyAlignment="1">
      <alignment horizontal="left" vertical="center" readingOrder="2"/>
    </xf>
    <xf numFmtId="3" fontId="76" fillId="0" borderId="5" xfId="0" applyNumberFormat="1" applyFont="1" applyBorder="1" applyAlignment="1">
      <alignment horizontal="left" vertical="center" readingOrder="1"/>
    </xf>
    <xf numFmtId="3" fontId="76" fillId="0" borderId="6" xfId="0" applyNumberFormat="1" applyFont="1" applyBorder="1" applyAlignment="1">
      <alignment horizontal="left" vertical="center" readingOrder="1"/>
    </xf>
    <xf numFmtId="3" fontId="76" fillId="0" borderId="7" xfId="0" applyNumberFormat="1" applyFont="1" applyBorder="1" applyAlignment="1">
      <alignment horizontal="left" vertical="center" readingOrder="1"/>
    </xf>
    <xf numFmtId="0" fontId="54" fillId="0" borderId="0" xfId="0" applyFont="1" applyBorder="1" applyAlignment="1">
      <alignment horizontal="center" vertical="center"/>
    </xf>
    <xf numFmtId="0" fontId="53" fillId="0" borderId="0" xfId="0" applyFont="1" applyAlignment="1">
      <alignment horizontal="right" vertical="center"/>
    </xf>
    <xf numFmtId="172" fontId="94" fillId="0" borderId="65" xfId="0" applyNumberFormat="1" applyFont="1" applyBorder="1" applyAlignment="1">
      <alignment horizontal="center" vertical="center" readingOrder="2"/>
    </xf>
    <xf numFmtId="172" fontId="94" fillId="0" borderId="55" xfId="0" applyNumberFormat="1" applyFont="1" applyBorder="1" applyAlignment="1">
      <alignment horizontal="center" vertical="center" readingOrder="2"/>
    </xf>
    <xf numFmtId="0" fontId="76" fillId="0" borderId="5" xfId="0" applyFont="1" applyBorder="1" applyAlignment="1">
      <alignment horizontal="center" vertical="center" readingOrder="2"/>
    </xf>
    <xf numFmtId="0" fontId="76" fillId="0" borderId="6" xfId="0" applyFont="1" applyBorder="1" applyAlignment="1">
      <alignment horizontal="center" vertical="center" readingOrder="2"/>
    </xf>
    <xf numFmtId="0" fontId="76" fillId="0" borderId="7" xfId="0" applyFont="1" applyBorder="1" applyAlignment="1">
      <alignment horizontal="center" vertical="center" readingOrder="2"/>
    </xf>
    <xf numFmtId="0" fontId="76" fillId="0" borderId="8" xfId="0" applyFont="1" applyBorder="1" applyAlignment="1">
      <alignment horizontal="center" vertical="center" readingOrder="2"/>
    </xf>
    <xf numFmtId="0" fontId="76" fillId="0" borderId="9" xfId="0" applyFont="1" applyBorder="1" applyAlignment="1">
      <alignment horizontal="center" vertical="center" readingOrder="2"/>
    </xf>
    <xf numFmtId="0" fontId="76" fillId="0" borderId="10" xfId="0" applyFont="1" applyBorder="1" applyAlignment="1">
      <alignment horizontal="center" vertical="center" readingOrder="2"/>
    </xf>
    <xf numFmtId="169" fontId="76" fillId="0" borderId="62" xfId="0" applyNumberFormat="1" applyFont="1" applyBorder="1" applyAlignment="1">
      <alignment horizontal="center" vertical="center" readingOrder="2"/>
    </xf>
    <xf numFmtId="169" fontId="76" fillId="0" borderId="58" xfId="0" applyNumberFormat="1" applyFont="1" applyBorder="1" applyAlignment="1">
      <alignment horizontal="center" vertical="center" readingOrder="2"/>
    </xf>
    <xf numFmtId="0" fontId="76" fillId="0" borderId="0" xfId="0" applyFont="1" applyBorder="1" applyAlignment="1">
      <alignment horizontal="center" vertical="center" readingOrder="2"/>
    </xf>
    <xf numFmtId="0" fontId="76" fillId="0" borderId="61" xfId="0" applyFont="1" applyBorder="1" applyAlignment="1">
      <alignment horizontal="center" vertical="center" readingOrder="2"/>
    </xf>
    <xf numFmtId="0" fontId="76" fillId="0" borderId="57" xfId="0" applyFont="1" applyBorder="1" applyAlignment="1">
      <alignment horizontal="center" vertical="center" readingOrder="2"/>
    </xf>
    <xf numFmtId="0" fontId="12" fillId="0" borderId="13" xfId="0" applyFont="1" applyBorder="1" applyAlignment="1">
      <alignment horizontal="center" vertical="center" wrapText="1"/>
    </xf>
    <xf numFmtId="0" fontId="12" fillId="0" borderId="6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3" fillId="6" borderId="2" xfId="0" applyFont="1" applyFill="1" applyBorder="1" applyAlignment="1">
      <alignment horizontal="center" vertical="center"/>
    </xf>
    <xf numFmtId="0" fontId="73" fillId="6" borderId="49" xfId="0" applyFont="1" applyFill="1" applyBorder="1" applyAlignment="1">
      <alignment horizontal="center" vertical="center"/>
    </xf>
    <xf numFmtId="0" fontId="93" fillId="0" borderId="47" xfId="0" applyFont="1" applyBorder="1" applyAlignment="1">
      <alignment horizontal="center" vertical="center"/>
    </xf>
    <xf numFmtId="0" fontId="93" fillId="0" borderId="51" xfId="0" applyFont="1" applyBorder="1" applyAlignment="1">
      <alignment horizontal="center" vertical="center"/>
    </xf>
    <xf numFmtId="0" fontId="100" fillId="6" borderId="16" xfId="0" applyFont="1" applyFill="1" applyBorder="1" applyAlignment="1">
      <alignment horizontal="center" vertical="center" wrapText="1"/>
    </xf>
    <xf numFmtId="0" fontId="100" fillId="6" borderId="67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right" vertical="center"/>
    </xf>
    <xf numFmtId="170" fontId="58" fillId="0" borderId="0" xfId="0" applyNumberFormat="1" applyFont="1" applyAlignment="1">
      <alignment horizontal="left"/>
    </xf>
    <xf numFmtId="170" fontId="58" fillId="0" borderId="0" xfId="0" applyNumberFormat="1" applyFont="1" applyAlignment="1">
      <alignment horizontal="center"/>
    </xf>
    <xf numFmtId="0" fontId="58" fillId="0" borderId="0" xfId="0" applyFont="1" applyAlignment="1">
      <alignment horizontal="right" vertical="center" wrapText="1"/>
    </xf>
    <xf numFmtId="0" fontId="60" fillId="0" borderId="0" xfId="0" applyFont="1" applyAlignment="1">
      <alignment horizontal="right"/>
    </xf>
    <xf numFmtId="0" fontId="58" fillId="0" borderId="0" xfId="0" applyFont="1" applyAlignment="1">
      <alignment horizontal="left"/>
    </xf>
    <xf numFmtId="3" fontId="58" fillId="0" borderId="0" xfId="0" applyNumberFormat="1" applyFont="1" applyAlignment="1">
      <alignment horizontal="left"/>
    </xf>
    <xf numFmtId="0" fontId="58" fillId="0" borderId="0" xfId="0" applyFont="1" applyAlignment="1">
      <alignment horizontal="center"/>
    </xf>
    <xf numFmtId="0" fontId="60" fillId="0" borderId="0" xfId="0" applyFont="1" applyAlignment="1">
      <alignment horizontal="left"/>
    </xf>
    <xf numFmtId="170" fontId="65" fillId="0" borderId="0" xfId="0" applyNumberFormat="1" applyFont="1" applyAlignment="1">
      <alignment horizontal="left"/>
    </xf>
    <xf numFmtId="2" fontId="60" fillId="0" borderId="2" xfId="0" applyNumberFormat="1" applyFont="1" applyBorder="1" applyAlignment="1">
      <alignment horizontal="left" vertical="center"/>
    </xf>
    <xf numFmtId="2" fontId="60" fillId="0" borderId="3" xfId="0" applyNumberFormat="1" applyFont="1" applyBorder="1" applyAlignment="1">
      <alignment horizontal="left" vertical="center"/>
    </xf>
    <xf numFmtId="3" fontId="63" fillId="0" borderId="3" xfId="0" applyNumberFormat="1" applyFont="1" applyBorder="1" applyAlignment="1">
      <alignment horizontal="center" vertical="center"/>
    </xf>
    <xf numFmtId="170" fontId="65" fillId="0" borderId="0" xfId="0" applyNumberFormat="1" applyFont="1" applyAlignment="1">
      <alignment horizontal="center"/>
    </xf>
    <xf numFmtId="0" fontId="58" fillId="0" borderId="0" xfId="0" applyFont="1" applyAlignment="1">
      <alignment horizontal="right"/>
    </xf>
    <xf numFmtId="0" fontId="60" fillId="0" borderId="0" xfId="0" applyFont="1" applyAlignment="1">
      <alignment horizontal="center"/>
    </xf>
    <xf numFmtId="170" fontId="63" fillId="0" borderId="0" xfId="0" applyNumberFormat="1" applyFont="1" applyAlignment="1">
      <alignment vertical="center"/>
    </xf>
    <xf numFmtId="170" fontId="63" fillId="0" borderId="0" xfId="0" applyNumberFormat="1" applyFont="1" applyAlignment="1">
      <alignment horizontal="center" vertical="center"/>
    </xf>
    <xf numFmtId="0" fontId="60" fillId="0" borderId="0" xfId="0" applyFont="1" applyAlignment="1">
      <alignment horizontal="right" vertical="center"/>
    </xf>
    <xf numFmtId="0" fontId="84" fillId="12" borderId="2" xfId="0" applyFont="1" applyFill="1" applyBorder="1" applyAlignment="1">
      <alignment horizontal="center" vertical="center"/>
    </xf>
    <xf numFmtId="0" fontId="84" fillId="12" borderId="49" xfId="0" applyFont="1" applyFill="1" applyBorder="1" applyAlignment="1">
      <alignment horizontal="center" vertical="center"/>
    </xf>
    <xf numFmtId="0" fontId="85" fillId="12" borderId="63" xfId="0" applyFont="1" applyFill="1" applyBorder="1" applyAlignment="1">
      <alignment horizontal="center" vertical="center"/>
    </xf>
    <xf numFmtId="0" fontId="85" fillId="12" borderId="64" xfId="0" applyFont="1" applyFill="1" applyBorder="1" applyAlignment="1">
      <alignment horizontal="center" vertical="center"/>
    </xf>
    <xf numFmtId="3" fontId="22" fillId="3" borderId="0" xfId="0" applyNumberFormat="1" applyFont="1" applyFill="1" applyBorder="1" applyAlignment="1">
      <alignment horizontal="center" vertical="center"/>
    </xf>
    <xf numFmtId="3" fontId="22" fillId="4" borderId="0" xfId="0" applyNumberFormat="1" applyFont="1" applyFill="1" applyBorder="1" applyAlignment="1">
      <alignment horizontal="center" vertical="center"/>
    </xf>
    <xf numFmtId="3" fontId="16" fillId="4" borderId="0" xfId="0" applyNumberFormat="1" applyFont="1" applyFill="1" applyBorder="1" applyAlignment="1">
      <alignment horizontal="center" vertical="center"/>
    </xf>
    <xf numFmtId="3" fontId="16" fillId="4" borderId="29" xfId="0" applyNumberFormat="1" applyFont="1" applyFill="1" applyBorder="1" applyAlignment="1">
      <alignment horizontal="center" vertical="center"/>
    </xf>
    <xf numFmtId="3" fontId="21" fillId="2" borderId="31" xfId="0" applyNumberFormat="1" applyFont="1" applyFill="1" applyBorder="1" applyAlignment="1">
      <alignment horizontal="center" vertical="center"/>
    </xf>
    <xf numFmtId="3" fontId="16" fillId="3" borderId="31" xfId="0" applyNumberFormat="1" applyFont="1" applyFill="1" applyBorder="1" applyAlignment="1">
      <alignment horizontal="center" vertical="center"/>
    </xf>
    <xf numFmtId="3" fontId="16" fillId="3" borderId="0" xfId="0" applyNumberFormat="1" applyFont="1" applyFill="1" applyBorder="1" applyAlignment="1">
      <alignment horizontal="center" vertical="center"/>
    </xf>
    <xf numFmtId="3" fontId="16" fillId="3" borderId="29" xfId="0" applyNumberFormat="1" applyFont="1" applyFill="1" applyBorder="1" applyAlignment="1">
      <alignment horizontal="center" vertical="center"/>
    </xf>
    <xf numFmtId="3" fontId="16" fillId="4" borderId="31" xfId="0" applyNumberFormat="1" applyFont="1" applyFill="1" applyBorder="1" applyAlignment="1">
      <alignment horizontal="center" vertical="center"/>
    </xf>
    <xf numFmtId="3" fontId="20" fillId="3" borderId="31" xfId="0" applyNumberFormat="1" applyFont="1" applyFill="1" applyBorder="1" applyAlignment="1">
      <alignment horizontal="center" vertical="center" wrapText="1"/>
    </xf>
    <xf numFmtId="3" fontId="20" fillId="3" borderId="29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3" fontId="27" fillId="3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3" fontId="31" fillId="3" borderId="1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theme="0"/>
      </font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9900"/>
      <color rgb="FF008000"/>
      <color rgb="FF66FFFF"/>
      <color rgb="FFFFFFFF"/>
      <color rgb="FF66FF99"/>
      <color rgb="FFFFFF99"/>
      <color rgb="FFCCFF99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 items of Retractable</a:t>
            </a:r>
          </a:p>
          <a:p>
            <a:pPr>
              <a:defRPr/>
            </a:pPr>
            <a:r>
              <a:rPr lang="en-US" sz="1200"/>
              <a:t> Awning system</a:t>
            </a:r>
          </a:p>
        </c:rich>
      </c:tx>
      <c:layout>
        <c:manualLayout>
          <c:xMode val="edge"/>
          <c:yMode val="edge"/>
          <c:x val="1.7388234282430273E-2"/>
          <c:y val="1.0474462846115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0508638056865"/>
          <c:y val="0.22713337376259998"/>
          <c:w val="0.49018399029446047"/>
          <c:h val="0.69290930924443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AB-4B99-AFD4-8D3A1B2A21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AB-4B99-AFD4-8D3A1B2A21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AB-4B99-AFD4-8D3A1B2A21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AB-4B99-AFD4-8D3A1B2A21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AB-4B99-AFD4-8D3A1B2A21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7AB-4B99-AFD4-8D3A1B2A21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7AB-4B99-AFD4-8D3A1B2A21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7AB-4B99-AFD4-8D3A1B2A21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7AB-4B99-AFD4-8D3A1B2A21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7AB-4B99-AFD4-8D3A1B2A21E9}"/>
              </c:ext>
            </c:extLst>
          </c:dPt>
          <c:dLbls>
            <c:dLbl>
              <c:idx val="0"/>
              <c:layout>
                <c:manualLayout>
                  <c:x val="1.0470734021706007E-2"/>
                  <c:y val="-6.6761688639981123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78762266923139"/>
                      <c:h val="0.212199476124867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7AB-4B99-AFD4-8D3A1B2A21E9}"/>
                </c:ext>
              </c:extLst>
            </c:dLbl>
            <c:dLbl>
              <c:idx val="1"/>
              <c:layout>
                <c:manualLayout>
                  <c:x val="-0.11056398503677006"/>
                  <c:y val="-1.7504898254061839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07778664984958"/>
                      <c:h val="0.130879191704005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7AB-4B99-AFD4-8D3A1B2A21E9}"/>
                </c:ext>
              </c:extLst>
            </c:dLbl>
            <c:dLbl>
              <c:idx val="2"/>
              <c:layout>
                <c:manualLayout>
                  <c:x val="-0.12639540019902362"/>
                  <c:y val="7.304590220152156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AB-4B99-AFD4-8D3A1B2A21E9}"/>
                </c:ext>
              </c:extLst>
            </c:dLbl>
            <c:dLbl>
              <c:idx val="3"/>
              <c:layout>
                <c:manualLayout>
                  <c:x val="-0.17587804624410333"/>
                  <c:y val="5.45484567957389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AB-4B99-AFD4-8D3A1B2A21E9}"/>
                </c:ext>
              </c:extLst>
            </c:dLbl>
            <c:dLbl>
              <c:idx val="4"/>
              <c:layout>
                <c:manualLayout>
                  <c:x val="-9.203029124722531E-2"/>
                  <c:y val="4.16857842065343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AB-4B99-AFD4-8D3A1B2A21E9}"/>
                </c:ext>
              </c:extLst>
            </c:dLbl>
            <c:dLbl>
              <c:idx val="5"/>
              <c:layout>
                <c:manualLayout>
                  <c:x val="-5.6031655427565566E-2"/>
                  <c:y val="-4.16813554156416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AB-4B99-AFD4-8D3A1B2A21E9}"/>
                </c:ext>
              </c:extLst>
            </c:dLbl>
            <c:dLbl>
              <c:idx val="6"/>
              <c:layout>
                <c:manualLayout>
                  <c:x val="-5.2049397912015648E-2"/>
                  <c:y val="-0.15921211429541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AB-4B99-AFD4-8D3A1B2A21E9}"/>
                </c:ext>
              </c:extLst>
            </c:dLbl>
            <c:dLbl>
              <c:idx val="7"/>
              <c:layout>
                <c:manualLayout>
                  <c:x val="2.2457963914249972E-2"/>
                  <c:y val="-9.1697169078466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AB-4B99-AFD4-8D3A1B2A21E9}"/>
                </c:ext>
              </c:extLst>
            </c:dLbl>
            <c:dLbl>
              <c:idx val="8"/>
              <c:layout>
                <c:manualLayout>
                  <c:x val="6.0817950964944231E-2"/>
                  <c:y val="-9.43195770626273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AB-4B99-AFD4-8D3A1B2A21E9}"/>
                </c:ext>
              </c:extLst>
            </c:dLbl>
            <c:dLbl>
              <c:idx val="9"/>
              <c:layout>
                <c:manualLayout>
                  <c:x val="0.24959462470021274"/>
                  <c:y val="-4.45282835784277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AB-4B99-AFD4-8D3A1B2A21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'A1'!$B$82:$B$91</c:f>
              <c:strCache>
                <c:ptCount val="10"/>
                <c:pt idx="0">
                  <c:v>Aluminum+powdercoating</c:v>
                </c:pt>
                <c:pt idx="1">
                  <c:v>Fabric</c:v>
                </c:pt>
                <c:pt idx="2">
                  <c:v>Accessories</c:v>
                </c:pt>
                <c:pt idx="3">
                  <c:v>Motor</c:v>
                </c:pt>
                <c:pt idx="4">
                  <c:v>Steel Tube</c:v>
                </c:pt>
                <c:pt idx="5">
                  <c:v>Connection Plate</c:v>
                </c:pt>
                <c:pt idx="6">
                  <c:v>Rubber</c:v>
                </c:pt>
                <c:pt idx="7">
                  <c:v>Lighting</c:v>
                </c:pt>
                <c:pt idx="8">
                  <c:v>Sealing</c:v>
                </c:pt>
                <c:pt idx="9">
                  <c:v>Waterway+Connection</c:v>
                </c:pt>
              </c:strCache>
            </c:strRef>
          </c:cat>
          <c:val>
            <c:numRef>
              <c:f>'A1'!$C$82:$C$91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AB-4B99-AFD4-8D3A1B2A21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'A4'!$B$67:$B$73</c:f>
              <c:strCache>
                <c:ptCount val="7"/>
                <c:pt idx="0">
                  <c:v>Aluminum</c:v>
                </c:pt>
                <c:pt idx="1">
                  <c:v>Fabric</c:v>
                </c:pt>
                <c:pt idx="2">
                  <c:v>Accessories</c:v>
                </c:pt>
                <c:pt idx="3">
                  <c:v>Apparatus</c:v>
                </c:pt>
                <c:pt idx="4">
                  <c:v>T10</c:v>
                </c:pt>
                <c:pt idx="5">
                  <c:v>Motor</c:v>
                </c:pt>
                <c:pt idx="6">
                  <c:v>Powder coating</c:v>
                </c:pt>
              </c:strCache>
            </c:strRef>
          </c:cat>
          <c:val>
            <c:numRef>
              <c:f>'A4'!$C$67:$C$73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E-4435-BAB2-A1189FFCB8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03887"/>
        <c:axId val="262702639"/>
      </c:barChart>
      <c:catAx>
        <c:axId val="2627038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2639"/>
        <c:crosses val="autoZero"/>
        <c:auto val="1"/>
        <c:lblAlgn val="ctr"/>
        <c:lblOffset val="100"/>
        <c:noMultiLvlLbl val="0"/>
      </c:catAx>
      <c:valAx>
        <c:axId val="26270263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3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'A5'!$B$67:$B$73</c:f>
              <c:strCache>
                <c:ptCount val="7"/>
                <c:pt idx="0">
                  <c:v>Aluminum</c:v>
                </c:pt>
                <c:pt idx="1">
                  <c:v>Fabric</c:v>
                </c:pt>
                <c:pt idx="2">
                  <c:v>Accessories</c:v>
                </c:pt>
                <c:pt idx="3">
                  <c:v>Apparatus</c:v>
                </c:pt>
                <c:pt idx="4">
                  <c:v>T10</c:v>
                </c:pt>
                <c:pt idx="5">
                  <c:v>Motor</c:v>
                </c:pt>
                <c:pt idx="6">
                  <c:v>Powder coating</c:v>
                </c:pt>
              </c:strCache>
            </c:strRef>
          </c:cat>
          <c:val>
            <c:numRef>
              <c:f>'A5'!$C$67:$C$73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C-4867-8DE3-7430B9A6F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03887"/>
        <c:axId val="262702639"/>
      </c:barChart>
      <c:catAx>
        <c:axId val="2627038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2639"/>
        <c:crosses val="autoZero"/>
        <c:auto val="1"/>
        <c:lblAlgn val="ctr"/>
        <c:lblOffset val="100"/>
        <c:noMultiLvlLbl val="0"/>
      </c:catAx>
      <c:valAx>
        <c:axId val="26270263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3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'AAA1'!$B$67:$B$73</c:f>
              <c:strCache>
                <c:ptCount val="7"/>
                <c:pt idx="0">
                  <c:v>Aluminum</c:v>
                </c:pt>
                <c:pt idx="1">
                  <c:v>Fabric</c:v>
                </c:pt>
                <c:pt idx="2">
                  <c:v>Accessories</c:v>
                </c:pt>
                <c:pt idx="3">
                  <c:v>Apparatus</c:v>
                </c:pt>
                <c:pt idx="4">
                  <c:v>T10</c:v>
                </c:pt>
                <c:pt idx="5">
                  <c:v>Motor</c:v>
                </c:pt>
                <c:pt idx="6">
                  <c:v>Powder coating</c:v>
                </c:pt>
              </c:strCache>
            </c:strRef>
          </c:cat>
          <c:val>
            <c:numRef>
              <c:f>'AAA1'!$C$67:$C$73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2-452F-9F06-E689E510C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03887"/>
        <c:axId val="262702639"/>
      </c:barChart>
      <c:catAx>
        <c:axId val="2627038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2639"/>
        <c:crosses val="autoZero"/>
        <c:auto val="1"/>
        <c:lblAlgn val="ctr"/>
        <c:lblOffset val="100"/>
        <c:noMultiLvlLbl val="0"/>
      </c:catAx>
      <c:valAx>
        <c:axId val="26270263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3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 items of Retractable</a:t>
            </a:r>
          </a:p>
          <a:p>
            <a:pPr>
              <a:defRPr/>
            </a:pPr>
            <a:r>
              <a:rPr lang="en-US" sz="1200"/>
              <a:t> Awning system</a:t>
            </a:r>
          </a:p>
        </c:rich>
      </c:tx>
      <c:layout>
        <c:manualLayout>
          <c:xMode val="edge"/>
          <c:yMode val="edge"/>
          <c:x val="1.7388234282430273E-2"/>
          <c:y val="1.0474462846115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0508638056865"/>
          <c:y val="0.22713337376259998"/>
          <c:w val="0.49018399029446047"/>
          <c:h val="0.69290930924443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DF-4F59-A6DD-7A4AF9B5E6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DF-4F59-A6DD-7A4AF9B5E6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DF-4F59-A6DD-7A4AF9B5E6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DF-4F59-A6DD-7A4AF9B5E6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DF-4F59-A6DD-7A4AF9B5E6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DF-4F59-A6DD-7A4AF9B5E6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DF-4F59-A6DD-7A4AF9B5E6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DF-4F59-A6DD-7A4AF9B5E6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DF-4F59-A6DD-7A4AF9B5E6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CDF-4F59-A6DD-7A4AF9B5E6A1}"/>
              </c:ext>
            </c:extLst>
          </c:dPt>
          <c:dLbls>
            <c:dLbl>
              <c:idx val="0"/>
              <c:layout>
                <c:manualLayout>
                  <c:x val="1.0470734021706007E-2"/>
                  <c:y val="-6.6761688639981123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78762266923139"/>
                      <c:h val="0.212199476124867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CDF-4F59-A6DD-7A4AF9B5E6A1}"/>
                </c:ext>
              </c:extLst>
            </c:dLbl>
            <c:dLbl>
              <c:idx val="1"/>
              <c:layout>
                <c:manualLayout>
                  <c:x val="-0.11056398503677006"/>
                  <c:y val="-1.7504898254061839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07778664984958"/>
                      <c:h val="0.130879191704005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CDF-4F59-A6DD-7A4AF9B5E6A1}"/>
                </c:ext>
              </c:extLst>
            </c:dLbl>
            <c:dLbl>
              <c:idx val="2"/>
              <c:layout>
                <c:manualLayout>
                  <c:x val="-0.12639540019902362"/>
                  <c:y val="7.304590220152156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DF-4F59-A6DD-7A4AF9B5E6A1}"/>
                </c:ext>
              </c:extLst>
            </c:dLbl>
            <c:dLbl>
              <c:idx val="3"/>
              <c:layout>
                <c:manualLayout>
                  <c:x val="-0.17587804624410333"/>
                  <c:y val="5.45484567957389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DF-4F59-A6DD-7A4AF9B5E6A1}"/>
                </c:ext>
              </c:extLst>
            </c:dLbl>
            <c:dLbl>
              <c:idx val="4"/>
              <c:layout>
                <c:manualLayout>
                  <c:x val="-9.203029124722531E-2"/>
                  <c:y val="4.16857842065343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DF-4F59-A6DD-7A4AF9B5E6A1}"/>
                </c:ext>
              </c:extLst>
            </c:dLbl>
            <c:dLbl>
              <c:idx val="5"/>
              <c:layout>
                <c:manualLayout>
                  <c:x val="-5.6031655427565566E-2"/>
                  <c:y val="-4.16813554156416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DF-4F59-A6DD-7A4AF9B5E6A1}"/>
                </c:ext>
              </c:extLst>
            </c:dLbl>
            <c:dLbl>
              <c:idx val="6"/>
              <c:layout>
                <c:manualLayout>
                  <c:x val="-5.2049397912015648E-2"/>
                  <c:y val="-0.15921211429541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DF-4F59-A6DD-7A4AF9B5E6A1}"/>
                </c:ext>
              </c:extLst>
            </c:dLbl>
            <c:dLbl>
              <c:idx val="7"/>
              <c:layout>
                <c:manualLayout>
                  <c:x val="2.2457963914249972E-2"/>
                  <c:y val="-9.1697169078466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CDF-4F59-A6DD-7A4AF9B5E6A1}"/>
                </c:ext>
              </c:extLst>
            </c:dLbl>
            <c:dLbl>
              <c:idx val="8"/>
              <c:layout>
                <c:manualLayout>
                  <c:x val="6.0817950964944231E-2"/>
                  <c:y val="-9.43195770626273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CDF-4F59-A6DD-7A4AF9B5E6A1}"/>
                </c:ext>
              </c:extLst>
            </c:dLbl>
            <c:dLbl>
              <c:idx val="9"/>
              <c:layout>
                <c:manualLayout>
                  <c:x val="0.24959462470021274"/>
                  <c:y val="-4.45282835784277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CDF-4F59-A6DD-7A4AF9B5E6A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'A1'!$B$82:$B$91</c:f>
              <c:strCache>
                <c:ptCount val="10"/>
                <c:pt idx="0">
                  <c:v>Aluminum+powdercoating</c:v>
                </c:pt>
                <c:pt idx="1">
                  <c:v>Fabric</c:v>
                </c:pt>
                <c:pt idx="2">
                  <c:v>Accessories</c:v>
                </c:pt>
                <c:pt idx="3">
                  <c:v>Motor</c:v>
                </c:pt>
                <c:pt idx="4">
                  <c:v>Steel Tube</c:v>
                </c:pt>
                <c:pt idx="5">
                  <c:v>Connection Plate</c:v>
                </c:pt>
                <c:pt idx="6">
                  <c:v>Rubber</c:v>
                </c:pt>
                <c:pt idx="7">
                  <c:v>Lighting</c:v>
                </c:pt>
                <c:pt idx="8">
                  <c:v>Sealing</c:v>
                </c:pt>
                <c:pt idx="9">
                  <c:v>Waterway+Connection</c:v>
                </c:pt>
              </c:strCache>
            </c:strRef>
          </c:cat>
          <c:val>
            <c:numRef>
              <c:f>'A1'!$C$82:$C$91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DF-4F59-A6DD-7A4AF9B5E6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 items of Retractable</a:t>
            </a:r>
          </a:p>
          <a:p>
            <a:pPr>
              <a:defRPr/>
            </a:pPr>
            <a:r>
              <a:rPr lang="en-US" sz="1200"/>
              <a:t> Awning system</a:t>
            </a:r>
          </a:p>
        </c:rich>
      </c:tx>
      <c:layout>
        <c:manualLayout>
          <c:xMode val="edge"/>
          <c:yMode val="edge"/>
          <c:x val="1.7388234282430273E-2"/>
          <c:y val="1.0474462846115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0508638056865"/>
          <c:y val="0.22713337376259998"/>
          <c:w val="0.49018399029446047"/>
          <c:h val="0.69290930924443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82-46AF-B9D5-C94F2FF708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82-46AF-B9D5-C94F2FF708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82-46AF-B9D5-C94F2FF708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82-46AF-B9D5-C94F2FF708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82-46AF-B9D5-C94F2FF708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82-46AF-B9D5-C94F2FF708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82-46AF-B9D5-C94F2FF708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82-46AF-B9D5-C94F2FF708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882-46AF-B9D5-C94F2FF708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882-46AF-B9D5-C94F2FF70836}"/>
              </c:ext>
            </c:extLst>
          </c:dPt>
          <c:dLbls>
            <c:dLbl>
              <c:idx val="0"/>
              <c:layout>
                <c:manualLayout>
                  <c:x val="1.0470734021706007E-2"/>
                  <c:y val="-6.6761688639981123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78762266923139"/>
                      <c:h val="0.212199476124867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882-46AF-B9D5-C94F2FF70836}"/>
                </c:ext>
              </c:extLst>
            </c:dLbl>
            <c:dLbl>
              <c:idx val="1"/>
              <c:layout>
                <c:manualLayout>
                  <c:x val="-0.11056398503677006"/>
                  <c:y val="-1.7504898254061839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07778664984958"/>
                      <c:h val="0.130879191704005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882-46AF-B9D5-C94F2FF70836}"/>
                </c:ext>
              </c:extLst>
            </c:dLbl>
            <c:dLbl>
              <c:idx val="2"/>
              <c:layout>
                <c:manualLayout>
                  <c:x val="-0.12639540019902362"/>
                  <c:y val="7.304590220152156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82-46AF-B9D5-C94F2FF70836}"/>
                </c:ext>
              </c:extLst>
            </c:dLbl>
            <c:dLbl>
              <c:idx val="3"/>
              <c:layout>
                <c:manualLayout>
                  <c:x val="-0.17587804624410333"/>
                  <c:y val="5.45484567957389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82-46AF-B9D5-C94F2FF70836}"/>
                </c:ext>
              </c:extLst>
            </c:dLbl>
            <c:dLbl>
              <c:idx val="4"/>
              <c:layout>
                <c:manualLayout>
                  <c:x val="-9.203029124722531E-2"/>
                  <c:y val="4.16857842065343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82-46AF-B9D5-C94F2FF70836}"/>
                </c:ext>
              </c:extLst>
            </c:dLbl>
            <c:dLbl>
              <c:idx val="5"/>
              <c:layout>
                <c:manualLayout>
                  <c:x val="-5.6031655427565566E-2"/>
                  <c:y val="-4.16813554156416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82-46AF-B9D5-C94F2FF70836}"/>
                </c:ext>
              </c:extLst>
            </c:dLbl>
            <c:dLbl>
              <c:idx val="6"/>
              <c:layout>
                <c:manualLayout>
                  <c:x val="-5.2049397912015648E-2"/>
                  <c:y val="-0.15921211429541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882-46AF-B9D5-C94F2FF70836}"/>
                </c:ext>
              </c:extLst>
            </c:dLbl>
            <c:dLbl>
              <c:idx val="7"/>
              <c:layout>
                <c:manualLayout>
                  <c:x val="2.2457963914249972E-2"/>
                  <c:y val="-9.1697169078466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82-46AF-B9D5-C94F2FF70836}"/>
                </c:ext>
              </c:extLst>
            </c:dLbl>
            <c:dLbl>
              <c:idx val="8"/>
              <c:layout>
                <c:manualLayout>
                  <c:x val="6.0817950964944231E-2"/>
                  <c:y val="-9.43195770626273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82-46AF-B9D5-C94F2FF70836}"/>
                </c:ext>
              </c:extLst>
            </c:dLbl>
            <c:dLbl>
              <c:idx val="9"/>
              <c:layout>
                <c:manualLayout>
                  <c:x val="0.24959462470021274"/>
                  <c:y val="-4.45282835784277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882-46AF-B9D5-C94F2FF7083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'A1'!$B$82:$B$91</c:f>
              <c:strCache>
                <c:ptCount val="10"/>
                <c:pt idx="0">
                  <c:v>Aluminum+powdercoating</c:v>
                </c:pt>
                <c:pt idx="1">
                  <c:v>Fabric</c:v>
                </c:pt>
                <c:pt idx="2">
                  <c:v>Accessories</c:v>
                </c:pt>
                <c:pt idx="3">
                  <c:v>Motor</c:v>
                </c:pt>
                <c:pt idx="4">
                  <c:v>Steel Tube</c:v>
                </c:pt>
                <c:pt idx="5">
                  <c:v>Connection Plate</c:v>
                </c:pt>
                <c:pt idx="6">
                  <c:v>Rubber</c:v>
                </c:pt>
                <c:pt idx="7">
                  <c:v>Lighting</c:v>
                </c:pt>
                <c:pt idx="8">
                  <c:v>Sealing</c:v>
                </c:pt>
                <c:pt idx="9">
                  <c:v>Waterway+Connection</c:v>
                </c:pt>
              </c:strCache>
            </c:strRef>
          </c:cat>
          <c:val>
            <c:numRef>
              <c:f>'A1'!$C$82:$C$91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82-46AF-B9D5-C94F2FF708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 items of Retractable</a:t>
            </a:r>
          </a:p>
          <a:p>
            <a:pPr>
              <a:defRPr/>
            </a:pPr>
            <a:r>
              <a:rPr lang="en-US" sz="1200"/>
              <a:t> Awning system</a:t>
            </a:r>
          </a:p>
        </c:rich>
      </c:tx>
      <c:layout>
        <c:manualLayout>
          <c:xMode val="edge"/>
          <c:yMode val="edge"/>
          <c:x val="1.7388234282430273E-2"/>
          <c:y val="1.0474462846115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0508638056865"/>
          <c:y val="0.22713337376259998"/>
          <c:w val="0.49018399029446047"/>
          <c:h val="0.69290930924443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D7-4A85-9083-6EF151978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D7-4A85-9083-6EF151978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D7-4A85-9083-6EF1519784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D7-4A85-9083-6EF1519784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D7-4A85-9083-6EF151978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2D7-4A85-9083-6EF1519784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2D7-4A85-9083-6EF1519784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2D7-4A85-9083-6EF1519784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2D7-4A85-9083-6EF1519784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2D7-4A85-9083-6EF151978408}"/>
              </c:ext>
            </c:extLst>
          </c:dPt>
          <c:dLbls>
            <c:dLbl>
              <c:idx val="0"/>
              <c:layout>
                <c:manualLayout>
                  <c:x val="1.0470734021706007E-2"/>
                  <c:y val="-6.6761688639981123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78762266923139"/>
                      <c:h val="0.212199476124867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2D7-4A85-9083-6EF151978408}"/>
                </c:ext>
              </c:extLst>
            </c:dLbl>
            <c:dLbl>
              <c:idx val="1"/>
              <c:layout>
                <c:manualLayout>
                  <c:x val="-0.11056398503677006"/>
                  <c:y val="-1.7504898254061839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07778664984958"/>
                      <c:h val="0.130879191704005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2D7-4A85-9083-6EF151978408}"/>
                </c:ext>
              </c:extLst>
            </c:dLbl>
            <c:dLbl>
              <c:idx val="2"/>
              <c:layout>
                <c:manualLayout>
                  <c:x val="-0.12639540019902362"/>
                  <c:y val="7.304590220152156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D7-4A85-9083-6EF151978408}"/>
                </c:ext>
              </c:extLst>
            </c:dLbl>
            <c:dLbl>
              <c:idx val="3"/>
              <c:layout>
                <c:manualLayout>
                  <c:x val="-0.17587804624410333"/>
                  <c:y val="5.45484567957389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D7-4A85-9083-6EF151978408}"/>
                </c:ext>
              </c:extLst>
            </c:dLbl>
            <c:dLbl>
              <c:idx val="4"/>
              <c:layout>
                <c:manualLayout>
                  <c:x val="-9.203029124722531E-2"/>
                  <c:y val="4.16857842065343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D7-4A85-9083-6EF151978408}"/>
                </c:ext>
              </c:extLst>
            </c:dLbl>
            <c:dLbl>
              <c:idx val="5"/>
              <c:layout>
                <c:manualLayout>
                  <c:x val="-5.6031655427565566E-2"/>
                  <c:y val="-4.16813554156416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D7-4A85-9083-6EF151978408}"/>
                </c:ext>
              </c:extLst>
            </c:dLbl>
            <c:dLbl>
              <c:idx val="6"/>
              <c:layout>
                <c:manualLayout>
                  <c:x val="-5.2049397912015648E-2"/>
                  <c:y val="-0.15921211429541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D7-4A85-9083-6EF151978408}"/>
                </c:ext>
              </c:extLst>
            </c:dLbl>
            <c:dLbl>
              <c:idx val="7"/>
              <c:layout>
                <c:manualLayout>
                  <c:x val="2.2457963914249972E-2"/>
                  <c:y val="-9.1697169078466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2D7-4A85-9083-6EF151978408}"/>
                </c:ext>
              </c:extLst>
            </c:dLbl>
            <c:dLbl>
              <c:idx val="8"/>
              <c:layout>
                <c:manualLayout>
                  <c:x val="6.0817950964944231E-2"/>
                  <c:y val="-9.43195770626273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2D7-4A85-9083-6EF151978408}"/>
                </c:ext>
              </c:extLst>
            </c:dLbl>
            <c:dLbl>
              <c:idx val="9"/>
              <c:layout>
                <c:manualLayout>
                  <c:x val="0.24959462470021274"/>
                  <c:y val="-4.45282835784277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2D7-4A85-9083-6EF15197840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'A1'!$B$82:$B$91</c:f>
              <c:strCache>
                <c:ptCount val="10"/>
                <c:pt idx="0">
                  <c:v>Aluminum+powdercoating</c:v>
                </c:pt>
                <c:pt idx="1">
                  <c:v>Fabric</c:v>
                </c:pt>
                <c:pt idx="2">
                  <c:v>Accessories</c:v>
                </c:pt>
                <c:pt idx="3">
                  <c:v>Motor</c:v>
                </c:pt>
                <c:pt idx="4">
                  <c:v>Steel Tube</c:v>
                </c:pt>
                <c:pt idx="5">
                  <c:v>Connection Plate</c:v>
                </c:pt>
                <c:pt idx="6">
                  <c:v>Rubber</c:v>
                </c:pt>
                <c:pt idx="7">
                  <c:v>Lighting</c:v>
                </c:pt>
                <c:pt idx="8">
                  <c:v>Sealing</c:v>
                </c:pt>
                <c:pt idx="9">
                  <c:v>Waterway+Connection</c:v>
                </c:pt>
              </c:strCache>
            </c:strRef>
          </c:cat>
          <c:val>
            <c:numRef>
              <c:f>'A1'!$C$82:$C$91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D7-4A85-9083-6EF1519784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 items of Retractable</a:t>
            </a:r>
          </a:p>
          <a:p>
            <a:pPr>
              <a:defRPr/>
            </a:pPr>
            <a:r>
              <a:rPr lang="en-US" sz="1200"/>
              <a:t> Awning system</a:t>
            </a:r>
          </a:p>
        </c:rich>
      </c:tx>
      <c:layout>
        <c:manualLayout>
          <c:xMode val="edge"/>
          <c:yMode val="edge"/>
          <c:x val="1.7388234282430273E-2"/>
          <c:y val="1.0474462846115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0508638056865"/>
          <c:y val="0.22713337376259998"/>
          <c:w val="0.49018399029446047"/>
          <c:h val="0.69290930924443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B7-49DD-B3DA-6DFD25EC6F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B7-49DD-B3DA-6DFD25EC6F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B7-49DD-B3DA-6DFD25EC6F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B7-49DD-B3DA-6DFD25EC6F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B7-49DD-B3DA-6DFD25EC6F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B7-49DD-B3DA-6DFD25EC6F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B7-49DD-B3DA-6DFD25EC6F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B7-49DD-B3DA-6DFD25EC6F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FB7-49DD-B3DA-6DFD25EC6F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FB7-49DD-B3DA-6DFD25EC6FA8}"/>
              </c:ext>
            </c:extLst>
          </c:dPt>
          <c:dLbls>
            <c:dLbl>
              <c:idx val="0"/>
              <c:layout>
                <c:manualLayout>
                  <c:x val="1.0470734021706007E-2"/>
                  <c:y val="-6.6761688639981123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78762266923139"/>
                      <c:h val="0.212199476124867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FB7-49DD-B3DA-6DFD25EC6FA8}"/>
                </c:ext>
              </c:extLst>
            </c:dLbl>
            <c:dLbl>
              <c:idx val="1"/>
              <c:layout>
                <c:manualLayout>
                  <c:x val="-0.11056398503677006"/>
                  <c:y val="-1.7504898254061839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07778664984958"/>
                      <c:h val="0.130879191704005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FB7-49DD-B3DA-6DFD25EC6FA8}"/>
                </c:ext>
              </c:extLst>
            </c:dLbl>
            <c:dLbl>
              <c:idx val="2"/>
              <c:layout>
                <c:manualLayout>
                  <c:x val="-0.12639540019902362"/>
                  <c:y val="7.304590220152156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B7-49DD-B3DA-6DFD25EC6FA8}"/>
                </c:ext>
              </c:extLst>
            </c:dLbl>
            <c:dLbl>
              <c:idx val="3"/>
              <c:layout>
                <c:manualLayout>
                  <c:x val="-0.17587804624410333"/>
                  <c:y val="5.45484567957389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B7-49DD-B3DA-6DFD25EC6FA8}"/>
                </c:ext>
              </c:extLst>
            </c:dLbl>
            <c:dLbl>
              <c:idx val="4"/>
              <c:layout>
                <c:manualLayout>
                  <c:x val="-9.203029124722531E-2"/>
                  <c:y val="4.16857842065343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B7-49DD-B3DA-6DFD25EC6FA8}"/>
                </c:ext>
              </c:extLst>
            </c:dLbl>
            <c:dLbl>
              <c:idx val="5"/>
              <c:layout>
                <c:manualLayout>
                  <c:x val="-5.6031655427565566E-2"/>
                  <c:y val="-4.16813554156416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B7-49DD-B3DA-6DFD25EC6FA8}"/>
                </c:ext>
              </c:extLst>
            </c:dLbl>
            <c:dLbl>
              <c:idx val="6"/>
              <c:layout>
                <c:manualLayout>
                  <c:x val="-5.2049397912015648E-2"/>
                  <c:y val="-0.15921211429541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B7-49DD-B3DA-6DFD25EC6FA8}"/>
                </c:ext>
              </c:extLst>
            </c:dLbl>
            <c:dLbl>
              <c:idx val="7"/>
              <c:layout>
                <c:manualLayout>
                  <c:x val="2.2457963914249972E-2"/>
                  <c:y val="-9.1697169078466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B7-49DD-B3DA-6DFD25EC6FA8}"/>
                </c:ext>
              </c:extLst>
            </c:dLbl>
            <c:dLbl>
              <c:idx val="8"/>
              <c:layout>
                <c:manualLayout>
                  <c:x val="6.0817950964944231E-2"/>
                  <c:y val="-9.43195770626273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B7-49DD-B3DA-6DFD25EC6FA8}"/>
                </c:ext>
              </c:extLst>
            </c:dLbl>
            <c:dLbl>
              <c:idx val="9"/>
              <c:layout>
                <c:manualLayout>
                  <c:x val="0.24959462470021274"/>
                  <c:y val="-4.45282835784277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B7-49DD-B3DA-6DFD25EC6FA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'A1'!$B$82:$B$91</c:f>
              <c:strCache>
                <c:ptCount val="10"/>
                <c:pt idx="0">
                  <c:v>Aluminum+powdercoating</c:v>
                </c:pt>
                <c:pt idx="1">
                  <c:v>Fabric</c:v>
                </c:pt>
                <c:pt idx="2">
                  <c:v>Accessories</c:v>
                </c:pt>
                <c:pt idx="3">
                  <c:v>Motor</c:v>
                </c:pt>
                <c:pt idx="4">
                  <c:v>Steel Tube</c:v>
                </c:pt>
                <c:pt idx="5">
                  <c:v>Connection Plate</c:v>
                </c:pt>
                <c:pt idx="6">
                  <c:v>Rubber</c:v>
                </c:pt>
                <c:pt idx="7">
                  <c:v>Lighting</c:v>
                </c:pt>
                <c:pt idx="8">
                  <c:v>Sealing</c:v>
                </c:pt>
                <c:pt idx="9">
                  <c:v>Waterway+Connection</c:v>
                </c:pt>
              </c:strCache>
            </c:strRef>
          </c:cat>
          <c:val>
            <c:numRef>
              <c:f>'A1'!$C$82:$C$91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FB7-49DD-B3DA-6DFD25EC6F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 items of Retractable</a:t>
            </a:r>
          </a:p>
          <a:p>
            <a:pPr>
              <a:defRPr/>
            </a:pPr>
            <a:r>
              <a:rPr lang="en-US" sz="1200"/>
              <a:t> Awning system</a:t>
            </a:r>
          </a:p>
        </c:rich>
      </c:tx>
      <c:layout>
        <c:manualLayout>
          <c:xMode val="edge"/>
          <c:yMode val="edge"/>
          <c:x val="1.7388234282430273E-2"/>
          <c:y val="1.0474462846115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0508638056865"/>
          <c:y val="0.22713337376259998"/>
          <c:w val="0.49018399029446047"/>
          <c:h val="0.69290930924443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60-43E7-9BFE-8F3445849D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60-43E7-9BFE-8F3445849D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60-43E7-9BFE-8F3445849D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60-43E7-9BFE-8F3445849D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60-43E7-9BFE-8F3445849D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60-43E7-9BFE-8F3445849D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60-43E7-9BFE-8F3445849D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60-43E7-9BFE-8F3445849D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60-43E7-9BFE-8F3445849D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60-43E7-9BFE-8F3445849DB7}"/>
              </c:ext>
            </c:extLst>
          </c:dPt>
          <c:dLbls>
            <c:dLbl>
              <c:idx val="0"/>
              <c:layout>
                <c:manualLayout>
                  <c:x val="1.0470734021706007E-2"/>
                  <c:y val="-6.6761688639981123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78762266923139"/>
                      <c:h val="0.212199476124867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560-43E7-9BFE-8F3445849DB7}"/>
                </c:ext>
              </c:extLst>
            </c:dLbl>
            <c:dLbl>
              <c:idx val="1"/>
              <c:layout>
                <c:manualLayout>
                  <c:x val="-0.11056398503677006"/>
                  <c:y val="-1.7504898254061839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07778664984958"/>
                      <c:h val="0.130879191704005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560-43E7-9BFE-8F3445849DB7}"/>
                </c:ext>
              </c:extLst>
            </c:dLbl>
            <c:dLbl>
              <c:idx val="2"/>
              <c:layout>
                <c:manualLayout>
                  <c:x val="-0.12639540019902362"/>
                  <c:y val="7.304590220152156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60-43E7-9BFE-8F3445849DB7}"/>
                </c:ext>
              </c:extLst>
            </c:dLbl>
            <c:dLbl>
              <c:idx val="3"/>
              <c:layout>
                <c:manualLayout>
                  <c:x val="-0.17587804624410333"/>
                  <c:y val="5.45484567957389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60-43E7-9BFE-8F3445849DB7}"/>
                </c:ext>
              </c:extLst>
            </c:dLbl>
            <c:dLbl>
              <c:idx val="4"/>
              <c:layout>
                <c:manualLayout>
                  <c:x val="-9.203029124722531E-2"/>
                  <c:y val="4.16857842065343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60-43E7-9BFE-8F3445849DB7}"/>
                </c:ext>
              </c:extLst>
            </c:dLbl>
            <c:dLbl>
              <c:idx val="5"/>
              <c:layout>
                <c:manualLayout>
                  <c:x val="-5.6031655427565566E-2"/>
                  <c:y val="-4.16813554156416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60-43E7-9BFE-8F3445849DB7}"/>
                </c:ext>
              </c:extLst>
            </c:dLbl>
            <c:dLbl>
              <c:idx val="6"/>
              <c:layout>
                <c:manualLayout>
                  <c:x val="-5.2049397912015648E-2"/>
                  <c:y val="-0.15921211429541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60-43E7-9BFE-8F3445849DB7}"/>
                </c:ext>
              </c:extLst>
            </c:dLbl>
            <c:dLbl>
              <c:idx val="7"/>
              <c:layout>
                <c:manualLayout>
                  <c:x val="2.2457963914249972E-2"/>
                  <c:y val="-9.1697169078466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60-43E7-9BFE-8F3445849DB7}"/>
                </c:ext>
              </c:extLst>
            </c:dLbl>
            <c:dLbl>
              <c:idx val="8"/>
              <c:layout>
                <c:manualLayout>
                  <c:x val="6.0817950964944231E-2"/>
                  <c:y val="-9.43195770626273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60-43E7-9BFE-8F3445849DB7}"/>
                </c:ext>
              </c:extLst>
            </c:dLbl>
            <c:dLbl>
              <c:idx val="9"/>
              <c:layout>
                <c:manualLayout>
                  <c:x val="0.24959462470021274"/>
                  <c:y val="-4.45282835784277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60-43E7-9BFE-8F3445849DB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'A1'!$B$82:$B$91</c:f>
              <c:strCache>
                <c:ptCount val="10"/>
                <c:pt idx="0">
                  <c:v>Aluminum+powdercoating</c:v>
                </c:pt>
                <c:pt idx="1">
                  <c:v>Fabric</c:v>
                </c:pt>
                <c:pt idx="2">
                  <c:v>Accessories</c:v>
                </c:pt>
                <c:pt idx="3">
                  <c:v>Motor</c:v>
                </c:pt>
                <c:pt idx="4">
                  <c:v>Steel Tube</c:v>
                </c:pt>
                <c:pt idx="5">
                  <c:v>Connection Plate</c:v>
                </c:pt>
                <c:pt idx="6">
                  <c:v>Rubber</c:v>
                </c:pt>
                <c:pt idx="7">
                  <c:v>Lighting</c:v>
                </c:pt>
                <c:pt idx="8">
                  <c:v>Sealing</c:v>
                </c:pt>
                <c:pt idx="9">
                  <c:v>Waterway+Connection</c:v>
                </c:pt>
              </c:strCache>
            </c:strRef>
          </c:cat>
          <c:val>
            <c:numRef>
              <c:f>'A1'!$C$82:$C$91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60-43E7-9BFE-8F3445849D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'A1'!$B$67:$B$73</c:f>
              <c:strCache>
                <c:ptCount val="7"/>
                <c:pt idx="0">
                  <c:v>Aluminum</c:v>
                </c:pt>
                <c:pt idx="1">
                  <c:v>Fabric</c:v>
                </c:pt>
                <c:pt idx="2">
                  <c:v>Accessories</c:v>
                </c:pt>
                <c:pt idx="3">
                  <c:v>Apparatus</c:v>
                </c:pt>
                <c:pt idx="4">
                  <c:v>T10</c:v>
                </c:pt>
                <c:pt idx="5">
                  <c:v>Motor</c:v>
                </c:pt>
                <c:pt idx="6">
                  <c:v>Powder coating</c:v>
                </c:pt>
              </c:strCache>
            </c:strRef>
          </c:cat>
          <c:val>
            <c:numRef>
              <c:f>'A1'!$C$67:$C$73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3-4A7F-8A19-C6F02CD9C1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03887"/>
        <c:axId val="262702639"/>
      </c:barChart>
      <c:catAx>
        <c:axId val="2627038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2639"/>
        <c:crosses val="autoZero"/>
        <c:auto val="1"/>
        <c:lblAlgn val="ctr"/>
        <c:lblOffset val="100"/>
        <c:noMultiLvlLbl val="0"/>
      </c:catAx>
      <c:valAx>
        <c:axId val="26270263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3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'A2'!$B$67:$B$73</c:f>
              <c:strCache>
                <c:ptCount val="7"/>
                <c:pt idx="0">
                  <c:v>Aluminum</c:v>
                </c:pt>
                <c:pt idx="1">
                  <c:v>Fabric</c:v>
                </c:pt>
                <c:pt idx="2">
                  <c:v>Accessories</c:v>
                </c:pt>
                <c:pt idx="3">
                  <c:v>Apparatus</c:v>
                </c:pt>
                <c:pt idx="4">
                  <c:v>T10</c:v>
                </c:pt>
                <c:pt idx="5">
                  <c:v>Motor</c:v>
                </c:pt>
                <c:pt idx="6">
                  <c:v>Powder coating</c:v>
                </c:pt>
              </c:strCache>
            </c:strRef>
          </c:cat>
          <c:val>
            <c:numRef>
              <c:f>'A2'!$C$67:$C$73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8-4A91-9583-19EF2A58B5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03887"/>
        <c:axId val="262702639"/>
      </c:barChart>
      <c:catAx>
        <c:axId val="2627038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2639"/>
        <c:crosses val="autoZero"/>
        <c:auto val="1"/>
        <c:lblAlgn val="ctr"/>
        <c:lblOffset val="100"/>
        <c:noMultiLvlLbl val="0"/>
      </c:catAx>
      <c:valAx>
        <c:axId val="26270263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3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'A3'!$B$67:$B$73</c:f>
              <c:strCache>
                <c:ptCount val="7"/>
                <c:pt idx="0">
                  <c:v>Aluminum</c:v>
                </c:pt>
                <c:pt idx="1">
                  <c:v>Fabric</c:v>
                </c:pt>
                <c:pt idx="2">
                  <c:v>Accessories</c:v>
                </c:pt>
                <c:pt idx="3">
                  <c:v>Apparatus</c:v>
                </c:pt>
                <c:pt idx="4">
                  <c:v>T10</c:v>
                </c:pt>
                <c:pt idx="5">
                  <c:v>Motor</c:v>
                </c:pt>
                <c:pt idx="6">
                  <c:v>Powder coating</c:v>
                </c:pt>
              </c:strCache>
            </c:strRef>
          </c:cat>
          <c:val>
            <c:numRef>
              <c:f>'A3'!$C$67:$C$73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5-4CC4-AC04-38A92099AD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03887"/>
        <c:axId val="262702639"/>
      </c:barChart>
      <c:catAx>
        <c:axId val="2627038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2639"/>
        <c:crosses val="autoZero"/>
        <c:auto val="1"/>
        <c:lblAlgn val="ctr"/>
        <c:lblOffset val="100"/>
        <c:noMultiLvlLbl val="0"/>
      </c:catAx>
      <c:valAx>
        <c:axId val="26270263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3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11833</xdr:rowOff>
    </xdr:from>
    <xdr:to>
      <xdr:col>6</xdr:col>
      <xdr:colOff>522719</xdr:colOff>
      <xdr:row>35</xdr:row>
      <xdr:rowOff>8370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0E618-58C2-434C-9F4F-52A2D00FD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1090698</xdr:colOff>
      <xdr:row>2</xdr:row>
      <xdr:rowOff>242454</xdr:rowOff>
    </xdr:from>
    <xdr:to>
      <xdr:col>6</xdr:col>
      <xdr:colOff>527931</xdr:colOff>
      <xdr:row>8</xdr:row>
      <xdr:rowOff>245340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95001C-101F-4DFF-B765-24016E0B5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96737887" y="554181"/>
          <a:ext cx="1313369" cy="1653886"/>
        </a:xfrm>
        <a:prstGeom prst="rect">
          <a:avLst/>
        </a:prstGeom>
      </xdr:spPr>
    </xdr:pic>
    <xdr:clientData/>
  </xdr:twoCellAnchor>
  <xdr:twoCellAnchor editAs="oneCell">
    <xdr:from>
      <xdr:col>28</xdr:col>
      <xdr:colOff>226003</xdr:colOff>
      <xdr:row>2</xdr:row>
      <xdr:rowOff>48781</xdr:rowOff>
    </xdr:from>
    <xdr:to>
      <xdr:col>30</xdr:col>
      <xdr:colOff>485702</xdr:colOff>
      <xdr:row>6</xdr:row>
      <xdr:rowOff>164524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C70AAD-AA9C-4683-85B4-2CDE339CA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80665259" y="360508"/>
          <a:ext cx="1561738" cy="1279236"/>
        </a:xfrm>
        <a:prstGeom prst="rect">
          <a:avLst/>
        </a:prstGeom>
      </xdr:spPr>
    </xdr:pic>
    <xdr:clientData/>
  </xdr:twoCellAnchor>
  <xdr:twoCellAnchor editAs="oneCell">
    <xdr:from>
      <xdr:col>31</xdr:col>
      <xdr:colOff>176620</xdr:colOff>
      <xdr:row>2</xdr:row>
      <xdr:rowOff>40906</xdr:rowOff>
    </xdr:from>
    <xdr:to>
      <xdr:col>33</xdr:col>
      <xdr:colOff>446416</xdr:colOff>
      <xdr:row>6</xdr:row>
      <xdr:rowOff>144030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776667-8426-4AEA-A712-D24A95DDF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8762600" y="352633"/>
          <a:ext cx="1565484" cy="1266617"/>
        </a:xfrm>
        <a:prstGeom prst="rect">
          <a:avLst/>
        </a:prstGeom>
      </xdr:spPr>
    </xdr:pic>
    <xdr:clientData/>
  </xdr:twoCellAnchor>
  <xdr:twoCellAnchor editAs="oneCell">
    <xdr:from>
      <xdr:col>34</xdr:col>
      <xdr:colOff>152687</xdr:colOff>
      <xdr:row>2</xdr:row>
      <xdr:rowOff>23669</xdr:rowOff>
    </xdr:from>
    <xdr:to>
      <xdr:col>36</xdr:col>
      <xdr:colOff>450457</xdr:colOff>
      <xdr:row>6</xdr:row>
      <xdr:rowOff>149659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C1057D-6AF7-474D-A260-777B12C73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76810263" y="335396"/>
          <a:ext cx="1593459" cy="1286308"/>
        </a:xfrm>
        <a:prstGeom prst="rect">
          <a:avLst/>
        </a:prstGeom>
      </xdr:spPr>
    </xdr:pic>
    <xdr:clientData/>
  </xdr:twoCellAnchor>
  <xdr:twoCellAnchor editAs="oneCell">
    <xdr:from>
      <xdr:col>31</xdr:col>
      <xdr:colOff>176355</xdr:colOff>
      <xdr:row>6</xdr:row>
      <xdr:rowOff>164000</xdr:rowOff>
    </xdr:from>
    <xdr:to>
      <xdr:col>33</xdr:col>
      <xdr:colOff>448728</xdr:colOff>
      <xdr:row>15</xdr:row>
      <xdr:rowOff>161540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CDFC30-D82A-4BA6-9A4E-9C4AC4AE5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8753938" y="1636045"/>
          <a:ext cx="1574411" cy="1293229"/>
        </a:xfrm>
        <a:prstGeom prst="rect">
          <a:avLst/>
        </a:prstGeom>
      </xdr:spPr>
    </xdr:pic>
    <xdr:clientData/>
  </xdr:twoCellAnchor>
  <xdr:twoCellAnchor editAs="oneCell">
    <xdr:from>
      <xdr:col>31</xdr:col>
      <xdr:colOff>159038</xdr:colOff>
      <xdr:row>15</xdr:row>
      <xdr:rowOff>176357</xdr:rowOff>
    </xdr:from>
    <xdr:to>
      <xdr:col>33</xdr:col>
      <xdr:colOff>465469</xdr:colOff>
      <xdr:row>20</xdr:row>
      <xdr:rowOff>240618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3B052C-B223-4226-8C4A-5BEAF4154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8743547" y="3986357"/>
          <a:ext cx="1602119" cy="1297027"/>
        </a:xfrm>
        <a:prstGeom prst="rect">
          <a:avLst/>
        </a:prstGeom>
      </xdr:spPr>
    </xdr:pic>
    <xdr:clientData/>
  </xdr:twoCellAnchor>
  <xdr:twoCellAnchor editAs="oneCell">
    <xdr:from>
      <xdr:col>34</xdr:col>
      <xdr:colOff>104565</xdr:colOff>
      <xdr:row>33</xdr:row>
      <xdr:rowOff>145760</xdr:rowOff>
    </xdr:from>
    <xdr:to>
      <xdr:col>36</xdr:col>
      <xdr:colOff>477304</xdr:colOff>
      <xdr:row>40</xdr:row>
      <xdr:rowOff>141720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88602B-F6D2-4F70-8AB2-2FDE2416B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76780241" y="7956260"/>
          <a:ext cx="1671603" cy="1334944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15</xdr:row>
      <xdr:rowOff>187327</xdr:rowOff>
    </xdr:from>
    <xdr:to>
      <xdr:col>36</xdr:col>
      <xdr:colOff>455913</xdr:colOff>
      <xdr:row>20</xdr:row>
      <xdr:rowOff>237942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DE03C3-AB63-4602-B8D9-72993EFD4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76801632" y="3997327"/>
          <a:ext cx="1604398" cy="1277031"/>
        </a:xfrm>
        <a:prstGeom prst="rect">
          <a:avLst/>
        </a:prstGeom>
      </xdr:spPr>
    </xdr:pic>
    <xdr:clientData/>
  </xdr:twoCellAnchor>
  <xdr:twoCellAnchor editAs="oneCell">
    <xdr:from>
      <xdr:col>34</xdr:col>
      <xdr:colOff>122093</xdr:colOff>
      <xdr:row>27</xdr:row>
      <xdr:rowOff>11836</xdr:rowOff>
    </xdr:from>
    <xdr:to>
      <xdr:col>36</xdr:col>
      <xdr:colOff>477273</xdr:colOff>
      <xdr:row>33</xdr:row>
      <xdr:rowOff>114260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E59CB2-9B35-4AE7-B273-849975349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76780272" y="6627381"/>
          <a:ext cx="1654044" cy="1297378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6</xdr:row>
      <xdr:rowOff>184154</xdr:rowOff>
    </xdr:from>
    <xdr:to>
      <xdr:col>36</xdr:col>
      <xdr:colOff>458511</xdr:colOff>
      <xdr:row>15</xdr:row>
      <xdr:rowOff>181372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71F4966-6937-436C-BBCB-83E909A08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76799034" y="1656199"/>
          <a:ext cx="1606996" cy="1292907"/>
        </a:xfrm>
        <a:prstGeom prst="rect">
          <a:avLst/>
        </a:prstGeom>
      </xdr:spPr>
    </xdr:pic>
    <xdr:clientData/>
  </xdr:twoCellAnchor>
  <xdr:twoCellAnchor editAs="oneCell">
    <xdr:from>
      <xdr:col>34</xdr:col>
      <xdr:colOff>141956</xdr:colOff>
      <xdr:row>21</xdr:row>
      <xdr:rowOff>22802</xdr:rowOff>
    </xdr:from>
    <xdr:to>
      <xdr:col>36</xdr:col>
      <xdr:colOff>464571</xdr:colOff>
      <xdr:row>27</xdr:row>
      <xdr:rowOff>866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4C8FC9C-719F-43CC-917F-DACDBBEBC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476789799" y="5322166"/>
          <a:ext cx="1624654" cy="1287896"/>
        </a:xfrm>
        <a:prstGeom prst="rect">
          <a:avLst/>
        </a:prstGeom>
      </xdr:spPr>
    </xdr:pic>
    <xdr:clientData/>
  </xdr:twoCellAnchor>
  <xdr:twoCellAnchor editAs="oneCell">
    <xdr:from>
      <xdr:col>31</xdr:col>
      <xdr:colOff>141720</xdr:colOff>
      <xdr:row>21</xdr:row>
      <xdr:rowOff>28287</xdr:rowOff>
    </xdr:from>
    <xdr:to>
      <xdr:col>33</xdr:col>
      <xdr:colOff>459089</xdr:colOff>
      <xdr:row>27</xdr:row>
      <xdr:rowOff>6847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D891BDA-E29C-4A42-AD22-1AD4908EE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8746752" y="5327651"/>
          <a:ext cx="1616232" cy="12915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31</xdr:row>
      <xdr:rowOff>6350</xdr:rowOff>
    </xdr:from>
    <xdr:to>
      <xdr:col>25</xdr:col>
      <xdr:colOff>641349</xdr:colOff>
      <xdr:row>52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24D1C-95E7-47E6-9BB2-03ADF4B3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31</xdr:row>
      <xdr:rowOff>6350</xdr:rowOff>
    </xdr:from>
    <xdr:to>
      <xdr:col>25</xdr:col>
      <xdr:colOff>641349</xdr:colOff>
      <xdr:row>52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1DE0C-5C73-4828-AA13-83093E8F3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31</xdr:row>
      <xdr:rowOff>6350</xdr:rowOff>
    </xdr:from>
    <xdr:to>
      <xdr:col>25</xdr:col>
      <xdr:colOff>641349</xdr:colOff>
      <xdr:row>52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9C813-8177-41D0-A242-6B4861C22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31</xdr:row>
      <xdr:rowOff>6350</xdr:rowOff>
    </xdr:from>
    <xdr:to>
      <xdr:col>25</xdr:col>
      <xdr:colOff>641349</xdr:colOff>
      <xdr:row>52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C8E82-4FC7-46FF-97E3-DC81FB291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31</xdr:row>
      <xdr:rowOff>6350</xdr:rowOff>
    </xdr:from>
    <xdr:to>
      <xdr:col>25</xdr:col>
      <xdr:colOff>641349</xdr:colOff>
      <xdr:row>52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9DE2B-14A4-4348-A8D8-DD4A4B20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11833</xdr:rowOff>
    </xdr:from>
    <xdr:to>
      <xdr:col>6</xdr:col>
      <xdr:colOff>522719</xdr:colOff>
      <xdr:row>35</xdr:row>
      <xdr:rowOff>8370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1EC3D-3B67-433A-8F50-4DFBBB6C4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1094732</xdr:colOff>
      <xdr:row>1</xdr:row>
      <xdr:rowOff>173182</xdr:rowOff>
    </xdr:from>
    <xdr:to>
      <xdr:col>6</xdr:col>
      <xdr:colOff>528790</xdr:colOff>
      <xdr:row>7</xdr:row>
      <xdr:rowOff>239568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AE5E4-5B1F-4CF6-8925-86DF3D6AA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96737028" y="294409"/>
          <a:ext cx="1310194" cy="1653886"/>
        </a:xfrm>
        <a:prstGeom prst="rect">
          <a:avLst/>
        </a:prstGeom>
      </xdr:spPr>
    </xdr:pic>
    <xdr:clientData/>
  </xdr:twoCellAnchor>
  <xdr:twoCellAnchor editAs="oneCell">
    <xdr:from>
      <xdr:col>28</xdr:col>
      <xdr:colOff>226003</xdr:colOff>
      <xdr:row>2</xdr:row>
      <xdr:rowOff>48781</xdr:rowOff>
    </xdr:from>
    <xdr:to>
      <xdr:col>30</xdr:col>
      <xdr:colOff>485702</xdr:colOff>
      <xdr:row>6</xdr:row>
      <xdr:rowOff>164524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90676-5842-417B-AC35-BF4BCFC51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8206273" y="359931"/>
          <a:ext cx="1558274" cy="1268268"/>
        </a:xfrm>
        <a:prstGeom prst="rect">
          <a:avLst/>
        </a:prstGeom>
      </xdr:spPr>
    </xdr:pic>
    <xdr:clientData/>
  </xdr:twoCellAnchor>
  <xdr:twoCellAnchor editAs="oneCell">
    <xdr:from>
      <xdr:col>31</xdr:col>
      <xdr:colOff>176620</xdr:colOff>
      <xdr:row>2</xdr:row>
      <xdr:rowOff>40906</xdr:rowOff>
    </xdr:from>
    <xdr:to>
      <xdr:col>33</xdr:col>
      <xdr:colOff>446415</xdr:colOff>
      <xdr:row>6</xdr:row>
      <xdr:rowOff>144030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916854-C213-4A2D-A6FC-897AE7BC6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36302459" y="355231"/>
          <a:ext cx="1565196" cy="1252474"/>
        </a:xfrm>
        <a:prstGeom prst="rect">
          <a:avLst/>
        </a:prstGeom>
      </xdr:spPr>
    </xdr:pic>
    <xdr:clientData/>
  </xdr:twoCellAnchor>
  <xdr:twoCellAnchor editAs="oneCell">
    <xdr:from>
      <xdr:col>34</xdr:col>
      <xdr:colOff>152687</xdr:colOff>
      <xdr:row>2</xdr:row>
      <xdr:rowOff>23669</xdr:rowOff>
    </xdr:from>
    <xdr:to>
      <xdr:col>36</xdr:col>
      <xdr:colOff>450457</xdr:colOff>
      <xdr:row>6</xdr:row>
      <xdr:rowOff>149659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4C3490-7B70-4E15-9F79-F2E07A968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4361668" y="341169"/>
          <a:ext cx="1589995" cy="1275340"/>
        </a:xfrm>
        <a:prstGeom prst="rect">
          <a:avLst/>
        </a:prstGeom>
      </xdr:spPr>
    </xdr:pic>
    <xdr:clientData/>
  </xdr:twoCellAnchor>
  <xdr:twoCellAnchor editAs="oneCell">
    <xdr:from>
      <xdr:col>31</xdr:col>
      <xdr:colOff>176355</xdr:colOff>
      <xdr:row>6</xdr:row>
      <xdr:rowOff>164000</xdr:rowOff>
    </xdr:from>
    <xdr:to>
      <xdr:col>33</xdr:col>
      <xdr:colOff>448727</xdr:colOff>
      <xdr:row>15</xdr:row>
      <xdr:rowOff>161540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9417FA-C9F7-45D3-955A-E98BBF1F3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36306497" y="1627675"/>
          <a:ext cx="1561423" cy="1289765"/>
        </a:xfrm>
        <a:prstGeom prst="rect">
          <a:avLst/>
        </a:prstGeom>
      </xdr:spPr>
    </xdr:pic>
    <xdr:clientData/>
  </xdr:twoCellAnchor>
  <xdr:twoCellAnchor editAs="oneCell">
    <xdr:from>
      <xdr:col>31</xdr:col>
      <xdr:colOff>159038</xdr:colOff>
      <xdr:row>15</xdr:row>
      <xdr:rowOff>176357</xdr:rowOff>
    </xdr:from>
    <xdr:to>
      <xdr:col>33</xdr:col>
      <xdr:colOff>465468</xdr:colOff>
      <xdr:row>20</xdr:row>
      <xdr:rowOff>240618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5F41E9-4B3D-43D4-A05F-2D63A6E94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6283406" y="2932257"/>
          <a:ext cx="1601831" cy="1277111"/>
        </a:xfrm>
        <a:prstGeom prst="rect">
          <a:avLst/>
        </a:prstGeom>
      </xdr:spPr>
    </xdr:pic>
    <xdr:clientData/>
  </xdr:twoCellAnchor>
  <xdr:twoCellAnchor editAs="oneCell">
    <xdr:from>
      <xdr:col>34</xdr:col>
      <xdr:colOff>104565</xdr:colOff>
      <xdr:row>33</xdr:row>
      <xdr:rowOff>145760</xdr:rowOff>
    </xdr:from>
    <xdr:to>
      <xdr:col>36</xdr:col>
      <xdr:colOff>477304</xdr:colOff>
      <xdr:row>40</xdr:row>
      <xdr:rowOff>141720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F75977-3173-4DFE-A96A-D325DF59D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34331646" y="6886285"/>
          <a:ext cx="1664964" cy="1345335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15</xdr:row>
      <xdr:rowOff>187327</xdr:rowOff>
    </xdr:from>
    <xdr:to>
      <xdr:col>36</xdr:col>
      <xdr:colOff>455913</xdr:colOff>
      <xdr:row>20</xdr:row>
      <xdr:rowOff>237942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0BF653A-33C2-47BE-8754-213F6A30C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34353037" y="2940052"/>
          <a:ext cx="1600934" cy="1272990"/>
        </a:xfrm>
        <a:prstGeom prst="rect">
          <a:avLst/>
        </a:prstGeom>
      </xdr:spPr>
    </xdr:pic>
    <xdr:clientData/>
  </xdr:twoCellAnchor>
  <xdr:twoCellAnchor editAs="oneCell">
    <xdr:from>
      <xdr:col>34</xdr:col>
      <xdr:colOff>122093</xdr:colOff>
      <xdr:row>27</xdr:row>
      <xdr:rowOff>11836</xdr:rowOff>
    </xdr:from>
    <xdr:to>
      <xdr:col>36</xdr:col>
      <xdr:colOff>477273</xdr:colOff>
      <xdr:row>33</xdr:row>
      <xdr:rowOff>114260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D418D9-6AEE-4FCC-A0FB-F1C3AD0B8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34331677" y="5552211"/>
          <a:ext cx="1647405" cy="1305749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6</xdr:row>
      <xdr:rowOff>184154</xdr:rowOff>
    </xdr:from>
    <xdr:to>
      <xdr:col>36</xdr:col>
      <xdr:colOff>458511</xdr:colOff>
      <xdr:row>15</xdr:row>
      <xdr:rowOff>181372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4DA8349-50B7-41B5-9791-DAC8E3283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34350439" y="1647829"/>
          <a:ext cx="1603532" cy="1283093"/>
        </a:xfrm>
        <a:prstGeom prst="rect">
          <a:avLst/>
        </a:prstGeom>
      </xdr:spPr>
    </xdr:pic>
    <xdr:clientData/>
  </xdr:twoCellAnchor>
  <xdr:twoCellAnchor editAs="oneCell">
    <xdr:from>
      <xdr:col>34</xdr:col>
      <xdr:colOff>141956</xdr:colOff>
      <xdr:row>21</xdr:row>
      <xdr:rowOff>22802</xdr:rowOff>
    </xdr:from>
    <xdr:to>
      <xdr:col>36</xdr:col>
      <xdr:colOff>464571</xdr:colOff>
      <xdr:row>27</xdr:row>
      <xdr:rowOff>866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9C8F14-4D7E-4B49-8871-4226F9AEF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434341204" y="4255077"/>
          <a:ext cx="1618015" cy="1289339"/>
        </a:xfrm>
        <a:prstGeom prst="rect">
          <a:avLst/>
        </a:prstGeom>
      </xdr:spPr>
    </xdr:pic>
    <xdr:clientData/>
  </xdr:twoCellAnchor>
  <xdr:twoCellAnchor editAs="oneCell">
    <xdr:from>
      <xdr:col>31</xdr:col>
      <xdr:colOff>141720</xdr:colOff>
      <xdr:row>21</xdr:row>
      <xdr:rowOff>28287</xdr:rowOff>
    </xdr:from>
    <xdr:to>
      <xdr:col>33</xdr:col>
      <xdr:colOff>459088</xdr:colOff>
      <xdr:row>27</xdr:row>
      <xdr:rowOff>6847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4C81C7F-3496-49AF-AF6E-AC564712D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36292961" y="4260562"/>
          <a:ext cx="1609594" cy="1293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11833</xdr:rowOff>
    </xdr:from>
    <xdr:to>
      <xdr:col>6</xdr:col>
      <xdr:colOff>522719</xdr:colOff>
      <xdr:row>35</xdr:row>
      <xdr:rowOff>8370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72575-667E-48E0-BCB6-B3F3A5134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1088960</xdr:colOff>
      <xdr:row>2</xdr:row>
      <xdr:rowOff>0</xdr:rowOff>
    </xdr:from>
    <xdr:to>
      <xdr:col>6</xdr:col>
      <xdr:colOff>523018</xdr:colOff>
      <xdr:row>8</xdr:row>
      <xdr:rowOff>2886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9825A3-E91A-4B3D-A088-006FFC6ED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2548632" y="311150"/>
          <a:ext cx="1313658" cy="1653886"/>
        </a:xfrm>
        <a:prstGeom prst="rect">
          <a:avLst/>
        </a:prstGeom>
      </xdr:spPr>
    </xdr:pic>
    <xdr:clientData/>
  </xdr:twoCellAnchor>
  <xdr:twoCellAnchor editAs="oneCell">
    <xdr:from>
      <xdr:col>28</xdr:col>
      <xdr:colOff>226003</xdr:colOff>
      <xdr:row>2</xdr:row>
      <xdr:rowOff>48781</xdr:rowOff>
    </xdr:from>
    <xdr:to>
      <xdr:col>30</xdr:col>
      <xdr:colOff>485702</xdr:colOff>
      <xdr:row>6</xdr:row>
      <xdr:rowOff>164524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59F04E-B222-4F08-94A7-993C05866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86374398" y="359931"/>
          <a:ext cx="1555099" cy="1258743"/>
        </a:xfrm>
        <a:prstGeom prst="rect">
          <a:avLst/>
        </a:prstGeom>
      </xdr:spPr>
    </xdr:pic>
    <xdr:clientData/>
  </xdr:twoCellAnchor>
  <xdr:twoCellAnchor editAs="oneCell">
    <xdr:from>
      <xdr:col>31</xdr:col>
      <xdr:colOff>176620</xdr:colOff>
      <xdr:row>2</xdr:row>
      <xdr:rowOff>40906</xdr:rowOff>
    </xdr:from>
    <xdr:to>
      <xdr:col>33</xdr:col>
      <xdr:colOff>446415</xdr:colOff>
      <xdr:row>6</xdr:row>
      <xdr:rowOff>144030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8A67C5-C8AF-4F3B-9E65-41DFDC2D0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4470585" y="352056"/>
          <a:ext cx="1565195" cy="1246124"/>
        </a:xfrm>
        <a:prstGeom prst="rect">
          <a:avLst/>
        </a:prstGeom>
      </xdr:spPr>
    </xdr:pic>
    <xdr:clientData/>
  </xdr:twoCellAnchor>
  <xdr:twoCellAnchor editAs="oneCell">
    <xdr:from>
      <xdr:col>34</xdr:col>
      <xdr:colOff>152687</xdr:colOff>
      <xdr:row>2</xdr:row>
      <xdr:rowOff>23669</xdr:rowOff>
    </xdr:from>
    <xdr:to>
      <xdr:col>36</xdr:col>
      <xdr:colOff>450457</xdr:colOff>
      <xdr:row>6</xdr:row>
      <xdr:rowOff>149659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C614EF-B742-404F-AB69-1A96C4EC5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523443" y="334819"/>
          <a:ext cx="1593170" cy="1268990"/>
        </a:xfrm>
        <a:prstGeom prst="rect">
          <a:avLst/>
        </a:prstGeom>
      </xdr:spPr>
    </xdr:pic>
    <xdr:clientData/>
  </xdr:twoCellAnchor>
  <xdr:twoCellAnchor editAs="oneCell">
    <xdr:from>
      <xdr:col>31</xdr:col>
      <xdr:colOff>176355</xdr:colOff>
      <xdr:row>6</xdr:row>
      <xdr:rowOff>164000</xdr:rowOff>
    </xdr:from>
    <xdr:to>
      <xdr:col>33</xdr:col>
      <xdr:colOff>448727</xdr:colOff>
      <xdr:row>15</xdr:row>
      <xdr:rowOff>161540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AD4C6F-2318-4775-90A8-B33F224C1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84468273" y="1618150"/>
          <a:ext cx="1567772" cy="1267540"/>
        </a:xfrm>
        <a:prstGeom prst="rect">
          <a:avLst/>
        </a:prstGeom>
      </xdr:spPr>
    </xdr:pic>
    <xdr:clientData/>
  </xdr:twoCellAnchor>
  <xdr:twoCellAnchor editAs="oneCell">
    <xdr:from>
      <xdr:col>31</xdr:col>
      <xdr:colOff>159038</xdr:colOff>
      <xdr:row>15</xdr:row>
      <xdr:rowOff>176357</xdr:rowOff>
    </xdr:from>
    <xdr:to>
      <xdr:col>33</xdr:col>
      <xdr:colOff>465468</xdr:colOff>
      <xdr:row>20</xdr:row>
      <xdr:rowOff>240618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F93058-2BD7-4BC1-94B5-06BB235DA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4451532" y="2900507"/>
          <a:ext cx="1601830" cy="1270761"/>
        </a:xfrm>
        <a:prstGeom prst="rect">
          <a:avLst/>
        </a:prstGeom>
      </xdr:spPr>
    </xdr:pic>
    <xdr:clientData/>
  </xdr:twoCellAnchor>
  <xdr:twoCellAnchor editAs="oneCell">
    <xdr:from>
      <xdr:col>34</xdr:col>
      <xdr:colOff>104565</xdr:colOff>
      <xdr:row>33</xdr:row>
      <xdr:rowOff>145760</xdr:rowOff>
    </xdr:from>
    <xdr:to>
      <xdr:col>36</xdr:col>
      <xdr:colOff>477304</xdr:colOff>
      <xdr:row>40</xdr:row>
      <xdr:rowOff>141720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A1DED8-9982-4E00-A849-6650A708C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82496596" y="6870410"/>
          <a:ext cx="1668139" cy="1361210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15</xdr:row>
      <xdr:rowOff>187327</xdr:rowOff>
    </xdr:from>
    <xdr:to>
      <xdr:col>36</xdr:col>
      <xdr:colOff>455913</xdr:colOff>
      <xdr:row>20</xdr:row>
      <xdr:rowOff>237942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5166165-8CA0-4B63-87CA-9E1207D17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82517987" y="2911477"/>
          <a:ext cx="1600934" cy="1257115"/>
        </a:xfrm>
        <a:prstGeom prst="rect">
          <a:avLst/>
        </a:prstGeom>
      </xdr:spPr>
    </xdr:pic>
    <xdr:clientData/>
  </xdr:twoCellAnchor>
  <xdr:twoCellAnchor editAs="oneCell">
    <xdr:from>
      <xdr:col>34</xdr:col>
      <xdr:colOff>122093</xdr:colOff>
      <xdr:row>27</xdr:row>
      <xdr:rowOff>11836</xdr:rowOff>
    </xdr:from>
    <xdr:to>
      <xdr:col>36</xdr:col>
      <xdr:colOff>477273</xdr:colOff>
      <xdr:row>33</xdr:row>
      <xdr:rowOff>114260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4F82866-4827-453A-B7AC-801815DC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82496627" y="5517286"/>
          <a:ext cx="1650580" cy="1321624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6</xdr:row>
      <xdr:rowOff>184154</xdr:rowOff>
    </xdr:from>
    <xdr:to>
      <xdr:col>36</xdr:col>
      <xdr:colOff>458511</xdr:colOff>
      <xdr:row>15</xdr:row>
      <xdr:rowOff>181372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3831DF7-7BAE-471E-829F-8FF39266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82515389" y="1638304"/>
          <a:ext cx="1603532" cy="1267218"/>
        </a:xfrm>
        <a:prstGeom prst="rect">
          <a:avLst/>
        </a:prstGeom>
      </xdr:spPr>
    </xdr:pic>
    <xdr:clientData/>
  </xdr:twoCellAnchor>
  <xdr:twoCellAnchor editAs="oneCell">
    <xdr:from>
      <xdr:col>34</xdr:col>
      <xdr:colOff>141956</xdr:colOff>
      <xdr:row>21</xdr:row>
      <xdr:rowOff>22802</xdr:rowOff>
    </xdr:from>
    <xdr:to>
      <xdr:col>36</xdr:col>
      <xdr:colOff>464571</xdr:colOff>
      <xdr:row>27</xdr:row>
      <xdr:rowOff>866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FEA392D-7B72-4726-9A48-9D16FA486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82509329" y="4207452"/>
          <a:ext cx="1618015" cy="1298864"/>
        </a:xfrm>
        <a:prstGeom prst="rect">
          <a:avLst/>
        </a:prstGeom>
      </xdr:spPr>
    </xdr:pic>
    <xdr:clientData/>
  </xdr:twoCellAnchor>
  <xdr:twoCellAnchor editAs="oneCell">
    <xdr:from>
      <xdr:col>31</xdr:col>
      <xdr:colOff>141720</xdr:colOff>
      <xdr:row>21</xdr:row>
      <xdr:rowOff>28287</xdr:rowOff>
    </xdr:from>
    <xdr:to>
      <xdr:col>33</xdr:col>
      <xdr:colOff>459088</xdr:colOff>
      <xdr:row>27</xdr:row>
      <xdr:rowOff>6847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CAD6A97-5B31-4640-A654-D6547F06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384457912" y="4212937"/>
          <a:ext cx="1612768" cy="1299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11833</xdr:rowOff>
    </xdr:from>
    <xdr:to>
      <xdr:col>6</xdr:col>
      <xdr:colOff>522719</xdr:colOff>
      <xdr:row>35</xdr:row>
      <xdr:rowOff>8370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5515E-3B22-40CB-85F1-5AB9CB5A3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1088960</xdr:colOff>
      <xdr:row>2</xdr:row>
      <xdr:rowOff>0</xdr:rowOff>
    </xdr:from>
    <xdr:to>
      <xdr:col>6</xdr:col>
      <xdr:colOff>523018</xdr:colOff>
      <xdr:row>8</xdr:row>
      <xdr:rowOff>2886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5EEACF-4B16-4398-90FC-678777C88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2548632" y="311150"/>
          <a:ext cx="1313658" cy="1653886"/>
        </a:xfrm>
        <a:prstGeom prst="rect">
          <a:avLst/>
        </a:prstGeom>
      </xdr:spPr>
    </xdr:pic>
    <xdr:clientData/>
  </xdr:twoCellAnchor>
  <xdr:twoCellAnchor editAs="oneCell">
    <xdr:from>
      <xdr:col>28</xdr:col>
      <xdr:colOff>226003</xdr:colOff>
      <xdr:row>2</xdr:row>
      <xdr:rowOff>48781</xdr:rowOff>
    </xdr:from>
    <xdr:to>
      <xdr:col>30</xdr:col>
      <xdr:colOff>485702</xdr:colOff>
      <xdr:row>6</xdr:row>
      <xdr:rowOff>164524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318937-8739-40ED-AF35-349E44FC7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86374398" y="359931"/>
          <a:ext cx="1555099" cy="1258743"/>
        </a:xfrm>
        <a:prstGeom prst="rect">
          <a:avLst/>
        </a:prstGeom>
      </xdr:spPr>
    </xdr:pic>
    <xdr:clientData/>
  </xdr:twoCellAnchor>
  <xdr:twoCellAnchor editAs="oneCell">
    <xdr:from>
      <xdr:col>31</xdr:col>
      <xdr:colOff>176620</xdr:colOff>
      <xdr:row>2</xdr:row>
      <xdr:rowOff>40906</xdr:rowOff>
    </xdr:from>
    <xdr:to>
      <xdr:col>33</xdr:col>
      <xdr:colOff>446415</xdr:colOff>
      <xdr:row>6</xdr:row>
      <xdr:rowOff>144030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7954B0-B88C-4166-9A17-7F4A0F25B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4470585" y="352056"/>
          <a:ext cx="1565195" cy="1246124"/>
        </a:xfrm>
        <a:prstGeom prst="rect">
          <a:avLst/>
        </a:prstGeom>
      </xdr:spPr>
    </xdr:pic>
    <xdr:clientData/>
  </xdr:twoCellAnchor>
  <xdr:twoCellAnchor editAs="oneCell">
    <xdr:from>
      <xdr:col>34</xdr:col>
      <xdr:colOff>152687</xdr:colOff>
      <xdr:row>2</xdr:row>
      <xdr:rowOff>23669</xdr:rowOff>
    </xdr:from>
    <xdr:to>
      <xdr:col>36</xdr:col>
      <xdr:colOff>450457</xdr:colOff>
      <xdr:row>6</xdr:row>
      <xdr:rowOff>149659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023083-8024-4F4F-8F93-947E2B4E3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523443" y="334819"/>
          <a:ext cx="1593170" cy="1268990"/>
        </a:xfrm>
        <a:prstGeom prst="rect">
          <a:avLst/>
        </a:prstGeom>
      </xdr:spPr>
    </xdr:pic>
    <xdr:clientData/>
  </xdr:twoCellAnchor>
  <xdr:twoCellAnchor editAs="oneCell">
    <xdr:from>
      <xdr:col>31</xdr:col>
      <xdr:colOff>176355</xdr:colOff>
      <xdr:row>6</xdr:row>
      <xdr:rowOff>164000</xdr:rowOff>
    </xdr:from>
    <xdr:to>
      <xdr:col>33</xdr:col>
      <xdr:colOff>448727</xdr:colOff>
      <xdr:row>15</xdr:row>
      <xdr:rowOff>161540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C821FC-2A79-4A7B-B629-1EAE7D51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84468273" y="1618150"/>
          <a:ext cx="1567772" cy="1267540"/>
        </a:xfrm>
        <a:prstGeom prst="rect">
          <a:avLst/>
        </a:prstGeom>
      </xdr:spPr>
    </xdr:pic>
    <xdr:clientData/>
  </xdr:twoCellAnchor>
  <xdr:twoCellAnchor editAs="oneCell">
    <xdr:from>
      <xdr:col>31</xdr:col>
      <xdr:colOff>159038</xdr:colOff>
      <xdr:row>15</xdr:row>
      <xdr:rowOff>176357</xdr:rowOff>
    </xdr:from>
    <xdr:to>
      <xdr:col>33</xdr:col>
      <xdr:colOff>465468</xdr:colOff>
      <xdr:row>20</xdr:row>
      <xdr:rowOff>240618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6FDEAFA-0F99-43CE-BB4E-BD42618BE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4451532" y="2900507"/>
          <a:ext cx="1601830" cy="1270761"/>
        </a:xfrm>
        <a:prstGeom prst="rect">
          <a:avLst/>
        </a:prstGeom>
      </xdr:spPr>
    </xdr:pic>
    <xdr:clientData/>
  </xdr:twoCellAnchor>
  <xdr:twoCellAnchor editAs="oneCell">
    <xdr:from>
      <xdr:col>34</xdr:col>
      <xdr:colOff>104565</xdr:colOff>
      <xdr:row>33</xdr:row>
      <xdr:rowOff>145760</xdr:rowOff>
    </xdr:from>
    <xdr:to>
      <xdr:col>36</xdr:col>
      <xdr:colOff>477304</xdr:colOff>
      <xdr:row>40</xdr:row>
      <xdr:rowOff>141720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C1C78AB-4002-4093-9970-51DF43A8F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82496596" y="6870410"/>
          <a:ext cx="1668139" cy="1361210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15</xdr:row>
      <xdr:rowOff>187327</xdr:rowOff>
    </xdr:from>
    <xdr:to>
      <xdr:col>36</xdr:col>
      <xdr:colOff>455913</xdr:colOff>
      <xdr:row>20</xdr:row>
      <xdr:rowOff>237942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33179C0-D1D6-4D8A-A829-AE4F940F2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82517987" y="2911477"/>
          <a:ext cx="1600934" cy="1257115"/>
        </a:xfrm>
        <a:prstGeom prst="rect">
          <a:avLst/>
        </a:prstGeom>
      </xdr:spPr>
    </xdr:pic>
    <xdr:clientData/>
  </xdr:twoCellAnchor>
  <xdr:twoCellAnchor editAs="oneCell">
    <xdr:from>
      <xdr:col>34</xdr:col>
      <xdr:colOff>122093</xdr:colOff>
      <xdr:row>27</xdr:row>
      <xdr:rowOff>11836</xdr:rowOff>
    </xdr:from>
    <xdr:to>
      <xdr:col>36</xdr:col>
      <xdr:colOff>477273</xdr:colOff>
      <xdr:row>33</xdr:row>
      <xdr:rowOff>114260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4F1D1B-8777-4488-A857-C0225D8D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82496627" y="5517286"/>
          <a:ext cx="1650580" cy="1321624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6</xdr:row>
      <xdr:rowOff>184154</xdr:rowOff>
    </xdr:from>
    <xdr:to>
      <xdr:col>36</xdr:col>
      <xdr:colOff>458511</xdr:colOff>
      <xdr:row>15</xdr:row>
      <xdr:rowOff>181372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C402F75-11ED-43A7-B7D0-8BA06915C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82515389" y="1638304"/>
          <a:ext cx="1603532" cy="1267218"/>
        </a:xfrm>
        <a:prstGeom prst="rect">
          <a:avLst/>
        </a:prstGeom>
      </xdr:spPr>
    </xdr:pic>
    <xdr:clientData/>
  </xdr:twoCellAnchor>
  <xdr:twoCellAnchor editAs="oneCell">
    <xdr:from>
      <xdr:col>34</xdr:col>
      <xdr:colOff>141956</xdr:colOff>
      <xdr:row>21</xdr:row>
      <xdr:rowOff>22802</xdr:rowOff>
    </xdr:from>
    <xdr:to>
      <xdr:col>36</xdr:col>
      <xdr:colOff>464571</xdr:colOff>
      <xdr:row>27</xdr:row>
      <xdr:rowOff>866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F380680-09EE-4918-8174-A04021B83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82509329" y="4207452"/>
          <a:ext cx="1618015" cy="1298864"/>
        </a:xfrm>
        <a:prstGeom prst="rect">
          <a:avLst/>
        </a:prstGeom>
      </xdr:spPr>
    </xdr:pic>
    <xdr:clientData/>
  </xdr:twoCellAnchor>
  <xdr:twoCellAnchor editAs="oneCell">
    <xdr:from>
      <xdr:col>31</xdr:col>
      <xdr:colOff>141720</xdr:colOff>
      <xdr:row>21</xdr:row>
      <xdr:rowOff>28287</xdr:rowOff>
    </xdr:from>
    <xdr:to>
      <xdr:col>33</xdr:col>
      <xdr:colOff>459088</xdr:colOff>
      <xdr:row>27</xdr:row>
      <xdr:rowOff>6847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67B4B4-7928-4850-A797-EC91692E1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384457912" y="4212937"/>
          <a:ext cx="1612768" cy="1299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11833</xdr:rowOff>
    </xdr:from>
    <xdr:to>
      <xdr:col>6</xdr:col>
      <xdr:colOff>522719</xdr:colOff>
      <xdr:row>35</xdr:row>
      <xdr:rowOff>8370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29B8A-B384-42A8-B875-272B61A1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1088960</xdr:colOff>
      <xdr:row>2</xdr:row>
      <xdr:rowOff>0</xdr:rowOff>
    </xdr:from>
    <xdr:to>
      <xdr:col>6</xdr:col>
      <xdr:colOff>523018</xdr:colOff>
      <xdr:row>8</xdr:row>
      <xdr:rowOff>2886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F94867-B8EE-4B94-94F2-AE0B5E489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2548632" y="311150"/>
          <a:ext cx="1313658" cy="1653886"/>
        </a:xfrm>
        <a:prstGeom prst="rect">
          <a:avLst/>
        </a:prstGeom>
      </xdr:spPr>
    </xdr:pic>
    <xdr:clientData/>
  </xdr:twoCellAnchor>
  <xdr:twoCellAnchor editAs="oneCell">
    <xdr:from>
      <xdr:col>28</xdr:col>
      <xdr:colOff>226003</xdr:colOff>
      <xdr:row>2</xdr:row>
      <xdr:rowOff>48781</xdr:rowOff>
    </xdr:from>
    <xdr:to>
      <xdr:col>30</xdr:col>
      <xdr:colOff>485702</xdr:colOff>
      <xdr:row>6</xdr:row>
      <xdr:rowOff>164524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8FE79B-9053-45CE-AC7C-6FDBD1A03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86374398" y="359931"/>
          <a:ext cx="1555099" cy="1258743"/>
        </a:xfrm>
        <a:prstGeom prst="rect">
          <a:avLst/>
        </a:prstGeom>
      </xdr:spPr>
    </xdr:pic>
    <xdr:clientData/>
  </xdr:twoCellAnchor>
  <xdr:twoCellAnchor editAs="oneCell">
    <xdr:from>
      <xdr:col>31</xdr:col>
      <xdr:colOff>176620</xdr:colOff>
      <xdr:row>2</xdr:row>
      <xdr:rowOff>40906</xdr:rowOff>
    </xdr:from>
    <xdr:to>
      <xdr:col>33</xdr:col>
      <xdr:colOff>446415</xdr:colOff>
      <xdr:row>6</xdr:row>
      <xdr:rowOff>144030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BE3496-4207-45AF-98A5-2A7932F18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4470585" y="352056"/>
          <a:ext cx="1565195" cy="1246124"/>
        </a:xfrm>
        <a:prstGeom prst="rect">
          <a:avLst/>
        </a:prstGeom>
      </xdr:spPr>
    </xdr:pic>
    <xdr:clientData/>
  </xdr:twoCellAnchor>
  <xdr:twoCellAnchor editAs="oneCell">
    <xdr:from>
      <xdr:col>34</xdr:col>
      <xdr:colOff>152687</xdr:colOff>
      <xdr:row>2</xdr:row>
      <xdr:rowOff>23669</xdr:rowOff>
    </xdr:from>
    <xdr:to>
      <xdr:col>36</xdr:col>
      <xdr:colOff>450457</xdr:colOff>
      <xdr:row>6</xdr:row>
      <xdr:rowOff>149659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387CB9-AB79-43E9-B152-BB87277BA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523443" y="334819"/>
          <a:ext cx="1593170" cy="1268990"/>
        </a:xfrm>
        <a:prstGeom prst="rect">
          <a:avLst/>
        </a:prstGeom>
      </xdr:spPr>
    </xdr:pic>
    <xdr:clientData/>
  </xdr:twoCellAnchor>
  <xdr:twoCellAnchor editAs="oneCell">
    <xdr:from>
      <xdr:col>31</xdr:col>
      <xdr:colOff>176355</xdr:colOff>
      <xdr:row>6</xdr:row>
      <xdr:rowOff>164000</xdr:rowOff>
    </xdr:from>
    <xdr:to>
      <xdr:col>33</xdr:col>
      <xdr:colOff>448727</xdr:colOff>
      <xdr:row>11</xdr:row>
      <xdr:rowOff>161540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81DC84-4805-4A61-AAEA-C8FF57D59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84468273" y="1618150"/>
          <a:ext cx="1567772" cy="1267540"/>
        </a:xfrm>
        <a:prstGeom prst="rect">
          <a:avLst/>
        </a:prstGeom>
      </xdr:spPr>
    </xdr:pic>
    <xdr:clientData/>
  </xdr:twoCellAnchor>
  <xdr:twoCellAnchor editAs="oneCell">
    <xdr:from>
      <xdr:col>31</xdr:col>
      <xdr:colOff>159038</xdr:colOff>
      <xdr:row>15</xdr:row>
      <xdr:rowOff>176357</xdr:rowOff>
    </xdr:from>
    <xdr:to>
      <xdr:col>33</xdr:col>
      <xdr:colOff>465468</xdr:colOff>
      <xdr:row>20</xdr:row>
      <xdr:rowOff>240618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8F6D86-0B80-4DF6-89A2-8E964CB17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4451532" y="2900507"/>
          <a:ext cx="1601830" cy="1270761"/>
        </a:xfrm>
        <a:prstGeom prst="rect">
          <a:avLst/>
        </a:prstGeom>
      </xdr:spPr>
    </xdr:pic>
    <xdr:clientData/>
  </xdr:twoCellAnchor>
  <xdr:twoCellAnchor editAs="oneCell">
    <xdr:from>
      <xdr:col>34</xdr:col>
      <xdr:colOff>104565</xdr:colOff>
      <xdr:row>33</xdr:row>
      <xdr:rowOff>145760</xdr:rowOff>
    </xdr:from>
    <xdr:to>
      <xdr:col>36</xdr:col>
      <xdr:colOff>477304</xdr:colOff>
      <xdr:row>40</xdr:row>
      <xdr:rowOff>141720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C9C718-1545-41C7-8309-176F1C35B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82496596" y="6870410"/>
          <a:ext cx="1668139" cy="1361210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15</xdr:row>
      <xdr:rowOff>187327</xdr:rowOff>
    </xdr:from>
    <xdr:to>
      <xdr:col>36</xdr:col>
      <xdr:colOff>455913</xdr:colOff>
      <xdr:row>20</xdr:row>
      <xdr:rowOff>237942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1A3A29-3098-41A7-980D-DBCD60D3C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82517987" y="2911477"/>
          <a:ext cx="1600934" cy="1257115"/>
        </a:xfrm>
        <a:prstGeom prst="rect">
          <a:avLst/>
        </a:prstGeom>
      </xdr:spPr>
    </xdr:pic>
    <xdr:clientData/>
  </xdr:twoCellAnchor>
  <xdr:twoCellAnchor editAs="oneCell">
    <xdr:from>
      <xdr:col>34</xdr:col>
      <xdr:colOff>122093</xdr:colOff>
      <xdr:row>27</xdr:row>
      <xdr:rowOff>11836</xdr:rowOff>
    </xdr:from>
    <xdr:to>
      <xdr:col>36</xdr:col>
      <xdr:colOff>477273</xdr:colOff>
      <xdr:row>33</xdr:row>
      <xdr:rowOff>114260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9D0B533-46F4-4169-AC12-2C491E6C1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82496627" y="5517286"/>
          <a:ext cx="1650580" cy="1321624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6</xdr:row>
      <xdr:rowOff>184154</xdr:rowOff>
    </xdr:from>
    <xdr:to>
      <xdr:col>36</xdr:col>
      <xdr:colOff>458511</xdr:colOff>
      <xdr:row>11</xdr:row>
      <xdr:rowOff>181372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8C0C6C6-3BD0-4326-9E52-55FC6ED7E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82515389" y="1638304"/>
          <a:ext cx="1603532" cy="1267218"/>
        </a:xfrm>
        <a:prstGeom prst="rect">
          <a:avLst/>
        </a:prstGeom>
      </xdr:spPr>
    </xdr:pic>
    <xdr:clientData/>
  </xdr:twoCellAnchor>
  <xdr:twoCellAnchor editAs="oneCell">
    <xdr:from>
      <xdr:col>34</xdr:col>
      <xdr:colOff>141956</xdr:colOff>
      <xdr:row>21</xdr:row>
      <xdr:rowOff>22802</xdr:rowOff>
    </xdr:from>
    <xdr:to>
      <xdr:col>36</xdr:col>
      <xdr:colOff>464571</xdr:colOff>
      <xdr:row>27</xdr:row>
      <xdr:rowOff>866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3547DEF-AF88-4024-98F0-4C6A8C050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82509329" y="4207452"/>
          <a:ext cx="1618015" cy="1298864"/>
        </a:xfrm>
        <a:prstGeom prst="rect">
          <a:avLst/>
        </a:prstGeom>
      </xdr:spPr>
    </xdr:pic>
    <xdr:clientData/>
  </xdr:twoCellAnchor>
  <xdr:twoCellAnchor editAs="oneCell">
    <xdr:from>
      <xdr:col>31</xdr:col>
      <xdr:colOff>141720</xdr:colOff>
      <xdr:row>21</xdr:row>
      <xdr:rowOff>28287</xdr:rowOff>
    </xdr:from>
    <xdr:to>
      <xdr:col>33</xdr:col>
      <xdr:colOff>459088</xdr:colOff>
      <xdr:row>27</xdr:row>
      <xdr:rowOff>6847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75DB15-4907-45D7-8610-3C909447E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384457912" y="4212937"/>
          <a:ext cx="1612768" cy="1299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171015</xdr:colOff>
      <xdr:row>39</xdr:row>
      <xdr:rowOff>87997</xdr:rowOff>
    </xdr:from>
    <xdr:to>
      <xdr:col>21</xdr:col>
      <xdr:colOff>191812</xdr:colOff>
      <xdr:row>46</xdr:row>
      <xdr:rowOff>105993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8436313" y="8260447"/>
          <a:ext cx="1668622" cy="1484846"/>
        </a:xfrm>
        <a:prstGeom prst="rect">
          <a:avLst/>
        </a:prstGeom>
      </xdr:spPr>
    </xdr:pic>
    <xdr:clientData/>
  </xdr:twoCellAnchor>
  <xdr:twoCellAnchor editAs="oneCell">
    <xdr:from>
      <xdr:col>19</xdr:col>
      <xdr:colOff>121775</xdr:colOff>
      <xdr:row>79</xdr:row>
      <xdr:rowOff>92561</xdr:rowOff>
    </xdr:from>
    <xdr:to>
      <xdr:col>21</xdr:col>
      <xdr:colOff>106937</xdr:colOff>
      <xdr:row>86</xdr:row>
      <xdr:rowOff>169410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9419212" y="16648743"/>
          <a:ext cx="1577786" cy="1472044"/>
        </a:xfrm>
        <a:prstGeom prst="rect">
          <a:avLst/>
        </a:prstGeom>
      </xdr:spPr>
    </xdr:pic>
    <xdr:clientData/>
  </xdr:twoCellAnchor>
  <xdr:twoCellAnchor editAs="oneCell">
    <xdr:from>
      <xdr:col>175</xdr:col>
      <xdr:colOff>175065</xdr:colOff>
      <xdr:row>3</xdr:row>
      <xdr:rowOff>163392</xdr:rowOff>
    </xdr:from>
    <xdr:to>
      <xdr:col>186</xdr:col>
      <xdr:colOff>345430</xdr:colOff>
      <xdr:row>50</xdr:row>
      <xdr:rowOff>163392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9669801" y="786847"/>
          <a:ext cx="6837862" cy="9767454"/>
        </a:xfrm>
        <a:prstGeom prst="rect">
          <a:avLst/>
        </a:prstGeom>
      </xdr:spPr>
    </xdr:pic>
    <xdr:clientData/>
  </xdr:twoCellAnchor>
  <xdr:twoCellAnchor editAs="oneCell">
    <xdr:from>
      <xdr:col>11</xdr:col>
      <xdr:colOff>55566</xdr:colOff>
      <xdr:row>0</xdr:row>
      <xdr:rowOff>73172</xdr:rowOff>
    </xdr:from>
    <xdr:to>
      <xdr:col>21</xdr:col>
      <xdr:colOff>603538</xdr:colOff>
      <xdr:row>48</xdr:row>
      <xdr:rowOff>83220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3948462" y="73172"/>
          <a:ext cx="7405972" cy="9916048"/>
        </a:xfrm>
        <a:prstGeom prst="rect">
          <a:avLst/>
        </a:prstGeom>
      </xdr:spPr>
    </xdr:pic>
    <xdr:clientData/>
  </xdr:twoCellAnchor>
  <xdr:twoCellAnchor editAs="oneCell">
    <xdr:from>
      <xdr:col>11</xdr:col>
      <xdr:colOff>37184</xdr:colOff>
      <xdr:row>50</xdr:row>
      <xdr:rowOff>188406</xdr:rowOff>
    </xdr:from>
    <xdr:to>
      <xdr:col>21</xdr:col>
      <xdr:colOff>625932</xdr:colOff>
      <xdr:row>97</xdr:row>
      <xdr:rowOff>201631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3926068" y="10507156"/>
          <a:ext cx="7446748" cy="9927163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108</xdr:row>
      <xdr:rowOff>57150</xdr:rowOff>
    </xdr:from>
    <xdr:to>
      <xdr:col>14</xdr:col>
      <xdr:colOff>202366</xdr:colOff>
      <xdr:row>109</xdr:row>
      <xdr:rowOff>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0162214-8BA2-48A0-AD53-2A1559D7E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3464484" y="22555200"/>
          <a:ext cx="183316" cy="16513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73025</xdr:colOff>
      <xdr:row>1</xdr:row>
      <xdr:rowOff>21164</xdr:rowOff>
    </xdr:from>
    <xdr:to>
      <xdr:col>18</xdr:col>
      <xdr:colOff>650380</xdr:colOff>
      <xdr:row>57</xdr:row>
      <xdr:rowOff>139701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6206095" y="202139"/>
          <a:ext cx="8721230" cy="123295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11833</xdr:rowOff>
    </xdr:from>
    <xdr:to>
      <xdr:col>6</xdr:col>
      <xdr:colOff>522719</xdr:colOff>
      <xdr:row>35</xdr:row>
      <xdr:rowOff>8370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44360-6157-4416-9A19-5A496E21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1088960</xdr:colOff>
      <xdr:row>2</xdr:row>
      <xdr:rowOff>0</xdr:rowOff>
    </xdr:from>
    <xdr:to>
      <xdr:col>7</xdr:col>
      <xdr:colOff>2606</xdr:colOff>
      <xdr:row>8</xdr:row>
      <xdr:rowOff>2886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CDC974-F19D-46AC-9A42-5462BF2CA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2548632" y="311150"/>
          <a:ext cx="1313658" cy="1653886"/>
        </a:xfrm>
        <a:prstGeom prst="rect">
          <a:avLst/>
        </a:prstGeom>
      </xdr:spPr>
    </xdr:pic>
    <xdr:clientData/>
  </xdr:twoCellAnchor>
  <xdr:twoCellAnchor editAs="oneCell">
    <xdr:from>
      <xdr:col>28</xdr:col>
      <xdr:colOff>226003</xdr:colOff>
      <xdr:row>2</xdr:row>
      <xdr:rowOff>48781</xdr:rowOff>
    </xdr:from>
    <xdr:to>
      <xdr:col>30</xdr:col>
      <xdr:colOff>485702</xdr:colOff>
      <xdr:row>6</xdr:row>
      <xdr:rowOff>164524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7335E5-A800-43A0-9A25-CFD5ACFAD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86374398" y="359931"/>
          <a:ext cx="1555099" cy="1258743"/>
        </a:xfrm>
        <a:prstGeom prst="rect">
          <a:avLst/>
        </a:prstGeom>
      </xdr:spPr>
    </xdr:pic>
    <xdr:clientData/>
  </xdr:twoCellAnchor>
  <xdr:twoCellAnchor editAs="oneCell">
    <xdr:from>
      <xdr:col>31</xdr:col>
      <xdr:colOff>176620</xdr:colOff>
      <xdr:row>2</xdr:row>
      <xdr:rowOff>40906</xdr:rowOff>
    </xdr:from>
    <xdr:to>
      <xdr:col>33</xdr:col>
      <xdr:colOff>446415</xdr:colOff>
      <xdr:row>6</xdr:row>
      <xdr:rowOff>144030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F9920E-A112-4C84-A659-7F35B07EB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4470585" y="352056"/>
          <a:ext cx="1565195" cy="1246124"/>
        </a:xfrm>
        <a:prstGeom prst="rect">
          <a:avLst/>
        </a:prstGeom>
      </xdr:spPr>
    </xdr:pic>
    <xdr:clientData/>
  </xdr:twoCellAnchor>
  <xdr:twoCellAnchor editAs="oneCell">
    <xdr:from>
      <xdr:col>34</xdr:col>
      <xdr:colOff>152687</xdr:colOff>
      <xdr:row>2</xdr:row>
      <xdr:rowOff>23669</xdr:rowOff>
    </xdr:from>
    <xdr:to>
      <xdr:col>36</xdr:col>
      <xdr:colOff>450457</xdr:colOff>
      <xdr:row>6</xdr:row>
      <xdr:rowOff>149659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5C8BCE-698A-46C4-8300-E9FD5CC0F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523443" y="334819"/>
          <a:ext cx="1593170" cy="1268990"/>
        </a:xfrm>
        <a:prstGeom prst="rect">
          <a:avLst/>
        </a:prstGeom>
      </xdr:spPr>
    </xdr:pic>
    <xdr:clientData/>
  </xdr:twoCellAnchor>
  <xdr:twoCellAnchor editAs="oneCell">
    <xdr:from>
      <xdr:col>31</xdr:col>
      <xdr:colOff>176355</xdr:colOff>
      <xdr:row>6</xdr:row>
      <xdr:rowOff>164000</xdr:rowOff>
    </xdr:from>
    <xdr:to>
      <xdr:col>33</xdr:col>
      <xdr:colOff>448727</xdr:colOff>
      <xdr:row>15</xdr:row>
      <xdr:rowOff>161540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644FD2-097C-4E87-ACE1-E1F6C47DC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84468273" y="1618150"/>
          <a:ext cx="1567772" cy="1267540"/>
        </a:xfrm>
        <a:prstGeom prst="rect">
          <a:avLst/>
        </a:prstGeom>
      </xdr:spPr>
    </xdr:pic>
    <xdr:clientData/>
  </xdr:twoCellAnchor>
  <xdr:twoCellAnchor editAs="oneCell">
    <xdr:from>
      <xdr:col>31</xdr:col>
      <xdr:colOff>159038</xdr:colOff>
      <xdr:row>15</xdr:row>
      <xdr:rowOff>176357</xdr:rowOff>
    </xdr:from>
    <xdr:to>
      <xdr:col>33</xdr:col>
      <xdr:colOff>465468</xdr:colOff>
      <xdr:row>20</xdr:row>
      <xdr:rowOff>240618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1AD657-D3A5-4711-851F-2423F580A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4451532" y="2900507"/>
          <a:ext cx="1601830" cy="1270761"/>
        </a:xfrm>
        <a:prstGeom prst="rect">
          <a:avLst/>
        </a:prstGeom>
      </xdr:spPr>
    </xdr:pic>
    <xdr:clientData/>
  </xdr:twoCellAnchor>
  <xdr:twoCellAnchor editAs="oneCell">
    <xdr:from>
      <xdr:col>34</xdr:col>
      <xdr:colOff>104565</xdr:colOff>
      <xdr:row>33</xdr:row>
      <xdr:rowOff>145760</xdr:rowOff>
    </xdr:from>
    <xdr:to>
      <xdr:col>36</xdr:col>
      <xdr:colOff>477304</xdr:colOff>
      <xdr:row>40</xdr:row>
      <xdr:rowOff>141720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4EA69B-E11E-4C97-ABCC-F1914CCA6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82496596" y="6870410"/>
          <a:ext cx="1668139" cy="1361210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15</xdr:row>
      <xdr:rowOff>187327</xdr:rowOff>
    </xdr:from>
    <xdr:to>
      <xdr:col>36</xdr:col>
      <xdr:colOff>455913</xdr:colOff>
      <xdr:row>20</xdr:row>
      <xdr:rowOff>237942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3635D6D-6C56-40A0-B640-8226C8CBB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82517987" y="2911477"/>
          <a:ext cx="1600934" cy="1257115"/>
        </a:xfrm>
        <a:prstGeom prst="rect">
          <a:avLst/>
        </a:prstGeom>
      </xdr:spPr>
    </xdr:pic>
    <xdr:clientData/>
  </xdr:twoCellAnchor>
  <xdr:twoCellAnchor editAs="oneCell">
    <xdr:from>
      <xdr:col>34</xdr:col>
      <xdr:colOff>122093</xdr:colOff>
      <xdr:row>27</xdr:row>
      <xdr:rowOff>11836</xdr:rowOff>
    </xdr:from>
    <xdr:to>
      <xdr:col>36</xdr:col>
      <xdr:colOff>477273</xdr:colOff>
      <xdr:row>33</xdr:row>
      <xdr:rowOff>114260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8AC040-6337-4524-8352-027CF6D54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82496627" y="5517286"/>
          <a:ext cx="1650580" cy="1321624"/>
        </a:xfrm>
        <a:prstGeom prst="rect">
          <a:avLst/>
        </a:prstGeom>
      </xdr:spPr>
    </xdr:pic>
    <xdr:clientData/>
  </xdr:twoCellAnchor>
  <xdr:twoCellAnchor editAs="oneCell">
    <xdr:from>
      <xdr:col>34</xdr:col>
      <xdr:colOff>150379</xdr:colOff>
      <xdr:row>6</xdr:row>
      <xdr:rowOff>184154</xdr:rowOff>
    </xdr:from>
    <xdr:to>
      <xdr:col>36</xdr:col>
      <xdr:colOff>458511</xdr:colOff>
      <xdr:row>15</xdr:row>
      <xdr:rowOff>181372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EB93633-BE86-447A-9FAD-8DCB0148E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82515389" y="1638304"/>
          <a:ext cx="1603532" cy="1267218"/>
        </a:xfrm>
        <a:prstGeom prst="rect">
          <a:avLst/>
        </a:prstGeom>
      </xdr:spPr>
    </xdr:pic>
    <xdr:clientData/>
  </xdr:twoCellAnchor>
  <xdr:twoCellAnchor editAs="oneCell">
    <xdr:from>
      <xdr:col>34</xdr:col>
      <xdr:colOff>141956</xdr:colOff>
      <xdr:row>21</xdr:row>
      <xdr:rowOff>22802</xdr:rowOff>
    </xdr:from>
    <xdr:to>
      <xdr:col>36</xdr:col>
      <xdr:colOff>464571</xdr:colOff>
      <xdr:row>27</xdr:row>
      <xdr:rowOff>866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37FC000-7C65-426D-9D29-180F6D006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82509329" y="4207452"/>
          <a:ext cx="1618015" cy="1298864"/>
        </a:xfrm>
        <a:prstGeom prst="rect">
          <a:avLst/>
        </a:prstGeom>
      </xdr:spPr>
    </xdr:pic>
    <xdr:clientData/>
  </xdr:twoCellAnchor>
  <xdr:twoCellAnchor editAs="oneCell">
    <xdr:from>
      <xdr:col>31</xdr:col>
      <xdr:colOff>141720</xdr:colOff>
      <xdr:row>21</xdr:row>
      <xdr:rowOff>28287</xdr:rowOff>
    </xdr:from>
    <xdr:to>
      <xdr:col>33</xdr:col>
      <xdr:colOff>459088</xdr:colOff>
      <xdr:row>27</xdr:row>
      <xdr:rowOff>6847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49DECF6-B513-4D0F-BCA7-EABBD48E6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384457912" y="4212937"/>
          <a:ext cx="1612768" cy="12993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31</xdr:row>
      <xdr:rowOff>6350</xdr:rowOff>
    </xdr:from>
    <xdr:to>
      <xdr:col>25</xdr:col>
      <xdr:colOff>641349</xdr:colOff>
      <xdr:row>52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FE737-E32A-434A-8D04-082849D30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6"/>
  <sheetViews>
    <sheetView rightToLeft="1" zoomScale="110" zoomScaleNormal="110" workbookViewId="0">
      <selection activeCell="E15" sqref="E15"/>
    </sheetView>
  </sheetViews>
  <sheetFormatPr defaultColWidth="9.140625" defaultRowHeight="15" x14ac:dyDescent="0.25"/>
  <cols>
    <col min="1" max="1" width="1.7109375" style="1" customWidth="1"/>
    <col min="2" max="2" width="2.7109375" style="14" customWidth="1"/>
    <col min="3" max="3" width="21.42578125" style="14" customWidth="1"/>
    <col min="4" max="4" width="17.5703125" style="15" customWidth="1"/>
    <col min="5" max="5" width="15.7109375" style="14" customWidth="1"/>
    <col min="6" max="6" width="11.140625" style="171" customWidth="1"/>
    <col min="7" max="7" width="7.7109375" style="3" customWidth="1"/>
    <col min="8" max="8" width="2.7109375" style="8" customWidth="1"/>
    <col min="9" max="9" width="13.7109375" style="8" customWidth="1"/>
    <col min="10" max="10" width="12.7109375" style="8" customWidth="1"/>
    <col min="11" max="11" width="12.140625" style="8" customWidth="1"/>
    <col min="12" max="13" width="12.7109375" style="8" customWidth="1"/>
    <col min="14" max="15" width="9.28515625" style="8" customWidth="1"/>
    <col min="16" max="16" width="9.28515625" style="9" customWidth="1"/>
    <col min="17" max="18" width="9.28515625" style="12" customWidth="1"/>
    <col min="19" max="24" width="9.28515625" style="4" customWidth="1"/>
    <col min="25" max="52" width="9.28515625" style="1" customWidth="1"/>
    <col min="53" max="53" width="27.140625" style="1" customWidth="1"/>
    <col min="54" max="54" width="15.85546875" style="157" customWidth="1"/>
    <col min="55" max="58" width="9.28515625" style="1" customWidth="1"/>
    <col min="59" max="16384" width="9.140625" style="1"/>
  </cols>
  <sheetData>
    <row r="1" spans="1:60" ht="9.75" customHeight="1" thickBot="1" x14ac:dyDescent="0.3">
      <c r="A1" s="21"/>
      <c r="B1" s="21"/>
      <c r="C1" s="21"/>
      <c r="D1" s="21"/>
      <c r="E1" s="21"/>
      <c r="F1" s="167"/>
      <c r="G1" s="167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60" ht="15" customHeight="1" thickBot="1" x14ac:dyDescent="0.3">
      <c r="A2" s="21"/>
      <c r="B2" s="196"/>
      <c r="C2" s="197"/>
      <c r="D2" s="198"/>
      <c r="E2" s="199"/>
      <c r="F2" s="200"/>
      <c r="G2" s="201"/>
      <c r="H2" s="202"/>
      <c r="I2" s="21"/>
      <c r="J2" s="19"/>
      <c r="K2" s="19"/>
      <c r="L2" s="19"/>
      <c r="M2" s="19"/>
      <c r="N2" s="17"/>
      <c r="O2" s="19"/>
      <c r="P2" s="20"/>
      <c r="Q2" s="21"/>
      <c r="R2" s="21"/>
      <c r="S2" s="19"/>
      <c r="T2" s="19"/>
      <c r="U2" s="19"/>
      <c r="V2" s="20"/>
      <c r="W2" s="22"/>
      <c r="X2" s="23"/>
      <c r="Y2" s="21"/>
      <c r="Z2" s="21"/>
      <c r="AZ2" s="155" t="s">
        <v>209</v>
      </c>
      <c r="BA2" s="156" t="s">
        <v>212</v>
      </c>
      <c r="BB2" s="159" t="s">
        <v>152</v>
      </c>
      <c r="BC2" s="13"/>
      <c r="BD2" s="5"/>
      <c r="BE2" s="6"/>
      <c r="BF2" s="7"/>
      <c r="BG2" s="6"/>
      <c r="BH2" s="6"/>
    </row>
    <row r="3" spans="1:60" ht="30" customHeight="1" x14ac:dyDescent="0.25">
      <c r="A3" s="21"/>
      <c r="B3" s="203"/>
      <c r="C3" s="432" t="s">
        <v>240</v>
      </c>
      <c r="D3" s="433"/>
      <c r="E3" s="433"/>
      <c r="F3" s="440" t="s">
        <v>98</v>
      </c>
      <c r="G3" s="441"/>
      <c r="H3" s="204"/>
      <c r="I3" s="21"/>
      <c r="J3" s="19"/>
      <c r="K3" s="19"/>
      <c r="L3" s="19"/>
      <c r="M3" s="19"/>
      <c r="N3" s="24"/>
      <c r="O3" s="20"/>
      <c r="P3" s="20"/>
      <c r="Q3" s="22"/>
      <c r="R3" s="21"/>
      <c r="S3" s="25"/>
      <c r="T3" s="25"/>
      <c r="U3" s="25"/>
      <c r="V3" s="20"/>
      <c r="W3" s="22"/>
      <c r="X3" s="23"/>
      <c r="Y3" s="19"/>
      <c r="Z3" s="21"/>
      <c r="AZ3" s="163" t="s">
        <v>215</v>
      </c>
      <c r="BA3" s="156" t="s">
        <v>213</v>
      </c>
      <c r="BB3" s="158" t="s">
        <v>138</v>
      </c>
      <c r="BD3" s="11"/>
      <c r="BE3" s="6"/>
      <c r="BF3" s="6"/>
      <c r="BG3" s="6"/>
      <c r="BH3" s="6"/>
    </row>
    <row r="4" spans="1:60" ht="20.100000000000001" customHeight="1" x14ac:dyDescent="0.25">
      <c r="A4" s="21"/>
      <c r="B4" s="203"/>
      <c r="C4" s="152" t="s">
        <v>118</v>
      </c>
      <c r="D4" s="153" t="s">
        <v>0</v>
      </c>
      <c r="E4" s="180" t="s">
        <v>1</v>
      </c>
      <c r="F4" s="363" t="s">
        <v>100</v>
      </c>
      <c r="G4" s="364">
        <v>7</v>
      </c>
      <c r="H4" s="204"/>
      <c r="I4" s="21"/>
      <c r="J4" s="19"/>
      <c r="K4" s="19"/>
      <c r="L4" s="19"/>
      <c r="M4" s="19"/>
      <c r="N4" s="17"/>
      <c r="O4" s="19"/>
      <c r="P4" s="20"/>
      <c r="Q4" s="21"/>
      <c r="R4" s="21"/>
      <c r="S4" s="19"/>
      <c r="T4" s="19"/>
      <c r="U4" s="19"/>
      <c r="V4" s="20"/>
      <c r="W4" s="22"/>
      <c r="X4" s="23"/>
      <c r="Y4" s="21"/>
      <c r="Z4" s="21"/>
      <c r="AK4" s="418" t="str">
        <f>IF(AND(AL7&lt;=6,AL8&gt;12),"NOT IN RANGE",IF(AND(AL7&gt;6,AL7&lt;=8,AL8&gt;9),"NOT IN RANGE",IF(AND(AL7&gt;8,AL7&lt;=10,AL8&gt;4),"NOT IN RANGE",IF(AND(AL7&gt;10,AL7&lt;=50,AL8&gt;1),"NOT IN RANGE","CORRECT RANGE"))))</f>
        <v>CORRECT RANGE</v>
      </c>
      <c r="AL4" s="419"/>
      <c r="AM4" s="419"/>
      <c r="BA4" s="162" t="s">
        <v>214</v>
      </c>
      <c r="BB4" s="158" t="s">
        <v>139</v>
      </c>
      <c r="BD4" s="11"/>
      <c r="BE4" s="6"/>
      <c r="BF4" s="6"/>
      <c r="BG4" s="6"/>
      <c r="BH4" s="6"/>
    </row>
    <row r="5" spans="1:60" ht="20.100000000000001" customHeight="1" x14ac:dyDescent="0.25">
      <c r="A5" s="21"/>
      <c r="B5" s="185"/>
      <c r="C5" s="183" t="e">
        <f>(D5+E5)*(D8-0.25)</f>
        <v>#VALUE!</v>
      </c>
      <c r="D5" s="182">
        <v>2</v>
      </c>
      <c r="E5" s="182" t="str">
        <f>IF(AND(D9&gt;2,D9&lt;=4.2),0,IF(AND(D9&gt;4.2,D9&lt;=8),1,IF(AND(D9&gt;8,D9&lt;=12),2,IF(AND(D9&gt;12,D9&lt;=16),3,IF(AND(D9&gt;16,D9&lt;=20),4,IF(AND(D9&gt;20,D9&lt;=24),5,IF(AND(D9&gt;24,D9&lt;=28),6,IF(AND(D9&gt;28,D9&lt;=32),7,IF(AND(D9&gt;32,D9&lt;=36),8,IF(AND(D9&gt;36,D9&lt;=40),9,IF(AND(D9&gt;40,D9&lt;=44),10,IF(AND(D9&gt;44,D9&lt;=48),11,IF(AND(D9&gt;48,D9&lt;=52),12,"NOT VALID")))))))))))))</f>
        <v>NOT VALID</v>
      </c>
      <c r="F5" s="363" t="s">
        <v>101</v>
      </c>
      <c r="G5" s="364">
        <v>15</v>
      </c>
      <c r="H5" s="204"/>
      <c r="I5" s="21"/>
      <c r="J5" s="19"/>
      <c r="K5" s="19"/>
      <c r="L5" s="19"/>
      <c r="M5" s="19"/>
      <c r="N5" s="24"/>
      <c r="O5" s="20"/>
      <c r="P5" s="20"/>
      <c r="Q5" s="22"/>
      <c r="R5" s="21"/>
      <c r="S5" s="21"/>
      <c r="T5" s="21"/>
      <c r="U5" s="21"/>
      <c r="V5" s="21"/>
      <c r="W5" s="21"/>
      <c r="X5" s="21"/>
      <c r="Y5" s="21"/>
      <c r="Z5" s="21"/>
      <c r="AK5" s="418"/>
      <c r="AL5" s="419"/>
      <c r="AM5" s="419"/>
      <c r="BA5" s="10"/>
      <c r="BC5" s="6"/>
      <c r="BD5" s="11"/>
      <c r="BE5" s="6"/>
      <c r="BF5" s="6"/>
      <c r="BG5" s="6"/>
      <c r="BH5" s="6"/>
    </row>
    <row r="6" spans="1:60" ht="20.100000000000001" customHeight="1" x14ac:dyDescent="0.25">
      <c r="A6" s="21"/>
      <c r="B6" s="185"/>
      <c r="C6" s="420" t="str">
        <f>IF(AND(D8&lt;=6,D9&gt;12),"NOT IN RANGE",IF(AND(D8&gt;6,D8&lt;=8,D9&gt;9),"NOT IN RANGE",IF(AND(D8&gt;8,D8&lt;=12,D9&gt;6),"NOT IN RANGE",IF(AND(D8&gt;12,D8&lt;=50,D9&gt;1),"NOT IN RANGE","CORRECT RANGE"))))</f>
        <v>CORRECT RANGE</v>
      </c>
      <c r="D6" s="421"/>
      <c r="E6" s="422"/>
      <c r="F6" s="363" t="s">
        <v>102</v>
      </c>
      <c r="G6" s="364">
        <v>20</v>
      </c>
      <c r="H6" s="204"/>
      <c r="I6" s="21"/>
      <c r="J6" s="19"/>
      <c r="K6" s="19"/>
      <c r="L6" s="19"/>
      <c r="M6" s="19"/>
      <c r="N6" s="17"/>
      <c r="O6" s="19"/>
      <c r="P6" s="20"/>
      <c r="Q6" s="21"/>
      <c r="R6" s="21"/>
      <c r="S6" s="19"/>
      <c r="T6" s="19"/>
      <c r="U6" s="19"/>
      <c r="V6" s="20"/>
      <c r="W6" s="22"/>
      <c r="X6" s="23"/>
      <c r="Y6" s="21"/>
      <c r="Z6" s="21"/>
      <c r="AK6" s="418"/>
      <c r="AL6" s="419"/>
      <c r="AM6" s="419"/>
      <c r="AZ6" s="160" t="s">
        <v>181</v>
      </c>
      <c r="BA6" s="10"/>
      <c r="BC6" s="6"/>
      <c r="BD6" s="11"/>
      <c r="BE6" s="6"/>
      <c r="BF6" s="6"/>
      <c r="BG6" s="6"/>
      <c r="BH6" s="6"/>
    </row>
    <row r="7" spans="1:60" ht="20.100000000000001" customHeight="1" x14ac:dyDescent="0.25">
      <c r="A7" s="21"/>
      <c r="B7" s="185"/>
      <c r="C7" s="423"/>
      <c r="D7" s="424"/>
      <c r="E7" s="425"/>
      <c r="F7" s="363" t="s">
        <v>103</v>
      </c>
      <c r="G7" s="364">
        <v>45</v>
      </c>
      <c r="H7" s="204"/>
      <c r="I7" s="21"/>
      <c r="J7" s="19"/>
      <c r="K7" s="19"/>
      <c r="L7" s="19"/>
      <c r="M7" s="19"/>
      <c r="N7" s="24"/>
      <c r="O7" s="20"/>
      <c r="P7" s="20"/>
      <c r="Q7" s="22"/>
      <c r="R7" s="21"/>
      <c r="S7" s="25"/>
      <c r="T7" s="25"/>
      <c r="U7" s="25"/>
      <c r="V7" s="20"/>
      <c r="W7" s="22"/>
      <c r="X7" s="23"/>
      <c r="Y7" s="19"/>
      <c r="Z7" s="21"/>
      <c r="AZ7" s="161" t="s">
        <v>182</v>
      </c>
      <c r="BA7" s="5"/>
      <c r="BC7" s="6"/>
      <c r="BD7" s="11"/>
      <c r="BE7" s="6"/>
      <c r="BF7" s="6"/>
      <c r="BG7" s="6"/>
      <c r="BH7" s="6"/>
    </row>
    <row r="8" spans="1:60" ht="20.100000000000001" customHeight="1" x14ac:dyDescent="0.25">
      <c r="A8" s="21"/>
      <c r="B8" s="185"/>
      <c r="C8" s="166" t="s">
        <v>224</v>
      </c>
      <c r="D8" s="222">
        <f>'پیش فاکتور سقف متحرک'!B12/100</f>
        <v>0</v>
      </c>
      <c r="E8" s="176" t="s">
        <v>153</v>
      </c>
      <c r="F8" s="363" t="s">
        <v>104</v>
      </c>
      <c r="G8" s="364"/>
      <c r="H8" s="204"/>
      <c r="I8" s="21"/>
      <c r="J8" s="19"/>
      <c r="K8" s="19"/>
      <c r="L8" s="19"/>
      <c r="M8" s="19"/>
      <c r="N8" s="17"/>
      <c r="O8" s="19"/>
      <c r="P8" s="20"/>
      <c r="Q8" s="21"/>
      <c r="R8" s="21"/>
      <c r="S8" s="19"/>
      <c r="T8" s="19"/>
      <c r="U8" s="19"/>
      <c r="V8" s="20"/>
      <c r="W8" s="22"/>
      <c r="X8" s="23"/>
      <c r="Y8" s="21"/>
      <c r="Z8" s="21"/>
      <c r="AZ8" s="160" t="s">
        <v>183</v>
      </c>
      <c r="BA8" s="5"/>
      <c r="BC8" s="6"/>
      <c r="BD8" s="11"/>
      <c r="BE8" s="6"/>
      <c r="BF8" s="6"/>
      <c r="BG8" s="6"/>
      <c r="BH8" s="6"/>
    </row>
    <row r="9" spans="1:60" ht="20.100000000000001" customHeight="1" x14ac:dyDescent="0.25">
      <c r="A9" s="21"/>
      <c r="B9" s="185"/>
      <c r="C9" s="166" t="s">
        <v>117</v>
      </c>
      <c r="D9" s="222">
        <f>'پیش فاکتور سقف متحرک'!C12/100</f>
        <v>0</v>
      </c>
      <c r="E9" s="177">
        <f>'پیش فاکتور سقف متحرک'!C24</f>
        <v>2200000</v>
      </c>
      <c r="F9" s="434" t="s">
        <v>120</v>
      </c>
      <c r="G9" s="435"/>
      <c r="H9" s="204"/>
      <c r="I9" s="19"/>
      <c r="J9" s="19"/>
      <c r="K9" s="19"/>
      <c r="L9" s="19"/>
      <c r="M9" s="19"/>
      <c r="N9" s="24"/>
      <c r="O9" s="20"/>
      <c r="P9" s="20"/>
      <c r="Q9" s="22"/>
      <c r="R9" s="21"/>
      <c r="S9" s="21"/>
      <c r="T9" s="21"/>
      <c r="U9" s="21"/>
      <c r="V9" s="21"/>
      <c r="W9" s="21"/>
      <c r="X9" s="21"/>
      <c r="Y9" s="21"/>
      <c r="Z9" s="21"/>
    </row>
    <row r="10" spans="1:60" ht="20.100000000000001" customHeight="1" x14ac:dyDescent="0.25">
      <c r="A10" s="21"/>
      <c r="B10" s="185"/>
      <c r="C10" s="166" t="s">
        <v>119</v>
      </c>
      <c r="D10" s="223">
        <f>'پیش فاکتور سقف متحرک'!D12</f>
        <v>0</v>
      </c>
      <c r="E10" s="176" t="s">
        <v>155</v>
      </c>
      <c r="F10" s="436">
        <f>D8*D9*D10</f>
        <v>0</v>
      </c>
      <c r="G10" s="437"/>
      <c r="H10" s="204"/>
      <c r="I10" s="19"/>
      <c r="J10" s="19"/>
      <c r="K10" s="19"/>
      <c r="L10" s="19"/>
      <c r="M10" s="19"/>
      <c r="N10" s="17"/>
      <c r="O10" s="19"/>
      <c r="P10" s="20"/>
      <c r="Q10" s="21"/>
      <c r="R10" s="21"/>
      <c r="S10" s="19"/>
      <c r="T10" s="19"/>
      <c r="U10" s="19"/>
      <c r="V10" s="20"/>
      <c r="W10" s="22"/>
      <c r="X10" s="23"/>
      <c r="Y10" s="21"/>
      <c r="Z10" s="21"/>
      <c r="AA10" s="214">
        <v>100</v>
      </c>
      <c r="AB10" s="211" t="s">
        <v>229</v>
      </c>
      <c r="AC10" s="214">
        <v>100</v>
      </c>
      <c r="AD10" s="210" t="s">
        <v>228</v>
      </c>
      <c r="AE10" s="212" t="s">
        <v>235</v>
      </c>
    </row>
    <row r="11" spans="1:60" ht="20.100000000000001" hidden="1" customHeight="1" x14ac:dyDescent="0.2">
      <c r="A11" s="21"/>
      <c r="B11" s="185"/>
      <c r="C11" s="2"/>
      <c r="D11" s="175"/>
      <c r="E11" s="178"/>
      <c r="F11" s="434" t="s">
        <v>99</v>
      </c>
      <c r="G11" s="435"/>
      <c r="H11" s="204"/>
      <c r="I11" s="19"/>
      <c r="J11" s="154"/>
      <c r="K11" s="19"/>
      <c r="L11" s="19"/>
      <c r="M11" s="19"/>
      <c r="N11" s="24"/>
      <c r="O11" s="20"/>
      <c r="P11" s="20"/>
      <c r="Q11" s="22"/>
      <c r="R11" s="21"/>
      <c r="S11" s="25"/>
      <c r="T11" s="25"/>
      <c r="U11" s="25"/>
      <c r="V11" s="20"/>
      <c r="W11" s="22"/>
      <c r="X11" s="23"/>
      <c r="Y11" s="19"/>
      <c r="Z11" s="21"/>
      <c r="AA11" s="214"/>
      <c r="AB11" s="25"/>
      <c r="AC11" s="214"/>
      <c r="AD11" s="22"/>
      <c r="AE11" s="22"/>
    </row>
    <row r="12" spans="1:60" ht="20.100000000000001" hidden="1" customHeight="1" x14ac:dyDescent="0.2">
      <c r="A12" s="21"/>
      <c r="B12" s="185"/>
      <c r="C12" s="2"/>
      <c r="D12" s="175"/>
      <c r="E12" s="178"/>
      <c r="F12" s="428" t="e">
        <f>'A1'!S22</f>
        <v>#VALUE!</v>
      </c>
      <c r="G12" s="429"/>
      <c r="H12" s="205"/>
      <c r="I12" s="19"/>
      <c r="J12" s="19"/>
      <c r="K12" s="19"/>
      <c r="L12" s="19"/>
      <c r="M12" s="19"/>
      <c r="N12" s="17"/>
      <c r="O12" s="19"/>
      <c r="P12" s="20"/>
      <c r="Q12" s="21"/>
      <c r="R12" s="21"/>
      <c r="S12" s="19"/>
      <c r="T12" s="19"/>
      <c r="U12" s="19"/>
      <c r="V12" s="20"/>
      <c r="W12" s="22"/>
      <c r="X12" s="23"/>
      <c r="Y12" s="21"/>
      <c r="Z12" s="21"/>
      <c r="AA12" s="214">
        <v>110</v>
      </c>
      <c r="AB12" s="211" t="s">
        <v>230</v>
      </c>
      <c r="AC12" s="214">
        <v>105</v>
      </c>
      <c r="AD12" s="210" t="s">
        <v>225</v>
      </c>
      <c r="AE12" s="22"/>
    </row>
    <row r="13" spans="1:60" ht="20.100000000000001" hidden="1" customHeight="1" x14ac:dyDescent="0.25">
      <c r="A13" s="21"/>
      <c r="B13" s="185"/>
      <c r="C13" s="184"/>
      <c r="D13" s="174" t="s">
        <v>137</v>
      </c>
      <c r="E13" s="176"/>
      <c r="F13" s="438" t="e">
        <f>(F12*F10)</f>
        <v>#VALUE!</v>
      </c>
      <c r="G13" s="439"/>
      <c r="H13" s="204"/>
      <c r="I13" s="19"/>
      <c r="J13" s="19"/>
      <c r="K13" s="19"/>
      <c r="L13" s="19"/>
      <c r="M13" s="19"/>
      <c r="N13" s="24"/>
      <c r="O13" s="20"/>
      <c r="P13" s="20"/>
      <c r="Q13" s="22"/>
      <c r="R13" s="21"/>
      <c r="S13" s="21"/>
      <c r="T13" s="21"/>
      <c r="U13" s="21"/>
      <c r="V13" s="21"/>
      <c r="W13" s="21"/>
      <c r="X13" s="21"/>
      <c r="Y13" s="21"/>
      <c r="Z13" s="21"/>
      <c r="AA13" s="214">
        <v>140</v>
      </c>
      <c r="AB13" s="213" t="s">
        <v>231</v>
      </c>
      <c r="AC13" s="214">
        <v>125</v>
      </c>
      <c r="AD13" s="210" t="s">
        <v>226</v>
      </c>
      <c r="AE13" s="22"/>
    </row>
    <row r="14" spans="1:60" ht="20.100000000000001" hidden="1" customHeight="1" x14ac:dyDescent="0.25">
      <c r="A14" s="21"/>
      <c r="B14" s="185"/>
      <c r="C14" s="184"/>
      <c r="D14" s="430" t="e">
        <f>IF(AND(D17="ALUMINUM RAIL  140"),F14,IF(AND(D17="ALUMINUM+STEEL"),F14*0.8,0))</f>
        <v>#VALUE!</v>
      </c>
      <c r="E14" s="431"/>
      <c r="F14" s="428" t="e">
        <f>F13*1.15</f>
        <v>#VALUE!</v>
      </c>
      <c r="G14" s="429"/>
      <c r="H14" s="204"/>
      <c r="I14" s="19"/>
      <c r="J14" s="19"/>
      <c r="K14" s="19"/>
      <c r="L14" s="19"/>
      <c r="M14" s="19"/>
      <c r="N14" s="24"/>
      <c r="O14" s="20"/>
      <c r="P14" s="20"/>
      <c r="Q14" s="22"/>
      <c r="R14" s="21"/>
      <c r="S14" s="19"/>
      <c r="T14" s="19"/>
      <c r="U14" s="19"/>
      <c r="V14" s="20"/>
      <c r="W14" s="22"/>
      <c r="X14" s="23"/>
      <c r="Y14" s="21"/>
      <c r="Z14" s="21"/>
      <c r="AA14" s="214">
        <v>115</v>
      </c>
      <c r="AB14" s="211" t="s">
        <v>232</v>
      </c>
      <c r="AC14" s="214">
        <v>112</v>
      </c>
      <c r="AD14" s="210" t="s">
        <v>227</v>
      </c>
      <c r="AE14" s="22"/>
    </row>
    <row r="15" spans="1:60" ht="20.100000000000001" customHeight="1" x14ac:dyDescent="0.25">
      <c r="A15" s="21"/>
      <c r="B15" s="185"/>
      <c r="C15" s="219" t="s">
        <v>238</v>
      </c>
      <c r="D15" s="218" t="str">
        <f>'پیش فاکتور سقف متحرک'!E12</f>
        <v>-----</v>
      </c>
      <c r="E15" s="177">
        <f>'پیش فاکتور سقف متحرک'!C25</f>
        <v>700000</v>
      </c>
      <c r="F15" s="434" t="s">
        <v>99</v>
      </c>
      <c r="G15" s="435"/>
      <c r="H15" s="204"/>
      <c r="I15" s="31"/>
      <c r="J15" s="19"/>
      <c r="K15" s="19"/>
      <c r="L15" s="19"/>
      <c r="M15" s="19"/>
      <c r="N15" s="17"/>
      <c r="O15" s="19"/>
      <c r="P15" s="20"/>
      <c r="Q15" s="21"/>
      <c r="R15" s="21"/>
      <c r="S15" s="25"/>
      <c r="T15" s="25"/>
      <c r="U15" s="25"/>
      <c r="V15" s="20"/>
      <c r="W15" s="22"/>
      <c r="X15" s="23"/>
      <c r="Y15" s="19"/>
      <c r="Z15" s="21"/>
      <c r="AA15" s="214">
        <v>110</v>
      </c>
      <c r="AB15" s="25"/>
      <c r="AC15" s="25"/>
      <c r="AD15" s="20"/>
      <c r="AE15" s="22"/>
    </row>
    <row r="16" spans="1:60" ht="20.100000000000001" customHeight="1" x14ac:dyDescent="0.25">
      <c r="A16" s="21"/>
      <c r="B16" s="185"/>
      <c r="C16" s="219" t="s">
        <v>239</v>
      </c>
      <c r="D16" s="218" t="str">
        <f>'پیش فاکتور سقف متحرک'!F12</f>
        <v>Nothing</v>
      </c>
      <c r="E16" s="177" t="s">
        <v>198</v>
      </c>
      <c r="F16" s="426" t="e">
        <f>F18/F10</f>
        <v>#DIV/0!</v>
      </c>
      <c r="G16" s="427"/>
      <c r="H16" s="204"/>
      <c r="I16" s="31"/>
      <c r="J16" s="19"/>
      <c r="K16" s="19"/>
      <c r="L16" s="19"/>
      <c r="M16" s="19"/>
      <c r="N16" s="17"/>
      <c r="O16" s="19"/>
      <c r="P16" s="20"/>
      <c r="Q16" s="21"/>
      <c r="R16" s="21"/>
      <c r="S16" s="19"/>
      <c r="T16" s="19"/>
      <c r="U16" s="19"/>
      <c r="V16" s="20"/>
      <c r="W16" s="22"/>
      <c r="X16" s="23"/>
      <c r="Y16" s="21"/>
      <c r="Z16" s="21"/>
      <c r="AA16" s="214">
        <v>110</v>
      </c>
      <c r="AB16" s="19"/>
      <c r="AC16" s="25"/>
      <c r="AD16" s="20"/>
      <c r="AE16" s="22"/>
      <c r="BB16" s="216" t="s">
        <v>236</v>
      </c>
    </row>
    <row r="17" spans="1:54" ht="20.100000000000001" customHeight="1" x14ac:dyDescent="0.25">
      <c r="A17" s="21"/>
      <c r="B17" s="185"/>
      <c r="C17" s="166" t="s">
        <v>208</v>
      </c>
      <c r="D17" s="220" t="s">
        <v>210</v>
      </c>
      <c r="E17" s="179">
        <f>'پیش فاکتور سقف متحرک'!C26</f>
        <v>450000</v>
      </c>
      <c r="F17" s="434" t="s">
        <v>121</v>
      </c>
      <c r="G17" s="435"/>
      <c r="H17" s="204"/>
      <c r="I17" s="31"/>
      <c r="J17" s="19"/>
      <c r="K17" s="19"/>
      <c r="L17" s="19"/>
      <c r="M17" s="19"/>
      <c r="N17" s="17"/>
      <c r="O17" s="19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4">
        <v>110</v>
      </c>
      <c r="AB17" s="25"/>
      <c r="AC17" s="25"/>
      <c r="AD17" s="20"/>
      <c r="AE17" s="22"/>
      <c r="BB17" s="217" t="s">
        <v>237</v>
      </c>
    </row>
    <row r="18" spans="1:54" ht="20.100000000000001" customHeight="1" x14ac:dyDescent="0.25">
      <c r="A18" s="21"/>
      <c r="B18" s="185"/>
      <c r="C18" s="166" t="s">
        <v>211</v>
      </c>
      <c r="D18" s="416" t="s">
        <v>216</v>
      </c>
      <c r="E18" s="417"/>
      <c r="F18" s="426">
        <f>IF(AND(D15="sayaneh",D16="mana"),D14*1.05,IF(AND(D15="sayaneh",D16="shana"),D14*1.25,IF(AND(D15="sayaneh",D16="mah sayeh"),D14*1.1,IF(AND(D15="pavlion",D16="atin"),D14*1.1,IF(AND(D15="pavlion",D16="atin plus"),D14*1.4,IF(AND(D15="pavlion",D16="paina"),D14*1.15,IF(AND(D15="pavlion",D16="horno"),D14*1.35,IF(AND(D15="pavlion",D16="aavan"),D14*0.95,IF(AND(D15="pavlion",D16="Nothing"),D14*1,IF(AND(D15="sayaneh",D16="Nothing"),D14*1,IF(AND(D15="roof level",D16="Nothing"),D14*1,0)))))))))))</f>
        <v>0</v>
      </c>
      <c r="G18" s="427"/>
      <c r="H18" s="204"/>
      <c r="I18" s="31"/>
      <c r="J18" s="19"/>
      <c r="K18" s="19"/>
      <c r="L18" s="19"/>
      <c r="M18" s="19"/>
      <c r="N18" s="17"/>
      <c r="O18" s="19"/>
      <c r="P18" s="20"/>
      <c r="Q18" s="21"/>
      <c r="R18" s="21"/>
      <c r="S18" s="19"/>
      <c r="T18" s="19"/>
      <c r="U18" s="19"/>
      <c r="V18" s="20"/>
      <c r="W18" s="22"/>
      <c r="X18" s="23"/>
      <c r="Y18" s="21"/>
      <c r="Z18" s="21"/>
      <c r="AA18" s="214">
        <v>110</v>
      </c>
      <c r="AB18" s="25"/>
      <c r="AC18" s="25"/>
      <c r="AD18" s="20"/>
      <c r="AE18" s="22"/>
      <c r="BB18" s="210" t="s">
        <v>225</v>
      </c>
    </row>
    <row r="19" spans="1:54" ht="15" customHeight="1" x14ac:dyDescent="0.25">
      <c r="A19" s="32" t="s">
        <v>3</v>
      </c>
      <c r="B19" s="185"/>
      <c r="C19" s="185"/>
      <c r="D19" s="173"/>
      <c r="E19" s="173"/>
      <c r="F19" s="173"/>
      <c r="G19" s="186"/>
      <c r="H19" s="186"/>
      <c r="I19" s="19"/>
      <c r="J19" s="19"/>
      <c r="K19" s="19"/>
      <c r="L19" s="19"/>
      <c r="M19" s="19"/>
      <c r="N19" s="24"/>
      <c r="O19" s="20"/>
      <c r="P19" s="20"/>
      <c r="Q19" s="22"/>
      <c r="R19" s="21"/>
      <c r="S19" s="25"/>
      <c r="T19" s="25"/>
      <c r="U19" s="25"/>
      <c r="V19" s="20"/>
      <c r="W19" s="22"/>
      <c r="X19" s="23"/>
      <c r="Y19" s="19"/>
      <c r="Z19" s="21"/>
      <c r="AA19" s="214">
        <v>135</v>
      </c>
      <c r="AB19" s="211" t="s">
        <v>233</v>
      </c>
      <c r="AC19" s="25"/>
      <c r="AD19" s="211"/>
      <c r="AE19" s="22"/>
      <c r="BB19" s="210" t="s">
        <v>226</v>
      </c>
    </row>
    <row r="20" spans="1:54" ht="20.100000000000001" customHeight="1" x14ac:dyDescent="0.25">
      <c r="A20" s="21"/>
      <c r="B20" s="185"/>
      <c r="C20" s="187"/>
      <c r="D20" s="18"/>
      <c r="E20" s="16"/>
      <c r="F20" s="168"/>
      <c r="G20" s="188"/>
      <c r="H20" s="186"/>
      <c r="I20" s="19"/>
      <c r="J20" s="19"/>
      <c r="K20" s="19"/>
      <c r="L20" s="19"/>
      <c r="M20" s="19"/>
      <c r="N20" s="17"/>
      <c r="O20" s="19"/>
      <c r="P20" s="20"/>
      <c r="Q20" s="21"/>
      <c r="R20" s="21"/>
      <c r="S20" s="19"/>
      <c r="T20" s="19"/>
      <c r="U20" s="19"/>
      <c r="V20" s="20"/>
      <c r="W20" s="22"/>
      <c r="X20" s="23"/>
      <c r="Y20" s="21"/>
      <c r="Z20" s="21"/>
      <c r="AA20" s="214">
        <v>95</v>
      </c>
      <c r="AB20" s="211" t="s">
        <v>234</v>
      </c>
      <c r="AC20" s="25"/>
      <c r="AD20" s="213"/>
      <c r="AE20" s="22"/>
      <c r="BB20" s="210" t="s">
        <v>227</v>
      </c>
    </row>
    <row r="21" spans="1:54" ht="20.100000000000001" customHeight="1" x14ac:dyDescent="0.25">
      <c r="A21" s="21"/>
      <c r="B21" s="185"/>
      <c r="C21" s="187"/>
      <c r="D21" s="18"/>
      <c r="E21" s="16"/>
      <c r="F21" s="168"/>
      <c r="G21" s="188"/>
      <c r="H21" s="186"/>
      <c r="I21" s="19"/>
      <c r="J21" s="19"/>
      <c r="K21" s="19"/>
      <c r="L21" s="19"/>
      <c r="M21" s="19"/>
      <c r="N21" s="24"/>
      <c r="O21" s="20"/>
      <c r="P21" s="20"/>
      <c r="Q21" s="22"/>
      <c r="R21" s="21"/>
      <c r="S21" s="21"/>
      <c r="T21" s="21"/>
      <c r="U21" s="21"/>
      <c r="V21" s="21"/>
      <c r="W21" s="21"/>
      <c r="X21" s="21"/>
      <c r="Y21" s="21"/>
      <c r="Z21" s="21"/>
      <c r="BB21" s="217" t="s">
        <v>237</v>
      </c>
    </row>
    <row r="22" spans="1:54" ht="20.100000000000001" customHeight="1" x14ac:dyDescent="0.25">
      <c r="A22" s="21"/>
      <c r="B22" s="185"/>
      <c r="C22" s="187"/>
      <c r="D22" s="18"/>
      <c r="E22" s="16"/>
      <c r="F22" s="168"/>
      <c r="G22" s="188"/>
      <c r="H22" s="186"/>
      <c r="I22" s="19"/>
      <c r="J22" s="19"/>
      <c r="K22" s="19"/>
      <c r="L22" s="19"/>
      <c r="M22" s="19"/>
      <c r="N22" s="17"/>
      <c r="O22" s="19"/>
      <c r="P22" s="20"/>
      <c r="Q22" s="21"/>
      <c r="R22" s="21"/>
      <c r="S22" s="19"/>
      <c r="T22" s="19"/>
      <c r="U22" s="19"/>
      <c r="V22" s="20"/>
      <c r="W22" s="22"/>
      <c r="X22" s="23"/>
      <c r="Y22" s="21"/>
      <c r="Z22" s="21"/>
      <c r="BB22" s="211" t="s">
        <v>230</v>
      </c>
    </row>
    <row r="23" spans="1:54" ht="20.100000000000001" customHeight="1" x14ac:dyDescent="0.25">
      <c r="A23" s="21"/>
      <c r="B23" s="185"/>
      <c r="C23" s="187"/>
      <c r="D23" s="18"/>
      <c r="E23" s="16"/>
      <c r="F23" s="168"/>
      <c r="G23" s="188"/>
      <c r="H23" s="186"/>
      <c r="I23" s="19"/>
      <c r="J23" s="19"/>
      <c r="K23" s="19"/>
      <c r="L23" s="19"/>
      <c r="M23" s="19"/>
      <c r="N23" s="24"/>
      <c r="O23" s="20"/>
      <c r="P23" s="20"/>
      <c r="Q23" s="22"/>
      <c r="R23" s="21"/>
      <c r="S23" s="25"/>
      <c r="T23" s="25"/>
      <c r="U23" s="25"/>
      <c r="V23" s="20"/>
      <c r="W23" s="22"/>
      <c r="X23" s="23"/>
      <c r="Y23" s="19"/>
      <c r="Z23" s="21"/>
      <c r="BB23" s="215" t="s">
        <v>231</v>
      </c>
    </row>
    <row r="24" spans="1:54" ht="15.95" customHeight="1" x14ac:dyDescent="0.25">
      <c r="A24" s="21"/>
      <c r="B24" s="206"/>
      <c r="C24" s="189"/>
      <c r="D24" s="28"/>
      <c r="E24" s="27"/>
      <c r="F24" s="26"/>
      <c r="G24" s="188"/>
      <c r="H24" s="186"/>
      <c r="I24" s="19"/>
      <c r="J24" s="19"/>
      <c r="K24" s="19"/>
      <c r="L24" s="19"/>
      <c r="M24" s="19"/>
      <c r="N24" s="17"/>
      <c r="O24" s="19"/>
      <c r="P24" s="20"/>
      <c r="Q24" s="21"/>
      <c r="R24" s="21"/>
      <c r="S24" s="19"/>
      <c r="T24" s="19"/>
      <c r="U24" s="19"/>
      <c r="V24" s="20"/>
      <c r="W24" s="22"/>
      <c r="X24" s="23"/>
      <c r="Y24" s="21"/>
      <c r="Z24" s="21"/>
      <c r="BB24" s="211" t="s">
        <v>232</v>
      </c>
    </row>
    <row r="25" spans="1:54" ht="15.95" customHeight="1" x14ac:dyDescent="0.25">
      <c r="A25" s="21"/>
      <c r="B25" s="206"/>
      <c r="C25" s="189"/>
      <c r="D25" s="28"/>
      <c r="E25" s="27"/>
      <c r="F25" s="26"/>
      <c r="G25" s="188"/>
      <c r="H25" s="186"/>
      <c r="I25" s="19"/>
      <c r="J25" s="19"/>
      <c r="K25" s="19"/>
      <c r="L25" s="19"/>
      <c r="M25" s="19"/>
      <c r="N25" s="24"/>
      <c r="O25" s="20"/>
      <c r="P25" s="20"/>
      <c r="Q25" s="22"/>
      <c r="R25" s="21"/>
      <c r="S25" s="21"/>
      <c r="T25" s="21"/>
      <c r="U25" s="21"/>
      <c r="V25" s="21"/>
      <c r="W25" s="21"/>
      <c r="X25" s="21"/>
      <c r="Y25" s="21"/>
      <c r="Z25" s="21"/>
      <c r="BB25" s="211" t="s">
        <v>233</v>
      </c>
    </row>
    <row r="26" spans="1:54" ht="15.95" customHeight="1" x14ac:dyDescent="0.25">
      <c r="A26" s="21"/>
      <c r="B26" s="203"/>
      <c r="C26" s="189"/>
      <c r="D26" s="28"/>
      <c r="E26" s="27"/>
      <c r="F26" s="26"/>
      <c r="G26" s="190"/>
      <c r="H26" s="186"/>
      <c r="I26" s="19"/>
      <c r="J26" s="19"/>
      <c r="K26" s="19"/>
      <c r="L26" s="19"/>
      <c r="M26" s="19"/>
      <c r="N26" s="17"/>
      <c r="O26" s="19"/>
      <c r="P26" s="20"/>
      <c r="Q26" s="21"/>
      <c r="R26" s="21"/>
      <c r="S26" s="19"/>
      <c r="T26" s="19"/>
      <c r="U26" s="19"/>
      <c r="V26" s="20"/>
      <c r="W26" s="22"/>
      <c r="X26" s="23"/>
      <c r="Y26" s="21"/>
      <c r="Z26" s="21"/>
      <c r="BB26" s="211" t="s">
        <v>234</v>
      </c>
    </row>
    <row r="27" spans="1:54" ht="15.95" customHeight="1" x14ac:dyDescent="0.25">
      <c r="A27" s="21"/>
      <c r="B27" s="203"/>
      <c r="C27" s="189"/>
      <c r="D27" s="28"/>
      <c r="E27" s="27"/>
      <c r="F27" s="26"/>
      <c r="G27" s="190"/>
      <c r="H27" s="186"/>
      <c r="I27" s="19"/>
      <c r="J27" s="19"/>
      <c r="K27" s="19"/>
      <c r="L27" s="19"/>
      <c r="M27" s="19"/>
      <c r="N27" s="24"/>
      <c r="O27" s="20"/>
      <c r="P27" s="20"/>
      <c r="Q27" s="22"/>
      <c r="R27" s="21"/>
      <c r="S27" s="25"/>
      <c r="T27" s="25"/>
      <c r="U27" s="25"/>
      <c r="V27" s="20"/>
      <c r="W27" s="22"/>
      <c r="X27" s="23"/>
      <c r="Y27" s="19"/>
      <c r="Z27" s="21"/>
      <c r="BB27" s="211"/>
    </row>
    <row r="28" spans="1:54" ht="15.95" customHeight="1" x14ac:dyDescent="0.25">
      <c r="A28" s="21"/>
      <c r="B28" s="203"/>
      <c r="C28" s="189"/>
      <c r="D28" s="28"/>
      <c r="E28" s="27"/>
      <c r="F28" s="26"/>
      <c r="G28" s="190"/>
      <c r="H28" s="186"/>
      <c r="I28" s="19"/>
      <c r="J28" s="19"/>
      <c r="K28" s="19"/>
      <c r="L28" s="19"/>
      <c r="M28" s="19"/>
      <c r="N28" s="17"/>
      <c r="O28" s="19"/>
      <c r="P28" s="20"/>
      <c r="Q28" s="21"/>
      <c r="R28" s="21"/>
      <c r="S28" s="19"/>
      <c r="T28" s="19"/>
      <c r="U28" s="19"/>
      <c r="V28" s="20"/>
      <c r="W28" s="22"/>
      <c r="X28" s="23"/>
      <c r="Y28" s="21"/>
      <c r="Z28" s="21"/>
    </row>
    <row r="29" spans="1:54" ht="15.95" customHeight="1" x14ac:dyDescent="0.25">
      <c r="A29" s="21"/>
      <c r="B29" s="203"/>
      <c r="C29" s="189"/>
      <c r="D29" s="28"/>
      <c r="E29" s="27"/>
      <c r="F29" s="26"/>
      <c r="G29" s="190"/>
      <c r="H29" s="186"/>
      <c r="I29" s="19"/>
      <c r="J29" s="19"/>
      <c r="K29" s="19"/>
      <c r="L29" s="19"/>
      <c r="M29" s="19"/>
      <c r="N29" s="24"/>
      <c r="O29" s="20"/>
      <c r="P29" s="20"/>
      <c r="Q29" s="22"/>
      <c r="R29" s="21"/>
      <c r="S29" s="21"/>
      <c r="T29" s="21"/>
      <c r="U29" s="21"/>
      <c r="V29" s="21"/>
      <c r="W29" s="21"/>
      <c r="X29" s="21"/>
      <c r="Y29" s="21"/>
      <c r="Z29" s="21"/>
    </row>
    <row r="30" spans="1:54" ht="15.95" customHeight="1" x14ac:dyDescent="0.25">
      <c r="A30" s="21"/>
      <c r="B30" s="203"/>
      <c r="C30" s="189"/>
      <c r="D30" s="28"/>
      <c r="E30" s="27"/>
      <c r="F30" s="26"/>
      <c r="G30" s="190"/>
      <c r="H30" s="186"/>
      <c r="I30" s="19"/>
      <c r="J30" s="19"/>
      <c r="K30" s="19"/>
      <c r="L30" s="19"/>
      <c r="M30" s="19"/>
      <c r="N30" s="17"/>
      <c r="O30" s="19"/>
      <c r="P30" s="20"/>
      <c r="Q30" s="21"/>
      <c r="R30" s="21"/>
      <c r="S30" s="19"/>
      <c r="T30" s="19"/>
      <c r="U30" s="19"/>
      <c r="V30" s="20"/>
      <c r="W30" s="22"/>
      <c r="X30" s="23"/>
      <c r="Y30" s="21"/>
      <c r="Z30" s="21"/>
    </row>
    <row r="31" spans="1:54" ht="15.95" customHeight="1" x14ac:dyDescent="0.25">
      <c r="A31" s="21"/>
      <c r="B31" s="203"/>
      <c r="C31" s="189"/>
      <c r="D31" s="28"/>
      <c r="E31" s="27"/>
      <c r="F31" s="26"/>
      <c r="G31" s="190"/>
      <c r="H31" s="186"/>
      <c r="I31" s="19"/>
      <c r="J31" s="19"/>
      <c r="K31" s="19"/>
      <c r="L31" s="19"/>
      <c r="M31" s="19"/>
      <c r="N31" s="24"/>
      <c r="O31" s="20"/>
      <c r="P31" s="20"/>
      <c r="Q31" s="22"/>
      <c r="R31" s="21"/>
      <c r="S31" s="25"/>
      <c r="T31" s="25"/>
      <c r="U31" s="25"/>
      <c r="V31" s="20"/>
      <c r="W31" s="22"/>
      <c r="X31" s="23"/>
      <c r="Y31" s="19"/>
      <c r="Z31" s="21"/>
    </row>
    <row r="32" spans="1:54" ht="15.95" customHeight="1" x14ac:dyDescent="0.25">
      <c r="A32" s="21"/>
      <c r="B32" s="203"/>
      <c r="C32" s="189"/>
      <c r="D32" s="28"/>
      <c r="E32" s="27"/>
      <c r="F32" s="26"/>
      <c r="G32" s="190"/>
      <c r="H32" s="186"/>
      <c r="I32" s="19"/>
      <c r="J32" s="19"/>
      <c r="K32" s="19"/>
      <c r="L32" s="19"/>
      <c r="M32" s="19"/>
      <c r="N32" s="17"/>
      <c r="O32" s="19"/>
      <c r="P32" s="20"/>
      <c r="Q32" s="21"/>
      <c r="R32" s="21"/>
      <c r="S32" s="19"/>
      <c r="T32" s="19"/>
      <c r="U32" s="19"/>
      <c r="V32" s="20"/>
      <c r="W32" s="22"/>
      <c r="X32" s="23"/>
      <c r="Y32" s="21"/>
      <c r="Z32" s="21"/>
    </row>
    <row r="33" spans="1:26" ht="15.95" customHeight="1" x14ac:dyDescent="0.25">
      <c r="A33" s="21"/>
      <c r="B33" s="203"/>
      <c r="C33" s="189"/>
      <c r="D33" s="28"/>
      <c r="E33" s="27"/>
      <c r="F33" s="26"/>
      <c r="G33" s="190"/>
      <c r="H33" s="186"/>
      <c r="I33" s="19"/>
      <c r="J33" s="19"/>
      <c r="K33" s="19"/>
      <c r="L33" s="19"/>
      <c r="M33" s="19"/>
      <c r="N33" s="24"/>
      <c r="O33" s="20"/>
      <c r="P33" s="20"/>
      <c r="Q33" s="22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95" customHeight="1" x14ac:dyDescent="0.25">
      <c r="A34" s="21"/>
      <c r="B34" s="206"/>
      <c r="C34" s="189"/>
      <c r="D34" s="28"/>
      <c r="E34" s="27"/>
      <c r="F34" s="26"/>
      <c r="G34" s="190"/>
      <c r="H34" s="186"/>
      <c r="I34" s="19"/>
      <c r="J34" s="19"/>
      <c r="K34" s="19"/>
      <c r="L34" s="19"/>
      <c r="M34" s="19"/>
      <c r="N34" s="17"/>
      <c r="O34" s="19"/>
      <c r="P34" s="20"/>
      <c r="Q34" s="21"/>
      <c r="R34" s="21"/>
      <c r="S34" s="19"/>
      <c r="T34" s="19"/>
      <c r="U34" s="19"/>
      <c r="V34" s="20"/>
      <c r="W34" s="22"/>
      <c r="X34" s="23"/>
      <c r="Y34" s="21"/>
      <c r="Z34" s="21"/>
    </row>
    <row r="35" spans="1:26" ht="15.95" customHeight="1" thickBot="1" x14ac:dyDescent="0.3">
      <c r="A35" s="21"/>
      <c r="B35" s="203"/>
      <c r="C35" s="191"/>
      <c r="D35" s="192"/>
      <c r="E35" s="193"/>
      <c r="F35" s="194"/>
      <c r="G35" s="195"/>
      <c r="H35" s="186"/>
      <c r="I35" s="19"/>
      <c r="J35" s="19"/>
      <c r="K35" s="19"/>
      <c r="L35" s="19"/>
      <c r="M35" s="19"/>
      <c r="N35" s="24"/>
      <c r="O35" s="20"/>
      <c r="P35" s="20"/>
      <c r="Q35" s="22"/>
      <c r="R35" s="21"/>
      <c r="S35" s="25"/>
      <c r="T35" s="25"/>
      <c r="U35" s="25"/>
      <c r="V35" s="20"/>
      <c r="W35" s="22"/>
      <c r="X35" s="23"/>
      <c r="Y35" s="19"/>
      <c r="Z35" s="21"/>
    </row>
    <row r="36" spans="1:26" ht="15.95" customHeight="1" thickBot="1" x14ac:dyDescent="0.3">
      <c r="A36" s="21"/>
      <c r="B36" s="207"/>
      <c r="C36" s="208"/>
      <c r="D36" s="208"/>
      <c r="E36" s="208"/>
      <c r="F36" s="208"/>
      <c r="G36" s="208"/>
      <c r="H36" s="209"/>
      <c r="I36" s="19"/>
      <c r="J36" s="19"/>
      <c r="K36" s="19"/>
      <c r="L36" s="19"/>
      <c r="M36" s="19"/>
      <c r="N36" s="17"/>
      <c r="O36" s="19"/>
      <c r="P36" s="20"/>
      <c r="Q36" s="21"/>
      <c r="R36" s="21"/>
      <c r="S36" s="19"/>
      <c r="T36" s="19"/>
      <c r="U36" s="19"/>
      <c r="V36" s="20"/>
      <c r="W36" s="22"/>
      <c r="X36" s="23"/>
      <c r="Y36" s="21"/>
      <c r="Z36" s="21"/>
    </row>
    <row r="37" spans="1:26" ht="15.95" customHeight="1" x14ac:dyDescent="0.25">
      <c r="A37" s="21"/>
      <c r="B37" s="27"/>
      <c r="C37" s="27"/>
      <c r="D37" s="28"/>
      <c r="E37" s="27"/>
      <c r="F37" s="168"/>
      <c r="G37" s="169"/>
      <c r="H37" s="29"/>
      <c r="I37" s="19"/>
      <c r="J37" s="19"/>
      <c r="K37" s="19"/>
      <c r="L37" s="19"/>
      <c r="M37" s="19"/>
      <c r="N37" s="24"/>
      <c r="O37" s="20"/>
      <c r="P37" s="20"/>
      <c r="Q37" s="22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21"/>
      <c r="B38" s="27"/>
      <c r="C38" s="27"/>
      <c r="D38" s="28"/>
      <c r="E38" s="27"/>
      <c r="F38" s="168"/>
      <c r="G38" s="169"/>
      <c r="H38" s="29"/>
      <c r="I38" s="19"/>
      <c r="J38" s="19"/>
      <c r="K38" s="19"/>
      <c r="L38" s="19"/>
      <c r="M38" s="19"/>
      <c r="N38" s="17"/>
      <c r="O38" s="19"/>
      <c r="P38" s="20"/>
      <c r="Q38" s="21"/>
      <c r="R38" s="21"/>
      <c r="S38" s="19"/>
      <c r="T38" s="19"/>
      <c r="U38" s="19"/>
      <c r="V38" s="20"/>
      <c r="W38" s="22"/>
      <c r="X38" s="23"/>
      <c r="Y38" s="21"/>
      <c r="Z38" s="21"/>
    </row>
    <row r="39" spans="1:26" x14ac:dyDescent="0.25">
      <c r="A39" s="21"/>
      <c r="B39" s="27"/>
      <c r="C39" s="27"/>
      <c r="D39" s="28"/>
      <c r="E39" s="27"/>
      <c r="F39" s="168"/>
      <c r="G39" s="170"/>
      <c r="H39" s="19"/>
      <c r="I39" s="19"/>
      <c r="J39" s="19"/>
      <c r="K39" s="19"/>
      <c r="L39" s="19"/>
      <c r="M39" s="19"/>
      <c r="N39" s="24"/>
      <c r="O39" s="20"/>
      <c r="P39" s="20"/>
      <c r="Q39" s="22"/>
      <c r="R39" s="21"/>
      <c r="S39" s="25"/>
      <c r="T39" s="25"/>
      <c r="U39" s="25"/>
      <c r="V39" s="20"/>
      <c r="W39" s="22"/>
      <c r="X39" s="23"/>
      <c r="Y39" s="19"/>
      <c r="Z39" s="21"/>
    </row>
    <row r="40" spans="1:26" x14ac:dyDescent="0.25">
      <c r="A40" s="21"/>
      <c r="B40" s="27"/>
      <c r="C40" s="27"/>
      <c r="D40" s="28"/>
      <c r="E40" s="27"/>
      <c r="F40" s="168"/>
      <c r="G40" s="170"/>
      <c r="H40" s="19"/>
      <c r="I40" s="19"/>
      <c r="J40" s="19"/>
      <c r="K40" s="19"/>
      <c r="L40" s="19"/>
      <c r="M40" s="19"/>
      <c r="N40" s="17"/>
      <c r="O40" s="19"/>
      <c r="P40" s="20"/>
      <c r="Q40" s="21"/>
      <c r="R40" s="21"/>
      <c r="S40" s="19"/>
      <c r="T40" s="19"/>
      <c r="U40" s="19"/>
      <c r="V40" s="20"/>
      <c r="W40" s="22"/>
      <c r="X40" s="23"/>
      <c r="Y40" s="21"/>
      <c r="Z40" s="21"/>
    </row>
    <row r="41" spans="1:26" x14ac:dyDescent="0.25">
      <c r="A41" s="21"/>
      <c r="B41" s="27"/>
      <c r="C41" s="27"/>
      <c r="D41" s="28"/>
      <c r="E41" s="27"/>
      <c r="F41" s="168"/>
      <c r="G41" s="170"/>
      <c r="H41" s="19"/>
      <c r="I41" s="19"/>
      <c r="J41" s="19"/>
      <c r="K41" s="19"/>
      <c r="L41" s="19"/>
      <c r="M41" s="19"/>
      <c r="N41" s="24"/>
      <c r="O41" s="20"/>
      <c r="P41" s="20"/>
      <c r="Q41" s="22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21"/>
      <c r="B42" s="27"/>
      <c r="C42" s="27"/>
      <c r="D42" s="28"/>
      <c r="E42" s="27"/>
      <c r="F42" s="168"/>
      <c r="G42" s="170"/>
      <c r="H42" s="19"/>
      <c r="I42" s="19"/>
      <c r="J42" s="19"/>
      <c r="K42" s="19"/>
      <c r="L42" s="19"/>
      <c r="M42" s="19"/>
      <c r="N42" s="17"/>
      <c r="O42" s="19"/>
      <c r="P42" s="20"/>
      <c r="Q42" s="21"/>
      <c r="R42" s="21"/>
      <c r="S42" s="19"/>
      <c r="T42" s="19"/>
      <c r="U42" s="19"/>
      <c r="V42" s="20"/>
      <c r="W42" s="22"/>
      <c r="X42" s="23"/>
      <c r="Y42" s="21"/>
      <c r="Z42" s="21"/>
    </row>
    <row r="43" spans="1:26" x14ac:dyDescent="0.25">
      <c r="A43" s="21"/>
      <c r="B43" s="27"/>
      <c r="C43" s="27"/>
      <c r="D43" s="28"/>
      <c r="E43" s="27"/>
      <c r="F43" s="168"/>
      <c r="G43" s="170"/>
      <c r="H43" s="19"/>
      <c r="I43" s="19"/>
      <c r="J43" s="19"/>
      <c r="K43" s="19"/>
      <c r="L43" s="19"/>
      <c r="M43" s="19"/>
      <c r="N43" s="24"/>
      <c r="O43" s="20"/>
      <c r="P43" s="20"/>
      <c r="Q43" s="22"/>
      <c r="R43" s="21"/>
      <c r="S43" s="25"/>
      <c r="T43" s="25"/>
      <c r="U43" s="25"/>
      <c r="V43" s="20"/>
      <c r="W43" s="22"/>
      <c r="X43" s="23"/>
      <c r="Y43" s="19"/>
      <c r="Z43" s="21"/>
    </row>
    <row r="44" spans="1:26" x14ac:dyDescent="0.25">
      <c r="A44" s="21"/>
      <c r="B44" s="27"/>
      <c r="C44" s="27"/>
      <c r="D44" s="28"/>
      <c r="E44" s="27"/>
      <c r="F44" s="168"/>
      <c r="G44" s="170"/>
      <c r="H44" s="19"/>
      <c r="I44" s="19"/>
      <c r="J44" s="19"/>
      <c r="K44" s="19"/>
      <c r="L44" s="19"/>
      <c r="M44" s="19"/>
      <c r="N44" s="17"/>
      <c r="O44" s="19"/>
      <c r="P44" s="20"/>
      <c r="Q44" s="21"/>
      <c r="R44" s="21"/>
      <c r="S44" s="19"/>
      <c r="T44" s="19"/>
      <c r="U44" s="19"/>
      <c r="V44" s="20"/>
      <c r="W44" s="22"/>
      <c r="X44" s="23"/>
      <c r="Y44" s="21"/>
      <c r="Z44" s="21"/>
    </row>
    <row r="45" spans="1:26" x14ac:dyDescent="0.25">
      <c r="A45" s="21"/>
      <c r="B45" s="27"/>
      <c r="C45" s="27"/>
      <c r="D45" s="28"/>
      <c r="E45" s="27"/>
      <c r="F45" s="168"/>
      <c r="G45" s="170"/>
      <c r="H45" s="19"/>
      <c r="I45" s="19"/>
      <c r="J45" s="19"/>
      <c r="K45" s="19"/>
      <c r="L45" s="19"/>
      <c r="M45" s="19"/>
      <c r="N45" s="24"/>
      <c r="O45" s="20"/>
      <c r="P45" s="20"/>
      <c r="Q45" s="22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1"/>
      <c r="B46" s="27"/>
      <c r="C46" s="27"/>
      <c r="D46" s="30"/>
      <c r="E46" s="27"/>
      <c r="F46" s="168"/>
      <c r="G46" s="167"/>
      <c r="H46" s="19"/>
      <c r="I46" s="19"/>
      <c r="J46" s="19"/>
      <c r="K46" s="19"/>
      <c r="L46" s="19"/>
      <c r="M46" s="19"/>
      <c r="N46" s="17"/>
      <c r="O46" s="19"/>
      <c r="P46" s="20"/>
      <c r="Q46" s="21"/>
      <c r="R46" s="21"/>
      <c r="S46" s="19"/>
      <c r="T46" s="19"/>
      <c r="U46" s="19"/>
      <c r="V46" s="20"/>
      <c r="W46" s="22"/>
      <c r="X46" s="23"/>
      <c r="Y46" s="21"/>
      <c r="Z46" s="21"/>
    </row>
    <row r="47" spans="1:26" x14ac:dyDescent="0.25">
      <c r="A47" s="21"/>
      <c r="B47" s="27"/>
      <c r="C47" s="27"/>
      <c r="D47" s="30"/>
      <c r="E47" s="27"/>
      <c r="F47" s="168"/>
      <c r="G47" s="167"/>
      <c r="H47" s="19"/>
      <c r="I47" s="19"/>
      <c r="J47" s="19"/>
      <c r="K47" s="19"/>
      <c r="L47" s="19"/>
      <c r="M47" s="19"/>
      <c r="N47" s="24"/>
      <c r="O47" s="20"/>
      <c r="P47" s="20"/>
      <c r="Q47" s="22"/>
      <c r="R47" s="21"/>
      <c r="S47" s="25"/>
      <c r="T47" s="25"/>
      <c r="U47" s="25"/>
      <c r="V47" s="20"/>
      <c r="W47" s="22"/>
      <c r="X47" s="23"/>
      <c r="Y47" s="19"/>
      <c r="Z47" s="21"/>
    </row>
    <row r="48" spans="1:26" x14ac:dyDescent="0.25">
      <c r="A48" s="21"/>
      <c r="B48" s="27"/>
      <c r="C48" s="27"/>
      <c r="D48" s="30"/>
      <c r="E48" s="27"/>
      <c r="F48" s="168"/>
      <c r="G48" s="167"/>
      <c r="H48" s="19"/>
      <c r="I48" s="19"/>
      <c r="J48" s="19"/>
      <c r="K48" s="19"/>
      <c r="L48" s="19"/>
      <c r="M48" s="19"/>
      <c r="N48" s="17"/>
      <c r="O48" s="19"/>
      <c r="P48" s="20"/>
      <c r="Q48" s="21"/>
      <c r="R48" s="21"/>
      <c r="S48" s="19"/>
      <c r="T48" s="19"/>
      <c r="U48" s="19"/>
      <c r="V48" s="20"/>
      <c r="W48" s="22"/>
      <c r="X48" s="23"/>
      <c r="Y48" s="21"/>
      <c r="Z48" s="21"/>
    </row>
    <row r="49" spans="1:26" x14ac:dyDescent="0.25">
      <c r="A49" s="21"/>
      <c r="B49" s="27"/>
      <c r="C49" s="27"/>
      <c r="D49" s="30"/>
      <c r="E49" s="27"/>
      <c r="F49" s="168"/>
      <c r="G49" s="167"/>
      <c r="H49" s="19"/>
      <c r="I49" s="19"/>
      <c r="J49" s="19"/>
      <c r="K49" s="19"/>
      <c r="L49" s="19"/>
      <c r="M49" s="19"/>
      <c r="N49" s="24"/>
      <c r="O49" s="20"/>
      <c r="P49" s="20"/>
      <c r="Q49" s="22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21"/>
      <c r="B50" s="27"/>
      <c r="C50" s="27"/>
      <c r="D50" s="30"/>
      <c r="E50" s="27"/>
      <c r="F50" s="168"/>
      <c r="G50" s="167"/>
      <c r="H50" s="19"/>
      <c r="I50" s="19"/>
      <c r="J50" s="19"/>
      <c r="K50" s="19"/>
      <c r="L50" s="19"/>
      <c r="M50" s="19"/>
      <c r="N50" s="17"/>
      <c r="O50" s="19"/>
      <c r="P50" s="20"/>
      <c r="Q50" s="21"/>
      <c r="R50" s="21"/>
      <c r="S50" s="19"/>
      <c r="T50" s="19"/>
      <c r="U50" s="19"/>
      <c r="V50" s="20"/>
      <c r="W50" s="22"/>
      <c r="X50" s="23"/>
      <c r="Y50" s="21"/>
      <c r="Z50" s="21"/>
    </row>
    <row r="51" spans="1:26" x14ac:dyDescent="0.25">
      <c r="A51" s="21"/>
      <c r="B51" s="27"/>
      <c r="C51" s="27"/>
      <c r="D51" s="30"/>
      <c r="E51" s="27"/>
      <c r="F51" s="168"/>
      <c r="G51" s="167"/>
      <c r="H51" s="19"/>
      <c r="I51" s="19"/>
      <c r="J51" s="19"/>
      <c r="K51" s="19"/>
      <c r="L51" s="19"/>
      <c r="M51" s="19"/>
      <c r="N51" s="24"/>
      <c r="O51" s="20"/>
      <c r="P51" s="20"/>
      <c r="Q51" s="22"/>
      <c r="R51" s="21"/>
      <c r="S51" s="25"/>
      <c r="T51" s="25"/>
      <c r="U51" s="25"/>
      <c r="V51" s="20"/>
      <c r="W51" s="22"/>
      <c r="X51" s="23"/>
      <c r="Y51" s="19"/>
      <c r="Z51" s="21"/>
    </row>
    <row r="52" spans="1:26" x14ac:dyDescent="0.25">
      <c r="A52" s="21"/>
      <c r="B52" s="27"/>
      <c r="C52" s="27"/>
      <c r="D52" s="30"/>
      <c r="F52" s="168"/>
      <c r="G52" s="167"/>
      <c r="H52" s="19"/>
      <c r="I52" s="19"/>
      <c r="J52" s="19"/>
      <c r="K52" s="19"/>
      <c r="L52" s="19"/>
      <c r="M52" s="19"/>
      <c r="N52" s="17"/>
      <c r="O52" s="19"/>
      <c r="P52" s="20"/>
      <c r="Q52" s="21"/>
      <c r="R52" s="21"/>
      <c r="S52" s="19"/>
      <c r="T52" s="19"/>
      <c r="U52" s="19"/>
      <c r="V52" s="20"/>
      <c r="W52" s="22"/>
      <c r="X52" s="23"/>
      <c r="Y52" s="21"/>
      <c r="Z52" s="21"/>
    </row>
    <row r="53" spans="1:26" x14ac:dyDescent="0.25">
      <c r="A53" s="21"/>
      <c r="B53" s="27"/>
      <c r="C53" s="27"/>
      <c r="D53" s="30"/>
      <c r="F53" s="168"/>
      <c r="G53" s="167"/>
      <c r="H53" s="19"/>
      <c r="I53" s="19"/>
      <c r="J53" s="19"/>
      <c r="K53" s="19"/>
      <c r="L53" s="19"/>
      <c r="M53" s="19"/>
      <c r="N53" s="24"/>
      <c r="O53" s="20"/>
      <c r="P53" s="20"/>
      <c r="Q53" s="22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5">
      <c r="A54" s="21"/>
      <c r="B54" s="27"/>
      <c r="C54" s="27"/>
      <c r="D54" s="30"/>
      <c r="F54" s="168"/>
      <c r="G54" s="167"/>
      <c r="H54" s="19"/>
      <c r="I54" s="19"/>
      <c r="J54" s="19"/>
      <c r="K54" s="19"/>
      <c r="L54" s="19"/>
      <c r="M54" s="19"/>
      <c r="N54" s="17"/>
      <c r="O54" s="19"/>
      <c r="P54" s="20"/>
      <c r="Q54" s="21"/>
      <c r="R54" s="21"/>
      <c r="S54" s="19"/>
      <c r="T54" s="19"/>
      <c r="U54" s="19"/>
      <c r="V54" s="20"/>
      <c r="W54" s="22"/>
      <c r="X54" s="23"/>
      <c r="Y54" s="21"/>
      <c r="Z54" s="21"/>
    </row>
    <row r="55" spans="1:26" x14ac:dyDescent="0.25">
      <c r="A55" s="21"/>
      <c r="B55" s="27"/>
      <c r="C55" s="27"/>
      <c r="D55" s="30"/>
      <c r="F55" s="168"/>
      <c r="G55" s="167"/>
      <c r="H55" s="19"/>
      <c r="I55" s="19"/>
      <c r="J55" s="19"/>
      <c r="K55" s="19"/>
      <c r="L55" s="19"/>
      <c r="M55" s="19"/>
      <c r="N55" s="19"/>
      <c r="O55" s="19"/>
      <c r="P55" s="20"/>
      <c r="Q55" s="22"/>
      <c r="R55" s="22"/>
      <c r="S55" s="25"/>
      <c r="T55" s="25"/>
      <c r="U55" s="25"/>
      <c r="V55" s="20"/>
      <c r="W55" s="22"/>
      <c r="X55" s="23"/>
      <c r="Y55" s="19"/>
      <c r="Z55" s="21"/>
    </row>
    <row r="56" spans="1:26" x14ac:dyDescent="0.25">
      <c r="S56" s="19"/>
      <c r="T56" s="19"/>
      <c r="U56" s="19"/>
      <c r="V56" s="20"/>
      <c r="W56" s="22"/>
      <c r="X56" s="23"/>
      <c r="Y56" s="21"/>
      <c r="Z56" s="21"/>
    </row>
  </sheetData>
  <sheetProtection formatCells="0" formatColumns="0" formatRows="0"/>
  <mergeCells count="16">
    <mergeCell ref="C3:E3"/>
    <mergeCell ref="F9:G9"/>
    <mergeCell ref="F10:G10"/>
    <mergeCell ref="F17:G17"/>
    <mergeCell ref="F13:G13"/>
    <mergeCell ref="F3:G3"/>
    <mergeCell ref="F11:G11"/>
    <mergeCell ref="F12:G12"/>
    <mergeCell ref="F15:G15"/>
    <mergeCell ref="F16:G16"/>
    <mergeCell ref="D18:E18"/>
    <mergeCell ref="AK4:AM6"/>
    <mergeCell ref="C6:E7"/>
    <mergeCell ref="F18:G18"/>
    <mergeCell ref="F14:G14"/>
    <mergeCell ref="D14:E14"/>
  </mergeCells>
  <conditionalFormatting sqref="C6">
    <cfRule type="cellIs" dxfId="24" priority="3" operator="equal">
      <formula>"NOT IN RANGE"</formula>
    </cfRule>
    <cfRule type="cellIs" dxfId="23" priority="5" operator="equal">
      <formula>"CORRECT RANGE"</formula>
    </cfRule>
  </conditionalFormatting>
  <conditionalFormatting sqref="AK4">
    <cfRule type="cellIs" dxfId="22" priority="1" operator="equal">
      <formula>"NOT IN RANGE"</formula>
    </cfRule>
    <cfRule type="cellIs" dxfId="21" priority="2" operator="equal">
      <formula>"CORRECT RANGE"</formula>
    </cfRule>
  </conditionalFormatting>
  <dataValidations count="3">
    <dataValidation type="list" allowBlank="1" showInputMessage="1" showErrorMessage="1" sqref="D17" xr:uid="{00000000-0002-0000-0000-000000000000}">
      <formula1>$AZ$2:$AZ$3</formula1>
    </dataValidation>
    <dataValidation type="list" allowBlank="1" showInputMessage="1" showErrorMessage="1" sqref="D15" xr:uid="{00000000-0002-0000-0000-000001000000}">
      <formula1>$BB$2:$BB$4</formula1>
    </dataValidation>
    <dataValidation type="list" allowBlank="1" showInputMessage="1" showErrorMessage="1" sqref="D16" xr:uid="{00000000-0002-0000-0000-000002000000}">
      <formula1>$BB$16:$BB$26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97"/>
  <sheetViews>
    <sheetView rightToLeft="1" topLeftCell="A94" workbookViewId="0">
      <selection activeCell="F101" sqref="F101"/>
    </sheetView>
  </sheetViews>
  <sheetFormatPr defaultRowHeight="15" x14ac:dyDescent="0.25"/>
  <cols>
    <col min="1" max="1" width="2.85546875" customWidth="1"/>
    <col min="2" max="2" width="25.28515625" customWidth="1"/>
    <col min="3" max="5" width="11" customWidth="1"/>
    <col min="6" max="6" width="12" customWidth="1"/>
    <col min="7" max="7" width="8.7109375" customWidth="1"/>
    <col min="8" max="8" width="24.140625" customWidth="1"/>
    <col min="11" max="11" width="11.42578125" customWidth="1"/>
    <col min="12" max="12" width="10.42578125" customWidth="1"/>
  </cols>
  <sheetData>
    <row r="1" spans="1:12" x14ac:dyDescent="0.25">
      <c r="A1" s="134"/>
      <c r="B1" s="134"/>
      <c r="C1" s="134"/>
      <c r="D1" s="134"/>
      <c r="E1" s="134"/>
      <c r="F1" s="134"/>
    </row>
    <row r="2" spans="1:12" ht="15" customHeight="1" x14ac:dyDescent="0.25">
      <c r="B2" s="72"/>
      <c r="C2" s="72"/>
      <c r="D2" s="72"/>
      <c r="E2" s="72"/>
      <c r="F2" s="72"/>
      <c r="H2" s="75"/>
      <c r="I2" s="72"/>
      <c r="J2" s="72"/>
      <c r="K2" s="72"/>
      <c r="L2" s="72"/>
    </row>
    <row r="3" spans="1:12" ht="15" customHeight="1" x14ac:dyDescent="0.25">
      <c r="B3" s="76" t="s">
        <v>137</v>
      </c>
      <c r="C3" s="590" t="s">
        <v>158</v>
      </c>
      <c r="D3" s="590"/>
      <c r="E3" s="590"/>
      <c r="F3" s="78"/>
      <c r="H3" s="76" t="s">
        <v>136</v>
      </c>
      <c r="I3" s="593" t="s">
        <v>157</v>
      </c>
      <c r="J3" s="594"/>
      <c r="K3" s="595"/>
      <c r="L3" s="77"/>
    </row>
    <row r="4" spans="1:12" ht="15" customHeight="1" x14ac:dyDescent="0.25">
      <c r="B4" s="118" t="s">
        <v>180</v>
      </c>
      <c r="C4" s="79" t="s">
        <v>4</v>
      </c>
      <c r="D4" s="79" t="s">
        <v>15</v>
      </c>
      <c r="E4" s="80" t="s">
        <v>16</v>
      </c>
      <c r="F4" s="78" t="s">
        <v>3</v>
      </c>
      <c r="H4" s="118" t="s">
        <v>179</v>
      </c>
      <c r="I4" s="79" t="s">
        <v>4</v>
      </c>
      <c r="J4" s="79" t="s">
        <v>15</v>
      </c>
      <c r="K4" s="80" t="s">
        <v>16</v>
      </c>
      <c r="L4" s="78"/>
    </row>
    <row r="5" spans="1:12" ht="15" customHeight="1" x14ac:dyDescent="0.25">
      <c r="B5" s="81" t="s">
        <v>17</v>
      </c>
      <c r="C5" s="82">
        <v>1</v>
      </c>
      <c r="D5" s="83" t="s">
        <v>18</v>
      </c>
      <c r="E5" s="78">
        <f>F5*C5</f>
        <v>1050000</v>
      </c>
      <c r="F5" s="117">
        <v>1050000</v>
      </c>
      <c r="H5" s="81" t="s">
        <v>17</v>
      </c>
      <c r="I5" s="82">
        <v>1</v>
      </c>
      <c r="J5" s="83" t="s">
        <v>18</v>
      </c>
      <c r="K5" s="78">
        <f>L5*I5</f>
        <v>1250000</v>
      </c>
      <c r="L5" s="117">
        <v>1250000</v>
      </c>
    </row>
    <row r="6" spans="1:12" ht="15" customHeight="1" x14ac:dyDescent="0.25">
      <c r="B6" s="81" t="s">
        <v>186</v>
      </c>
      <c r="C6" s="82">
        <v>1</v>
      </c>
      <c r="D6" s="83" t="s">
        <v>18</v>
      </c>
      <c r="E6" s="78">
        <f t="shared" ref="E6:E12" si="0">F6*C6</f>
        <v>680000</v>
      </c>
      <c r="F6" s="117">
        <v>680000</v>
      </c>
      <c r="H6" s="81" t="s">
        <v>19</v>
      </c>
      <c r="I6" s="82">
        <v>1</v>
      </c>
      <c r="J6" s="83" t="s">
        <v>18</v>
      </c>
      <c r="K6" s="78">
        <f t="shared" ref="K6:K12" si="1">L6*I6</f>
        <v>680000</v>
      </c>
      <c r="L6" s="117">
        <v>680000</v>
      </c>
    </row>
    <row r="7" spans="1:12" ht="15" customHeight="1" x14ac:dyDescent="0.25">
      <c r="B7" s="81" t="s">
        <v>20</v>
      </c>
      <c r="C7" s="82">
        <v>2</v>
      </c>
      <c r="D7" s="83" t="s">
        <v>18</v>
      </c>
      <c r="E7" s="78">
        <f t="shared" si="0"/>
        <v>120000</v>
      </c>
      <c r="F7" s="117">
        <v>60000</v>
      </c>
      <c r="H7" s="81" t="s">
        <v>20</v>
      </c>
      <c r="I7" s="82">
        <v>2</v>
      </c>
      <c r="J7" s="83" t="s">
        <v>18</v>
      </c>
      <c r="K7" s="78">
        <f t="shared" si="1"/>
        <v>120000</v>
      </c>
      <c r="L7" s="117">
        <v>60000</v>
      </c>
    </row>
    <row r="8" spans="1:12" ht="15" customHeight="1" x14ac:dyDescent="0.25">
      <c r="B8" s="81" t="s">
        <v>21</v>
      </c>
      <c r="C8" s="82">
        <v>1</v>
      </c>
      <c r="D8" s="83" t="s">
        <v>18</v>
      </c>
      <c r="E8" s="78">
        <f t="shared" si="0"/>
        <v>250000</v>
      </c>
      <c r="F8" s="117">
        <v>250000</v>
      </c>
      <c r="H8" s="81" t="s">
        <v>21</v>
      </c>
      <c r="I8" s="82">
        <v>2</v>
      </c>
      <c r="J8" s="83" t="s">
        <v>18</v>
      </c>
      <c r="K8" s="78">
        <f t="shared" si="1"/>
        <v>500000</v>
      </c>
      <c r="L8" s="117">
        <v>250000</v>
      </c>
    </row>
    <row r="9" spans="1:12" ht="15" customHeight="1" x14ac:dyDescent="0.25">
      <c r="B9" s="81" t="s">
        <v>22</v>
      </c>
      <c r="C9" s="82">
        <v>2</v>
      </c>
      <c r="D9" s="83" t="s">
        <v>18</v>
      </c>
      <c r="E9" s="78">
        <f t="shared" si="0"/>
        <v>24000</v>
      </c>
      <c r="F9" s="117">
        <v>12000</v>
      </c>
      <c r="H9" s="81" t="s">
        <v>22</v>
      </c>
      <c r="I9" s="82">
        <v>2</v>
      </c>
      <c r="J9" s="83" t="s">
        <v>18</v>
      </c>
      <c r="K9" s="78">
        <f t="shared" si="1"/>
        <v>24000</v>
      </c>
      <c r="L9" s="117">
        <v>12000</v>
      </c>
    </row>
    <row r="10" spans="1:12" ht="15" customHeight="1" x14ac:dyDescent="0.25">
      <c r="B10" s="81" t="s">
        <v>23</v>
      </c>
      <c r="C10" s="82">
        <v>8</v>
      </c>
      <c r="D10" s="83" t="s">
        <v>18</v>
      </c>
      <c r="E10" s="78">
        <f t="shared" si="0"/>
        <v>48000</v>
      </c>
      <c r="F10" s="117">
        <v>6000</v>
      </c>
      <c r="H10" s="81" t="s">
        <v>23</v>
      </c>
      <c r="I10" s="82">
        <v>8</v>
      </c>
      <c r="J10" s="83" t="s">
        <v>18</v>
      </c>
      <c r="K10" s="78">
        <f t="shared" si="1"/>
        <v>48000</v>
      </c>
      <c r="L10" s="117">
        <v>6000</v>
      </c>
    </row>
    <row r="11" spans="1:12" ht="15" customHeight="1" x14ac:dyDescent="0.25">
      <c r="B11" s="81" t="s">
        <v>159</v>
      </c>
      <c r="C11" s="82">
        <v>2</v>
      </c>
      <c r="D11" s="83" t="s">
        <v>18</v>
      </c>
      <c r="E11" s="78">
        <f t="shared" si="0"/>
        <v>20000</v>
      </c>
      <c r="F11" s="117">
        <v>10000</v>
      </c>
      <c r="H11" s="81" t="s">
        <v>159</v>
      </c>
      <c r="I11" s="82">
        <v>2</v>
      </c>
      <c r="J11" s="83" t="s">
        <v>18</v>
      </c>
      <c r="K11" s="78">
        <f t="shared" si="1"/>
        <v>20000</v>
      </c>
      <c r="L11" s="117">
        <v>10000</v>
      </c>
    </row>
    <row r="12" spans="1:12" ht="15" customHeight="1" x14ac:dyDescent="0.25">
      <c r="B12" s="81" t="s">
        <v>106</v>
      </c>
      <c r="C12" s="82">
        <v>1.8</v>
      </c>
      <c r="D12" s="85" t="s">
        <v>107</v>
      </c>
      <c r="E12" s="78">
        <f t="shared" si="0"/>
        <v>810000</v>
      </c>
      <c r="F12" s="117">
        <f>'A1'!$T$2</f>
        <v>450000</v>
      </c>
      <c r="H12" s="81" t="s">
        <v>106</v>
      </c>
      <c r="I12" s="82">
        <v>2.5</v>
      </c>
      <c r="J12" s="85" t="s">
        <v>107</v>
      </c>
      <c r="K12" s="78">
        <f t="shared" si="1"/>
        <v>1125000</v>
      </c>
      <c r="L12" s="117">
        <f>'A1'!$T$2</f>
        <v>450000</v>
      </c>
    </row>
    <row r="13" spans="1:12" ht="15" customHeight="1" x14ac:dyDescent="0.25">
      <c r="B13" s="120"/>
      <c r="C13" s="591">
        <f>SUM(E5:E13)</f>
        <v>3002000</v>
      </c>
      <c r="D13" s="592"/>
      <c r="E13" s="592"/>
      <c r="F13" s="121"/>
      <c r="H13" s="81"/>
      <c r="I13" s="591">
        <f>SUM(K5:K13)</f>
        <v>3767000</v>
      </c>
      <c r="J13" s="592"/>
      <c r="K13" s="592"/>
      <c r="L13" s="78"/>
    </row>
    <row r="14" spans="1:12" ht="15" customHeight="1" x14ac:dyDescent="0.25">
      <c r="B14" s="74"/>
      <c r="C14" s="72"/>
      <c r="D14" s="72"/>
      <c r="E14" s="72"/>
      <c r="F14" s="72"/>
      <c r="H14" s="72"/>
      <c r="I14" s="72"/>
      <c r="J14" s="72"/>
      <c r="K14" s="72"/>
      <c r="L14" s="72"/>
    </row>
    <row r="15" spans="1:12" ht="15.75" x14ac:dyDescent="0.25">
      <c r="B15" s="81"/>
      <c r="C15" s="590" t="s">
        <v>160</v>
      </c>
      <c r="D15" s="590"/>
      <c r="E15" s="590"/>
      <c r="F15" s="78"/>
    </row>
    <row r="16" spans="1:12" x14ac:dyDescent="0.25">
      <c r="B16" s="118" t="s">
        <v>5</v>
      </c>
      <c r="C16" s="79" t="s">
        <v>4</v>
      </c>
      <c r="D16" s="79" t="s">
        <v>15</v>
      </c>
      <c r="E16" s="80" t="s">
        <v>16</v>
      </c>
      <c r="F16" s="78"/>
    </row>
    <row r="17" spans="2:6" x14ac:dyDescent="0.25">
      <c r="B17" s="81" t="s">
        <v>24</v>
      </c>
      <c r="C17" s="82">
        <v>2</v>
      </c>
      <c r="D17" s="83" t="s">
        <v>18</v>
      </c>
      <c r="E17" s="78">
        <f>F17*C17</f>
        <v>260000</v>
      </c>
      <c r="F17" s="117">
        <v>130000</v>
      </c>
    </row>
    <row r="18" spans="2:6" x14ac:dyDescent="0.25">
      <c r="B18" s="81" t="s">
        <v>187</v>
      </c>
      <c r="C18" s="82">
        <v>2</v>
      </c>
      <c r="D18" s="83" t="s">
        <v>18</v>
      </c>
      <c r="E18" s="78">
        <f t="shared" ref="E18:E32" si="2">F18*C18</f>
        <v>160000</v>
      </c>
      <c r="F18" s="117">
        <v>80000</v>
      </c>
    </row>
    <row r="19" spans="2:6" x14ac:dyDescent="0.25">
      <c r="B19" s="81" t="s">
        <v>26</v>
      </c>
      <c r="C19" s="82">
        <v>2</v>
      </c>
      <c r="D19" s="83" t="s">
        <v>18</v>
      </c>
      <c r="E19" s="78">
        <f t="shared" si="2"/>
        <v>700000</v>
      </c>
      <c r="F19" s="117">
        <v>350000</v>
      </c>
    </row>
    <row r="20" spans="2:6" x14ac:dyDescent="0.25">
      <c r="B20" s="81" t="s">
        <v>27</v>
      </c>
      <c r="C20" s="82">
        <v>1</v>
      </c>
      <c r="D20" s="83" t="s">
        <v>18</v>
      </c>
      <c r="E20" s="78">
        <f t="shared" si="2"/>
        <v>110000</v>
      </c>
      <c r="F20" s="117">
        <v>110000</v>
      </c>
    </row>
    <row r="21" spans="2:6" x14ac:dyDescent="0.25">
      <c r="B21" s="81" t="s">
        <v>28</v>
      </c>
      <c r="C21" s="82">
        <v>1</v>
      </c>
      <c r="D21" s="83" t="s">
        <v>18</v>
      </c>
      <c r="E21" s="78">
        <f t="shared" si="2"/>
        <v>400000</v>
      </c>
      <c r="F21" s="117">
        <v>400000</v>
      </c>
    </row>
    <row r="22" spans="2:6" x14ac:dyDescent="0.25">
      <c r="B22" s="81" t="s">
        <v>29</v>
      </c>
      <c r="C22" s="82">
        <v>1</v>
      </c>
      <c r="D22" s="83" t="s">
        <v>18</v>
      </c>
      <c r="E22" s="78">
        <f t="shared" si="2"/>
        <v>250000</v>
      </c>
      <c r="F22" s="117">
        <v>250000</v>
      </c>
    </row>
    <row r="23" spans="2:6" x14ac:dyDescent="0.25">
      <c r="B23" s="81" t="s">
        <v>30</v>
      </c>
      <c r="C23" s="82">
        <v>2</v>
      </c>
      <c r="D23" s="83" t="s">
        <v>18</v>
      </c>
      <c r="E23" s="78">
        <f t="shared" si="2"/>
        <v>50000</v>
      </c>
      <c r="F23" s="117">
        <v>25000</v>
      </c>
    </row>
    <row r="24" spans="2:6" x14ac:dyDescent="0.25">
      <c r="B24" s="81" t="s">
        <v>31</v>
      </c>
      <c r="C24" s="82">
        <v>8</v>
      </c>
      <c r="D24" s="83" t="s">
        <v>18</v>
      </c>
      <c r="E24" s="78">
        <f t="shared" si="2"/>
        <v>40000</v>
      </c>
      <c r="F24" s="117">
        <v>5000</v>
      </c>
    </row>
    <row r="25" spans="2:6" x14ac:dyDescent="0.25">
      <c r="B25" s="81" t="s">
        <v>32</v>
      </c>
      <c r="C25" s="82">
        <v>1</v>
      </c>
      <c r="D25" s="83" t="s">
        <v>18</v>
      </c>
      <c r="E25" s="78">
        <f t="shared" si="2"/>
        <v>100000</v>
      </c>
      <c r="F25" s="117">
        <v>100000</v>
      </c>
    </row>
    <row r="26" spans="2:6" x14ac:dyDescent="0.25">
      <c r="B26" s="81" t="s">
        <v>108</v>
      </c>
      <c r="C26" s="82">
        <v>2</v>
      </c>
      <c r="D26" s="83" t="s">
        <v>18</v>
      </c>
      <c r="E26" s="78">
        <f t="shared" si="2"/>
        <v>20000</v>
      </c>
      <c r="F26" s="117">
        <v>10000</v>
      </c>
    </row>
    <row r="27" spans="2:6" ht="24" x14ac:dyDescent="0.25">
      <c r="B27" s="81" t="s">
        <v>33</v>
      </c>
      <c r="C27" s="82">
        <v>8</v>
      </c>
      <c r="D27" s="83" t="s">
        <v>18</v>
      </c>
      <c r="E27" s="78">
        <f t="shared" si="2"/>
        <v>80000</v>
      </c>
      <c r="F27" s="117">
        <v>10000</v>
      </c>
    </row>
    <row r="28" spans="2:6" ht="24" x14ac:dyDescent="0.25">
      <c r="B28" s="81" t="s">
        <v>162</v>
      </c>
      <c r="C28" s="82">
        <v>4</v>
      </c>
      <c r="D28" s="83" t="s">
        <v>18</v>
      </c>
      <c r="E28" s="78">
        <f t="shared" si="2"/>
        <v>40000</v>
      </c>
      <c r="F28" s="117">
        <v>10000</v>
      </c>
    </row>
    <row r="29" spans="2:6" x14ac:dyDescent="0.25">
      <c r="B29" s="81" t="s">
        <v>34</v>
      </c>
      <c r="C29" s="82">
        <v>2</v>
      </c>
      <c r="D29" s="83" t="s">
        <v>18</v>
      </c>
      <c r="E29" s="78">
        <f t="shared" si="2"/>
        <v>40000</v>
      </c>
      <c r="F29" s="117">
        <v>20000</v>
      </c>
    </row>
    <row r="30" spans="2:6" ht="24" x14ac:dyDescent="0.25">
      <c r="B30" s="81" t="s">
        <v>35</v>
      </c>
      <c r="C30" s="82">
        <v>8</v>
      </c>
      <c r="D30" s="83" t="s">
        <v>18</v>
      </c>
      <c r="E30" s="78">
        <f t="shared" si="2"/>
        <v>120000</v>
      </c>
      <c r="F30" s="117">
        <v>15000</v>
      </c>
    </row>
    <row r="31" spans="2:6" x14ac:dyDescent="0.25">
      <c r="B31" s="81" t="s">
        <v>36</v>
      </c>
      <c r="C31" s="82">
        <v>3</v>
      </c>
      <c r="D31" s="83" t="s">
        <v>18</v>
      </c>
      <c r="E31" s="78">
        <f t="shared" si="2"/>
        <v>30000</v>
      </c>
      <c r="F31" s="117">
        <v>10000</v>
      </c>
    </row>
    <row r="32" spans="2:6" x14ac:dyDescent="0.25">
      <c r="B32" s="81" t="s">
        <v>37</v>
      </c>
      <c r="C32" s="82">
        <v>1</v>
      </c>
      <c r="D32" s="83" t="s">
        <v>18</v>
      </c>
      <c r="E32" s="78">
        <f t="shared" si="2"/>
        <v>5000</v>
      </c>
      <c r="F32" s="117">
        <v>5000</v>
      </c>
    </row>
    <row r="33" spans="2:6" ht="21" x14ac:dyDescent="0.25">
      <c r="B33" s="81"/>
      <c r="C33" s="591">
        <f>SUM(E17:E32)</f>
        <v>2405000</v>
      </c>
      <c r="D33" s="592"/>
      <c r="E33" s="592"/>
      <c r="F33" s="78"/>
    </row>
    <row r="34" spans="2:6" x14ac:dyDescent="0.25">
      <c r="B34" s="74"/>
      <c r="C34" s="74"/>
      <c r="D34" s="74"/>
      <c r="E34" s="74"/>
      <c r="F34" s="74"/>
    </row>
    <row r="35" spans="2:6" ht="15.75" x14ac:dyDescent="0.25">
      <c r="B35" s="81"/>
      <c r="C35" s="590" t="s">
        <v>161</v>
      </c>
      <c r="D35" s="590"/>
      <c r="E35" s="590"/>
      <c r="F35" s="78"/>
    </row>
    <row r="36" spans="2:6" x14ac:dyDescent="0.25">
      <c r="B36" s="118" t="s">
        <v>6</v>
      </c>
      <c r="C36" s="79" t="s">
        <v>4</v>
      </c>
      <c r="D36" s="79" t="s">
        <v>15</v>
      </c>
      <c r="E36" s="80" t="s">
        <v>16</v>
      </c>
      <c r="F36" s="78"/>
    </row>
    <row r="37" spans="2:6" x14ac:dyDescent="0.25">
      <c r="B37" s="81" t="s">
        <v>24</v>
      </c>
      <c r="C37" s="82">
        <v>2</v>
      </c>
      <c r="D37" s="83" t="s">
        <v>18</v>
      </c>
      <c r="E37" s="78">
        <f>F37*C37</f>
        <v>260000</v>
      </c>
      <c r="F37" s="117">
        <v>130000</v>
      </c>
    </row>
    <row r="38" spans="2:6" x14ac:dyDescent="0.25">
      <c r="B38" s="81" t="s">
        <v>25</v>
      </c>
      <c r="C38" s="82">
        <v>2</v>
      </c>
      <c r="D38" s="83" t="s">
        <v>18</v>
      </c>
      <c r="E38" s="78">
        <f t="shared" ref="E38:E52" si="3">F38*C38</f>
        <v>160000</v>
      </c>
      <c r="F38" s="117">
        <v>80000</v>
      </c>
    </row>
    <row r="39" spans="2:6" x14ac:dyDescent="0.25">
      <c r="B39" s="81" t="s">
        <v>26</v>
      </c>
      <c r="C39" s="82">
        <v>2</v>
      </c>
      <c r="D39" s="83" t="s">
        <v>18</v>
      </c>
      <c r="E39" s="78">
        <f t="shared" si="3"/>
        <v>700000</v>
      </c>
      <c r="F39" s="117">
        <v>350000</v>
      </c>
    </row>
    <row r="40" spans="2:6" x14ac:dyDescent="0.25">
      <c r="B40" s="81" t="s">
        <v>38</v>
      </c>
      <c r="C40" s="82">
        <v>1</v>
      </c>
      <c r="D40" s="83" t="s">
        <v>18</v>
      </c>
      <c r="E40" s="78">
        <f t="shared" si="3"/>
        <v>150000</v>
      </c>
      <c r="F40" s="117">
        <v>150000</v>
      </c>
    </row>
    <row r="41" spans="2:6" x14ac:dyDescent="0.25">
      <c r="B41" s="81" t="s">
        <v>28</v>
      </c>
      <c r="C41" s="82">
        <v>2</v>
      </c>
      <c r="D41" s="83" t="s">
        <v>18</v>
      </c>
      <c r="E41" s="78">
        <f t="shared" si="3"/>
        <v>800000</v>
      </c>
      <c r="F41" s="117">
        <v>400000</v>
      </c>
    </row>
    <row r="42" spans="2:6" x14ac:dyDescent="0.25">
      <c r="B42" s="81" t="s">
        <v>29</v>
      </c>
      <c r="C42" s="82">
        <v>1</v>
      </c>
      <c r="D42" s="83" t="s">
        <v>18</v>
      </c>
      <c r="E42" s="78">
        <f t="shared" si="3"/>
        <v>250000</v>
      </c>
      <c r="F42" s="117">
        <v>250000</v>
      </c>
    </row>
    <row r="43" spans="2:6" x14ac:dyDescent="0.25">
      <c r="B43" s="81" t="s">
        <v>30</v>
      </c>
      <c r="C43" s="82">
        <v>2</v>
      </c>
      <c r="D43" s="83" t="s">
        <v>18</v>
      </c>
      <c r="E43" s="78">
        <f t="shared" si="3"/>
        <v>50000</v>
      </c>
      <c r="F43" s="117">
        <v>25000</v>
      </c>
    </row>
    <row r="44" spans="2:6" x14ac:dyDescent="0.25">
      <c r="B44" s="81" t="s">
        <v>31</v>
      </c>
      <c r="C44" s="82">
        <v>8</v>
      </c>
      <c r="D44" s="83" t="s">
        <v>18</v>
      </c>
      <c r="E44" s="78">
        <f t="shared" si="3"/>
        <v>40000</v>
      </c>
      <c r="F44" s="117">
        <v>5000</v>
      </c>
    </row>
    <row r="45" spans="2:6" x14ac:dyDescent="0.25">
      <c r="B45" s="81" t="s">
        <v>32</v>
      </c>
      <c r="C45" s="82">
        <v>1</v>
      </c>
      <c r="D45" s="83" t="s">
        <v>18</v>
      </c>
      <c r="E45" s="78">
        <f t="shared" si="3"/>
        <v>100000</v>
      </c>
      <c r="F45" s="117">
        <v>100000</v>
      </c>
    </row>
    <row r="46" spans="2:6" x14ac:dyDescent="0.25">
      <c r="B46" s="81" t="s">
        <v>108</v>
      </c>
      <c r="C46" s="82">
        <v>2</v>
      </c>
      <c r="D46" s="83" t="s">
        <v>18</v>
      </c>
      <c r="E46" s="78">
        <f t="shared" si="3"/>
        <v>20000</v>
      </c>
      <c r="F46" s="117">
        <v>10000</v>
      </c>
    </row>
    <row r="47" spans="2:6" ht="24" x14ac:dyDescent="0.25">
      <c r="B47" s="81" t="s">
        <v>33</v>
      </c>
      <c r="C47" s="82">
        <v>8</v>
      </c>
      <c r="D47" s="83" t="s">
        <v>18</v>
      </c>
      <c r="E47" s="78">
        <f t="shared" si="3"/>
        <v>80000</v>
      </c>
      <c r="F47" s="117">
        <v>10000</v>
      </c>
    </row>
    <row r="48" spans="2:6" ht="24" x14ac:dyDescent="0.25">
      <c r="B48" s="81" t="s">
        <v>162</v>
      </c>
      <c r="C48" s="82">
        <v>4</v>
      </c>
      <c r="D48" s="83" t="s">
        <v>18</v>
      </c>
      <c r="E48" s="78">
        <f t="shared" si="3"/>
        <v>40000</v>
      </c>
      <c r="F48" s="117">
        <v>10000</v>
      </c>
    </row>
    <row r="49" spans="2:12" x14ac:dyDescent="0.25">
      <c r="B49" s="81" t="s">
        <v>34</v>
      </c>
      <c r="C49" s="82">
        <v>2</v>
      </c>
      <c r="D49" s="83" t="s">
        <v>18</v>
      </c>
      <c r="E49" s="78">
        <f t="shared" si="3"/>
        <v>40000</v>
      </c>
      <c r="F49" s="117">
        <v>20000</v>
      </c>
    </row>
    <row r="50" spans="2:12" ht="24" x14ac:dyDescent="0.25">
      <c r="B50" s="81" t="s">
        <v>35</v>
      </c>
      <c r="C50" s="82">
        <v>8</v>
      </c>
      <c r="D50" s="83" t="s">
        <v>18</v>
      </c>
      <c r="E50" s="78">
        <f t="shared" si="3"/>
        <v>120000</v>
      </c>
      <c r="F50" s="117">
        <v>15000</v>
      </c>
    </row>
    <row r="51" spans="2:12" x14ac:dyDescent="0.25">
      <c r="B51" s="81" t="s">
        <v>36</v>
      </c>
      <c r="C51" s="82">
        <v>3</v>
      </c>
      <c r="D51" s="83" t="s">
        <v>18</v>
      </c>
      <c r="E51" s="78">
        <f t="shared" si="3"/>
        <v>30000</v>
      </c>
      <c r="F51" s="117">
        <v>10000</v>
      </c>
    </row>
    <row r="52" spans="2:12" x14ac:dyDescent="0.25">
      <c r="B52" s="81" t="s">
        <v>37</v>
      </c>
      <c r="C52" s="82">
        <v>1</v>
      </c>
      <c r="D52" s="83" t="s">
        <v>18</v>
      </c>
      <c r="E52" s="78">
        <f t="shared" si="3"/>
        <v>5000</v>
      </c>
      <c r="F52" s="117">
        <v>5000</v>
      </c>
    </row>
    <row r="53" spans="2:12" ht="21" x14ac:dyDescent="0.25">
      <c r="B53" s="81"/>
      <c r="C53" s="591">
        <f>SUM(E37:E52)</f>
        <v>2845000</v>
      </c>
      <c r="D53" s="592"/>
      <c r="E53" s="592"/>
      <c r="F53" s="78"/>
    </row>
    <row r="54" spans="2:12" x14ac:dyDescent="0.25">
      <c r="B54" s="72"/>
      <c r="C54" s="72"/>
      <c r="D54" s="72"/>
      <c r="E54" s="72"/>
      <c r="F54" s="72"/>
    </row>
    <row r="55" spans="2:12" ht="21" x14ac:dyDescent="0.25">
      <c r="B55" s="76" t="s">
        <v>137</v>
      </c>
      <c r="C55" s="596" t="s">
        <v>163</v>
      </c>
      <c r="D55" s="596"/>
      <c r="E55" s="596"/>
      <c r="F55" s="78"/>
      <c r="H55" s="76" t="s">
        <v>136</v>
      </c>
      <c r="I55" s="596" t="s">
        <v>163</v>
      </c>
      <c r="J55" s="596"/>
      <c r="K55" s="596"/>
      <c r="L55" s="78"/>
    </row>
    <row r="56" spans="2:12" x14ac:dyDescent="0.25">
      <c r="B56" s="118"/>
      <c r="C56" s="79" t="s">
        <v>4</v>
      </c>
      <c r="D56" s="79" t="s">
        <v>15</v>
      </c>
      <c r="E56" s="80" t="s">
        <v>16</v>
      </c>
      <c r="F56" s="78"/>
      <c r="H56" s="118"/>
      <c r="I56" s="79" t="s">
        <v>4</v>
      </c>
      <c r="J56" s="79" t="s">
        <v>15</v>
      </c>
      <c r="K56" s="80" t="s">
        <v>16</v>
      </c>
      <c r="L56" s="78"/>
    </row>
    <row r="57" spans="2:12" x14ac:dyDescent="0.25">
      <c r="B57" s="86" t="s">
        <v>105</v>
      </c>
      <c r="C57" s="82" t="e">
        <f>'1'!C5</f>
        <v>#VALUE!</v>
      </c>
      <c r="D57" s="87" t="s">
        <v>40</v>
      </c>
      <c r="E57" s="78" t="e">
        <f>F57*C57</f>
        <v>#VALUE!</v>
      </c>
      <c r="F57" s="88">
        <f>'1'!E9*4.7</f>
        <v>10340000</v>
      </c>
      <c r="H57" s="86" t="s">
        <v>105</v>
      </c>
      <c r="I57" s="82" t="e">
        <f>'1'!C5</f>
        <v>#VALUE!</v>
      </c>
      <c r="J57" s="87" t="s">
        <v>40</v>
      </c>
      <c r="K57" s="78" t="e">
        <f>L57*I57</f>
        <v>#VALUE!</v>
      </c>
      <c r="L57" s="88">
        <f>'1'!E9*6.7</f>
        <v>14740000</v>
      </c>
    </row>
    <row r="58" spans="2:12" x14ac:dyDescent="0.25">
      <c r="B58" s="86" t="s">
        <v>39</v>
      </c>
      <c r="C58" s="89" t="e">
        <f>((('1'!$D$8-0.25)*2)+0.52)*('1'!$E$5+'1'!$D$5)</f>
        <v>#VALUE!</v>
      </c>
      <c r="D58" s="87" t="s">
        <v>40</v>
      </c>
      <c r="E58" s="78" t="e">
        <f t="shared" ref="E58:E66" si="4">F58*C58</f>
        <v>#VALUE!</v>
      </c>
      <c r="F58" s="117">
        <v>800000</v>
      </c>
      <c r="H58" s="86" t="s">
        <v>39</v>
      </c>
      <c r="I58" s="89" t="e">
        <f>((('1'!$D$8-0.25)*2)+0.52)*('1'!$E$5+'1'!$D$5)</f>
        <v>#VALUE!</v>
      </c>
      <c r="J58" s="87" t="s">
        <v>40</v>
      </c>
      <c r="K58" s="78" t="e">
        <f t="shared" ref="K58:K66" si="5">L58*I58</f>
        <v>#VALUE!</v>
      </c>
      <c r="L58" s="117">
        <v>800000</v>
      </c>
    </row>
    <row r="59" spans="2:12" x14ac:dyDescent="0.25">
      <c r="B59" s="81" t="s">
        <v>43</v>
      </c>
      <c r="C59" s="89">
        <f>('1'!$D$8-0.25)*2</f>
        <v>-0.5</v>
      </c>
      <c r="D59" s="85" t="s">
        <v>40</v>
      </c>
      <c r="E59" s="78">
        <f>F59*C59</f>
        <v>-135000</v>
      </c>
      <c r="F59" s="117">
        <v>270000</v>
      </c>
      <c r="H59" s="81" t="s">
        <v>43</v>
      </c>
      <c r="I59" s="89">
        <f>('1'!$D$8-0.25)*2</f>
        <v>-0.5</v>
      </c>
      <c r="J59" s="85" t="s">
        <v>40</v>
      </c>
      <c r="K59" s="78">
        <f>L59*I59</f>
        <v>-135000</v>
      </c>
      <c r="L59" s="117">
        <v>270000</v>
      </c>
    </row>
    <row r="60" spans="2:12" x14ac:dyDescent="0.25">
      <c r="B60" s="81" t="s">
        <v>164</v>
      </c>
      <c r="C60" s="89" t="e">
        <f>(C57/0.6)+1</f>
        <v>#VALUE!</v>
      </c>
      <c r="D60" s="85" t="s">
        <v>18</v>
      </c>
      <c r="E60" s="78" t="e">
        <f t="shared" si="4"/>
        <v>#VALUE!</v>
      </c>
      <c r="F60" s="117">
        <v>365000</v>
      </c>
      <c r="H60" s="81" t="s">
        <v>164</v>
      </c>
      <c r="I60" s="89" t="e">
        <f>(I57/0.6)+1</f>
        <v>#VALUE!</v>
      </c>
      <c r="J60" s="85" t="s">
        <v>18</v>
      </c>
      <c r="K60" s="78" t="e">
        <f t="shared" si="5"/>
        <v>#VALUE!</v>
      </c>
      <c r="L60" s="117">
        <v>365000</v>
      </c>
    </row>
    <row r="61" spans="2:12" x14ac:dyDescent="0.25">
      <c r="B61" s="81" t="s">
        <v>165</v>
      </c>
      <c r="C61" s="82" t="e">
        <f>('1'!$D$5+'1'!$E$5)*2</f>
        <v>#VALUE!</v>
      </c>
      <c r="D61" s="85" t="s">
        <v>18</v>
      </c>
      <c r="E61" s="78" t="e">
        <f t="shared" si="4"/>
        <v>#VALUE!</v>
      </c>
      <c r="F61" s="117">
        <v>385000</v>
      </c>
      <c r="H61" s="81" t="s">
        <v>165</v>
      </c>
      <c r="I61" s="82" t="e">
        <f>('1'!$D$5+'1'!$E$5)*2</f>
        <v>#VALUE!</v>
      </c>
      <c r="J61" s="85" t="s">
        <v>18</v>
      </c>
      <c r="K61" s="78" t="e">
        <f t="shared" si="5"/>
        <v>#VALUE!</v>
      </c>
      <c r="L61" s="117">
        <v>385000</v>
      </c>
    </row>
    <row r="62" spans="2:12" x14ac:dyDescent="0.25">
      <c r="B62" s="81" t="s">
        <v>41</v>
      </c>
      <c r="C62" s="90" t="e">
        <f>('1'!$E$5+'1'!$D$5)</f>
        <v>#VALUE!</v>
      </c>
      <c r="D62" s="85" t="s">
        <v>18</v>
      </c>
      <c r="E62" s="78" t="e">
        <f>F62*C62</f>
        <v>#VALUE!</v>
      </c>
      <c r="F62" s="117">
        <v>100000</v>
      </c>
      <c r="H62" s="81" t="s">
        <v>41</v>
      </c>
      <c r="I62" s="90" t="e">
        <f>('1'!$E$5+'1'!$D$5)</f>
        <v>#VALUE!</v>
      </c>
      <c r="J62" s="85" t="s">
        <v>18</v>
      </c>
      <c r="K62" s="78" t="e">
        <f>L62*I62</f>
        <v>#VALUE!</v>
      </c>
      <c r="L62" s="117">
        <v>100000</v>
      </c>
    </row>
    <row r="63" spans="2:12" x14ac:dyDescent="0.25">
      <c r="B63" s="81" t="s">
        <v>42</v>
      </c>
      <c r="C63" s="90" t="e">
        <f>('1'!$E$5+'1'!$D$5)</f>
        <v>#VALUE!</v>
      </c>
      <c r="D63" s="85" t="s">
        <v>18</v>
      </c>
      <c r="E63" s="78" t="e">
        <f>F63*C63</f>
        <v>#VALUE!</v>
      </c>
      <c r="F63" s="117">
        <v>30000</v>
      </c>
      <c r="H63" s="81" t="s">
        <v>42</v>
      </c>
      <c r="I63" s="90" t="e">
        <f>('1'!$E$5+'1'!$D$5)</f>
        <v>#VALUE!</v>
      </c>
      <c r="J63" s="85" t="s">
        <v>18</v>
      </c>
      <c r="K63" s="78" t="e">
        <f>L63*I63</f>
        <v>#VALUE!</v>
      </c>
      <c r="L63" s="117">
        <v>30000</v>
      </c>
    </row>
    <row r="64" spans="2:12" x14ac:dyDescent="0.25">
      <c r="B64" s="81" t="s">
        <v>44</v>
      </c>
      <c r="C64" s="82" t="e">
        <f>4*('1'!$E$5+'1'!$D$5)</f>
        <v>#VALUE!</v>
      </c>
      <c r="D64" s="85" t="s">
        <v>18</v>
      </c>
      <c r="E64" s="78" t="e">
        <f t="shared" si="4"/>
        <v>#VALUE!</v>
      </c>
      <c r="F64" s="117">
        <v>10000</v>
      </c>
      <c r="H64" s="81" t="s">
        <v>44</v>
      </c>
      <c r="I64" s="82" t="e">
        <f>4*('1'!$E$5+'1'!$D$5)</f>
        <v>#VALUE!</v>
      </c>
      <c r="J64" s="85" t="s">
        <v>18</v>
      </c>
      <c r="K64" s="78" t="e">
        <f t="shared" si="5"/>
        <v>#VALUE!</v>
      </c>
      <c r="L64" s="117">
        <v>10000</v>
      </c>
    </row>
    <row r="65" spans="2:12" ht="24" x14ac:dyDescent="0.25">
      <c r="B65" s="81" t="s">
        <v>45</v>
      </c>
      <c r="C65" s="82" t="e">
        <f>4*('1'!$E$5+'1'!$D$5)</f>
        <v>#VALUE!</v>
      </c>
      <c r="D65" s="85" t="s">
        <v>18</v>
      </c>
      <c r="E65" s="78" t="e">
        <f t="shared" si="4"/>
        <v>#VALUE!</v>
      </c>
      <c r="F65" s="117">
        <v>10000</v>
      </c>
      <c r="H65" s="81" t="s">
        <v>45</v>
      </c>
      <c r="I65" s="82" t="e">
        <f>4*('1'!$E$5+'1'!$D$5)</f>
        <v>#VALUE!</v>
      </c>
      <c r="J65" s="85" t="s">
        <v>18</v>
      </c>
      <c r="K65" s="78" t="e">
        <f t="shared" si="5"/>
        <v>#VALUE!</v>
      </c>
      <c r="L65" s="117">
        <v>10000</v>
      </c>
    </row>
    <row r="66" spans="2:12" x14ac:dyDescent="0.25">
      <c r="B66" s="81" t="s">
        <v>106</v>
      </c>
      <c r="C66" s="82" t="e">
        <f>C57*4.7</f>
        <v>#VALUE!</v>
      </c>
      <c r="D66" s="83" t="s">
        <v>107</v>
      </c>
      <c r="E66" s="78" t="e">
        <f t="shared" si="4"/>
        <v>#VALUE!</v>
      </c>
      <c r="F66" s="117">
        <f>'A1'!$T$2</f>
        <v>450000</v>
      </c>
      <c r="H66" s="81" t="s">
        <v>106</v>
      </c>
      <c r="I66" s="82" t="e">
        <f>I57*6.7</f>
        <v>#VALUE!</v>
      </c>
      <c r="J66" s="83" t="s">
        <v>107</v>
      </c>
      <c r="K66" s="78" t="e">
        <f t="shared" si="5"/>
        <v>#VALUE!</v>
      </c>
      <c r="L66" s="117">
        <f>'A1'!$T$2</f>
        <v>450000</v>
      </c>
    </row>
    <row r="67" spans="2:12" ht="21" x14ac:dyDescent="0.25">
      <c r="B67" s="120" t="e">
        <f>SUM(E60:E65)</f>
        <v>#VALUE!</v>
      </c>
      <c r="C67" s="591" t="e">
        <f>SUM(E57:E66)</f>
        <v>#VALUE!</v>
      </c>
      <c r="D67" s="592"/>
      <c r="E67" s="592"/>
      <c r="F67" s="130" t="e">
        <f>SUM(E66)</f>
        <v>#VALUE!</v>
      </c>
      <c r="H67" s="81"/>
      <c r="I67" s="591" t="e">
        <f>SUM(K57:K67)</f>
        <v>#VALUE!</v>
      </c>
      <c r="J67" s="592"/>
      <c r="K67" s="592"/>
      <c r="L67" s="78"/>
    </row>
    <row r="68" spans="2:12" x14ac:dyDescent="0.25">
      <c r="B68" s="74"/>
      <c r="C68" s="74"/>
      <c r="D68" s="74"/>
      <c r="E68" s="74"/>
      <c r="F68" s="74"/>
    </row>
    <row r="69" spans="2:12" ht="15.75" x14ac:dyDescent="0.25">
      <c r="B69" s="81"/>
      <c r="C69" s="590" t="s">
        <v>166</v>
      </c>
      <c r="D69" s="590"/>
      <c r="E69" s="590"/>
      <c r="F69" s="78"/>
    </row>
    <row r="70" spans="2:12" x14ac:dyDescent="0.25">
      <c r="B70" s="118" t="s">
        <v>122</v>
      </c>
      <c r="C70" s="79" t="s">
        <v>4</v>
      </c>
      <c r="D70" s="79" t="s">
        <v>15</v>
      </c>
      <c r="E70" s="80" t="s">
        <v>16</v>
      </c>
      <c r="F70" s="78"/>
    </row>
    <row r="71" spans="2:12" x14ac:dyDescent="0.25">
      <c r="B71" s="81" t="s">
        <v>123</v>
      </c>
      <c r="C71" s="89">
        <f>(IF(AND('1'!$D$9&lt;=4),('1'!$D$9),IF(AND('1'!$D$9&gt;4,'1'!$D$9&lt;=8),('1'!$D$9/2),IF(AND('1'!$D$9&gt;8,'1'!$D$9&lt;=12),('1'!$D$9/3),0))))</f>
        <v>0</v>
      </c>
      <c r="D71" s="85" t="s">
        <v>40</v>
      </c>
      <c r="E71" s="78">
        <f>F71*C71</f>
        <v>0</v>
      </c>
      <c r="F71" s="88">
        <f>'1'!E9*3</f>
        <v>6600000</v>
      </c>
    </row>
    <row r="72" spans="2:12" x14ac:dyDescent="0.25">
      <c r="B72" s="81" t="s">
        <v>52</v>
      </c>
      <c r="C72" s="82">
        <v>2</v>
      </c>
      <c r="D72" s="85" t="s">
        <v>18</v>
      </c>
      <c r="E72" s="78">
        <f t="shared" ref="E72:E78" si="6">F72*C72</f>
        <v>300000</v>
      </c>
      <c r="F72" s="117">
        <v>150000</v>
      </c>
    </row>
    <row r="73" spans="2:12" x14ac:dyDescent="0.25">
      <c r="B73" s="81" t="s">
        <v>53</v>
      </c>
      <c r="C73" s="82">
        <v>4</v>
      </c>
      <c r="D73" s="85" t="s">
        <v>18</v>
      </c>
      <c r="E73" s="78">
        <f t="shared" si="6"/>
        <v>400000</v>
      </c>
      <c r="F73" s="117">
        <v>100000</v>
      </c>
    </row>
    <row r="74" spans="2:12" x14ac:dyDescent="0.25">
      <c r="B74" s="81" t="s">
        <v>106</v>
      </c>
      <c r="C74" s="82">
        <f>C71*3</f>
        <v>0</v>
      </c>
      <c r="D74" s="83" t="s">
        <v>107</v>
      </c>
      <c r="E74" s="78">
        <f t="shared" si="6"/>
        <v>0</v>
      </c>
      <c r="F74" s="117">
        <f>'A1'!$T$2</f>
        <v>450000</v>
      </c>
    </row>
    <row r="75" spans="2:12" x14ac:dyDescent="0.25">
      <c r="B75" s="81" t="s">
        <v>54</v>
      </c>
      <c r="C75" s="82">
        <v>4</v>
      </c>
      <c r="D75" s="85" t="s">
        <v>18</v>
      </c>
      <c r="E75" s="78">
        <f t="shared" si="6"/>
        <v>60000</v>
      </c>
      <c r="F75" s="117">
        <v>15000</v>
      </c>
    </row>
    <row r="76" spans="2:12" x14ac:dyDescent="0.25">
      <c r="B76" s="81" t="s">
        <v>44</v>
      </c>
      <c r="C76" s="82">
        <v>4</v>
      </c>
      <c r="D76" s="85" t="s">
        <v>18</v>
      </c>
      <c r="E76" s="78">
        <f t="shared" si="6"/>
        <v>40000</v>
      </c>
      <c r="F76" s="117">
        <v>10000</v>
      </c>
    </row>
    <row r="77" spans="2:12" ht="24" x14ac:dyDescent="0.25">
      <c r="B77" s="81" t="s">
        <v>45</v>
      </c>
      <c r="C77" s="82">
        <v>4</v>
      </c>
      <c r="D77" s="85" t="s">
        <v>18</v>
      </c>
      <c r="E77" s="78">
        <f t="shared" si="6"/>
        <v>40000</v>
      </c>
      <c r="F77" s="117">
        <v>10000</v>
      </c>
    </row>
    <row r="78" spans="2:12" ht="24" x14ac:dyDescent="0.25">
      <c r="B78" s="81" t="s">
        <v>55</v>
      </c>
      <c r="C78" s="82">
        <v>4</v>
      </c>
      <c r="D78" s="85" t="s">
        <v>18</v>
      </c>
      <c r="E78" s="78">
        <f t="shared" si="6"/>
        <v>24000</v>
      </c>
      <c r="F78" s="117">
        <v>6000</v>
      </c>
    </row>
    <row r="79" spans="2:12" ht="21" x14ac:dyDescent="0.25">
      <c r="B79" s="120">
        <f>SUM(E72:E73,E75:E78)</f>
        <v>864000</v>
      </c>
      <c r="C79" s="591">
        <f>SUM(E71:E78)</f>
        <v>864000</v>
      </c>
      <c r="D79" s="592"/>
      <c r="E79" s="592"/>
      <c r="F79" s="130">
        <f>SUM(E74)</f>
        <v>0</v>
      </c>
    </row>
    <row r="80" spans="2:12" x14ac:dyDescent="0.25">
      <c r="B80" s="72"/>
      <c r="C80" s="72"/>
      <c r="D80" s="72"/>
      <c r="E80" s="72"/>
      <c r="F80" s="72"/>
    </row>
    <row r="81" spans="2:6" ht="15.75" x14ac:dyDescent="0.25">
      <c r="B81" s="81"/>
      <c r="C81" s="590" t="s">
        <v>167</v>
      </c>
      <c r="D81" s="590"/>
      <c r="E81" s="590"/>
      <c r="F81" s="78"/>
    </row>
    <row r="82" spans="2:6" ht="25.5" x14ac:dyDescent="0.25">
      <c r="B82" s="119" t="s">
        <v>49</v>
      </c>
      <c r="C82" s="79" t="s">
        <v>4</v>
      </c>
      <c r="D82" s="79" t="s">
        <v>15</v>
      </c>
      <c r="E82" s="80" t="s">
        <v>16</v>
      </c>
      <c r="F82" s="78"/>
    </row>
    <row r="83" spans="2:6" x14ac:dyDescent="0.25">
      <c r="B83" s="81" t="s">
        <v>50</v>
      </c>
      <c r="C83" s="82">
        <v>1</v>
      </c>
      <c r="D83" s="83" t="s">
        <v>18</v>
      </c>
      <c r="E83" s="78">
        <f>F83*C83</f>
        <v>750000</v>
      </c>
      <c r="F83" s="117">
        <v>750000</v>
      </c>
    </row>
    <row r="84" spans="2:6" x14ac:dyDescent="0.25">
      <c r="B84" s="81" t="s">
        <v>51</v>
      </c>
      <c r="C84" s="82">
        <v>2</v>
      </c>
      <c r="D84" s="83" t="s">
        <v>18</v>
      </c>
      <c r="E84" s="78">
        <f t="shared" ref="E84:E88" si="7">F84*C84</f>
        <v>850000</v>
      </c>
      <c r="F84" s="117">
        <v>425000</v>
      </c>
    </row>
    <row r="85" spans="2:6" x14ac:dyDescent="0.25">
      <c r="B85" s="81" t="s">
        <v>46</v>
      </c>
      <c r="C85" s="82">
        <v>2</v>
      </c>
      <c r="D85" s="83" t="s">
        <v>18</v>
      </c>
      <c r="E85" s="78">
        <f t="shared" si="7"/>
        <v>1500000</v>
      </c>
      <c r="F85" s="117">
        <v>750000</v>
      </c>
    </row>
    <row r="86" spans="2:6" x14ac:dyDescent="0.25">
      <c r="B86" s="81" t="s">
        <v>106</v>
      </c>
      <c r="C86" s="82">
        <v>3.5</v>
      </c>
      <c r="D86" s="83" t="s">
        <v>107</v>
      </c>
      <c r="E86" s="78">
        <f t="shared" si="7"/>
        <v>1575000</v>
      </c>
      <c r="F86" s="117">
        <f>'A1'!$T$2</f>
        <v>450000</v>
      </c>
    </row>
    <row r="87" spans="2:6" ht="24" x14ac:dyDescent="0.25">
      <c r="B87" s="81" t="s">
        <v>47</v>
      </c>
      <c r="C87" s="82">
        <v>12</v>
      </c>
      <c r="D87" s="83" t="s">
        <v>18</v>
      </c>
      <c r="E87" s="78">
        <f t="shared" si="7"/>
        <v>120000</v>
      </c>
      <c r="F87" s="117">
        <v>10000</v>
      </c>
    </row>
    <row r="88" spans="2:6" ht="24" x14ac:dyDescent="0.25">
      <c r="B88" s="81" t="s">
        <v>48</v>
      </c>
      <c r="C88" s="82">
        <v>12</v>
      </c>
      <c r="D88" s="83" t="s">
        <v>18</v>
      </c>
      <c r="E88" s="78">
        <f t="shared" si="7"/>
        <v>240000</v>
      </c>
      <c r="F88" s="117">
        <v>20000</v>
      </c>
    </row>
    <row r="89" spans="2:6" ht="21" x14ac:dyDescent="0.25">
      <c r="B89" s="120">
        <f>SUM(E83:E85,E87:E88)</f>
        <v>3460000</v>
      </c>
      <c r="C89" s="591">
        <f>SUM(E83:E88)</f>
        <v>5035000</v>
      </c>
      <c r="D89" s="591"/>
      <c r="E89" s="591"/>
      <c r="F89" s="130">
        <f>E86</f>
        <v>1575000</v>
      </c>
    </row>
    <row r="90" spans="2:6" x14ac:dyDescent="0.25">
      <c r="B90" s="74"/>
      <c r="C90" s="74"/>
      <c r="D90" s="74"/>
      <c r="E90" s="74"/>
      <c r="F90" s="74"/>
    </row>
    <row r="91" spans="2:6" x14ac:dyDescent="0.25">
      <c r="B91" s="118" t="s">
        <v>56</v>
      </c>
      <c r="C91" s="79" t="s">
        <v>4</v>
      </c>
      <c r="D91" s="79" t="s">
        <v>15</v>
      </c>
      <c r="E91" s="80" t="s">
        <v>16</v>
      </c>
      <c r="F91" s="78"/>
    </row>
    <row r="92" spans="2:6" x14ac:dyDescent="0.25">
      <c r="B92" s="81" t="s">
        <v>57</v>
      </c>
      <c r="C92" s="89">
        <f>C71</f>
        <v>0</v>
      </c>
      <c r="D92" s="85" t="s">
        <v>40</v>
      </c>
      <c r="E92" s="78">
        <f>F92*C92</f>
        <v>0</v>
      </c>
      <c r="F92" s="117">
        <v>870000</v>
      </c>
    </row>
    <row r="93" spans="2:6" ht="24" x14ac:dyDescent="0.25">
      <c r="B93" s="81" t="s">
        <v>191</v>
      </c>
      <c r="C93" s="82">
        <v>2</v>
      </c>
      <c r="D93" s="85" t="s">
        <v>18</v>
      </c>
      <c r="E93" s="78">
        <f t="shared" ref="E93:E96" si="8">F93*C93</f>
        <v>200000</v>
      </c>
      <c r="F93" s="117">
        <v>100000</v>
      </c>
    </row>
    <row r="94" spans="2:6" ht="24" x14ac:dyDescent="0.25">
      <c r="B94" s="81" t="s">
        <v>190</v>
      </c>
      <c r="C94" s="82">
        <v>2</v>
      </c>
      <c r="D94" s="85" t="s">
        <v>18</v>
      </c>
      <c r="E94" s="78">
        <f t="shared" si="8"/>
        <v>30000</v>
      </c>
      <c r="F94" s="117">
        <v>15000</v>
      </c>
    </row>
    <row r="95" spans="2:6" ht="24" x14ac:dyDescent="0.25">
      <c r="B95" s="81" t="s">
        <v>192</v>
      </c>
      <c r="C95" s="82">
        <v>4</v>
      </c>
      <c r="D95" s="85" t="s">
        <v>18</v>
      </c>
      <c r="E95" s="78">
        <f t="shared" si="8"/>
        <v>72000</v>
      </c>
      <c r="F95" s="117">
        <v>18000</v>
      </c>
    </row>
    <row r="96" spans="2:6" x14ac:dyDescent="0.25">
      <c r="B96" s="81" t="s">
        <v>109</v>
      </c>
      <c r="C96" s="82">
        <f>C92*2.82</f>
        <v>0</v>
      </c>
      <c r="D96" s="85" t="s">
        <v>107</v>
      </c>
      <c r="E96" s="78">
        <f t="shared" si="8"/>
        <v>0</v>
      </c>
      <c r="F96" s="117">
        <v>75000</v>
      </c>
    </row>
    <row r="97" spans="2:12" ht="21" x14ac:dyDescent="0.25">
      <c r="B97" s="81"/>
      <c r="C97" s="597">
        <f>SUM(E92:E96)</f>
        <v>302000</v>
      </c>
      <c r="D97" s="597"/>
      <c r="E97" s="597"/>
      <c r="F97" s="78"/>
    </row>
    <row r="98" spans="2:12" x14ac:dyDescent="0.25">
      <c r="B98" s="72"/>
      <c r="C98" s="72"/>
      <c r="D98" s="72"/>
      <c r="E98" s="72"/>
      <c r="F98" s="72"/>
      <c r="H98" s="74"/>
      <c r="I98" s="74"/>
      <c r="J98" s="74"/>
      <c r="K98" s="74"/>
      <c r="L98" s="74"/>
    </row>
    <row r="99" spans="2:12" ht="21" x14ac:dyDescent="0.25">
      <c r="B99" s="76" t="s">
        <v>137</v>
      </c>
      <c r="C99" s="590" t="s">
        <v>169</v>
      </c>
      <c r="D99" s="590"/>
      <c r="E99" s="590"/>
      <c r="F99" s="78"/>
      <c r="H99" s="76" t="s">
        <v>136</v>
      </c>
      <c r="I99" s="590" t="s">
        <v>168</v>
      </c>
      <c r="J99" s="590"/>
      <c r="K99" s="590"/>
      <c r="L99" s="78"/>
    </row>
    <row r="100" spans="2:12" x14ac:dyDescent="0.25">
      <c r="B100" s="81"/>
      <c r="C100" s="79" t="s">
        <v>4</v>
      </c>
      <c r="D100" s="79" t="s">
        <v>15</v>
      </c>
      <c r="E100" s="80" t="s">
        <v>16</v>
      </c>
      <c r="F100" s="78"/>
      <c r="H100" s="81"/>
      <c r="I100" s="79" t="s">
        <v>4</v>
      </c>
      <c r="J100" s="79" t="s">
        <v>15</v>
      </c>
      <c r="K100" s="80" t="s">
        <v>16</v>
      </c>
      <c r="L100" s="78"/>
    </row>
    <row r="101" spans="2:12" x14ac:dyDescent="0.25">
      <c r="B101" s="81" t="s">
        <v>170</v>
      </c>
      <c r="C101" s="82">
        <v>1</v>
      </c>
      <c r="D101" s="83" t="s">
        <v>18</v>
      </c>
      <c r="E101" s="78">
        <f>F101*C101</f>
        <v>0</v>
      </c>
      <c r="F101" s="117">
        <f>IF(AND('پیش فاکتور سقف متحرک'!G12="120Nm بکر آلمان "),(400*'پیش فاکتور سقف متحرک'!C25),IF(AND('پیش فاکتور سقف متحرک'!G12="120Nm  سامفی فرانسه "),(450*'پیش فاکتور سقف متحرک'!C25),IF(AND('پیش فاکتور سقف متحرک'!G12="اختصاصی سایه روشن 120Nm"),(150*'پیش فاکتور سقف متحرک'!C25),0)))</f>
        <v>0</v>
      </c>
      <c r="G101" s="365"/>
      <c r="H101" s="81" t="s">
        <v>58</v>
      </c>
      <c r="I101" s="82">
        <v>1</v>
      </c>
      <c r="J101" s="83" t="s">
        <v>18</v>
      </c>
      <c r="K101" s="78">
        <f>L101*I101</f>
        <v>60000000</v>
      </c>
      <c r="L101" s="117">
        <v>60000000</v>
      </c>
    </row>
    <row r="102" spans="2:12" x14ac:dyDescent="0.25">
      <c r="B102" s="81" t="s">
        <v>59</v>
      </c>
      <c r="C102" s="82">
        <v>1</v>
      </c>
      <c r="D102" s="83" t="s">
        <v>18</v>
      </c>
      <c r="E102" s="78">
        <f t="shared" ref="E102:E117" si="9">F102*C102</f>
        <v>350000</v>
      </c>
      <c r="F102" s="117">
        <v>350000</v>
      </c>
      <c r="G102" s="365"/>
      <c r="H102" s="81" t="s">
        <v>59</v>
      </c>
      <c r="I102" s="82">
        <v>1</v>
      </c>
      <c r="J102" s="83" t="s">
        <v>18</v>
      </c>
      <c r="K102" s="78">
        <f t="shared" ref="K102:K117" si="10">L102*I102</f>
        <v>350000</v>
      </c>
      <c r="L102" s="117">
        <v>350000</v>
      </c>
    </row>
    <row r="103" spans="2:12" x14ac:dyDescent="0.25">
      <c r="B103" s="81" t="s">
        <v>171</v>
      </c>
      <c r="C103" s="82">
        <v>1</v>
      </c>
      <c r="D103" s="83" t="s">
        <v>18</v>
      </c>
      <c r="E103" s="78">
        <f t="shared" si="9"/>
        <v>350000</v>
      </c>
      <c r="F103" s="117">
        <v>350000</v>
      </c>
      <c r="G103" s="365"/>
      <c r="H103" s="81" t="s">
        <v>60</v>
      </c>
      <c r="I103" s="82">
        <v>1</v>
      </c>
      <c r="J103" s="83" t="s">
        <v>18</v>
      </c>
      <c r="K103" s="78">
        <f t="shared" si="10"/>
        <v>350000</v>
      </c>
      <c r="L103" s="117">
        <v>350000</v>
      </c>
    </row>
    <row r="104" spans="2:12" x14ac:dyDescent="0.25">
      <c r="B104" s="81" t="s">
        <v>172</v>
      </c>
      <c r="C104" s="82">
        <v>1</v>
      </c>
      <c r="D104" s="83" t="s">
        <v>18</v>
      </c>
      <c r="E104" s="78">
        <f>F104*C104</f>
        <v>80000</v>
      </c>
      <c r="F104" s="117">
        <v>80000</v>
      </c>
      <c r="H104" s="81" t="s">
        <v>172</v>
      </c>
      <c r="I104" s="82">
        <v>1</v>
      </c>
      <c r="J104" s="83" t="s">
        <v>18</v>
      </c>
      <c r="K104" s="78">
        <f>L104*I104</f>
        <v>80000</v>
      </c>
      <c r="L104" s="117">
        <v>80000</v>
      </c>
    </row>
    <row r="105" spans="2:12" x14ac:dyDescent="0.25">
      <c r="B105" s="81" t="s">
        <v>173</v>
      </c>
      <c r="C105" s="82">
        <v>2</v>
      </c>
      <c r="D105" s="83" t="s">
        <v>18</v>
      </c>
      <c r="E105" s="78">
        <f>F105*C105</f>
        <v>160000</v>
      </c>
      <c r="F105" s="117">
        <v>80000</v>
      </c>
      <c r="H105" s="81" t="s">
        <v>173</v>
      </c>
      <c r="I105" s="82">
        <v>2</v>
      </c>
      <c r="J105" s="83" t="s">
        <v>18</v>
      </c>
      <c r="K105" s="78">
        <f>L105*I105</f>
        <v>160000</v>
      </c>
      <c r="L105" s="117">
        <v>80000</v>
      </c>
    </row>
    <row r="106" spans="2:12" x14ac:dyDescent="0.25">
      <c r="B106" s="81" t="s">
        <v>63</v>
      </c>
      <c r="C106" s="82">
        <v>4</v>
      </c>
      <c r="D106" s="83" t="s">
        <v>40</v>
      </c>
      <c r="E106" s="78">
        <f>F106*C106</f>
        <v>720000</v>
      </c>
      <c r="F106" s="117">
        <v>180000</v>
      </c>
      <c r="H106" s="81" t="s">
        <v>63</v>
      </c>
      <c r="I106" s="82">
        <v>4</v>
      </c>
      <c r="J106" s="83" t="s">
        <v>40</v>
      </c>
      <c r="K106" s="78">
        <f>L106*I106</f>
        <v>720000</v>
      </c>
      <c r="L106" s="117">
        <v>180000</v>
      </c>
    </row>
    <row r="107" spans="2:12" x14ac:dyDescent="0.25">
      <c r="B107" s="81" t="s">
        <v>189</v>
      </c>
      <c r="C107" s="82">
        <v>1</v>
      </c>
      <c r="D107" s="83" t="s">
        <v>18</v>
      </c>
      <c r="E107" s="78">
        <f>F107*C107</f>
        <v>750000</v>
      </c>
      <c r="F107" s="117">
        <v>750000</v>
      </c>
      <c r="H107" s="81" t="s">
        <v>189</v>
      </c>
      <c r="I107" s="82">
        <v>1</v>
      </c>
      <c r="J107" s="83" t="s">
        <v>18</v>
      </c>
      <c r="K107" s="78">
        <f>L107*I107</f>
        <v>750000</v>
      </c>
      <c r="L107" s="117">
        <v>750000</v>
      </c>
    </row>
    <row r="108" spans="2:12" x14ac:dyDescent="0.25">
      <c r="B108" s="81" t="s">
        <v>26</v>
      </c>
      <c r="C108" s="82">
        <v>1</v>
      </c>
      <c r="D108" s="83" t="s">
        <v>18</v>
      </c>
      <c r="E108" s="78">
        <f t="shared" si="9"/>
        <v>350000</v>
      </c>
      <c r="F108" s="117">
        <v>350000</v>
      </c>
      <c r="H108" s="81" t="s">
        <v>26</v>
      </c>
      <c r="I108" s="82">
        <v>1</v>
      </c>
      <c r="J108" s="83" t="s">
        <v>18</v>
      </c>
      <c r="K108" s="78">
        <f t="shared" si="10"/>
        <v>350000</v>
      </c>
      <c r="L108" s="117">
        <v>350000</v>
      </c>
    </row>
    <row r="109" spans="2:12" x14ac:dyDescent="0.25">
      <c r="B109" s="81" t="s">
        <v>174</v>
      </c>
      <c r="C109" s="82">
        <v>2</v>
      </c>
      <c r="D109" s="83" t="s">
        <v>18</v>
      </c>
      <c r="E109" s="78">
        <f t="shared" si="9"/>
        <v>700000</v>
      </c>
      <c r="F109" s="117">
        <v>350000</v>
      </c>
      <c r="H109" s="81" t="s">
        <v>174</v>
      </c>
      <c r="I109" s="82">
        <v>2</v>
      </c>
      <c r="J109" s="83" t="s">
        <v>18</v>
      </c>
      <c r="K109" s="78">
        <f t="shared" si="10"/>
        <v>700000</v>
      </c>
      <c r="L109" s="117">
        <v>350000</v>
      </c>
    </row>
    <row r="110" spans="2:12" x14ac:dyDescent="0.25">
      <c r="B110" s="81" t="s">
        <v>64</v>
      </c>
      <c r="C110" s="82">
        <v>2</v>
      </c>
      <c r="D110" s="83" t="s">
        <v>18</v>
      </c>
      <c r="E110" s="78">
        <f t="shared" si="9"/>
        <v>800000</v>
      </c>
      <c r="F110" s="117">
        <v>400000</v>
      </c>
      <c r="H110" s="81" t="s">
        <v>64</v>
      </c>
      <c r="I110" s="82">
        <v>2</v>
      </c>
      <c r="J110" s="83" t="s">
        <v>18</v>
      </c>
      <c r="K110" s="78">
        <f t="shared" si="10"/>
        <v>800000</v>
      </c>
      <c r="L110" s="117">
        <v>400000</v>
      </c>
    </row>
    <row r="111" spans="2:12" x14ac:dyDescent="0.25">
      <c r="B111" s="81" t="s">
        <v>61</v>
      </c>
      <c r="C111" s="82">
        <v>1</v>
      </c>
      <c r="D111" s="83" t="s">
        <v>18</v>
      </c>
      <c r="E111" s="78">
        <f>F111*C111</f>
        <v>850000</v>
      </c>
      <c r="F111" s="117">
        <v>850000</v>
      </c>
      <c r="H111" s="81" t="s">
        <v>61</v>
      </c>
      <c r="I111" s="82">
        <v>1</v>
      </c>
      <c r="J111" s="83" t="s">
        <v>18</v>
      </c>
      <c r="K111" s="78">
        <f>L111*I111</f>
        <v>850000</v>
      </c>
      <c r="L111" s="117">
        <v>850000</v>
      </c>
    </row>
    <row r="112" spans="2:12" x14ac:dyDescent="0.25">
      <c r="B112" s="81" t="s">
        <v>62</v>
      </c>
      <c r="C112" s="82">
        <v>1</v>
      </c>
      <c r="D112" s="83" t="s">
        <v>18</v>
      </c>
      <c r="E112" s="78">
        <f>F112*C112</f>
        <v>400000</v>
      </c>
      <c r="F112" s="117">
        <v>400000</v>
      </c>
      <c r="H112" s="81" t="s">
        <v>62</v>
      </c>
      <c r="I112" s="82">
        <v>1</v>
      </c>
      <c r="J112" s="83" t="s">
        <v>18</v>
      </c>
      <c r="K112" s="78">
        <f>L112*I112</f>
        <v>400000</v>
      </c>
      <c r="L112" s="117">
        <v>400000</v>
      </c>
    </row>
    <row r="113" spans="2:12" x14ac:dyDescent="0.25">
      <c r="B113" s="81"/>
      <c r="C113" s="82"/>
      <c r="D113" s="83"/>
      <c r="E113" s="78">
        <f t="shared" si="9"/>
        <v>0</v>
      </c>
      <c r="F113" s="78"/>
      <c r="H113" s="81" t="s">
        <v>65</v>
      </c>
      <c r="I113" s="82">
        <v>1</v>
      </c>
      <c r="J113" s="83" t="s">
        <v>18</v>
      </c>
      <c r="K113" s="78">
        <f t="shared" si="10"/>
        <v>250000</v>
      </c>
      <c r="L113" s="117">
        <v>250000</v>
      </c>
    </row>
    <row r="114" spans="2:12" x14ac:dyDescent="0.25">
      <c r="B114" s="81"/>
      <c r="C114" s="82"/>
      <c r="D114" s="83"/>
      <c r="E114" s="78">
        <f t="shared" si="9"/>
        <v>0</v>
      </c>
      <c r="F114" s="78"/>
      <c r="H114" s="81" t="s">
        <v>66</v>
      </c>
      <c r="I114" s="82">
        <v>1</v>
      </c>
      <c r="J114" s="83" t="s">
        <v>18</v>
      </c>
      <c r="K114" s="78">
        <f t="shared" si="10"/>
        <v>350000</v>
      </c>
      <c r="L114" s="117">
        <v>350000</v>
      </c>
    </row>
    <row r="115" spans="2:12" x14ac:dyDescent="0.25">
      <c r="B115" s="81" t="s">
        <v>188</v>
      </c>
      <c r="C115" s="82">
        <v>6</v>
      </c>
      <c r="D115" s="83" t="s">
        <v>18</v>
      </c>
      <c r="E115" s="78">
        <f t="shared" si="9"/>
        <v>90000</v>
      </c>
      <c r="F115" s="117">
        <v>15000</v>
      </c>
      <c r="H115" s="81" t="s">
        <v>188</v>
      </c>
      <c r="I115" s="82">
        <v>6</v>
      </c>
      <c r="J115" s="83" t="s">
        <v>18</v>
      </c>
      <c r="K115" s="78">
        <f t="shared" si="10"/>
        <v>90000</v>
      </c>
      <c r="L115" s="117">
        <v>15000</v>
      </c>
    </row>
    <row r="116" spans="2:12" ht="24" x14ac:dyDescent="0.25">
      <c r="B116" s="81" t="s">
        <v>67</v>
      </c>
      <c r="C116" s="82">
        <v>1</v>
      </c>
      <c r="D116" s="83" t="s">
        <v>18</v>
      </c>
      <c r="E116" s="78">
        <f t="shared" si="9"/>
        <v>12000</v>
      </c>
      <c r="F116" s="117">
        <v>12000</v>
      </c>
      <c r="H116" s="81" t="s">
        <v>67</v>
      </c>
      <c r="I116" s="82">
        <v>1</v>
      </c>
      <c r="J116" s="83" t="s">
        <v>18</v>
      </c>
      <c r="K116" s="78">
        <f t="shared" si="10"/>
        <v>12000</v>
      </c>
      <c r="L116" s="117">
        <v>12000</v>
      </c>
    </row>
    <row r="117" spans="2:12" x14ac:dyDescent="0.25">
      <c r="B117" s="81" t="s">
        <v>109</v>
      </c>
      <c r="C117" s="82">
        <v>5</v>
      </c>
      <c r="D117" s="85" t="s">
        <v>107</v>
      </c>
      <c r="E117" s="78">
        <f t="shared" si="9"/>
        <v>375000</v>
      </c>
      <c r="F117" s="117">
        <v>75000</v>
      </c>
      <c r="H117" s="81" t="s">
        <v>109</v>
      </c>
      <c r="I117" s="82">
        <v>5</v>
      </c>
      <c r="J117" s="85" t="s">
        <v>107</v>
      </c>
      <c r="K117" s="78">
        <f t="shared" si="10"/>
        <v>375000</v>
      </c>
      <c r="L117" s="117">
        <v>75000</v>
      </c>
    </row>
    <row r="118" spans="2:12" ht="21" x14ac:dyDescent="0.25">
      <c r="B118" s="120">
        <f>SUM(E102:E117)</f>
        <v>5987000</v>
      </c>
      <c r="C118" s="591">
        <f>SUM(E101:E117)</f>
        <v>5987000</v>
      </c>
      <c r="D118" s="592"/>
      <c r="E118" s="592"/>
      <c r="F118" s="131">
        <f>E101</f>
        <v>0</v>
      </c>
      <c r="H118" s="81"/>
      <c r="I118" s="591">
        <f>SUM(K101:K117)</f>
        <v>66587000</v>
      </c>
      <c r="J118" s="592"/>
      <c r="K118" s="592"/>
      <c r="L118" s="78"/>
    </row>
    <row r="119" spans="2:12" x14ac:dyDescent="0.25">
      <c r="B119" s="74"/>
      <c r="C119" s="74"/>
      <c r="D119" s="74"/>
      <c r="E119" s="74"/>
      <c r="F119" s="74"/>
      <c r="H119" s="74"/>
      <c r="I119" s="74"/>
      <c r="J119" s="74"/>
      <c r="K119" s="74"/>
      <c r="L119" s="74"/>
    </row>
    <row r="120" spans="2:12" ht="21" x14ac:dyDescent="0.25">
      <c r="B120" s="92" t="s">
        <v>137</v>
      </c>
      <c r="C120" s="598" t="s">
        <v>116</v>
      </c>
      <c r="D120" s="598"/>
      <c r="E120" s="598"/>
      <c r="F120" s="82"/>
      <c r="H120" s="91" t="s">
        <v>136</v>
      </c>
      <c r="I120" s="598" t="s">
        <v>116</v>
      </c>
      <c r="J120" s="598"/>
      <c r="K120" s="598"/>
      <c r="L120" s="78"/>
    </row>
    <row r="121" spans="2:12" ht="15.75" x14ac:dyDescent="0.25">
      <c r="B121" s="94"/>
      <c r="C121" s="79" t="s">
        <v>4</v>
      </c>
      <c r="D121" s="79" t="s">
        <v>15</v>
      </c>
      <c r="E121" s="80" t="s">
        <v>16</v>
      </c>
      <c r="F121" s="93"/>
      <c r="H121" s="81"/>
      <c r="I121" s="79" t="s">
        <v>4</v>
      </c>
      <c r="J121" s="79" t="s">
        <v>15</v>
      </c>
      <c r="K121" s="80" t="s">
        <v>16</v>
      </c>
      <c r="L121" s="93"/>
    </row>
    <row r="122" spans="2:12" x14ac:dyDescent="0.25">
      <c r="B122" s="81" t="s">
        <v>97</v>
      </c>
      <c r="C122" s="82">
        <f>('1'!$D$8*'1'!$D$9)</f>
        <v>0</v>
      </c>
      <c r="D122" s="85" t="s">
        <v>96</v>
      </c>
      <c r="E122" s="78">
        <f>F122*C122</f>
        <v>0</v>
      </c>
      <c r="F122" s="88">
        <f>8*'1'!E15</f>
        <v>5600000</v>
      </c>
      <c r="H122" s="81" t="s">
        <v>97</v>
      </c>
      <c r="I122" s="82">
        <f>('1'!$D$8*'1'!$D$9)</f>
        <v>0</v>
      </c>
      <c r="J122" s="85" t="s">
        <v>96</v>
      </c>
      <c r="K122" s="78">
        <f>L122*I122</f>
        <v>0</v>
      </c>
      <c r="L122" s="88">
        <f>8*'1'!E15</f>
        <v>5600000</v>
      </c>
    </row>
    <row r="123" spans="2:12" x14ac:dyDescent="0.25">
      <c r="B123" s="81" t="s">
        <v>125</v>
      </c>
      <c r="C123" s="82">
        <f>((('1'!$D$8-0.25)/0.6)-1)*('1'!$D$9)</f>
        <v>0</v>
      </c>
      <c r="D123" s="85" t="s">
        <v>40</v>
      </c>
      <c r="E123" s="78">
        <f t="shared" ref="E123:E134" si="11">F123*C123</f>
        <v>0</v>
      </c>
      <c r="F123" s="88">
        <f>1*'1'!E9</f>
        <v>2200000</v>
      </c>
      <c r="H123" s="81" t="s">
        <v>125</v>
      </c>
      <c r="I123" s="82">
        <f>((('1'!$D$8-0.25)/0.6)-1)*('1'!$D$9)</f>
        <v>0</v>
      </c>
      <c r="J123" s="85" t="s">
        <v>40</v>
      </c>
      <c r="K123" s="78">
        <f t="shared" ref="K123:K134" si="12">L123*I123</f>
        <v>0</v>
      </c>
      <c r="L123" s="88">
        <f>1.5*'1'!E9</f>
        <v>3300000</v>
      </c>
    </row>
    <row r="124" spans="2:12" x14ac:dyDescent="0.25">
      <c r="B124" s="81" t="s">
        <v>124</v>
      </c>
      <c r="C124" s="89">
        <f>'1'!$D$9*2</f>
        <v>0</v>
      </c>
      <c r="D124" s="85" t="s">
        <v>40</v>
      </c>
      <c r="E124" s="78">
        <f t="shared" si="11"/>
        <v>0</v>
      </c>
      <c r="F124" s="88">
        <f>1.9*'1'!E9</f>
        <v>4180000</v>
      </c>
      <c r="H124" s="81" t="s">
        <v>124</v>
      </c>
      <c r="I124" s="89">
        <f>'1'!$D$9*2</f>
        <v>0</v>
      </c>
      <c r="J124" s="85" t="s">
        <v>40</v>
      </c>
      <c r="K124" s="78">
        <f t="shared" si="12"/>
        <v>0</v>
      </c>
      <c r="L124" s="88">
        <f>1.9*'1'!E9</f>
        <v>4180000</v>
      </c>
    </row>
    <row r="125" spans="2:12" x14ac:dyDescent="0.25">
      <c r="B125" s="81" t="s">
        <v>68</v>
      </c>
      <c r="C125" s="89">
        <f>C124+C123</f>
        <v>0</v>
      </c>
      <c r="D125" s="85" t="s">
        <v>40</v>
      </c>
      <c r="E125" s="78">
        <f t="shared" si="11"/>
        <v>0</v>
      </c>
      <c r="F125" s="117">
        <v>50000</v>
      </c>
      <c r="H125" s="81" t="s">
        <v>68</v>
      </c>
      <c r="I125" s="89">
        <f>I124+I123</f>
        <v>0</v>
      </c>
      <c r="J125" s="85" t="s">
        <v>40</v>
      </c>
      <c r="K125" s="78">
        <f t="shared" si="12"/>
        <v>0</v>
      </c>
      <c r="L125" s="117">
        <v>50000</v>
      </c>
    </row>
    <row r="126" spans="2:12" x14ac:dyDescent="0.25">
      <c r="B126" s="81" t="s">
        <v>69</v>
      </c>
      <c r="C126" s="89">
        <f>'1'!$D$9</f>
        <v>0</v>
      </c>
      <c r="D126" s="85" t="s">
        <v>40</v>
      </c>
      <c r="E126" s="78">
        <f t="shared" si="11"/>
        <v>0</v>
      </c>
      <c r="F126" s="117">
        <v>30000</v>
      </c>
      <c r="H126" s="81" t="s">
        <v>69</v>
      </c>
      <c r="I126" s="89">
        <f>'1'!$D$9</f>
        <v>0</v>
      </c>
      <c r="J126" s="85" t="s">
        <v>40</v>
      </c>
      <c r="K126" s="78">
        <f t="shared" si="12"/>
        <v>0</v>
      </c>
      <c r="L126" s="117">
        <v>30000</v>
      </c>
    </row>
    <row r="127" spans="2:12" x14ac:dyDescent="0.25">
      <c r="B127" s="81" t="s">
        <v>71</v>
      </c>
      <c r="C127" s="89">
        <f>'1'!$D$8</f>
        <v>0</v>
      </c>
      <c r="D127" s="85" t="s">
        <v>40</v>
      </c>
      <c r="E127" s="78">
        <f t="shared" si="11"/>
        <v>0</v>
      </c>
      <c r="F127" s="117">
        <v>30000</v>
      </c>
      <c r="H127" s="81" t="s">
        <v>71</v>
      </c>
      <c r="I127" s="89">
        <f>'1'!$D$8</f>
        <v>0</v>
      </c>
      <c r="J127" s="85" t="s">
        <v>40</v>
      </c>
      <c r="K127" s="78">
        <f t="shared" si="12"/>
        <v>0</v>
      </c>
      <c r="L127" s="117">
        <v>30000</v>
      </c>
    </row>
    <row r="128" spans="2:12" x14ac:dyDescent="0.25">
      <c r="B128" s="81" t="s">
        <v>70</v>
      </c>
      <c r="C128" s="82">
        <f>((INT((C123+C124)/10))+1)</f>
        <v>1</v>
      </c>
      <c r="D128" s="85" t="s">
        <v>18</v>
      </c>
      <c r="E128" s="78">
        <f t="shared" si="11"/>
        <v>500000</v>
      </c>
      <c r="F128" s="117">
        <v>500000</v>
      </c>
      <c r="H128" s="81" t="s">
        <v>70</v>
      </c>
      <c r="I128" s="82">
        <f>((INT((I123+I124)/10))+1)</f>
        <v>1</v>
      </c>
      <c r="J128" s="85" t="s">
        <v>18</v>
      </c>
      <c r="K128" s="78">
        <f t="shared" si="12"/>
        <v>500000</v>
      </c>
      <c r="L128" s="117">
        <v>500000</v>
      </c>
    </row>
    <row r="129" spans="2:12" x14ac:dyDescent="0.25">
      <c r="B129" s="81" t="s">
        <v>126</v>
      </c>
      <c r="C129" s="82">
        <f>((INT(('1'!$D$8-0.25)/0.6)))*2</f>
        <v>-2</v>
      </c>
      <c r="D129" s="85" t="s">
        <v>18</v>
      </c>
      <c r="E129" s="78">
        <f t="shared" si="11"/>
        <v>-138000</v>
      </c>
      <c r="F129" s="117">
        <v>69000</v>
      </c>
      <c r="H129" s="81" t="s">
        <v>126</v>
      </c>
      <c r="I129" s="82">
        <f>((INT(('1'!$D$8-0.25)/0.6)))*2</f>
        <v>-2</v>
      </c>
      <c r="J129" s="85" t="s">
        <v>18</v>
      </c>
      <c r="K129" s="78">
        <f t="shared" si="12"/>
        <v>-138000</v>
      </c>
      <c r="L129" s="117">
        <v>69000</v>
      </c>
    </row>
    <row r="130" spans="2:12" x14ac:dyDescent="0.25">
      <c r="B130" s="81" t="s">
        <v>73</v>
      </c>
      <c r="C130" s="82">
        <v>4</v>
      </c>
      <c r="D130" s="85" t="s">
        <v>18</v>
      </c>
      <c r="E130" s="78">
        <f t="shared" si="11"/>
        <v>330000</v>
      </c>
      <c r="F130" s="117">
        <v>82500</v>
      </c>
      <c r="H130" s="81" t="s">
        <v>73</v>
      </c>
      <c r="I130" s="82">
        <v>4</v>
      </c>
      <c r="J130" s="85" t="s">
        <v>18</v>
      </c>
      <c r="K130" s="78">
        <f t="shared" si="12"/>
        <v>330000</v>
      </c>
      <c r="L130" s="117">
        <v>82500</v>
      </c>
    </row>
    <row r="131" spans="2:12" x14ac:dyDescent="0.25">
      <c r="B131" s="81" t="s">
        <v>72</v>
      </c>
      <c r="C131" s="82">
        <f>C129+C130</f>
        <v>2</v>
      </c>
      <c r="D131" s="85" t="s">
        <v>18</v>
      </c>
      <c r="E131" s="78">
        <f t="shared" si="11"/>
        <v>3000</v>
      </c>
      <c r="F131" s="117">
        <v>1500</v>
      </c>
      <c r="H131" s="81" t="s">
        <v>72</v>
      </c>
      <c r="I131" s="82">
        <f>I129+I130</f>
        <v>2</v>
      </c>
      <c r="J131" s="85" t="s">
        <v>18</v>
      </c>
      <c r="K131" s="78">
        <f t="shared" si="12"/>
        <v>3000</v>
      </c>
      <c r="L131" s="117">
        <v>1500</v>
      </c>
    </row>
    <row r="132" spans="2:12" ht="24" x14ac:dyDescent="0.25">
      <c r="B132" s="81" t="s">
        <v>74</v>
      </c>
      <c r="C132" s="82">
        <f>C131</f>
        <v>2</v>
      </c>
      <c r="D132" s="85" t="s">
        <v>18</v>
      </c>
      <c r="E132" s="78">
        <f t="shared" si="11"/>
        <v>20000</v>
      </c>
      <c r="F132" s="117">
        <v>10000</v>
      </c>
      <c r="H132" s="81" t="s">
        <v>74</v>
      </c>
      <c r="I132" s="82">
        <f>I129+I130</f>
        <v>2</v>
      </c>
      <c r="J132" s="85" t="s">
        <v>18</v>
      </c>
      <c r="K132" s="78">
        <f t="shared" si="12"/>
        <v>20000</v>
      </c>
      <c r="L132" s="117">
        <v>10000</v>
      </c>
    </row>
    <row r="133" spans="2:12" x14ac:dyDescent="0.25">
      <c r="B133" s="81" t="s">
        <v>75</v>
      </c>
      <c r="C133" s="82">
        <f>C131</f>
        <v>2</v>
      </c>
      <c r="D133" s="85" t="s">
        <v>18</v>
      </c>
      <c r="E133" s="78">
        <f t="shared" si="11"/>
        <v>12000</v>
      </c>
      <c r="F133" s="117">
        <v>6000</v>
      </c>
      <c r="H133" s="81" t="s">
        <v>75</v>
      </c>
      <c r="I133" s="82">
        <f>I129+I130</f>
        <v>2</v>
      </c>
      <c r="J133" s="85" t="s">
        <v>18</v>
      </c>
      <c r="K133" s="78">
        <f t="shared" si="12"/>
        <v>12000</v>
      </c>
      <c r="L133" s="117">
        <v>6000</v>
      </c>
    </row>
    <row r="134" spans="2:12" x14ac:dyDescent="0.25">
      <c r="B134" s="81" t="s">
        <v>106</v>
      </c>
      <c r="C134" s="82">
        <f>(C123*1)+(C124*1.9)</f>
        <v>0</v>
      </c>
      <c r="D134" s="83" t="s">
        <v>107</v>
      </c>
      <c r="E134" s="78">
        <f t="shared" si="11"/>
        <v>0</v>
      </c>
      <c r="F134" s="117">
        <f>'A1'!$T$2</f>
        <v>450000</v>
      </c>
      <c r="H134" s="81" t="s">
        <v>106</v>
      </c>
      <c r="I134" s="82">
        <f>(I123*1.5)+(I124*1.9)</f>
        <v>0</v>
      </c>
      <c r="J134" s="83" t="s">
        <v>107</v>
      </c>
      <c r="K134" s="78">
        <f t="shared" si="12"/>
        <v>0</v>
      </c>
      <c r="L134" s="117">
        <f>'A1'!$T$2</f>
        <v>450000</v>
      </c>
    </row>
    <row r="135" spans="2:12" ht="21" x14ac:dyDescent="0.25">
      <c r="B135" s="120">
        <f>SUM(E125:E133)</f>
        <v>727000</v>
      </c>
      <c r="C135" s="591">
        <f>SUM(E122:E134)</f>
        <v>727000</v>
      </c>
      <c r="D135" s="592"/>
      <c r="E135" s="592"/>
      <c r="F135" s="130">
        <f>E134</f>
        <v>0</v>
      </c>
      <c r="H135" s="81"/>
      <c r="I135" s="591">
        <f>SUM(K122:K134)</f>
        <v>727000</v>
      </c>
      <c r="J135" s="592"/>
      <c r="K135" s="592"/>
      <c r="L135" s="78"/>
    </row>
    <row r="136" spans="2:12" x14ac:dyDescent="0.25">
      <c r="B136" s="74"/>
      <c r="C136" s="74"/>
      <c r="D136" s="74"/>
      <c r="E136" s="74"/>
      <c r="F136" s="74"/>
    </row>
    <row r="137" spans="2:12" x14ac:dyDescent="0.25">
      <c r="B137" s="81"/>
      <c r="C137" s="598" t="s">
        <v>76</v>
      </c>
      <c r="D137" s="598"/>
      <c r="E137" s="598"/>
      <c r="F137" s="78"/>
    </row>
    <row r="138" spans="2:12" x14ac:dyDescent="0.25">
      <c r="B138" s="81"/>
      <c r="C138" s="79" t="s">
        <v>4</v>
      </c>
      <c r="D138" s="79" t="s">
        <v>15</v>
      </c>
      <c r="E138" s="80" t="s">
        <v>16</v>
      </c>
      <c r="F138" s="78"/>
    </row>
    <row r="139" spans="2:12" x14ac:dyDescent="0.25">
      <c r="B139" s="81" t="s">
        <v>127</v>
      </c>
      <c r="C139" s="82">
        <f>('1'!$D$9*((((INT('1'!$D$8/0.6))+1)*0.07)+0.25))</f>
        <v>0</v>
      </c>
      <c r="D139" s="85" t="s">
        <v>96</v>
      </c>
      <c r="E139" s="78">
        <f>F139*C139</f>
        <v>0</v>
      </c>
      <c r="F139" s="78">
        <f>8*0.5*'1'!E15</f>
        <v>2800000</v>
      </c>
    </row>
    <row r="140" spans="2:12" x14ac:dyDescent="0.25">
      <c r="B140" s="81" t="s">
        <v>78</v>
      </c>
      <c r="C140" s="82" t="e">
        <f>('1'!$E$5+'1'!$D$5)*2</f>
        <v>#VALUE!</v>
      </c>
      <c r="D140" s="85" t="s">
        <v>18</v>
      </c>
      <c r="E140" s="78" t="e">
        <f>F140*C140</f>
        <v>#VALUE!</v>
      </c>
      <c r="F140" s="117">
        <v>150000</v>
      </c>
    </row>
    <row r="141" spans="2:12" x14ac:dyDescent="0.25">
      <c r="B141" s="81" t="s">
        <v>79</v>
      </c>
      <c r="C141" s="82">
        <v>2</v>
      </c>
      <c r="D141" s="85" t="s">
        <v>18</v>
      </c>
      <c r="E141" s="78">
        <f>F141*C141</f>
        <v>300000</v>
      </c>
      <c r="F141" s="117">
        <v>150000</v>
      </c>
    </row>
    <row r="142" spans="2:12" x14ac:dyDescent="0.25">
      <c r="B142" s="81" t="s">
        <v>80</v>
      </c>
      <c r="C142" s="89">
        <f>'1'!$D$9</f>
        <v>0</v>
      </c>
      <c r="D142" s="85" t="s">
        <v>40</v>
      </c>
      <c r="E142" s="78">
        <f>F142*C142</f>
        <v>0</v>
      </c>
      <c r="F142" s="117">
        <v>220000</v>
      </c>
    </row>
    <row r="143" spans="2:12" x14ac:dyDescent="0.25">
      <c r="B143" s="81" t="s">
        <v>82</v>
      </c>
      <c r="C143" s="82">
        <v>2</v>
      </c>
      <c r="D143" s="85" t="s">
        <v>18</v>
      </c>
      <c r="E143" s="78">
        <f>F143*C143</f>
        <v>3700000</v>
      </c>
      <c r="F143" s="117">
        <v>1850000</v>
      </c>
    </row>
    <row r="144" spans="2:12" x14ac:dyDescent="0.25">
      <c r="B144" s="81" t="s">
        <v>81</v>
      </c>
      <c r="C144" s="89">
        <f>'1'!$D$9</f>
        <v>0</v>
      </c>
      <c r="D144" s="85" t="s">
        <v>40</v>
      </c>
      <c r="E144" s="78">
        <f t="shared" ref="E144:E150" si="13">F144*C144</f>
        <v>0</v>
      </c>
      <c r="F144" s="117">
        <v>430000</v>
      </c>
    </row>
    <row r="145" spans="2:12" x14ac:dyDescent="0.25">
      <c r="B145" s="81" t="s">
        <v>77</v>
      </c>
      <c r="C145" s="82">
        <f>C139/1.5</f>
        <v>0</v>
      </c>
      <c r="D145" s="85" t="s">
        <v>18</v>
      </c>
      <c r="E145" s="78">
        <f>F145*C145</f>
        <v>0</v>
      </c>
      <c r="F145" s="88">
        <v>500000</v>
      </c>
    </row>
    <row r="146" spans="2:12" ht="24" x14ac:dyDescent="0.25">
      <c r="B146" s="81" t="s">
        <v>83</v>
      </c>
      <c r="C146" s="82">
        <v>2</v>
      </c>
      <c r="D146" s="85" t="s">
        <v>18</v>
      </c>
      <c r="E146" s="78">
        <f t="shared" si="13"/>
        <v>160000</v>
      </c>
      <c r="F146" s="117">
        <v>80000</v>
      </c>
    </row>
    <row r="147" spans="2:12" x14ac:dyDescent="0.25">
      <c r="B147" s="81" t="s">
        <v>84</v>
      </c>
      <c r="C147" s="82" t="e">
        <f>C140/2</f>
        <v>#VALUE!</v>
      </c>
      <c r="D147" s="85" t="s">
        <v>18</v>
      </c>
      <c r="E147" s="78" t="e">
        <f t="shared" si="13"/>
        <v>#VALUE!</v>
      </c>
      <c r="F147" s="117">
        <v>200000</v>
      </c>
    </row>
    <row r="148" spans="2:12" ht="24" x14ac:dyDescent="0.25">
      <c r="B148" s="81" t="s">
        <v>85</v>
      </c>
      <c r="C148" s="82">
        <v>2</v>
      </c>
      <c r="D148" s="85" t="s">
        <v>18</v>
      </c>
      <c r="E148" s="78">
        <f t="shared" si="13"/>
        <v>50000</v>
      </c>
      <c r="F148" s="117">
        <v>25000</v>
      </c>
    </row>
    <row r="149" spans="2:12" x14ac:dyDescent="0.25">
      <c r="B149" s="81" t="s">
        <v>86</v>
      </c>
      <c r="C149" s="82">
        <f>C139*5</f>
        <v>0</v>
      </c>
      <c r="D149" s="85" t="s">
        <v>18</v>
      </c>
      <c r="E149" s="78">
        <f t="shared" si="13"/>
        <v>0</v>
      </c>
      <c r="F149" s="117">
        <v>10000</v>
      </c>
    </row>
    <row r="150" spans="2:12" x14ac:dyDescent="0.25">
      <c r="B150" s="81" t="s">
        <v>106</v>
      </c>
      <c r="C150" s="82">
        <f>C139*3.2</f>
        <v>0</v>
      </c>
      <c r="D150" s="83" t="s">
        <v>107</v>
      </c>
      <c r="E150" s="78">
        <f t="shared" si="13"/>
        <v>0</v>
      </c>
      <c r="F150" s="117">
        <f>'A1'!$T$2</f>
        <v>450000</v>
      </c>
    </row>
    <row r="151" spans="2:12" ht="21" x14ac:dyDescent="0.25">
      <c r="B151" s="120" t="e">
        <f>SUM(E140:E149)</f>
        <v>#VALUE!</v>
      </c>
      <c r="C151" s="591" t="e">
        <f>SUM(E139:E150)</f>
        <v>#VALUE!</v>
      </c>
      <c r="D151" s="592"/>
      <c r="E151" s="592"/>
      <c r="F151" s="130">
        <f>SUM(E150)</f>
        <v>0</v>
      </c>
    </row>
    <row r="152" spans="2:12" x14ac:dyDescent="0.25">
      <c r="B152" s="74"/>
      <c r="C152" s="74"/>
      <c r="D152" s="74"/>
      <c r="E152" s="74"/>
      <c r="F152" s="74"/>
      <c r="H152" s="74"/>
      <c r="I152" s="74"/>
      <c r="J152" s="74"/>
      <c r="K152" s="74"/>
      <c r="L152" s="74"/>
    </row>
    <row r="153" spans="2:12" ht="21" x14ac:dyDescent="0.25">
      <c r="B153" s="92" t="s">
        <v>137</v>
      </c>
      <c r="C153" s="598" t="s">
        <v>87</v>
      </c>
      <c r="D153" s="598"/>
      <c r="E153" s="598"/>
      <c r="F153" s="78"/>
      <c r="H153" s="91" t="s">
        <v>136</v>
      </c>
      <c r="I153" s="598" t="s">
        <v>87</v>
      </c>
      <c r="J153" s="598"/>
      <c r="K153" s="598"/>
      <c r="L153" s="78"/>
    </row>
    <row r="154" spans="2:12" ht="15.75" x14ac:dyDescent="0.25">
      <c r="B154" s="118"/>
      <c r="C154" s="79" t="s">
        <v>4</v>
      </c>
      <c r="D154" s="79" t="s">
        <v>15</v>
      </c>
      <c r="E154" s="80" t="s">
        <v>16</v>
      </c>
      <c r="F154" s="93"/>
      <c r="H154" s="118"/>
      <c r="I154" s="79" t="s">
        <v>4</v>
      </c>
      <c r="J154" s="79" t="s">
        <v>15</v>
      </c>
      <c r="K154" s="80" t="s">
        <v>16</v>
      </c>
      <c r="L154" s="93"/>
    </row>
    <row r="155" spans="2:12" x14ac:dyDescent="0.25">
      <c r="B155" s="95" t="s">
        <v>110</v>
      </c>
      <c r="C155" s="89">
        <f>'1'!$D$9</f>
        <v>0</v>
      </c>
      <c r="D155" s="85" t="s">
        <v>40</v>
      </c>
      <c r="E155" s="78">
        <f>F155*C155</f>
        <v>0</v>
      </c>
      <c r="F155" s="78">
        <v>0</v>
      </c>
      <c r="H155" s="95" t="s">
        <v>110</v>
      </c>
      <c r="I155" s="89">
        <f>'1'!$D$9</f>
        <v>0</v>
      </c>
      <c r="J155" s="85" t="s">
        <v>40</v>
      </c>
      <c r="K155" s="78">
        <f>L155*I155</f>
        <v>0</v>
      </c>
      <c r="L155" s="88">
        <f>'1'!E9*2.9</f>
        <v>6380000</v>
      </c>
    </row>
    <row r="156" spans="2:12" x14ac:dyDescent="0.25">
      <c r="B156" s="95" t="s">
        <v>111</v>
      </c>
      <c r="C156" s="89">
        <f>'1'!$D$9</f>
        <v>0</v>
      </c>
      <c r="D156" s="85" t="s">
        <v>40</v>
      </c>
      <c r="E156" s="78">
        <f t="shared" ref="E156:E166" si="14">F156*C156</f>
        <v>0</v>
      </c>
      <c r="F156" s="78">
        <v>0</v>
      </c>
      <c r="H156" s="95" t="s">
        <v>111</v>
      </c>
      <c r="I156" s="89">
        <f>'1'!$D$9</f>
        <v>0</v>
      </c>
      <c r="J156" s="85" t="s">
        <v>40</v>
      </c>
      <c r="K156" s="78">
        <f t="shared" ref="K156:K166" si="15">L156*I156</f>
        <v>0</v>
      </c>
      <c r="L156" s="88">
        <f>'1'!E9*1.5</f>
        <v>3300000</v>
      </c>
    </row>
    <row r="157" spans="2:12" x14ac:dyDescent="0.25">
      <c r="B157" s="95" t="s">
        <v>154</v>
      </c>
      <c r="C157" s="89">
        <f>'1'!$D$9</f>
        <v>0</v>
      </c>
      <c r="D157" s="85" t="s">
        <v>40</v>
      </c>
      <c r="E157" s="78">
        <f t="shared" si="14"/>
        <v>0</v>
      </c>
      <c r="F157" s="88">
        <f>'1'!E9*3.7</f>
        <v>8140000</v>
      </c>
      <c r="H157" s="95" t="s">
        <v>154</v>
      </c>
      <c r="I157" s="89">
        <f>'1'!$D$9</f>
        <v>0</v>
      </c>
      <c r="J157" s="85" t="s">
        <v>40</v>
      </c>
      <c r="K157" s="78">
        <f t="shared" si="15"/>
        <v>0</v>
      </c>
      <c r="L157" s="88">
        <f>'1'!E9*3.7</f>
        <v>8140000</v>
      </c>
    </row>
    <row r="158" spans="2:12" x14ac:dyDescent="0.25">
      <c r="B158" s="95" t="s">
        <v>90</v>
      </c>
      <c r="C158" s="89">
        <f>'1'!$D$9</f>
        <v>0</v>
      </c>
      <c r="D158" s="85" t="s">
        <v>40</v>
      </c>
      <c r="E158" s="78">
        <f>F158*C158</f>
        <v>0</v>
      </c>
      <c r="F158" s="117">
        <v>120000</v>
      </c>
      <c r="H158" s="95" t="s">
        <v>90</v>
      </c>
      <c r="I158" s="89">
        <f>'1'!$D$9</f>
        <v>0</v>
      </c>
      <c r="J158" s="85" t="s">
        <v>40</v>
      </c>
      <c r="K158" s="78">
        <f>L158*I158</f>
        <v>0</v>
      </c>
      <c r="L158" s="84">
        <v>110000</v>
      </c>
    </row>
    <row r="159" spans="2:12" x14ac:dyDescent="0.25">
      <c r="B159" s="95" t="s">
        <v>88</v>
      </c>
      <c r="C159" s="82">
        <v>6</v>
      </c>
      <c r="D159" s="85" t="s">
        <v>18</v>
      </c>
      <c r="E159" s="78">
        <f t="shared" si="14"/>
        <v>7200000</v>
      </c>
      <c r="F159" s="117">
        <v>1200000</v>
      </c>
      <c r="H159" s="95" t="s">
        <v>88</v>
      </c>
      <c r="I159" s="82">
        <v>6</v>
      </c>
      <c r="J159" s="85" t="s">
        <v>18</v>
      </c>
      <c r="K159" s="78">
        <f t="shared" si="15"/>
        <v>0</v>
      </c>
      <c r="L159" s="78">
        <v>0</v>
      </c>
    </row>
    <row r="160" spans="2:12" x14ac:dyDescent="0.25">
      <c r="B160" s="95" t="s">
        <v>89</v>
      </c>
      <c r="C160" s="82">
        <v>2</v>
      </c>
      <c r="D160" s="85" t="s">
        <v>18</v>
      </c>
      <c r="E160" s="78">
        <f t="shared" si="14"/>
        <v>210000</v>
      </c>
      <c r="F160" s="117">
        <v>105000</v>
      </c>
      <c r="H160" s="95" t="s">
        <v>89</v>
      </c>
      <c r="I160" s="82">
        <v>2</v>
      </c>
      <c r="J160" s="85" t="s">
        <v>18</v>
      </c>
      <c r="K160" s="78">
        <f t="shared" si="15"/>
        <v>210000</v>
      </c>
      <c r="L160" s="84">
        <v>105000</v>
      </c>
    </row>
    <row r="161" spans="2:12" x14ac:dyDescent="0.25">
      <c r="B161" s="95" t="s">
        <v>91</v>
      </c>
      <c r="C161" s="82">
        <v>1</v>
      </c>
      <c r="D161" s="85" t="s">
        <v>18</v>
      </c>
      <c r="E161" s="78">
        <f t="shared" si="14"/>
        <v>160000</v>
      </c>
      <c r="F161" s="117">
        <v>160000</v>
      </c>
      <c r="H161" s="95" t="s">
        <v>91</v>
      </c>
      <c r="I161" s="82">
        <v>1</v>
      </c>
      <c r="J161" s="85" t="s">
        <v>18</v>
      </c>
      <c r="K161" s="78">
        <f t="shared" si="15"/>
        <v>121000</v>
      </c>
      <c r="L161" s="84">
        <v>121000</v>
      </c>
    </row>
    <row r="162" spans="2:12" ht="24" x14ac:dyDescent="0.25">
      <c r="B162" s="95" t="s">
        <v>92</v>
      </c>
      <c r="C162" s="90" t="e">
        <f>'1'!$E$5+'1'!$D$5</f>
        <v>#VALUE!</v>
      </c>
      <c r="D162" s="85" t="s">
        <v>18</v>
      </c>
      <c r="E162" s="78" t="e">
        <f t="shared" si="14"/>
        <v>#VALUE!</v>
      </c>
      <c r="F162" s="84">
        <v>0</v>
      </c>
      <c r="H162" s="95" t="s">
        <v>92</v>
      </c>
      <c r="I162" s="90" t="e">
        <f>'1'!$E$5+'1'!$D$5</f>
        <v>#VALUE!</v>
      </c>
      <c r="J162" s="85" t="s">
        <v>18</v>
      </c>
      <c r="K162" s="78" t="e">
        <f t="shared" si="15"/>
        <v>#VALUE!</v>
      </c>
      <c r="L162" s="84">
        <v>58000</v>
      </c>
    </row>
    <row r="163" spans="2:12" x14ac:dyDescent="0.25">
      <c r="B163" s="81" t="s">
        <v>95</v>
      </c>
      <c r="C163" s="82">
        <v>1</v>
      </c>
      <c r="D163" s="85" t="s">
        <v>40</v>
      </c>
      <c r="E163" s="78">
        <f t="shared" si="14"/>
        <v>500000</v>
      </c>
      <c r="F163" s="117">
        <v>500000</v>
      </c>
      <c r="H163" s="81" t="s">
        <v>95</v>
      </c>
      <c r="I163" s="82">
        <v>6</v>
      </c>
      <c r="J163" s="85" t="s">
        <v>40</v>
      </c>
      <c r="K163" s="78">
        <f t="shared" si="15"/>
        <v>1500000</v>
      </c>
      <c r="L163" s="84">
        <v>250000</v>
      </c>
    </row>
    <row r="164" spans="2:12" ht="24" x14ac:dyDescent="0.25">
      <c r="B164" s="95" t="s">
        <v>93</v>
      </c>
      <c r="C164" s="82">
        <v>20</v>
      </c>
      <c r="D164" s="85" t="s">
        <v>18</v>
      </c>
      <c r="E164" s="78">
        <f t="shared" si="14"/>
        <v>300000</v>
      </c>
      <c r="F164" s="117">
        <v>15000</v>
      </c>
      <c r="H164" s="95" t="s">
        <v>93</v>
      </c>
      <c r="I164" s="82">
        <v>20</v>
      </c>
      <c r="J164" s="85" t="s">
        <v>18</v>
      </c>
      <c r="K164" s="78">
        <f t="shared" si="15"/>
        <v>96000</v>
      </c>
      <c r="L164" s="84">
        <v>4800</v>
      </c>
    </row>
    <row r="165" spans="2:12" ht="24" x14ac:dyDescent="0.25">
      <c r="B165" s="95" t="s">
        <v>94</v>
      </c>
      <c r="C165" s="82" t="e">
        <f>C162*4</f>
        <v>#VALUE!</v>
      </c>
      <c r="D165" s="85" t="s">
        <v>18</v>
      </c>
      <c r="E165" s="78" t="e">
        <f t="shared" si="14"/>
        <v>#VALUE!</v>
      </c>
      <c r="F165" s="117">
        <v>15000</v>
      </c>
      <c r="H165" s="95" t="s">
        <v>94</v>
      </c>
      <c r="I165" s="82" t="e">
        <f>I162*4</f>
        <v>#VALUE!</v>
      </c>
      <c r="J165" s="85" t="s">
        <v>18</v>
      </c>
      <c r="K165" s="78" t="e">
        <f t="shared" si="15"/>
        <v>#VALUE!</v>
      </c>
      <c r="L165" s="84">
        <v>5500</v>
      </c>
    </row>
    <row r="166" spans="2:12" x14ac:dyDescent="0.25">
      <c r="B166" s="81" t="s">
        <v>106</v>
      </c>
      <c r="C166" s="82">
        <f>(C155*3.7)+(C159*2)</f>
        <v>12</v>
      </c>
      <c r="D166" s="85" t="s">
        <v>107</v>
      </c>
      <c r="E166" s="78">
        <f t="shared" si="14"/>
        <v>5400000</v>
      </c>
      <c r="F166" s="117">
        <f>'A1'!$T$2</f>
        <v>450000</v>
      </c>
      <c r="H166" s="81" t="s">
        <v>106</v>
      </c>
      <c r="I166" s="82">
        <f>(I155*8.2)+(I159*2)</f>
        <v>12</v>
      </c>
      <c r="J166" s="85" t="s">
        <v>107</v>
      </c>
      <c r="K166" s="78">
        <f t="shared" si="15"/>
        <v>5400000</v>
      </c>
      <c r="L166" s="117">
        <f>'A1'!$T$2</f>
        <v>450000</v>
      </c>
    </row>
    <row r="167" spans="2:12" ht="21" x14ac:dyDescent="0.25">
      <c r="B167" s="120" t="e">
        <f>SUM(E159:E165)</f>
        <v>#VALUE!</v>
      </c>
      <c r="C167" s="591" t="e">
        <f>SUM(E155:E166)</f>
        <v>#VALUE!</v>
      </c>
      <c r="D167" s="592"/>
      <c r="E167" s="592"/>
      <c r="F167" s="130">
        <f>E166</f>
        <v>5400000</v>
      </c>
      <c r="H167" s="81"/>
      <c r="I167" s="591" t="e">
        <f>SUM(K155:K166)</f>
        <v>#VALUE!</v>
      </c>
      <c r="J167" s="592"/>
      <c r="K167" s="592"/>
      <c r="L167" s="78"/>
    </row>
    <row r="168" spans="2:12" x14ac:dyDescent="0.25">
      <c r="B168" s="74"/>
      <c r="C168" s="74"/>
      <c r="D168" s="74"/>
      <c r="E168" s="74"/>
      <c r="F168" s="74"/>
    </row>
    <row r="169" spans="2:12" ht="21" x14ac:dyDescent="0.25">
      <c r="B169" s="92" t="s">
        <v>137</v>
      </c>
      <c r="C169" s="600" t="s">
        <v>175</v>
      </c>
      <c r="D169" s="600"/>
      <c r="E169" s="600"/>
      <c r="F169" s="96"/>
    </row>
    <row r="170" spans="2:12" x14ac:dyDescent="0.25">
      <c r="B170" s="119" t="s">
        <v>128</v>
      </c>
      <c r="C170" s="79" t="s">
        <v>4</v>
      </c>
      <c r="D170" s="79" t="s">
        <v>15</v>
      </c>
      <c r="E170" s="80" t="s">
        <v>16</v>
      </c>
      <c r="F170" s="78"/>
    </row>
    <row r="171" spans="2:12" x14ac:dyDescent="0.25">
      <c r="B171" s="81" t="s">
        <v>130</v>
      </c>
      <c r="C171" s="82" t="e">
        <f>3*('1'!$E$5+'1'!$D$5)</f>
        <v>#VALUE!</v>
      </c>
      <c r="D171" s="85" t="s">
        <v>40</v>
      </c>
      <c r="E171" s="78" t="e">
        <f>F171*C171</f>
        <v>#VALUE!</v>
      </c>
      <c r="F171" s="88">
        <f>'1'!E9*4.2</f>
        <v>9240000</v>
      </c>
    </row>
    <row r="172" spans="2:12" x14ac:dyDescent="0.25">
      <c r="B172" s="81" t="s">
        <v>131</v>
      </c>
      <c r="C172" s="89">
        <f>'1'!D9</f>
        <v>0</v>
      </c>
      <c r="D172" s="85" t="s">
        <v>40</v>
      </c>
      <c r="E172" s="78">
        <f>F172*C172</f>
        <v>0</v>
      </c>
      <c r="F172" s="88">
        <f>F171</f>
        <v>9240000</v>
      </c>
    </row>
    <row r="173" spans="2:12" x14ac:dyDescent="0.25">
      <c r="B173" s="81" t="s">
        <v>106</v>
      </c>
      <c r="C173" s="82" t="e">
        <f>(C171*4.2)+(C172*4.2)</f>
        <v>#VALUE!</v>
      </c>
      <c r="D173" s="85" t="s">
        <v>107</v>
      </c>
      <c r="E173" s="78" t="e">
        <f>F173*C173</f>
        <v>#VALUE!</v>
      </c>
      <c r="F173" s="117">
        <f>'A1'!$T$2</f>
        <v>450000</v>
      </c>
    </row>
    <row r="174" spans="2:12" x14ac:dyDescent="0.25">
      <c r="B174" s="81" t="s">
        <v>129</v>
      </c>
      <c r="C174" s="90" t="e">
        <f>('1'!$E$5+'1'!$D$5)*1</f>
        <v>#VALUE!</v>
      </c>
      <c r="D174" s="85" t="s">
        <v>40</v>
      </c>
      <c r="E174" s="78" t="e">
        <f>F174*C174</f>
        <v>#VALUE!</v>
      </c>
      <c r="F174" s="117">
        <v>1600000</v>
      </c>
    </row>
    <row r="175" spans="2:12" x14ac:dyDescent="0.25">
      <c r="B175" s="81" t="s">
        <v>112</v>
      </c>
      <c r="C175" s="82" t="e">
        <f>C174*6.2</f>
        <v>#VALUE!</v>
      </c>
      <c r="D175" s="85" t="s">
        <v>107</v>
      </c>
      <c r="E175" s="78" t="e">
        <f t="shared" ref="E175:E177" si="16">F175*C175</f>
        <v>#VALUE!</v>
      </c>
      <c r="F175" s="117">
        <v>75000</v>
      </c>
    </row>
    <row r="176" spans="2:12" x14ac:dyDescent="0.25">
      <c r="B176" s="81" t="s">
        <v>132</v>
      </c>
      <c r="C176" s="82" t="e">
        <f>('1'!$E$5+'1'!$D$5)*2</f>
        <v>#VALUE!</v>
      </c>
      <c r="D176" s="85" t="s">
        <v>18</v>
      </c>
      <c r="E176" s="78" t="e">
        <f t="shared" si="16"/>
        <v>#VALUE!</v>
      </c>
      <c r="F176" s="117">
        <v>1600000</v>
      </c>
    </row>
    <row r="177" spans="2:6" x14ac:dyDescent="0.25">
      <c r="B177" s="81" t="s">
        <v>133</v>
      </c>
      <c r="C177" s="82" t="e">
        <f>C176*8</f>
        <v>#VALUE!</v>
      </c>
      <c r="D177" s="85" t="s">
        <v>18</v>
      </c>
      <c r="E177" s="78" t="e">
        <f t="shared" si="16"/>
        <v>#VALUE!</v>
      </c>
      <c r="F177" s="117">
        <v>25000</v>
      </c>
    </row>
    <row r="178" spans="2:6" ht="21" x14ac:dyDescent="0.25">
      <c r="B178" s="120" t="e">
        <f>SUM(E174,E175:E177)</f>
        <v>#VALUE!</v>
      </c>
      <c r="C178" s="591" t="e">
        <f>SUM(E171:E177)</f>
        <v>#VALUE!</v>
      </c>
      <c r="D178" s="592"/>
      <c r="E178" s="592"/>
      <c r="F178" s="130" t="e">
        <f>SUM(E173)</f>
        <v>#VALUE!</v>
      </c>
    </row>
    <row r="179" spans="2:6" x14ac:dyDescent="0.25">
      <c r="B179" s="74"/>
      <c r="C179" s="74"/>
      <c r="D179" s="74"/>
      <c r="E179" s="74"/>
      <c r="F179" s="74"/>
    </row>
    <row r="180" spans="2:6" ht="21" x14ac:dyDescent="0.25">
      <c r="B180" s="92" t="s">
        <v>137</v>
      </c>
      <c r="C180" s="600" t="s">
        <v>176</v>
      </c>
      <c r="D180" s="600"/>
      <c r="E180" s="600"/>
      <c r="F180" s="97"/>
    </row>
    <row r="181" spans="2:6" x14ac:dyDescent="0.25">
      <c r="B181" s="119" t="s">
        <v>128</v>
      </c>
      <c r="C181" s="79" t="s">
        <v>4</v>
      </c>
      <c r="D181" s="79" t="s">
        <v>15</v>
      </c>
      <c r="E181" s="80" t="s">
        <v>16</v>
      </c>
      <c r="F181" s="78"/>
    </row>
    <row r="182" spans="2:6" x14ac:dyDescent="0.25">
      <c r="B182" s="81" t="s">
        <v>130</v>
      </c>
      <c r="C182" s="82" t="e">
        <f>(2.5*('1'!$E$5+'1'!$D$5))+(3.5*('1'!$E$5+'1'!$D$5))+(IF(AND('1'!$D$9&gt;4,'1'!$D$9&lt;=8),1,IF(AND('1'!$D$9&gt;8,'1'!$D$9&lt;=10),2,0)))*2*2.5</f>
        <v>#VALUE!</v>
      </c>
      <c r="D182" s="85" t="s">
        <v>40</v>
      </c>
      <c r="E182" s="78" t="e">
        <f>F182*C182</f>
        <v>#VALUE!</v>
      </c>
      <c r="F182" s="88">
        <f>F171</f>
        <v>9240000</v>
      </c>
    </row>
    <row r="183" spans="2:6" x14ac:dyDescent="0.25">
      <c r="B183" s="81" t="s">
        <v>131</v>
      </c>
      <c r="C183" s="82">
        <f>('1'!$D$8*2)+('1'!$D$9)</f>
        <v>0</v>
      </c>
      <c r="D183" s="85" t="s">
        <v>40</v>
      </c>
      <c r="E183" s="78">
        <f>F183*C183</f>
        <v>0</v>
      </c>
      <c r="F183" s="88">
        <f>F171</f>
        <v>9240000</v>
      </c>
    </row>
    <row r="184" spans="2:6" x14ac:dyDescent="0.25">
      <c r="B184" s="81" t="s">
        <v>106</v>
      </c>
      <c r="C184" s="82" t="e">
        <f>(C182*4.1)+(C183*4.1)</f>
        <v>#VALUE!</v>
      </c>
      <c r="D184" s="85" t="s">
        <v>107</v>
      </c>
      <c r="E184" s="78" t="e">
        <f>F184*C184</f>
        <v>#VALUE!</v>
      </c>
      <c r="F184" s="117">
        <f>'A1'!$T$2</f>
        <v>450000</v>
      </c>
    </row>
    <row r="185" spans="2:6" x14ac:dyDescent="0.25">
      <c r="B185" s="81" t="s">
        <v>129</v>
      </c>
      <c r="C185" s="82" t="e">
        <f>(0.5*('1'!$E$5+'1'!$D$5))+(0.5*('1'!$E$5+'1'!$D$5))+(IF(AND('1'!$D$9&gt;4,'1'!$D$9&lt;=8),1,IF(AND('1'!$D$9&gt;8,'1'!$D$9&lt;=10),2,0)))*2*0.5</f>
        <v>#VALUE!</v>
      </c>
      <c r="D185" s="85" t="s">
        <v>40</v>
      </c>
      <c r="E185" s="78" t="e">
        <f>F185*C185</f>
        <v>#VALUE!</v>
      </c>
      <c r="F185" s="117">
        <v>1600000</v>
      </c>
    </row>
    <row r="186" spans="2:6" x14ac:dyDescent="0.25">
      <c r="B186" s="81" t="s">
        <v>112</v>
      </c>
      <c r="C186" s="82" t="e">
        <f>C185*6.2</f>
        <v>#VALUE!</v>
      </c>
      <c r="D186" s="85" t="s">
        <v>107</v>
      </c>
      <c r="E186" s="78" t="e">
        <f t="shared" ref="E186:E188" si="17">F186*C186</f>
        <v>#VALUE!</v>
      </c>
      <c r="F186" s="117">
        <v>60000</v>
      </c>
    </row>
    <row r="187" spans="2:6" x14ac:dyDescent="0.25">
      <c r="B187" s="81" t="s">
        <v>132</v>
      </c>
      <c r="C187" s="82" t="e">
        <f>('1'!$E$5+'1'!$D$5)*3</f>
        <v>#VALUE!</v>
      </c>
      <c r="D187" s="85" t="s">
        <v>18</v>
      </c>
      <c r="E187" s="78" t="e">
        <f t="shared" si="17"/>
        <v>#VALUE!</v>
      </c>
      <c r="F187" s="117">
        <v>1600000</v>
      </c>
    </row>
    <row r="188" spans="2:6" x14ac:dyDescent="0.25">
      <c r="B188" s="81" t="s">
        <v>133</v>
      </c>
      <c r="C188" s="82" t="e">
        <f>C187*8</f>
        <v>#VALUE!</v>
      </c>
      <c r="D188" s="85" t="s">
        <v>18</v>
      </c>
      <c r="E188" s="78" t="e">
        <f t="shared" si="17"/>
        <v>#VALUE!</v>
      </c>
      <c r="F188" s="117">
        <v>25000</v>
      </c>
    </row>
    <row r="189" spans="2:6" ht="21" x14ac:dyDescent="0.25">
      <c r="B189" s="120" t="e">
        <f>SUM(E185,E186:E188)</f>
        <v>#VALUE!</v>
      </c>
      <c r="C189" s="591" t="e">
        <f>SUM(E182:E188)</f>
        <v>#VALUE!</v>
      </c>
      <c r="D189" s="592"/>
      <c r="E189" s="592"/>
      <c r="F189" s="130" t="e">
        <f>SUM(E184)</f>
        <v>#VALUE!</v>
      </c>
    </row>
    <row r="190" spans="2:6" x14ac:dyDescent="0.25">
      <c r="B190" s="74"/>
      <c r="C190" s="74"/>
      <c r="D190" s="74"/>
      <c r="E190" s="74"/>
      <c r="F190" s="74"/>
    </row>
    <row r="191" spans="2:6" x14ac:dyDescent="0.25">
      <c r="B191" s="81"/>
      <c r="C191" s="599" t="s">
        <v>113</v>
      </c>
      <c r="D191" s="599"/>
      <c r="E191" s="599"/>
      <c r="F191" s="82"/>
    </row>
    <row r="192" spans="2:6" x14ac:dyDescent="0.25">
      <c r="B192" s="118" t="s">
        <v>178</v>
      </c>
      <c r="C192" s="79" t="s">
        <v>4</v>
      </c>
      <c r="D192" s="79" t="s">
        <v>15</v>
      </c>
      <c r="E192" s="80" t="s">
        <v>16</v>
      </c>
      <c r="F192" s="78"/>
    </row>
    <row r="193" spans="2:6" x14ac:dyDescent="0.25">
      <c r="B193" s="81" t="s">
        <v>177</v>
      </c>
      <c r="C193" s="82">
        <v>2.5</v>
      </c>
      <c r="D193" s="85" t="s">
        <v>40</v>
      </c>
      <c r="E193" s="78">
        <f>F193*C193</f>
        <v>3750000</v>
      </c>
      <c r="F193" s="117">
        <v>1500000</v>
      </c>
    </row>
    <row r="194" spans="2:6" x14ac:dyDescent="0.25">
      <c r="B194" s="81" t="s">
        <v>115</v>
      </c>
      <c r="C194" s="82">
        <v>2.5</v>
      </c>
      <c r="D194" s="85" t="s">
        <v>40</v>
      </c>
      <c r="E194" s="78">
        <f t="shared" ref="E194:E195" si="18">F194*C194</f>
        <v>7500000</v>
      </c>
      <c r="F194" s="117">
        <v>3000000</v>
      </c>
    </row>
    <row r="195" spans="2:6" x14ac:dyDescent="0.25">
      <c r="B195" s="81" t="s">
        <v>106</v>
      </c>
      <c r="C195" s="82">
        <v>20</v>
      </c>
      <c r="D195" s="85" t="s">
        <v>107</v>
      </c>
      <c r="E195" s="78">
        <f t="shared" si="18"/>
        <v>9000000</v>
      </c>
      <c r="F195" s="117">
        <f>'A1'!$T$2</f>
        <v>450000</v>
      </c>
    </row>
    <row r="196" spans="2:6" ht="21" x14ac:dyDescent="0.25">
      <c r="B196" s="120">
        <f>SUM(E193:E194)</f>
        <v>11250000</v>
      </c>
      <c r="C196" s="591">
        <f>SUM(E193:E195)</f>
        <v>20250000</v>
      </c>
      <c r="D196" s="592"/>
      <c r="E196" s="592"/>
      <c r="F196" s="130">
        <f>SUM(E195)</f>
        <v>9000000</v>
      </c>
    </row>
    <row r="197" spans="2:6" x14ac:dyDescent="0.25">
      <c r="B197" s="74"/>
      <c r="C197" s="74"/>
      <c r="D197" s="74"/>
      <c r="E197" s="74"/>
      <c r="F197" s="74"/>
    </row>
  </sheetData>
  <sheetProtection formatCells="0" formatColumns="0" formatRows="0" insertColumns="0" insertRows="0" insertHyperlinks="0" deleteColumns="0" deleteRows="0" sort="0" autoFilter="0" pivotTables="0"/>
  <mergeCells count="37">
    <mergeCell ref="C196:E196"/>
    <mergeCell ref="I167:K167"/>
    <mergeCell ref="C153:E153"/>
    <mergeCell ref="C167:E167"/>
    <mergeCell ref="C169:E169"/>
    <mergeCell ref="C178:E178"/>
    <mergeCell ref="C180:E180"/>
    <mergeCell ref="I153:K153"/>
    <mergeCell ref="C137:E137"/>
    <mergeCell ref="C151:E151"/>
    <mergeCell ref="I120:K120"/>
    <mergeCell ref="C189:E189"/>
    <mergeCell ref="C191:E191"/>
    <mergeCell ref="C99:E99"/>
    <mergeCell ref="C118:E118"/>
    <mergeCell ref="I99:K99"/>
    <mergeCell ref="I118:K118"/>
    <mergeCell ref="I135:K135"/>
    <mergeCell ref="C120:E120"/>
    <mergeCell ref="C135:E135"/>
    <mergeCell ref="C69:E69"/>
    <mergeCell ref="C79:E79"/>
    <mergeCell ref="C81:E81"/>
    <mergeCell ref="C89:E89"/>
    <mergeCell ref="C97:E97"/>
    <mergeCell ref="C33:E33"/>
    <mergeCell ref="C35:E35"/>
    <mergeCell ref="C53:E53"/>
    <mergeCell ref="I55:K55"/>
    <mergeCell ref="I67:K67"/>
    <mergeCell ref="C55:E55"/>
    <mergeCell ref="C67:E67"/>
    <mergeCell ref="C3:E3"/>
    <mergeCell ref="C13:E13"/>
    <mergeCell ref="I13:K13"/>
    <mergeCell ref="I3:K3"/>
    <mergeCell ref="C15:E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115"/>
  <sheetViews>
    <sheetView rightToLeft="1" topLeftCell="G10" workbookViewId="0">
      <selection activeCell="S23" sqref="S23:T23"/>
    </sheetView>
  </sheetViews>
  <sheetFormatPr defaultRowHeight="15" x14ac:dyDescent="0.25"/>
  <cols>
    <col min="1" max="1" width="4.7109375" style="33" customWidth="1"/>
    <col min="2" max="2" width="25.7109375" style="34" customWidth="1"/>
    <col min="3" max="16" width="10.5703125" style="34" customWidth="1"/>
    <col min="17" max="17" width="13.7109375" style="35" customWidth="1"/>
    <col min="18" max="18" width="5.7109375" style="35" customWidth="1"/>
    <col min="19" max="19" width="13.7109375" style="36" customWidth="1"/>
    <col min="20" max="20" width="13.7109375" style="40" customWidth="1"/>
    <col min="21" max="21" width="2.7109375" style="38" customWidth="1"/>
    <col min="22" max="22" width="25.7109375" style="39" customWidth="1"/>
    <col min="23" max="23" width="13.7109375" style="33" customWidth="1"/>
    <col min="24" max="24" width="5.7109375" style="33" customWidth="1"/>
    <col min="25" max="25" width="13.7109375" style="40" customWidth="1"/>
    <col min="26" max="26" width="13.7109375" style="33" customWidth="1"/>
    <col min="27" max="27" width="10.85546875" style="41" bestFit="1" customWidth="1"/>
  </cols>
  <sheetData>
    <row r="1" spans="1:23" x14ac:dyDescent="0.25">
      <c r="T1" s="37" t="s">
        <v>14</v>
      </c>
    </row>
    <row r="2" spans="1:23" ht="29.45" customHeight="1" x14ac:dyDescent="0.25">
      <c r="A2" s="42"/>
      <c r="B2" s="43" t="s">
        <v>2</v>
      </c>
      <c r="C2" s="72" t="s">
        <v>193</v>
      </c>
      <c r="D2" s="72" t="s">
        <v>194</v>
      </c>
      <c r="E2" s="72" t="s">
        <v>195</v>
      </c>
      <c r="F2" s="72" t="s">
        <v>197</v>
      </c>
      <c r="G2" s="72" t="s">
        <v>199</v>
      </c>
      <c r="H2" s="72" t="s">
        <v>196</v>
      </c>
      <c r="I2" s="137" t="s">
        <v>200</v>
      </c>
      <c r="J2" s="137" t="s">
        <v>217</v>
      </c>
      <c r="K2" s="137" t="s">
        <v>218</v>
      </c>
      <c r="L2" s="137" t="s">
        <v>219</v>
      </c>
      <c r="M2" s="137" t="s">
        <v>220</v>
      </c>
      <c r="N2" s="137" t="s">
        <v>221</v>
      </c>
      <c r="O2" s="137" t="s">
        <v>222</v>
      </c>
      <c r="P2" s="137"/>
      <c r="Q2" s="44">
        <f>'2'!D8*'2'!D9*'2'!D10</f>
        <v>0</v>
      </c>
      <c r="R2" s="44"/>
      <c r="S2" s="227" t="s">
        <v>198</v>
      </c>
      <c r="T2" s="164">
        <f>'2'!E17</f>
        <v>450000</v>
      </c>
      <c r="V2" s="113" t="e">
        <f>W2/Q2</f>
        <v>#DIV/0!</v>
      </c>
      <c r="W2" s="112">
        <f>SUM(W3:W24)</f>
        <v>0</v>
      </c>
    </row>
    <row r="3" spans="1:23" x14ac:dyDescent="0.25">
      <c r="A3" s="46">
        <v>1</v>
      </c>
      <c r="B3" s="47" t="s">
        <v>156</v>
      </c>
      <c r="C3" s="138"/>
      <c r="D3" s="47"/>
      <c r="E3" s="138"/>
      <c r="F3" s="138">
        <f>SUM('D2'!K5:K11)</f>
        <v>2642000</v>
      </c>
      <c r="G3" s="47"/>
      <c r="H3" s="47"/>
      <c r="I3" s="138">
        <f>SUM('D2'!K12)</f>
        <v>1125000</v>
      </c>
      <c r="J3" s="138"/>
      <c r="K3" s="138"/>
      <c r="L3" s="138"/>
      <c r="M3" s="138"/>
      <c r="N3" s="138"/>
      <c r="O3" s="138"/>
      <c r="P3" s="140">
        <f>SUM(C3:O3)</f>
        <v>3767000</v>
      </c>
      <c r="Q3" s="225">
        <f>'D2'!I13</f>
        <v>3767000</v>
      </c>
      <c r="R3" s="49">
        <f>(IF('2'!D13="VIP",('2'!D5+'2'!E5),0))*'2'!D10</f>
        <v>0</v>
      </c>
      <c r="S3" s="225">
        <f>R3*Q3</f>
        <v>0</v>
      </c>
      <c r="T3" s="584" t="s">
        <v>151</v>
      </c>
    </row>
    <row r="4" spans="1:23" x14ac:dyDescent="0.25">
      <c r="A4" s="46">
        <f t="shared" ref="A4:A21" si="0">A3+1</f>
        <v>2</v>
      </c>
      <c r="B4" s="47" t="s">
        <v>205</v>
      </c>
      <c r="C4" s="138"/>
      <c r="D4" s="47"/>
      <c r="E4" s="138"/>
      <c r="F4" s="138">
        <f>SUM('D2'!E5:E11)</f>
        <v>2192000</v>
      </c>
      <c r="G4" s="47"/>
      <c r="H4" s="47"/>
      <c r="I4" s="138">
        <f>SUM('D2'!E12)</f>
        <v>810000</v>
      </c>
      <c r="J4" s="138"/>
      <c r="K4" s="138"/>
      <c r="L4" s="138"/>
      <c r="M4" s="138"/>
      <c r="N4" s="138"/>
      <c r="O4" s="138"/>
      <c r="P4" s="140">
        <f t="shared" ref="P4:P6" si="1">SUM(C4:O4)</f>
        <v>3002000</v>
      </c>
      <c r="Q4" s="225">
        <f>'D2'!C13</f>
        <v>3002000</v>
      </c>
      <c r="R4" s="49" t="e">
        <f>(IF('2'!D13="REGULAR",('2'!D5+'2'!E5),0))*'2'!D10</f>
        <v>#VALUE!</v>
      </c>
      <c r="S4" s="225" t="e">
        <f>R4*Q4</f>
        <v>#VALUE!</v>
      </c>
      <c r="T4" s="585"/>
    </row>
    <row r="5" spans="1:23" x14ac:dyDescent="0.25">
      <c r="A5" s="46">
        <f t="shared" si="0"/>
        <v>3</v>
      </c>
      <c r="B5" s="47" t="s">
        <v>5</v>
      </c>
      <c r="C5" s="47"/>
      <c r="D5" s="47"/>
      <c r="E5" s="47"/>
      <c r="F5" s="138">
        <f>SUM('D2'!C33)</f>
        <v>2405000</v>
      </c>
      <c r="G5" s="47"/>
      <c r="H5" s="47"/>
      <c r="I5" s="47"/>
      <c r="J5" s="47"/>
      <c r="K5" s="47"/>
      <c r="L5" s="47"/>
      <c r="M5" s="47"/>
      <c r="N5" s="47"/>
      <c r="O5" s="47"/>
      <c r="P5" s="140">
        <f t="shared" si="1"/>
        <v>2405000</v>
      </c>
      <c r="Q5" s="225">
        <f>'D2'!C33</f>
        <v>2405000</v>
      </c>
      <c r="R5" s="50">
        <f>('2'!D5*'2'!D10)</f>
        <v>0</v>
      </c>
      <c r="S5" s="225">
        <f>R5*Q5</f>
        <v>0</v>
      </c>
      <c r="T5" s="585"/>
    </row>
    <row r="6" spans="1:23" x14ac:dyDescent="0.25">
      <c r="A6" s="51">
        <f t="shared" si="0"/>
        <v>4</v>
      </c>
      <c r="B6" s="52" t="s">
        <v>6</v>
      </c>
      <c r="C6" s="52"/>
      <c r="D6" s="52"/>
      <c r="E6" s="52"/>
      <c r="F6" s="139">
        <f>SUM('D2'!C53)</f>
        <v>2845000</v>
      </c>
      <c r="G6" s="52"/>
      <c r="H6" s="52"/>
      <c r="I6" s="52"/>
      <c r="J6" s="52"/>
      <c r="K6" s="52"/>
      <c r="L6" s="52"/>
      <c r="M6" s="52"/>
      <c r="N6" s="52"/>
      <c r="O6" s="52"/>
      <c r="P6" s="140">
        <f t="shared" si="1"/>
        <v>2845000</v>
      </c>
      <c r="Q6" s="226">
        <f>'D2'!C53</f>
        <v>2845000</v>
      </c>
      <c r="R6" s="54" t="e">
        <f>'2'!E5*'2'!D10</f>
        <v>#VALUE!</v>
      </c>
      <c r="S6" s="226" t="e">
        <f>R6*Q6</f>
        <v>#VALUE!</v>
      </c>
      <c r="T6" s="586"/>
    </row>
    <row r="7" spans="1:23" x14ac:dyDescent="0.25">
      <c r="A7" s="55">
        <f t="shared" si="0"/>
        <v>5</v>
      </c>
      <c r="B7" s="56" t="s">
        <v>134</v>
      </c>
      <c r="C7" s="141" t="e">
        <f>'D2'!K57</f>
        <v>#VALUE!</v>
      </c>
      <c r="D7" s="56"/>
      <c r="E7" s="141" t="e">
        <f>SUM('D2'!K60:K65)</f>
        <v>#VALUE!</v>
      </c>
      <c r="F7" s="56"/>
      <c r="G7" s="56"/>
      <c r="H7" s="141" t="e">
        <f>'D2'!K58</f>
        <v>#VALUE!</v>
      </c>
      <c r="I7" s="141" t="e">
        <f>SUM('D2'!K66)</f>
        <v>#VALUE!</v>
      </c>
      <c r="J7" s="141"/>
      <c r="K7" s="141"/>
      <c r="L7" s="141"/>
      <c r="M7" s="141"/>
      <c r="N7" s="141">
        <f>'D2'!K59</f>
        <v>-135000</v>
      </c>
      <c r="O7" s="141"/>
      <c r="P7" s="143" t="e">
        <f>SUM(C7:O7)</f>
        <v>#VALUE!</v>
      </c>
      <c r="Q7" s="228" t="e">
        <f>'D2'!I67</f>
        <v>#VALUE!</v>
      </c>
      <c r="R7" s="58">
        <f>(IF('2'!$D$17="VIP",('2'!$D$10),0))</f>
        <v>0</v>
      </c>
      <c r="S7" s="228" t="e">
        <f>Q7*R7</f>
        <v>#VALUE!</v>
      </c>
      <c r="T7" s="587" t="s">
        <v>148</v>
      </c>
    </row>
    <row r="8" spans="1:23" x14ac:dyDescent="0.25">
      <c r="A8" s="59">
        <f t="shared" si="0"/>
        <v>6</v>
      </c>
      <c r="B8" s="60" t="s">
        <v>135</v>
      </c>
      <c r="C8" s="142" t="e">
        <f>'D2'!E57</f>
        <v>#VALUE!</v>
      </c>
      <c r="D8" s="60"/>
      <c r="E8" s="142" t="e">
        <f>SUM('D2'!E60:E65)</f>
        <v>#VALUE!</v>
      </c>
      <c r="F8" s="60"/>
      <c r="G8" s="60"/>
      <c r="H8" s="142" t="e">
        <f>'D2'!E58</f>
        <v>#VALUE!</v>
      </c>
      <c r="I8" s="142" t="e">
        <f>SUM('D2'!E66)</f>
        <v>#VALUE!</v>
      </c>
      <c r="J8" s="141"/>
      <c r="K8" s="141"/>
      <c r="L8" s="141"/>
      <c r="M8" s="141"/>
      <c r="N8" s="141">
        <f>'D2'!E59</f>
        <v>-135000</v>
      </c>
      <c r="O8" s="141"/>
      <c r="P8" s="143" t="e">
        <f>SUM(C8:O8)</f>
        <v>#VALUE!</v>
      </c>
      <c r="Q8" s="227" t="e">
        <f>'D2'!C67</f>
        <v>#VALUE!</v>
      </c>
      <c r="R8" s="44">
        <f>(IF('2'!$D$13="REGULAR",('2'!$D$10),0))</f>
        <v>0</v>
      </c>
      <c r="S8" s="227" t="e">
        <f>Q8*R8</f>
        <v>#VALUE!</v>
      </c>
      <c r="T8" s="582"/>
    </row>
    <row r="9" spans="1:23" x14ac:dyDescent="0.25">
      <c r="A9" s="46">
        <f t="shared" si="0"/>
        <v>7</v>
      </c>
      <c r="B9" s="47" t="s">
        <v>49</v>
      </c>
      <c r="C9" s="47"/>
      <c r="D9" s="47"/>
      <c r="E9" s="138"/>
      <c r="F9" s="47"/>
      <c r="G9" s="47"/>
      <c r="H9" s="47"/>
      <c r="I9" s="138">
        <f>SUM('D2'!E86)</f>
        <v>1575000</v>
      </c>
      <c r="J9" s="47"/>
      <c r="K9" s="138">
        <f>SUM('D2'!E83:E85,'D2'!E87:E88)</f>
        <v>3460000</v>
      </c>
      <c r="L9" s="47"/>
      <c r="M9" s="47"/>
      <c r="N9" s="47"/>
      <c r="O9" s="47"/>
      <c r="P9" s="140">
        <f t="shared" ref="P9:P11" si="2">SUM(C9:O9)</f>
        <v>5035000</v>
      </c>
      <c r="Q9" s="225">
        <f>'D2'!C89</f>
        <v>5035000</v>
      </c>
      <c r="R9" s="49" t="e">
        <f>(IF(AND('2'!D8&gt;6,'2'!D8&lt;=8),1,IF(AND('2'!D8&gt;8,'2'!D8&lt;=10),2,0)))*('2'!D5+'2'!E5)*'2'!D10</f>
        <v>#VALUE!</v>
      </c>
      <c r="S9" s="225" t="e">
        <f>R9*Q9</f>
        <v>#VALUE!</v>
      </c>
      <c r="T9" s="584" t="s">
        <v>184</v>
      </c>
    </row>
    <row r="10" spans="1:23" x14ac:dyDescent="0.25">
      <c r="A10" s="46">
        <f t="shared" si="0"/>
        <v>8</v>
      </c>
      <c r="B10" s="47" t="s">
        <v>122</v>
      </c>
      <c r="C10" s="138">
        <f>SUM('D2'!E71)</f>
        <v>0</v>
      </c>
      <c r="D10" s="47"/>
      <c r="E10" s="138">
        <f>SUM('D2'!E75:E78)</f>
        <v>164000</v>
      </c>
      <c r="F10" s="47"/>
      <c r="G10" s="47"/>
      <c r="H10" s="47"/>
      <c r="I10" s="138">
        <f>SUM('D2'!E74)</f>
        <v>0</v>
      </c>
      <c r="J10" s="138"/>
      <c r="K10" s="138">
        <f>SUM('D2'!E72:E73)</f>
        <v>700000</v>
      </c>
      <c r="L10" s="138"/>
      <c r="M10" s="138"/>
      <c r="N10" s="138"/>
      <c r="O10" s="138"/>
      <c r="P10" s="140">
        <f t="shared" si="2"/>
        <v>864000</v>
      </c>
      <c r="Q10" s="225">
        <f>'D2'!C79</f>
        <v>864000</v>
      </c>
      <c r="R10" s="49" t="e">
        <f>(IF(AND('2'!D8&lt;=6),1,IF(AND('2'!D8&gt;6,'2'!D8&lt;=8),2,IF(AND('2'!D8&gt;8,'2'!D8&lt;=10),3,0))))*('2'!D5+'2'!E5-1)*'2'!D10</f>
        <v>#VALUE!</v>
      </c>
      <c r="S10" s="225" t="e">
        <f>R10*Q10</f>
        <v>#VALUE!</v>
      </c>
      <c r="T10" s="585"/>
      <c r="W10" s="39"/>
    </row>
    <row r="11" spans="1:23" x14ac:dyDescent="0.25">
      <c r="A11" s="51">
        <f t="shared" si="0"/>
        <v>9</v>
      </c>
      <c r="B11" s="52" t="s">
        <v>56</v>
      </c>
      <c r="C11" s="52"/>
      <c r="D11" s="52"/>
      <c r="E11" s="139"/>
      <c r="F11" s="52"/>
      <c r="G11" s="52"/>
      <c r="H11" s="52"/>
      <c r="I11" s="52"/>
      <c r="J11" s="138">
        <f>SUM('D2'!C97)</f>
        <v>302000</v>
      </c>
      <c r="K11" s="47"/>
      <c r="L11" s="47"/>
      <c r="M11" s="47"/>
      <c r="N11" s="47"/>
      <c r="O11" s="47"/>
      <c r="P11" s="140">
        <f t="shared" si="2"/>
        <v>302000</v>
      </c>
      <c r="Q11" s="226">
        <f>'D2'!C97</f>
        <v>302000</v>
      </c>
      <c r="R11" s="54">
        <f>('2'!D10)</f>
        <v>0</v>
      </c>
      <c r="S11" s="226">
        <f>R11*Q11</f>
        <v>0</v>
      </c>
      <c r="T11" s="586"/>
      <c r="V11" s="33"/>
    </row>
    <row r="12" spans="1:23" x14ac:dyDescent="0.25">
      <c r="A12" s="55">
        <f t="shared" si="0"/>
        <v>10</v>
      </c>
      <c r="B12" s="56" t="s">
        <v>140</v>
      </c>
      <c r="C12" s="56"/>
      <c r="D12" s="56"/>
      <c r="E12" s="141">
        <f>SUM('D2'!K107:K117)</f>
        <v>4927000</v>
      </c>
      <c r="F12" s="56"/>
      <c r="G12" s="141">
        <f>SUM('D2'!K101)</f>
        <v>60000000</v>
      </c>
      <c r="H12" s="56"/>
      <c r="I12" s="56"/>
      <c r="J12" s="141">
        <f>SUM('D2'!K102:K106)</f>
        <v>1660000</v>
      </c>
      <c r="K12" s="56"/>
      <c r="L12" s="56"/>
      <c r="M12" s="56"/>
      <c r="N12" s="56"/>
      <c r="O12" s="56"/>
      <c r="P12" s="143">
        <f>SUM(C12:O12)</f>
        <v>66587000</v>
      </c>
      <c r="Q12" s="228">
        <f>'D2'!I118</f>
        <v>66587000</v>
      </c>
      <c r="R12" s="58">
        <f>(IF('2'!$D$17="VIP",('2'!$D$10),0))</f>
        <v>0</v>
      </c>
      <c r="S12" s="228">
        <f>Q12*R12</f>
        <v>0</v>
      </c>
      <c r="T12" s="587" t="s">
        <v>149</v>
      </c>
      <c r="V12" s="33"/>
    </row>
    <row r="13" spans="1:23" ht="24" x14ac:dyDescent="0.25">
      <c r="A13" s="59">
        <f t="shared" si="0"/>
        <v>11</v>
      </c>
      <c r="B13" s="60" t="s">
        <v>141</v>
      </c>
      <c r="C13" s="60"/>
      <c r="D13" s="60"/>
      <c r="E13" s="142">
        <f>SUM('D2'!E107:E117)</f>
        <v>4327000</v>
      </c>
      <c r="F13" s="60"/>
      <c r="G13" s="142">
        <f>SUM('D2'!E101)</f>
        <v>0</v>
      </c>
      <c r="H13" s="60"/>
      <c r="I13" s="60"/>
      <c r="J13" s="141">
        <f>SUM('D2'!E102:E106)</f>
        <v>1660000</v>
      </c>
      <c r="K13" s="56"/>
      <c r="L13" s="56"/>
      <c r="M13" s="56"/>
      <c r="N13" s="56"/>
      <c r="O13" s="56"/>
      <c r="P13" s="143">
        <f>SUM(C13:O13)</f>
        <v>5987000</v>
      </c>
      <c r="Q13" s="227">
        <f>'D2'!C118</f>
        <v>5987000</v>
      </c>
      <c r="R13" s="44">
        <f>(IF('2'!$D$13="REGULAR",('2'!$D$10),0))</f>
        <v>0</v>
      </c>
      <c r="S13" s="227">
        <f>Q13*R13</f>
        <v>0</v>
      </c>
      <c r="T13" s="582"/>
      <c r="V13" s="33"/>
    </row>
    <row r="14" spans="1:23" ht="24" x14ac:dyDescent="0.25">
      <c r="A14" s="46">
        <f t="shared" si="0"/>
        <v>12</v>
      </c>
      <c r="B14" s="47" t="s">
        <v>143</v>
      </c>
      <c r="C14" s="138">
        <f>SUM('D2'!K123:K124)</f>
        <v>0</v>
      </c>
      <c r="D14" s="138">
        <f>SUM('D2'!K122)</f>
        <v>0</v>
      </c>
      <c r="E14" s="138">
        <f>SUM('D2'!K126:K133)</f>
        <v>727000</v>
      </c>
      <c r="F14" s="47"/>
      <c r="G14" s="47"/>
      <c r="H14" s="47"/>
      <c r="I14" s="138">
        <f>SUM('D2'!K134)</f>
        <v>0</v>
      </c>
      <c r="J14" s="138"/>
      <c r="K14" s="138"/>
      <c r="L14" s="138">
        <f>'D2'!K125</f>
        <v>0</v>
      </c>
      <c r="M14" s="138"/>
      <c r="N14" s="138"/>
      <c r="O14" s="138"/>
      <c r="P14" s="140">
        <f t="shared" ref="P14:P18" si="3">SUM(C14:O14)</f>
        <v>727000</v>
      </c>
      <c r="Q14" s="225">
        <f>'D2'!I135</f>
        <v>727000</v>
      </c>
      <c r="R14" s="49">
        <f>(IF('2'!$D$17="VIP",('2'!$D$10),0))</f>
        <v>0</v>
      </c>
      <c r="S14" s="225">
        <f>Q14*R14</f>
        <v>0</v>
      </c>
      <c r="T14" s="588" t="s">
        <v>185</v>
      </c>
      <c r="V14" s="33"/>
    </row>
    <row r="15" spans="1:23" ht="24" x14ac:dyDescent="0.25">
      <c r="A15" s="51">
        <f t="shared" si="0"/>
        <v>13</v>
      </c>
      <c r="B15" s="52" t="s">
        <v>142</v>
      </c>
      <c r="C15" s="139">
        <f>SUM('D2'!E123:E124)</f>
        <v>0</v>
      </c>
      <c r="D15" s="139">
        <f>SUM('D2'!E122)</f>
        <v>0</v>
      </c>
      <c r="E15" s="139">
        <f>SUM('D2'!E126:E133)</f>
        <v>727000</v>
      </c>
      <c r="F15" s="52"/>
      <c r="G15" s="52"/>
      <c r="H15" s="52"/>
      <c r="I15" s="139">
        <f>SUM('D2'!E134)</f>
        <v>0</v>
      </c>
      <c r="J15" s="138"/>
      <c r="K15" s="138"/>
      <c r="L15" s="138">
        <f>'D2'!E125</f>
        <v>0</v>
      </c>
      <c r="M15" s="138"/>
      <c r="N15" s="138"/>
      <c r="O15" s="138"/>
      <c r="P15" s="140">
        <f t="shared" si="3"/>
        <v>727000</v>
      </c>
      <c r="Q15" s="226">
        <f>'D2'!C135</f>
        <v>727000</v>
      </c>
      <c r="R15" s="61">
        <f>(IF('2'!$D$13="REGULAR",('2'!$D$10),0))</f>
        <v>0</v>
      </c>
      <c r="S15" s="226">
        <f>Q15*R15</f>
        <v>0</v>
      </c>
      <c r="T15" s="589"/>
      <c r="V15" s="33"/>
    </row>
    <row r="16" spans="1:23" ht="18.75" customHeight="1" x14ac:dyDescent="0.25">
      <c r="A16" s="62">
        <f t="shared" si="0"/>
        <v>14</v>
      </c>
      <c r="B16" s="63" t="s">
        <v>76</v>
      </c>
      <c r="C16" s="63"/>
      <c r="D16" s="144">
        <f>'D2'!E139</f>
        <v>0</v>
      </c>
      <c r="E16" s="144" t="e">
        <f>SUM('D2'!E144:E149)</f>
        <v>#VALUE!</v>
      </c>
      <c r="F16" s="63"/>
      <c r="G16" s="63"/>
      <c r="H16" s="63"/>
      <c r="I16" s="144">
        <f>SUM('D2'!E150)</f>
        <v>0</v>
      </c>
      <c r="J16" s="141" t="e">
        <f>SUM('D2'!E140:E142)</f>
        <v>#VALUE!</v>
      </c>
      <c r="K16" s="141">
        <f>'D2'!E143</f>
        <v>3700000</v>
      </c>
      <c r="L16" s="141"/>
      <c r="M16" s="141"/>
      <c r="N16" s="141"/>
      <c r="O16" s="141"/>
      <c r="P16" s="143" t="e">
        <f>SUM(C16:O16)</f>
        <v>#VALUE!</v>
      </c>
      <c r="Q16" s="64" t="e">
        <f>'D2'!C151</f>
        <v>#VALUE!</v>
      </c>
      <c r="R16" s="65">
        <f>'2'!D10</f>
        <v>0</v>
      </c>
      <c r="S16" s="64" t="e">
        <f>R16*Q16</f>
        <v>#VALUE!</v>
      </c>
      <c r="T16" s="135" t="s">
        <v>76</v>
      </c>
      <c r="V16" s="33"/>
    </row>
    <row r="17" spans="1:30" x14ac:dyDescent="0.25">
      <c r="A17" s="46">
        <f t="shared" si="0"/>
        <v>15</v>
      </c>
      <c r="B17" s="47" t="s">
        <v>144</v>
      </c>
      <c r="C17" s="138">
        <f>SUM('D2'!K155:K157)</f>
        <v>0</v>
      </c>
      <c r="D17" s="47"/>
      <c r="E17" s="138"/>
      <c r="F17" s="47"/>
      <c r="G17" s="47"/>
      <c r="H17" s="47"/>
      <c r="I17" s="138">
        <f>SUM('D2'!K166)</f>
        <v>5400000</v>
      </c>
      <c r="J17" s="138"/>
      <c r="K17" s="138"/>
      <c r="L17" s="138"/>
      <c r="M17" s="138"/>
      <c r="N17" s="138">
        <f>'D2'!K158</f>
        <v>0</v>
      </c>
      <c r="O17" s="138" t="e">
        <f>SUM('D2'!K159:K165)</f>
        <v>#VALUE!</v>
      </c>
      <c r="P17" s="140" t="e">
        <f t="shared" si="3"/>
        <v>#VALUE!</v>
      </c>
      <c r="Q17" s="225" t="e">
        <f>'D2'!I167</f>
        <v>#VALUE!</v>
      </c>
      <c r="R17" s="49">
        <f>(IF('2'!$D$17="vip",('2'!$D$10),0))</f>
        <v>0</v>
      </c>
      <c r="S17" s="225" t="e">
        <f>Q17*R17</f>
        <v>#VALUE!</v>
      </c>
      <c r="T17" s="585" t="s">
        <v>150</v>
      </c>
      <c r="V17" s="33"/>
    </row>
    <row r="18" spans="1:30" ht="24" x14ac:dyDescent="0.25">
      <c r="A18" s="51">
        <f t="shared" si="0"/>
        <v>16</v>
      </c>
      <c r="B18" s="52" t="s">
        <v>145</v>
      </c>
      <c r="C18" s="139">
        <f>SUM('D2'!E157)</f>
        <v>0</v>
      </c>
      <c r="D18" s="52"/>
      <c r="E18" s="139"/>
      <c r="F18" s="52"/>
      <c r="G18" s="52"/>
      <c r="H18" s="52"/>
      <c r="I18" s="139">
        <f>SUM('D2'!E166)</f>
        <v>5400000</v>
      </c>
      <c r="J18" s="138"/>
      <c r="K18" s="138"/>
      <c r="L18" s="138"/>
      <c r="M18" s="138"/>
      <c r="N18" s="138">
        <f>'D2'!E158</f>
        <v>0</v>
      </c>
      <c r="O18" s="138" t="e">
        <f>SUM('D2'!E159:E165)</f>
        <v>#VALUE!</v>
      </c>
      <c r="P18" s="140" t="e">
        <f t="shared" si="3"/>
        <v>#VALUE!</v>
      </c>
      <c r="Q18" s="226" t="e">
        <f>'D2'!C167</f>
        <v>#VALUE!</v>
      </c>
      <c r="R18" s="61">
        <f>(IF('2'!$D$13="REGULAR",('2'!$D$10),0))</f>
        <v>0</v>
      </c>
      <c r="S18" s="226" t="e">
        <f>Q18*R18</f>
        <v>#VALUE!</v>
      </c>
      <c r="T18" s="586"/>
      <c r="V18" s="33"/>
    </row>
    <row r="19" spans="1:30" ht="24" x14ac:dyDescent="0.25">
      <c r="A19" s="55">
        <f>A18+1</f>
        <v>17</v>
      </c>
      <c r="B19" s="56" t="s">
        <v>146</v>
      </c>
      <c r="C19" s="141" t="e">
        <f>SUM('D2'!E171:E172)</f>
        <v>#VALUE!</v>
      </c>
      <c r="D19" s="56"/>
      <c r="E19" s="141" t="e">
        <f>'D2'!E177</f>
        <v>#VALUE!</v>
      </c>
      <c r="F19" s="56"/>
      <c r="G19" s="56"/>
      <c r="H19" s="56"/>
      <c r="I19" s="141" t="e">
        <f>SUM('D2'!E173)</f>
        <v>#VALUE!</v>
      </c>
      <c r="J19" s="141" t="e">
        <f>SUM('D2'!E174:E175)</f>
        <v>#VALUE!</v>
      </c>
      <c r="K19" s="141" t="e">
        <f>'D2'!E176</f>
        <v>#VALUE!</v>
      </c>
      <c r="L19" s="141"/>
      <c r="M19" s="141"/>
      <c r="N19" s="141"/>
      <c r="O19" s="141"/>
      <c r="P19" s="143" t="e">
        <f>SUM(C19:O19)</f>
        <v>#VALUE!</v>
      </c>
      <c r="Q19" s="228" t="e">
        <f>'D2'!C178</f>
        <v>#VALUE!</v>
      </c>
      <c r="R19" s="58">
        <f>(IF(AND('2'!$D$13="REGULAR",'2'!$D$15="SAYANEH"),('2'!$D$10),0))</f>
        <v>0</v>
      </c>
      <c r="S19" s="228" t="e">
        <f>R19*Q19</f>
        <v>#VALUE!</v>
      </c>
      <c r="T19" s="581"/>
      <c r="V19" s="33"/>
    </row>
    <row r="20" spans="1:30" ht="24" x14ac:dyDescent="0.25">
      <c r="A20" s="55">
        <f>A19+1</f>
        <v>18</v>
      </c>
      <c r="B20" s="60" t="s">
        <v>147</v>
      </c>
      <c r="C20" s="142" t="e">
        <f>SUM('D2'!E182:E183)</f>
        <v>#VALUE!</v>
      </c>
      <c r="D20" s="60"/>
      <c r="E20" s="142" t="e">
        <f>'D2'!E188</f>
        <v>#VALUE!</v>
      </c>
      <c r="F20" s="60"/>
      <c r="G20" s="60"/>
      <c r="H20" s="60"/>
      <c r="I20" s="142" t="e">
        <f>'D2'!E184</f>
        <v>#VALUE!</v>
      </c>
      <c r="J20" s="141" t="e">
        <f>SUM('D2'!E185:E186)</f>
        <v>#VALUE!</v>
      </c>
      <c r="K20" s="141" t="e">
        <f>'D2'!E187</f>
        <v>#VALUE!</v>
      </c>
      <c r="L20" s="141"/>
      <c r="M20" s="141"/>
      <c r="N20" s="141"/>
      <c r="O20" s="141"/>
      <c r="P20" s="143" t="e">
        <f>SUM(C20:O20)</f>
        <v>#VALUE!</v>
      </c>
      <c r="Q20" s="227" t="e">
        <f>'D2'!C189</f>
        <v>#VALUE!</v>
      </c>
      <c r="R20" s="44">
        <f>(IF(AND('2'!$D$13="REGULAR",'2'!$D$15="PAVLION"),('2'!$D$10),0))</f>
        <v>0</v>
      </c>
      <c r="S20" s="227" t="e">
        <f>R20*Q20</f>
        <v>#VALUE!</v>
      </c>
      <c r="T20" s="582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x14ac:dyDescent="0.25">
      <c r="A21" s="66">
        <f t="shared" si="0"/>
        <v>19</v>
      </c>
      <c r="B21" s="67" t="s">
        <v>114</v>
      </c>
      <c r="C21" s="67"/>
      <c r="D21" s="67"/>
      <c r="E21" s="145"/>
      <c r="F21" s="67"/>
      <c r="G21" s="67"/>
      <c r="H21" s="67"/>
      <c r="I21" s="145">
        <f>SUM('D2'!E195)</f>
        <v>9000000</v>
      </c>
      <c r="J21" s="138">
        <f>'D2'!E193</f>
        <v>3750000</v>
      </c>
      <c r="K21" s="138">
        <f>'D2'!E194</f>
        <v>7500000</v>
      </c>
      <c r="L21" s="138"/>
      <c r="M21" s="138"/>
      <c r="N21" s="138"/>
      <c r="O21" s="138"/>
      <c r="P21" s="140">
        <f t="shared" ref="P21" si="4">SUM(C21:O21)</f>
        <v>20250000</v>
      </c>
      <c r="Q21" s="68">
        <f>'D2'!C196</f>
        <v>20250000</v>
      </c>
      <c r="R21" s="69" t="e">
        <f>(IF(AND('2'!D8&gt;6,'2'!D8&lt;=8),1,IF(AND('2'!D8&gt;8,'2'!D8&lt;=10),2,0)))*('2'!D5+'2'!E5)*('2'!D10)</f>
        <v>#VALUE!</v>
      </c>
      <c r="S21" s="68" t="e">
        <f>R21*Q21</f>
        <v>#VALUE!</v>
      </c>
      <c r="T21" s="68"/>
      <c r="V21" s="38"/>
      <c r="W21" s="38"/>
      <c r="X21" s="38"/>
      <c r="Y21" s="38"/>
      <c r="Z21" s="38"/>
      <c r="AA21" s="38"/>
      <c r="AB21" s="38"/>
      <c r="AC21" s="38"/>
      <c r="AD21" s="38"/>
    </row>
    <row r="22" spans="1:30" ht="15" customHeight="1" x14ac:dyDescent="0.25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  <c r="R22" s="72"/>
      <c r="S22" s="583" t="e">
        <f>S23*'پیش فاکتور سقف متحرک'!G20</f>
        <v>#VALUE!</v>
      </c>
      <c r="T22" s="583"/>
      <c r="V22" s="38"/>
      <c r="W22" s="38"/>
      <c r="X22" s="38"/>
      <c r="Y22" s="38"/>
      <c r="Z22" s="38"/>
      <c r="AA22" s="38"/>
      <c r="AB22" s="38"/>
      <c r="AC22" s="38"/>
      <c r="AD22" s="38"/>
    </row>
    <row r="23" spans="1:30" ht="15.75" x14ac:dyDescent="0.25">
      <c r="A23" s="46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6" t="s">
        <v>7</v>
      </c>
      <c r="S23" s="579" t="e">
        <f>((SUM(S3:S21))/Q2)</f>
        <v>#VALUE!</v>
      </c>
      <c r="T23" s="579"/>
      <c r="V23" s="38"/>
      <c r="W23" s="38"/>
      <c r="X23" s="38"/>
      <c r="Y23" s="38"/>
      <c r="Z23" s="38"/>
      <c r="AA23" s="38"/>
      <c r="AB23" s="38"/>
      <c r="AC23" s="38"/>
      <c r="AD23" s="38"/>
    </row>
    <row r="24" spans="1:30" ht="15.75" x14ac:dyDescent="0.25">
      <c r="A24" s="55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7" t="s">
        <v>8</v>
      </c>
      <c r="S24" s="580">
        <v>3000000</v>
      </c>
      <c r="T24" s="580"/>
      <c r="V24" s="38"/>
      <c r="W24" s="38"/>
      <c r="X24" s="38"/>
      <c r="Y24" s="38"/>
      <c r="Z24" s="38"/>
      <c r="AA24" s="38"/>
      <c r="AB24" s="38"/>
      <c r="AC24" s="38"/>
      <c r="AD24" s="38"/>
    </row>
    <row r="25" spans="1:30" ht="15.75" x14ac:dyDescent="0.25">
      <c r="A25" s="46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8" t="s">
        <v>9</v>
      </c>
      <c r="S25" s="579" t="e">
        <f>(S23+S24)*('2'!G4*0.01)</f>
        <v>#VALUE!</v>
      </c>
      <c r="T25" s="579"/>
      <c r="V25" s="38"/>
      <c r="W25" s="38"/>
      <c r="X25" s="38"/>
      <c r="Y25" s="38"/>
      <c r="Z25" s="38"/>
      <c r="AA25" s="38"/>
      <c r="AB25" s="38"/>
      <c r="AC25" s="38"/>
      <c r="AD25" s="38"/>
    </row>
    <row r="26" spans="1:30" ht="15.75" x14ac:dyDescent="0.25">
      <c r="A26" s="5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9" t="s">
        <v>10</v>
      </c>
      <c r="S26" s="580" t="e">
        <f>(S23+S24)*('2'!G5*0.01)</f>
        <v>#VALUE!</v>
      </c>
      <c r="T26" s="580"/>
      <c r="V26" s="38"/>
      <c r="W26" s="38"/>
      <c r="X26" s="38"/>
      <c r="Y26" s="38"/>
      <c r="Z26" s="38"/>
      <c r="AA26" s="38"/>
      <c r="AB26" s="38"/>
      <c r="AC26" s="38"/>
      <c r="AD26" s="38"/>
    </row>
    <row r="27" spans="1:30" ht="15.75" x14ac:dyDescent="0.25">
      <c r="A27" s="46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8" t="s">
        <v>11</v>
      </c>
      <c r="S27" s="579" t="e">
        <f>(S23+S24)*('2'!G6*0.01)</f>
        <v>#VALUE!</v>
      </c>
      <c r="T27" s="579"/>
      <c r="V27" s="38"/>
      <c r="W27" s="38"/>
      <c r="X27" s="38"/>
      <c r="Y27" s="38"/>
      <c r="Z27" s="38"/>
      <c r="AA27" s="38"/>
      <c r="AB27" s="38"/>
      <c r="AC27" s="38"/>
      <c r="AD27" s="38"/>
    </row>
    <row r="28" spans="1:30" ht="15.75" x14ac:dyDescent="0.25">
      <c r="A28" s="5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9" t="s">
        <v>12</v>
      </c>
      <c r="S28" s="580" t="e">
        <f>(S23+S24)*('2'!G7*0.01)</f>
        <v>#VALUE!</v>
      </c>
      <c r="T28" s="580"/>
      <c r="V28" s="38"/>
      <c r="W28" s="38"/>
      <c r="X28" s="38"/>
      <c r="Y28" s="38"/>
      <c r="Z28" s="38"/>
      <c r="AA28" s="38"/>
      <c r="AB28" s="38"/>
      <c r="AC28" s="38"/>
      <c r="AD28" s="38"/>
    </row>
    <row r="29" spans="1:30" ht="15.75" x14ac:dyDescent="0.25">
      <c r="A29" s="46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8" t="s">
        <v>13</v>
      </c>
      <c r="S29" s="579" t="e">
        <f>(S23+S24+S25+S26+S27+S28)*('2'!G8*0.01)</f>
        <v>#VALUE!</v>
      </c>
      <c r="T29" s="579"/>
    </row>
    <row r="30" spans="1:30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30" ht="15" customHeight="1" x14ac:dyDescent="0.25">
      <c r="A31" s="9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3"/>
      <c r="R31" s="33"/>
      <c r="S31" s="40"/>
      <c r="T31" s="33"/>
      <c r="U31" s="39"/>
    </row>
    <row r="32" spans="1:30" ht="15" customHeight="1" x14ac:dyDescent="0.25">
      <c r="A32" s="98"/>
      <c r="B32" s="73" t="e">
        <f>SUM(C32:O32)</f>
        <v>#VALUE!</v>
      </c>
      <c r="C32" s="138" t="e">
        <f>SUM(C34:C52)</f>
        <v>#VALUE!</v>
      </c>
      <c r="D32" s="138" t="e">
        <f t="shared" ref="D32:O32" si="5">SUM(D34:D52)</f>
        <v>#VALUE!</v>
      </c>
      <c r="E32" s="138" t="e">
        <f t="shared" si="5"/>
        <v>#VALUE!</v>
      </c>
      <c r="F32" s="138" t="e">
        <f t="shared" si="5"/>
        <v>#VALUE!</v>
      </c>
      <c r="G32" s="138" t="e">
        <f t="shared" si="5"/>
        <v>#VALUE!</v>
      </c>
      <c r="H32" s="138" t="e">
        <f t="shared" si="5"/>
        <v>#VALUE!</v>
      </c>
      <c r="I32" s="138" t="e">
        <f t="shared" si="5"/>
        <v>#VALUE!</v>
      </c>
      <c r="J32" s="138" t="e">
        <f t="shared" si="5"/>
        <v>#VALUE!</v>
      </c>
      <c r="K32" s="138" t="e">
        <f t="shared" si="5"/>
        <v>#VALUE!</v>
      </c>
      <c r="L32" s="138" t="e">
        <f t="shared" si="5"/>
        <v>#VALUE!</v>
      </c>
      <c r="M32" s="138" t="e">
        <f t="shared" si="5"/>
        <v>#VALUE!</v>
      </c>
      <c r="N32" s="138" t="e">
        <f t="shared" si="5"/>
        <v>#VALUE!</v>
      </c>
      <c r="O32" s="138" t="e">
        <f t="shared" si="5"/>
        <v>#VALUE!</v>
      </c>
      <c r="P32" s="39"/>
      <c r="Q32" s="33"/>
      <c r="R32" s="33"/>
      <c r="S32" s="40"/>
      <c r="T32" s="33"/>
      <c r="U32" s="39"/>
    </row>
    <row r="33" spans="1:21" ht="24.6" customHeight="1" x14ac:dyDescent="0.25">
      <c r="A33" s="42"/>
      <c r="B33" s="43" t="s">
        <v>2</v>
      </c>
      <c r="C33" s="146" t="s">
        <v>193</v>
      </c>
      <c r="D33" s="146" t="s">
        <v>194</v>
      </c>
      <c r="E33" s="146" t="s">
        <v>195</v>
      </c>
      <c r="F33" s="146" t="s">
        <v>197</v>
      </c>
      <c r="G33" s="146" t="s">
        <v>199</v>
      </c>
      <c r="H33" s="146" t="s">
        <v>196</v>
      </c>
      <c r="I33" s="147" t="s">
        <v>200</v>
      </c>
      <c r="J33" s="137" t="s">
        <v>217</v>
      </c>
      <c r="K33" s="137" t="s">
        <v>218</v>
      </c>
      <c r="L33" s="137" t="s">
        <v>219</v>
      </c>
      <c r="M33" s="137" t="s">
        <v>220</v>
      </c>
      <c r="N33" s="137" t="s">
        <v>221</v>
      </c>
      <c r="O33" s="137" t="s">
        <v>222</v>
      </c>
      <c r="P33" s="39"/>
      <c r="Q33" s="33"/>
      <c r="R33" s="33"/>
      <c r="U33" s="39"/>
    </row>
    <row r="34" spans="1:21" ht="15" customHeight="1" x14ac:dyDescent="0.25">
      <c r="A34" s="46">
        <v>1</v>
      </c>
      <c r="B34" s="47" t="s">
        <v>156</v>
      </c>
      <c r="C34" s="138"/>
      <c r="D34" s="138"/>
      <c r="E34" s="138"/>
      <c r="F34" s="138">
        <f>F3*$R$3</f>
        <v>0</v>
      </c>
      <c r="G34" s="138"/>
      <c r="H34" s="138"/>
      <c r="I34" s="138">
        <f>I3*$R$3</f>
        <v>0</v>
      </c>
      <c r="J34" s="138"/>
      <c r="K34" s="138"/>
      <c r="L34" s="138"/>
      <c r="M34" s="138"/>
      <c r="N34" s="138"/>
      <c r="O34" s="138"/>
      <c r="P34" s="39"/>
      <c r="Q34" s="33"/>
      <c r="R34" s="33"/>
      <c r="U34" s="39"/>
    </row>
    <row r="35" spans="1:21" ht="15" customHeight="1" x14ac:dyDescent="0.25">
      <c r="A35" s="46">
        <f t="shared" ref="A35:A52" si="6">A34+1</f>
        <v>2</v>
      </c>
      <c r="B35" s="47" t="s">
        <v>205</v>
      </c>
      <c r="C35" s="138"/>
      <c r="D35" s="138"/>
      <c r="E35" s="138"/>
      <c r="F35" s="138" t="e">
        <f>F4*$R$4</f>
        <v>#VALUE!</v>
      </c>
      <c r="G35" s="138"/>
      <c r="H35" s="138"/>
      <c r="I35" s="138" t="e">
        <f>I4*$R$4</f>
        <v>#VALUE!</v>
      </c>
      <c r="J35" s="138"/>
      <c r="K35" s="138"/>
      <c r="L35" s="138"/>
      <c r="M35" s="138"/>
      <c r="N35" s="138"/>
      <c r="O35" s="138"/>
      <c r="P35" s="39"/>
      <c r="Q35" s="33"/>
      <c r="R35" s="33"/>
      <c r="U35" s="39"/>
    </row>
    <row r="36" spans="1:21" ht="15" customHeight="1" x14ac:dyDescent="0.25">
      <c r="A36" s="46">
        <f t="shared" si="6"/>
        <v>3</v>
      </c>
      <c r="B36" s="47" t="s">
        <v>5</v>
      </c>
      <c r="C36" s="138"/>
      <c r="D36" s="138"/>
      <c r="E36" s="138"/>
      <c r="F36" s="138">
        <f>F5*$R$5</f>
        <v>0</v>
      </c>
      <c r="G36" s="138"/>
      <c r="H36" s="138"/>
      <c r="I36" s="138">
        <f>I5*$R$5</f>
        <v>0</v>
      </c>
      <c r="J36" s="138"/>
      <c r="K36" s="138"/>
      <c r="L36" s="138"/>
      <c r="M36" s="138"/>
      <c r="N36" s="138"/>
      <c r="O36" s="138"/>
      <c r="P36" s="39"/>
      <c r="Q36" s="33"/>
      <c r="R36" s="33"/>
      <c r="U36" s="39"/>
    </row>
    <row r="37" spans="1:21" ht="15" customHeight="1" x14ac:dyDescent="0.25">
      <c r="A37" s="51">
        <f t="shared" si="6"/>
        <v>4</v>
      </c>
      <c r="B37" s="52" t="s">
        <v>6</v>
      </c>
      <c r="C37" s="139"/>
      <c r="D37" s="139"/>
      <c r="E37" s="139"/>
      <c r="F37" s="139" t="e">
        <f>F6*$R$6</f>
        <v>#VALUE!</v>
      </c>
      <c r="G37" s="139"/>
      <c r="H37" s="139"/>
      <c r="I37" s="138" t="e">
        <f>I6*$R$6</f>
        <v>#VALUE!</v>
      </c>
      <c r="J37" s="138"/>
      <c r="K37" s="138"/>
      <c r="L37" s="138"/>
      <c r="M37" s="138"/>
      <c r="N37" s="138"/>
      <c r="O37" s="138"/>
      <c r="P37" s="39"/>
      <c r="Q37" s="33"/>
      <c r="R37" s="33"/>
      <c r="U37" s="39"/>
    </row>
    <row r="38" spans="1:21" ht="15" customHeight="1" x14ac:dyDescent="0.25">
      <c r="A38" s="55">
        <f t="shared" si="6"/>
        <v>5</v>
      </c>
      <c r="B38" s="56" t="s">
        <v>134</v>
      </c>
      <c r="C38" s="148" t="e">
        <f>C7*$R$7</f>
        <v>#VALUE!</v>
      </c>
      <c r="D38" s="148"/>
      <c r="E38" s="148" t="e">
        <f>E7*$R$7</f>
        <v>#VALUE!</v>
      </c>
      <c r="F38" s="148"/>
      <c r="G38" s="148"/>
      <c r="H38" s="148" t="e">
        <f>H7*$R$7</f>
        <v>#VALUE!</v>
      </c>
      <c r="I38" s="151" t="e">
        <f>I7*$R$7</f>
        <v>#VALUE!</v>
      </c>
      <c r="J38" s="151">
        <f t="shared" ref="J38:O38" si="7">J7*$R$7</f>
        <v>0</v>
      </c>
      <c r="K38" s="151">
        <f t="shared" si="7"/>
        <v>0</v>
      </c>
      <c r="L38" s="151">
        <f t="shared" si="7"/>
        <v>0</v>
      </c>
      <c r="M38" s="151">
        <f t="shared" si="7"/>
        <v>0</v>
      </c>
      <c r="N38" s="151">
        <f t="shared" si="7"/>
        <v>0</v>
      </c>
      <c r="O38" s="151">
        <f t="shared" si="7"/>
        <v>0</v>
      </c>
      <c r="P38" s="39"/>
      <c r="Q38" s="33"/>
      <c r="R38" s="33"/>
      <c r="U38" s="39"/>
    </row>
    <row r="39" spans="1:21" ht="15" customHeight="1" x14ac:dyDescent="0.25">
      <c r="A39" s="59">
        <f t="shared" si="6"/>
        <v>6</v>
      </c>
      <c r="B39" s="60" t="s">
        <v>135</v>
      </c>
      <c r="C39" s="149" t="e">
        <f>C8*$R$8</f>
        <v>#VALUE!</v>
      </c>
      <c r="D39" s="149"/>
      <c r="E39" s="149" t="e">
        <f>E8*$R$8</f>
        <v>#VALUE!</v>
      </c>
      <c r="F39" s="149"/>
      <c r="G39" s="149"/>
      <c r="H39" s="149" t="e">
        <f>H8*$R$8</f>
        <v>#VALUE!</v>
      </c>
      <c r="I39" s="149" t="e">
        <f>I8*$R$8</f>
        <v>#VALUE!</v>
      </c>
      <c r="J39" s="149">
        <f t="shared" ref="J39:O39" si="8">J8*$R$8</f>
        <v>0</v>
      </c>
      <c r="K39" s="149">
        <f t="shared" si="8"/>
        <v>0</v>
      </c>
      <c r="L39" s="149">
        <f t="shared" si="8"/>
        <v>0</v>
      </c>
      <c r="M39" s="149">
        <f t="shared" si="8"/>
        <v>0</v>
      </c>
      <c r="N39" s="149">
        <f t="shared" si="8"/>
        <v>0</v>
      </c>
      <c r="O39" s="149">
        <f t="shared" si="8"/>
        <v>0</v>
      </c>
      <c r="P39" s="39"/>
      <c r="Q39" s="33"/>
      <c r="R39" s="33"/>
      <c r="U39" s="39"/>
    </row>
    <row r="40" spans="1:21" ht="15" customHeight="1" x14ac:dyDescent="0.25">
      <c r="A40" s="46">
        <f t="shared" si="6"/>
        <v>7</v>
      </c>
      <c r="B40" s="47" t="s">
        <v>49</v>
      </c>
      <c r="C40" s="138" t="e">
        <f>C9*$R$9</f>
        <v>#VALUE!</v>
      </c>
      <c r="D40" s="138"/>
      <c r="E40" s="138" t="e">
        <f>E9*$R$9</f>
        <v>#VALUE!</v>
      </c>
      <c r="F40" s="138"/>
      <c r="G40" s="138"/>
      <c r="H40" s="138"/>
      <c r="I40" s="138" t="e">
        <f>I9*$R$9</f>
        <v>#VALUE!</v>
      </c>
      <c r="J40" s="138" t="e">
        <f t="shared" ref="J40:O40" si="9">J9*$R$9</f>
        <v>#VALUE!</v>
      </c>
      <c r="K40" s="138" t="e">
        <f t="shared" si="9"/>
        <v>#VALUE!</v>
      </c>
      <c r="L40" s="138" t="e">
        <f t="shared" si="9"/>
        <v>#VALUE!</v>
      </c>
      <c r="M40" s="138" t="e">
        <f t="shared" si="9"/>
        <v>#VALUE!</v>
      </c>
      <c r="N40" s="138" t="e">
        <f t="shared" si="9"/>
        <v>#VALUE!</v>
      </c>
      <c r="O40" s="138" t="e">
        <f t="shared" si="9"/>
        <v>#VALUE!</v>
      </c>
      <c r="P40" s="39"/>
      <c r="Q40" s="33"/>
      <c r="R40" s="33"/>
      <c r="S40" s="40"/>
      <c r="T40" s="33"/>
      <c r="U40" s="39"/>
    </row>
    <row r="41" spans="1:21" ht="15" customHeight="1" x14ac:dyDescent="0.25">
      <c r="A41" s="46">
        <f t="shared" si="6"/>
        <v>8</v>
      </c>
      <c r="B41" s="47" t="s">
        <v>122</v>
      </c>
      <c r="C41" s="138" t="e">
        <f>C10*$R$10</f>
        <v>#VALUE!</v>
      </c>
      <c r="D41" s="138"/>
      <c r="E41" s="138" t="e">
        <f>E10*$R$10</f>
        <v>#VALUE!</v>
      </c>
      <c r="F41" s="138"/>
      <c r="G41" s="138"/>
      <c r="H41" s="138"/>
      <c r="I41" s="138" t="e">
        <f>I10*$R$10</f>
        <v>#VALUE!</v>
      </c>
      <c r="J41" s="138" t="e">
        <f t="shared" ref="J41:O41" si="10">J10*$R$10</f>
        <v>#VALUE!</v>
      </c>
      <c r="K41" s="138" t="e">
        <f t="shared" si="10"/>
        <v>#VALUE!</v>
      </c>
      <c r="L41" s="138" t="e">
        <f t="shared" si="10"/>
        <v>#VALUE!</v>
      </c>
      <c r="M41" s="138" t="e">
        <f t="shared" si="10"/>
        <v>#VALUE!</v>
      </c>
      <c r="N41" s="138" t="e">
        <f t="shared" si="10"/>
        <v>#VALUE!</v>
      </c>
      <c r="O41" s="138" t="e">
        <f t="shared" si="10"/>
        <v>#VALUE!</v>
      </c>
      <c r="P41" s="39"/>
      <c r="Q41" s="33"/>
      <c r="R41" s="33"/>
      <c r="S41" s="40"/>
      <c r="T41" s="33"/>
      <c r="U41" s="39"/>
    </row>
    <row r="42" spans="1:21" ht="15" customHeight="1" x14ac:dyDescent="0.25">
      <c r="A42" s="51">
        <f t="shared" si="6"/>
        <v>9</v>
      </c>
      <c r="B42" s="52" t="s">
        <v>56</v>
      </c>
      <c r="C42" s="139">
        <f>C11*$R$11</f>
        <v>0</v>
      </c>
      <c r="D42" s="139"/>
      <c r="E42" s="139">
        <f>E11*$R$11</f>
        <v>0</v>
      </c>
      <c r="F42" s="139"/>
      <c r="G42" s="139"/>
      <c r="H42" s="139"/>
      <c r="I42" s="139">
        <f>I11*$R$11</f>
        <v>0</v>
      </c>
      <c r="J42" s="139">
        <f t="shared" ref="J42:O42" si="11">J11*$R$11</f>
        <v>0</v>
      </c>
      <c r="K42" s="139">
        <f t="shared" si="11"/>
        <v>0</v>
      </c>
      <c r="L42" s="139">
        <f t="shared" si="11"/>
        <v>0</v>
      </c>
      <c r="M42" s="139">
        <f t="shared" si="11"/>
        <v>0</v>
      </c>
      <c r="N42" s="139">
        <f t="shared" si="11"/>
        <v>0</v>
      </c>
      <c r="O42" s="139">
        <f t="shared" si="11"/>
        <v>0</v>
      </c>
      <c r="P42" s="39"/>
      <c r="Q42" s="33"/>
      <c r="R42" s="33"/>
      <c r="S42" s="40"/>
      <c r="T42" s="33"/>
      <c r="U42" s="39"/>
    </row>
    <row r="43" spans="1:21" ht="15" customHeight="1" x14ac:dyDescent="0.25">
      <c r="A43" s="55">
        <f t="shared" si="6"/>
        <v>10</v>
      </c>
      <c r="B43" s="56" t="s">
        <v>140</v>
      </c>
      <c r="C43" s="148"/>
      <c r="D43" s="148"/>
      <c r="E43" s="148">
        <f>E12*$R$12</f>
        <v>0</v>
      </c>
      <c r="F43" s="148"/>
      <c r="G43" s="148">
        <f>G12*$R$12</f>
        <v>0</v>
      </c>
      <c r="H43" s="148">
        <f t="shared" ref="H43:I43" si="12">H12*$R$12</f>
        <v>0</v>
      </c>
      <c r="I43" s="148">
        <f t="shared" si="12"/>
        <v>0</v>
      </c>
      <c r="J43" s="148">
        <f>J12*$R$12</f>
        <v>0</v>
      </c>
      <c r="K43" s="148"/>
      <c r="L43" s="148"/>
      <c r="M43" s="148"/>
      <c r="N43" s="148"/>
      <c r="O43" s="148"/>
      <c r="P43" s="39"/>
      <c r="Q43" s="33"/>
      <c r="R43" s="33"/>
      <c r="S43" s="40"/>
      <c r="T43" s="33"/>
      <c r="U43" s="39"/>
    </row>
    <row r="44" spans="1:21" ht="15" customHeight="1" x14ac:dyDescent="0.25">
      <c r="A44" s="59">
        <f t="shared" si="6"/>
        <v>11</v>
      </c>
      <c r="B44" s="60" t="s">
        <v>141</v>
      </c>
      <c r="C44" s="149"/>
      <c r="D44" s="149"/>
      <c r="E44" s="149">
        <f>E13*$R$13</f>
        <v>0</v>
      </c>
      <c r="F44" s="149"/>
      <c r="G44" s="148">
        <f>G13*$R$13</f>
        <v>0</v>
      </c>
      <c r="H44" s="148">
        <f t="shared" ref="H44:I44" si="13">H13*$R$13</f>
        <v>0</v>
      </c>
      <c r="I44" s="148">
        <f t="shared" si="13"/>
        <v>0</v>
      </c>
      <c r="J44" s="148">
        <f>J13*$R$13</f>
        <v>0</v>
      </c>
      <c r="K44" s="149"/>
      <c r="L44" s="149"/>
      <c r="M44" s="149"/>
      <c r="N44" s="149"/>
      <c r="O44" s="149"/>
      <c r="P44" s="39"/>
      <c r="Q44" s="33"/>
      <c r="R44" s="33"/>
      <c r="S44" s="40"/>
      <c r="T44" s="33"/>
      <c r="U44" s="39"/>
    </row>
    <row r="45" spans="1:21" ht="15" customHeight="1" x14ac:dyDescent="0.25">
      <c r="A45" s="46">
        <f t="shared" si="6"/>
        <v>12</v>
      </c>
      <c r="B45" s="47" t="s">
        <v>143</v>
      </c>
      <c r="C45" s="138">
        <f>C14*$R$14</f>
        <v>0</v>
      </c>
      <c r="D45" s="138">
        <f>D14*$R$14</f>
        <v>0</v>
      </c>
      <c r="E45" s="138">
        <f>E14*$R$14</f>
        <v>0</v>
      </c>
      <c r="F45" s="138">
        <f t="shared" ref="F45:O45" si="14">F14*$R$14</f>
        <v>0</v>
      </c>
      <c r="G45" s="138">
        <f t="shared" si="14"/>
        <v>0</v>
      </c>
      <c r="H45" s="138">
        <f t="shared" si="14"/>
        <v>0</v>
      </c>
      <c r="I45" s="138">
        <f t="shared" si="14"/>
        <v>0</v>
      </c>
      <c r="J45" s="138">
        <f t="shared" si="14"/>
        <v>0</v>
      </c>
      <c r="K45" s="138">
        <f t="shared" si="14"/>
        <v>0</v>
      </c>
      <c r="L45" s="138">
        <f t="shared" si="14"/>
        <v>0</v>
      </c>
      <c r="M45" s="138">
        <f t="shared" si="14"/>
        <v>0</v>
      </c>
      <c r="N45" s="138">
        <f t="shared" si="14"/>
        <v>0</v>
      </c>
      <c r="O45" s="138">
        <f t="shared" si="14"/>
        <v>0</v>
      </c>
      <c r="P45" s="39"/>
      <c r="Q45" s="33"/>
      <c r="R45" s="33"/>
      <c r="S45" s="40"/>
      <c r="T45" s="33"/>
      <c r="U45" s="39"/>
    </row>
    <row r="46" spans="1:21" ht="15" customHeight="1" x14ac:dyDescent="0.25">
      <c r="A46" s="51">
        <f t="shared" si="6"/>
        <v>13</v>
      </c>
      <c r="B46" s="52" t="s">
        <v>142</v>
      </c>
      <c r="C46" s="138">
        <f>C15*$R$15</f>
        <v>0</v>
      </c>
      <c r="D46" s="138">
        <f>D15*$R$15</f>
        <v>0</v>
      </c>
      <c r="E46" s="138">
        <f>E15*$R$15</f>
        <v>0</v>
      </c>
      <c r="F46" s="138">
        <f t="shared" ref="F46:O46" si="15">F15*$R$15</f>
        <v>0</v>
      </c>
      <c r="G46" s="138">
        <f t="shared" si="15"/>
        <v>0</v>
      </c>
      <c r="H46" s="138">
        <f t="shared" si="15"/>
        <v>0</v>
      </c>
      <c r="I46" s="138">
        <f t="shared" si="15"/>
        <v>0</v>
      </c>
      <c r="J46" s="138">
        <f t="shared" si="15"/>
        <v>0</v>
      </c>
      <c r="K46" s="138">
        <f t="shared" si="15"/>
        <v>0</v>
      </c>
      <c r="L46" s="138">
        <f t="shared" si="15"/>
        <v>0</v>
      </c>
      <c r="M46" s="138">
        <f t="shared" si="15"/>
        <v>0</v>
      </c>
      <c r="N46" s="138">
        <f t="shared" si="15"/>
        <v>0</v>
      </c>
      <c r="O46" s="138">
        <f t="shared" si="15"/>
        <v>0</v>
      </c>
      <c r="P46" s="39"/>
      <c r="Q46" s="33"/>
      <c r="R46" s="33"/>
      <c r="S46" s="40"/>
      <c r="T46" s="33"/>
      <c r="U46" s="39"/>
    </row>
    <row r="47" spans="1:21" ht="15" customHeight="1" x14ac:dyDescent="0.25">
      <c r="A47" s="62">
        <f t="shared" si="6"/>
        <v>14</v>
      </c>
      <c r="B47" s="63" t="s">
        <v>76</v>
      </c>
      <c r="C47" s="150">
        <f t="shared" ref="C47:D47" si="16">C16*$R$16</f>
        <v>0</v>
      </c>
      <c r="D47" s="150">
        <f t="shared" si="16"/>
        <v>0</v>
      </c>
      <c r="E47" s="150" t="e">
        <f>E16*$R$16</f>
        <v>#VALUE!</v>
      </c>
      <c r="F47" s="150">
        <f t="shared" ref="F47:H47" si="17">F16*$R$16</f>
        <v>0</v>
      </c>
      <c r="G47" s="150">
        <f t="shared" si="17"/>
        <v>0</v>
      </c>
      <c r="H47" s="150">
        <f t="shared" si="17"/>
        <v>0</v>
      </c>
      <c r="I47" s="150">
        <f>I16*$R$16</f>
        <v>0</v>
      </c>
      <c r="J47" s="150" t="e">
        <f t="shared" ref="J47:O47" si="18">J16*$R$16</f>
        <v>#VALUE!</v>
      </c>
      <c r="K47" s="150">
        <f t="shared" si="18"/>
        <v>0</v>
      </c>
      <c r="L47" s="150">
        <f t="shared" si="18"/>
        <v>0</v>
      </c>
      <c r="M47" s="150">
        <f t="shared" si="18"/>
        <v>0</v>
      </c>
      <c r="N47" s="150">
        <f t="shared" si="18"/>
        <v>0</v>
      </c>
      <c r="O47" s="150">
        <f t="shared" si="18"/>
        <v>0</v>
      </c>
      <c r="P47" s="39"/>
      <c r="Q47" s="33"/>
      <c r="R47" s="33"/>
      <c r="S47" s="40"/>
      <c r="T47" s="33"/>
      <c r="U47" s="39"/>
    </row>
    <row r="48" spans="1:21" ht="15" customHeight="1" x14ac:dyDescent="0.25">
      <c r="A48" s="46">
        <f t="shared" si="6"/>
        <v>15</v>
      </c>
      <c r="B48" s="47" t="s">
        <v>144</v>
      </c>
      <c r="C48" s="138">
        <f>C17*$R$17</f>
        <v>0</v>
      </c>
      <c r="D48" s="138">
        <f t="shared" ref="D48:H48" si="19">D17*$R$17</f>
        <v>0</v>
      </c>
      <c r="E48" s="138">
        <f t="shared" si="19"/>
        <v>0</v>
      </c>
      <c r="F48" s="138">
        <f t="shared" si="19"/>
        <v>0</v>
      </c>
      <c r="G48" s="138">
        <f t="shared" si="19"/>
        <v>0</v>
      </c>
      <c r="H48" s="138">
        <f t="shared" si="19"/>
        <v>0</v>
      </c>
      <c r="I48" s="138">
        <f>I17*$R$17</f>
        <v>0</v>
      </c>
      <c r="J48" s="138">
        <f t="shared" ref="J48:O48" si="20">J17*$R$17</f>
        <v>0</v>
      </c>
      <c r="K48" s="138">
        <f t="shared" si="20"/>
        <v>0</v>
      </c>
      <c r="L48" s="138">
        <f t="shared" si="20"/>
        <v>0</v>
      </c>
      <c r="M48" s="138">
        <f t="shared" si="20"/>
        <v>0</v>
      </c>
      <c r="N48" s="138">
        <f t="shared" si="20"/>
        <v>0</v>
      </c>
      <c r="O48" s="138" t="e">
        <f t="shared" si="20"/>
        <v>#VALUE!</v>
      </c>
      <c r="P48" s="39"/>
      <c r="Q48" s="33"/>
      <c r="R48" s="33"/>
      <c r="S48" s="40"/>
      <c r="T48" s="33"/>
      <c r="U48" s="39"/>
    </row>
    <row r="49" spans="1:21" ht="15" customHeight="1" x14ac:dyDescent="0.25">
      <c r="A49" s="51">
        <f t="shared" si="6"/>
        <v>16</v>
      </c>
      <c r="B49" s="52" t="s">
        <v>145</v>
      </c>
      <c r="C49" s="139">
        <f>C18*$R$18</f>
        <v>0</v>
      </c>
      <c r="D49" s="139">
        <f t="shared" ref="D49:H49" si="21">D18*$R$18</f>
        <v>0</v>
      </c>
      <c r="E49" s="139">
        <f t="shared" si="21"/>
        <v>0</v>
      </c>
      <c r="F49" s="139">
        <f t="shared" si="21"/>
        <v>0</v>
      </c>
      <c r="G49" s="139">
        <f t="shared" si="21"/>
        <v>0</v>
      </c>
      <c r="H49" s="139">
        <f t="shared" si="21"/>
        <v>0</v>
      </c>
      <c r="I49" s="139">
        <f>I18*$R$18</f>
        <v>0</v>
      </c>
      <c r="J49" s="139">
        <f t="shared" ref="J49:O49" si="22">J18*$R$18</f>
        <v>0</v>
      </c>
      <c r="K49" s="139">
        <f t="shared" si="22"/>
        <v>0</v>
      </c>
      <c r="L49" s="139">
        <f t="shared" si="22"/>
        <v>0</v>
      </c>
      <c r="M49" s="139">
        <f t="shared" si="22"/>
        <v>0</v>
      </c>
      <c r="N49" s="139">
        <f t="shared" si="22"/>
        <v>0</v>
      </c>
      <c r="O49" s="139" t="e">
        <f t="shared" si="22"/>
        <v>#VALUE!</v>
      </c>
      <c r="P49" s="39"/>
      <c r="Q49" s="33"/>
      <c r="R49" s="33"/>
      <c r="S49" s="40"/>
      <c r="T49" s="33"/>
      <c r="U49" s="39"/>
    </row>
    <row r="50" spans="1:21" ht="15" customHeight="1" x14ac:dyDescent="0.25">
      <c r="A50" s="55">
        <f>A49+1</f>
        <v>17</v>
      </c>
      <c r="B50" s="56" t="s">
        <v>146</v>
      </c>
      <c r="C50" s="148" t="e">
        <f>C19*$R$19</f>
        <v>#VALUE!</v>
      </c>
      <c r="D50" s="148">
        <f t="shared" ref="D50:O50" si="23">D19*$R$19</f>
        <v>0</v>
      </c>
      <c r="E50" s="148" t="e">
        <f t="shared" si="23"/>
        <v>#VALUE!</v>
      </c>
      <c r="F50" s="148">
        <f t="shared" si="23"/>
        <v>0</v>
      </c>
      <c r="G50" s="148">
        <f t="shared" si="23"/>
        <v>0</v>
      </c>
      <c r="H50" s="148">
        <f t="shared" si="23"/>
        <v>0</v>
      </c>
      <c r="I50" s="148" t="e">
        <f t="shared" si="23"/>
        <v>#VALUE!</v>
      </c>
      <c r="J50" s="148" t="e">
        <f t="shared" si="23"/>
        <v>#VALUE!</v>
      </c>
      <c r="K50" s="148" t="e">
        <f t="shared" si="23"/>
        <v>#VALUE!</v>
      </c>
      <c r="L50" s="148">
        <f t="shared" si="23"/>
        <v>0</v>
      </c>
      <c r="M50" s="148">
        <f t="shared" si="23"/>
        <v>0</v>
      </c>
      <c r="N50" s="148">
        <f t="shared" si="23"/>
        <v>0</v>
      </c>
      <c r="O50" s="148">
        <f t="shared" si="23"/>
        <v>0</v>
      </c>
      <c r="P50" s="39"/>
      <c r="Q50" s="33"/>
      <c r="R50" s="33"/>
      <c r="S50" s="40"/>
      <c r="T50" s="33"/>
      <c r="U50" s="39"/>
    </row>
    <row r="51" spans="1:21" ht="15" customHeight="1" x14ac:dyDescent="0.25">
      <c r="A51" s="55">
        <f>A50+1</f>
        <v>18</v>
      </c>
      <c r="B51" s="60" t="s">
        <v>147</v>
      </c>
      <c r="C51" s="149" t="e">
        <f>C20*$R$20</f>
        <v>#VALUE!</v>
      </c>
      <c r="D51" s="149">
        <f t="shared" ref="D51:O51" si="24">D20*$R$20</f>
        <v>0</v>
      </c>
      <c r="E51" s="149" t="e">
        <f t="shared" si="24"/>
        <v>#VALUE!</v>
      </c>
      <c r="F51" s="149">
        <f t="shared" si="24"/>
        <v>0</v>
      </c>
      <c r="G51" s="149">
        <f t="shared" si="24"/>
        <v>0</v>
      </c>
      <c r="H51" s="149">
        <f t="shared" si="24"/>
        <v>0</v>
      </c>
      <c r="I51" s="149" t="e">
        <f t="shared" si="24"/>
        <v>#VALUE!</v>
      </c>
      <c r="J51" s="149" t="e">
        <f t="shared" si="24"/>
        <v>#VALUE!</v>
      </c>
      <c r="K51" s="149" t="e">
        <f t="shared" si="24"/>
        <v>#VALUE!</v>
      </c>
      <c r="L51" s="149">
        <f t="shared" si="24"/>
        <v>0</v>
      </c>
      <c r="M51" s="149">
        <f t="shared" si="24"/>
        <v>0</v>
      </c>
      <c r="N51" s="149">
        <f t="shared" si="24"/>
        <v>0</v>
      </c>
      <c r="O51" s="149">
        <f t="shared" si="24"/>
        <v>0</v>
      </c>
      <c r="P51" s="39"/>
      <c r="Q51" s="33"/>
      <c r="R51" s="33"/>
      <c r="S51" s="40"/>
      <c r="T51" s="33"/>
      <c r="U51" s="39"/>
    </row>
    <row r="52" spans="1:21" ht="15" customHeight="1" x14ac:dyDescent="0.25">
      <c r="A52" s="66">
        <f t="shared" si="6"/>
        <v>19</v>
      </c>
      <c r="B52" s="67" t="s">
        <v>114</v>
      </c>
      <c r="C52" s="145" t="e">
        <f t="shared" ref="C52:D52" si="25">C21*$R$21</f>
        <v>#VALUE!</v>
      </c>
      <c r="D52" s="145" t="e">
        <f t="shared" si="25"/>
        <v>#VALUE!</v>
      </c>
      <c r="E52" s="145" t="e">
        <f>E21*$R$21</f>
        <v>#VALUE!</v>
      </c>
      <c r="F52" s="145" t="e">
        <f t="shared" ref="F52:H52" si="26">F21*$R$21</f>
        <v>#VALUE!</v>
      </c>
      <c r="G52" s="145" t="e">
        <f t="shared" si="26"/>
        <v>#VALUE!</v>
      </c>
      <c r="H52" s="145" t="e">
        <f t="shared" si="26"/>
        <v>#VALUE!</v>
      </c>
      <c r="I52" s="145" t="e">
        <f>I21*$R$21</f>
        <v>#VALUE!</v>
      </c>
      <c r="J52" s="145" t="e">
        <f t="shared" ref="J52:O52" si="27">J21*$R$21</f>
        <v>#VALUE!</v>
      </c>
      <c r="K52" s="145" t="e">
        <f t="shared" si="27"/>
        <v>#VALUE!</v>
      </c>
      <c r="L52" s="145" t="e">
        <f t="shared" si="27"/>
        <v>#VALUE!</v>
      </c>
      <c r="M52" s="145" t="e">
        <f t="shared" si="27"/>
        <v>#VALUE!</v>
      </c>
      <c r="N52" s="145" t="e">
        <f t="shared" si="27"/>
        <v>#VALUE!</v>
      </c>
      <c r="O52" s="145" t="e">
        <f t="shared" si="27"/>
        <v>#VALUE!</v>
      </c>
      <c r="P52" s="39"/>
      <c r="Q52" s="33"/>
      <c r="R52" s="33"/>
      <c r="S52" s="40"/>
      <c r="T52" s="33"/>
      <c r="U52" s="39"/>
    </row>
    <row r="53" spans="1:21" ht="15" customHeight="1" x14ac:dyDescent="0.25">
      <c r="A53" s="9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3"/>
      <c r="R53" s="33"/>
      <c r="S53" s="40"/>
      <c r="T53" s="33"/>
      <c r="U53" s="39"/>
    </row>
    <row r="54" spans="1:21" ht="15" customHeight="1" x14ac:dyDescent="0.25">
      <c r="A54" s="9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3"/>
      <c r="R54" s="33"/>
      <c r="S54" s="40"/>
      <c r="T54" s="33"/>
      <c r="U54" s="39"/>
    </row>
    <row r="55" spans="1:21" ht="15" customHeight="1" x14ac:dyDescent="0.25">
      <c r="A55" s="98"/>
      <c r="B55" s="39"/>
      <c r="C55" s="39"/>
      <c r="D55" s="39"/>
      <c r="E55" s="39"/>
      <c r="F55" s="39"/>
      <c r="G55" s="39" t="s">
        <v>3</v>
      </c>
      <c r="H55" s="39"/>
      <c r="I55" s="39"/>
      <c r="J55" s="39"/>
      <c r="K55" s="39"/>
      <c r="L55" s="39"/>
      <c r="M55" s="39"/>
      <c r="N55" s="39"/>
      <c r="O55" s="39"/>
      <c r="P55" s="39"/>
      <c r="Q55" s="33"/>
      <c r="R55" s="33"/>
      <c r="S55" s="40"/>
      <c r="T55" s="33"/>
      <c r="U55" s="39"/>
    </row>
    <row r="56" spans="1:21" x14ac:dyDescent="0.25">
      <c r="A56" s="98"/>
      <c r="B56" s="39"/>
      <c r="C56" s="33"/>
      <c r="D56" s="33" t="e">
        <f>E56*'2'!E9</f>
        <v>#VALUE!</v>
      </c>
      <c r="E56" s="82" t="e">
        <f>SUM(E57:E63)</f>
        <v>#VALUE!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T56" s="33"/>
      <c r="U56" s="40"/>
    </row>
    <row r="57" spans="1:21" x14ac:dyDescent="0.25">
      <c r="A57" s="98"/>
      <c r="B57" s="86" t="s">
        <v>105</v>
      </c>
      <c r="C57" s="82" t="e">
        <f>'D2'!C57</f>
        <v>#VALUE!</v>
      </c>
      <c r="D57" s="87" t="s">
        <v>40</v>
      </c>
      <c r="E57" s="82" t="e">
        <f>C57*4.7</f>
        <v>#VALUE!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T57" s="33"/>
      <c r="U57" s="40"/>
    </row>
    <row r="58" spans="1:21" x14ac:dyDescent="0.25">
      <c r="A58" s="98"/>
      <c r="B58" s="81" t="s">
        <v>123</v>
      </c>
      <c r="C58" s="89">
        <f>'D2'!C71</f>
        <v>0</v>
      </c>
      <c r="D58" s="85" t="s">
        <v>40</v>
      </c>
      <c r="E58" s="89">
        <f>C58*3</f>
        <v>0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T58" s="33"/>
      <c r="U58" s="40"/>
    </row>
    <row r="59" spans="1:21" x14ac:dyDescent="0.25">
      <c r="A59" s="98"/>
      <c r="B59" s="81" t="s">
        <v>125</v>
      </c>
      <c r="C59" s="89">
        <f>'D2'!C123</f>
        <v>0</v>
      </c>
      <c r="D59" s="136" t="s">
        <v>40</v>
      </c>
      <c r="E59" s="89">
        <f>C59*1</f>
        <v>0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T59" s="33"/>
      <c r="U59" s="40"/>
    </row>
    <row r="60" spans="1:21" ht="15" customHeight="1" x14ac:dyDescent="0.25">
      <c r="A60" s="98"/>
      <c r="B60" s="81" t="s">
        <v>124</v>
      </c>
      <c r="C60" s="89">
        <f>'D2'!C124</f>
        <v>0</v>
      </c>
      <c r="D60" s="85" t="s">
        <v>40</v>
      </c>
      <c r="E60" s="82">
        <f>C60*1.9</f>
        <v>0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T60" s="33"/>
      <c r="U60" s="40"/>
    </row>
    <row r="61" spans="1:21" x14ac:dyDescent="0.25">
      <c r="A61" s="98"/>
      <c r="B61" s="95" t="s">
        <v>154</v>
      </c>
      <c r="C61" s="89">
        <f>'D2'!C157</f>
        <v>0</v>
      </c>
      <c r="D61" s="85" t="s">
        <v>40</v>
      </c>
      <c r="E61" s="89">
        <f>C61*3.67</f>
        <v>0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T61" s="33"/>
      <c r="U61" s="40"/>
    </row>
    <row r="62" spans="1:21" x14ac:dyDescent="0.25">
      <c r="A62" s="98"/>
      <c r="B62" s="81" t="s">
        <v>201</v>
      </c>
      <c r="C62" s="89">
        <f>IF('2'!$D$15="SAYANEH",'D2'!C171,0)</f>
        <v>0</v>
      </c>
      <c r="D62" s="85" t="s">
        <v>40</v>
      </c>
      <c r="E62" s="82">
        <f>C62*4.2</f>
        <v>0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T62" s="33"/>
      <c r="U62" s="40"/>
    </row>
    <row r="63" spans="1:21" x14ac:dyDescent="0.25">
      <c r="A63" s="98"/>
      <c r="B63" s="81" t="s">
        <v>202</v>
      </c>
      <c r="C63" s="89">
        <f>IF('2'!$D$15="SAYANEH",'D2'!C172,0)</f>
        <v>0</v>
      </c>
      <c r="D63" s="85" t="s">
        <v>40</v>
      </c>
      <c r="E63" s="82">
        <f>C63*4.2</f>
        <v>0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T63" s="33"/>
      <c r="U63" s="40"/>
    </row>
    <row r="64" spans="1:21" x14ac:dyDescent="0.25">
      <c r="A64" s="98"/>
      <c r="B64" s="81" t="s">
        <v>203</v>
      </c>
      <c r="C64" s="89">
        <f>IF('2'!$D$15="PAVLION",'D2'!C182,0)</f>
        <v>0</v>
      </c>
      <c r="D64" s="85" t="s">
        <v>40</v>
      </c>
      <c r="E64" s="82">
        <f>C64*4.2</f>
        <v>0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T64" s="33"/>
      <c r="U64" s="40"/>
    </row>
    <row r="65" spans="1:21" x14ac:dyDescent="0.25">
      <c r="A65" s="98"/>
      <c r="B65" s="81" t="s">
        <v>204</v>
      </c>
      <c r="C65" s="89">
        <f>IF('2'!$D$15="PAVLION",'D2'!C183,0)</f>
        <v>0</v>
      </c>
      <c r="D65" s="85" t="s">
        <v>40</v>
      </c>
      <c r="E65" s="82">
        <f>C65*4.2</f>
        <v>0</v>
      </c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T65" s="33"/>
      <c r="U65" s="33"/>
    </row>
    <row r="66" spans="1:21" x14ac:dyDescent="0.25">
      <c r="A66" s="9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40"/>
      <c r="T66" s="33"/>
    </row>
    <row r="67" spans="1:21" x14ac:dyDescent="0.25">
      <c r="A67" s="98"/>
      <c r="B67" s="114" t="s">
        <v>193</v>
      </c>
      <c r="C67" s="114" t="e">
        <f>C32</f>
        <v>#VALUE!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U67" s="33"/>
    </row>
    <row r="68" spans="1:21" x14ac:dyDescent="0.25">
      <c r="A68" s="98"/>
      <c r="B68" s="132" t="s">
        <v>194</v>
      </c>
      <c r="C68" s="115" t="e">
        <f>D32</f>
        <v>#VALUE!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U68" s="101"/>
    </row>
    <row r="69" spans="1:21" x14ac:dyDescent="0.25">
      <c r="A69" s="98"/>
      <c r="B69" s="114" t="s">
        <v>195</v>
      </c>
      <c r="C69" s="114" t="e">
        <f>E32</f>
        <v>#VALUE!</v>
      </c>
    </row>
    <row r="70" spans="1:21" x14ac:dyDescent="0.25">
      <c r="A70" s="98"/>
      <c r="B70" s="132" t="s">
        <v>197</v>
      </c>
      <c r="C70" s="115" t="e">
        <f>F32</f>
        <v>#VALUE!</v>
      </c>
      <c r="U70" s="40"/>
    </row>
    <row r="71" spans="1:21" x14ac:dyDescent="0.25">
      <c r="A71" s="98"/>
      <c r="B71" s="114" t="s">
        <v>196</v>
      </c>
      <c r="C71" s="114" t="e">
        <f>H32</f>
        <v>#VALUE!</v>
      </c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U71" s="40"/>
    </row>
    <row r="72" spans="1:21" x14ac:dyDescent="0.25">
      <c r="A72" s="98"/>
      <c r="B72" s="132" t="s">
        <v>199</v>
      </c>
      <c r="C72" s="116" t="e">
        <f>G32</f>
        <v>#VALUE!</v>
      </c>
      <c r="Q72" s="103"/>
      <c r="R72" s="104"/>
      <c r="S72" s="104"/>
      <c r="U72" s="40"/>
    </row>
    <row r="73" spans="1:21" x14ac:dyDescent="0.25">
      <c r="A73" s="98"/>
      <c r="B73" s="133" t="s">
        <v>200</v>
      </c>
      <c r="C73" s="114" t="e">
        <f>I32</f>
        <v>#VALUE!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98"/>
      <c r="R73" s="98"/>
      <c r="S73" s="98"/>
      <c r="T73" s="33"/>
      <c r="U73" s="40"/>
    </row>
    <row r="74" spans="1:21" ht="15" customHeight="1" x14ac:dyDescent="0.25">
      <c r="A74" s="98"/>
      <c r="B74" s="165" t="s">
        <v>217</v>
      </c>
      <c r="C74" s="116" t="e">
        <f>J32</f>
        <v>#VALUE!</v>
      </c>
      <c r="Q74" s="106"/>
      <c r="R74" s="106"/>
      <c r="S74" s="106"/>
      <c r="T74" s="33"/>
      <c r="U74" s="40"/>
    </row>
    <row r="75" spans="1:21" x14ac:dyDescent="0.25">
      <c r="A75" s="98"/>
      <c r="B75" s="114" t="s">
        <v>218</v>
      </c>
      <c r="C75" s="116" t="e">
        <f>K32</f>
        <v>#VALUE!</v>
      </c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99"/>
      <c r="R75" s="99"/>
      <c r="S75" s="100"/>
      <c r="U75" s="33"/>
    </row>
    <row r="76" spans="1:21" x14ac:dyDescent="0.25">
      <c r="A76" s="98"/>
      <c r="B76" s="132" t="s">
        <v>219</v>
      </c>
      <c r="C76" s="115" t="e">
        <f>L32</f>
        <v>#VALUE!</v>
      </c>
      <c r="U76" s="33"/>
    </row>
    <row r="77" spans="1:21" x14ac:dyDescent="0.25">
      <c r="A77" s="98"/>
      <c r="B77" s="114" t="s">
        <v>220</v>
      </c>
      <c r="C77" s="114">
        <f>(Q2*1900000)+(Q2*0.7*1200000)</f>
        <v>0</v>
      </c>
    </row>
    <row r="78" spans="1:21" x14ac:dyDescent="0.25">
      <c r="A78" s="98"/>
      <c r="B78" s="132" t="s">
        <v>221</v>
      </c>
      <c r="C78" s="116" t="e">
        <f>N32</f>
        <v>#VALUE!</v>
      </c>
      <c r="U78" s="101"/>
    </row>
    <row r="79" spans="1:21" x14ac:dyDescent="0.25">
      <c r="A79" s="98"/>
      <c r="B79" s="133" t="s">
        <v>222</v>
      </c>
      <c r="C79" s="114" t="e">
        <f>O32</f>
        <v>#VALUE!</v>
      </c>
    </row>
    <row r="80" spans="1:21" x14ac:dyDescent="0.25">
      <c r="A80" s="34"/>
      <c r="U80" s="40"/>
    </row>
    <row r="81" spans="1:21" x14ac:dyDescent="0.25">
      <c r="A81" s="98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T81" s="33"/>
      <c r="U81" s="40"/>
    </row>
    <row r="82" spans="1:21" x14ac:dyDescent="0.25">
      <c r="A82" s="98"/>
      <c r="B82" s="114" t="s">
        <v>223</v>
      </c>
      <c r="C82" s="114" t="e">
        <f>C67+C73</f>
        <v>#VALUE!</v>
      </c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8"/>
      <c r="R82" s="109"/>
      <c r="S82" s="109"/>
      <c r="T82" s="33"/>
      <c r="U82" s="40"/>
    </row>
    <row r="83" spans="1:21" x14ac:dyDescent="0.25">
      <c r="B83" s="132" t="s">
        <v>194</v>
      </c>
      <c r="C83" s="115" t="e">
        <f>C68</f>
        <v>#VALUE!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U83" s="40"/>
    </row>
    <row r="84" spans="1:21" x14ac:dyDescent="0.25">
      <c r="A84" s="98"/>
      <c r="B84" s="114" t="s">
        <v>195</v>
      </c>
      <c r="C84" s="114" t="e">
        <f>C69+C70+C71</f>
        <v>#VALUE!</v>
      </c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</row>
    <row r="85" spans="1:21" x14ac:dyDescent="0.25">
      <c r="A85" s="98"/>
      <c r="B85" s="132" t="s">
        <v>199</v>
      </c>
      <c r="C85" s="116" t="e">
        <f>C72</f>
        <v>#VALUE!</v>
      </c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</row>
    <row r="86" spans="1:21" x14ac:dyDescent="0.25">
      <c r="A86" s="98"/>
      <c r="B86" s="165" t="s">
        <v>217</v>
      </c>
      <c r="C86" s="116" t="e">
        <f t="shared" ref="C86:C91" si="28">C74</f>
        <v>#VALUE!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</row>
    <row r="87" spans="1:21" x14ac:dyDescent="0.25">
      <c r="A87" s="98"/>
      <c r="B87" s="114" t="s">
        <v>218</v>
      </c>
      <c r="C87" s="116" t="e">
        <f t="shared" si="28"/>
        <v>#VALUE!</v>
      </c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</row>
    <row r="88" spans="1:21" x14ac:dyDescent="0.25">
      <c r="A88" s="98"/>
      <c r="B88" s="132" t="s">
        <v>219</v>
      </c>
      <c r="C88" s="115" t="e">
        <f t="shared" si="28"/>
        <v>#VALUE!</v>
      </c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</row>
    <row r="89" spans="1:21" x14ac:dyDescent="0.25">
      <c r="B89" s="114" t="s">
        <v>220</v>
      </c>
      <c r="C89" s="114">
        <f t="shared" si="28"/>
        <v>0</v>
      </c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</row>
    <row r="90" spans="1:21" x14ac:dyDescent="0.25">
      <c r="B90" s="132" t="s">
        <v>221</v>
      </c>
      <c r="C90" s="116" t="e">
        <f t="shared" si="28"/>
        <v>#VALUE!</v>
      </c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</row>
    <row r="91" spans="1:21" x14ac:dyDescent="0.25">
      <c r="B91" s="133" t="s">
        <v>222</v>
      </c>
      <c r="C91" s="114" t="e">
        <f t="shared" si="28"/>
        <v>#VALUE!</v>
      </c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</row>
    <row r="92" spans="1:21" x14ac:dyDescent="0.25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</row>
    <row r="93" spans="1:21" x14ac:dyDescent="0.25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</row>
    <row r="94" spans="1:21" x14ac:dyDescent="0.25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</row>
    <row r="95" spans="1:21" x14ac:dyDescent="0.25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</row>
    <row r="96" spans="1:21" x14ac:dyDescent="0.25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U96" s="40"/>
    </row>
    <row r="97" spans="1:21" x14ac:dyDescent="0.25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U97" s="40"/>
    </row>
    <row r="98" spans="1:21" x14ac:dyDescent="0.25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U98" s="40"/>
    </row>
    <row r="99" spans="1:21" x14ac:dyDescent="0.25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U99" s="40"/>
    </row>
    <row r="100" spans="1:21" x14ac:dyDescent="0.25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U100" s="40"/>
    </row>
    <row r="101" spans="1:21" x14ac:dyDescent="0.25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U101" s="40"/>
    </row>
    <row r="102" spans="1:21" x14ac:dyDescent="0.25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U102" s="40"/>
    </row>
    <row r="103" spans="1:21" x14ac:dyDescent="0.25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U103" s="40"/>
    </row>
    <row r="104" spans="1:21" x14ac:dyDescent="0.25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U104" s="40"/>
    </row>
    <row r="105" spans="1:21" x14ac:dyDescent="0.25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U105" s="40"/>
    </row>
    <row r="106" spans="1:21" x14ac:dyDescent="0.25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U106" s="40"/>
    </row>
    <row r="107" spans="1:21" x14ac:dyDescent="0.25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U107" s="40"/>
    </row>
    <row r="108" spans="1:21" x14ac:dyDescent="0.25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U108" s="40"/>
    </row>
    <row r="109" spans="1:21" x14ac:dyDescent="0.25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U109" s="40"/>
    </row>
    <row r="110" spans="1:21" x14ac:dyDescent="0.25">
      <c r="A110" s="98"/>
      <c r="Q110" s="98"/>
      <c r="R110" s="98"/>
      <c r="S110" s="111"/>
    </row>
    <row r="111" spans="1:21" x14ac:dyDescent="0.25">
      <c r="A111" s="98"/>
      <c r="Q111" s="98"/>
      <c r="R111" s="98"/>
      <c r="S111" s="111"/>
    </row>
    <row r="112" spans="1:21" x14ac:dyDescent="0.25">
      <c r="A112" s="98"/>
      <c r="Q112" s="98"/>
      <c r="R112" s="98"/>
      <c r="S112" s="111"/>
    </row>
    <row r="113" spans="1:19" x14ac:dyDescent="0.25">
      <c r="A113" s="98"/>
      <c r="Q113" s="98"/>
      <c r="R113" s="98"/>
      <c r="S113" s="111"/>
    </row>
    <row r="114" spans="1:19" x14ac:dyDescent="0.25">
      <c r="A114" s="98"/>
      <c r="Q114" s="98"/>
      <c r="R114" s="98"/>
      <c r="S114" s="111"/>
    </row>
    <row r="115" spans="1:19" x14ac:dyDescent="0.25">
      <c r="A115" s="98"/>
      <c r="Q115" s="98"/>
      <c r="R115" s="98"/>
      <c r="S115" s="111"/>
    </row>
  </sheetData>
  <sheetProtection formatCells="0" formatColumns="0" formatRows="0" insertColumns="0" insertRows="0" insertHyperlinks="0" deleteColumns="0" deleteRows="0" sort="0" autoFilter="0" pivotTables="0"/>
  <mergeCells count="15">
    <mergeCell ref="S27:T27"/>
    <mergeCell ref="S28:T28"/>
    <mergeCell ref="S29:T29"/>
    <mergeCell ref="T19:T20"/>
    <mergeCell ref="S22:T22"/>
    <mergeCell ref="S23:T23"/>
    <mergeCell ref="S24:T24"/>
    <mergeCell ref="S25:T25"/>
    <mergeCell ref="S26:T26"/>
    <mergeCell ref="T17:T18"/>
    <mergeCell ref="T3:T6"/>
    <mergeCell ref="T7:T8"/>
    <mergeCell ref="T9:T11"/>
    <mergeCell ref="T12:T13"/>
    <mergeCell ref="T14:T1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97"/>
  <sheetViews>
    <sheetView rightToLeft="1" topLeftCell="A94" workbookViewId="0">
      <selection activeCell="F102" sqref="F102"/>
    </sheetView>
  </sheetViews>
  <sheetFormatPr defaultRowHeight="15" x14ac:dyDescent="0.25"/>
  <cols>
    <col min="1" max="1" width="2.85546875" customWidth="1"/>
    <col min="2" max="2" width="25.28515625" customWidth="1"/>
    <col min="3" max="5" width="11" customWidth="1"/>
    <col min="6" max="6" width="12" customWidth="1"/>
    <col min="8" max="8" width="24.140625" customWidth="1"/>
    <col min="11" max="11" width="11.42578125" customWidth="1"/>
    <col min="12" max="12" width="10.42578125" customWidth="1"/>
  </cols>
  <sheetData>
    <row r="1" spans="1:12" x14ac:dyDescent="0.25">
      <c r="A1" s="134"/>
      <c r="B1" s="134"/>
      <c r="C1" s="134"/>
      <c r="D1" s="134"/>
      <c r="E1" s="134"/>
      <c r="F1" s="134"/>
    </row>
    <row r="2" spans="1:12" ht="15" customHeight="1" x14ac:dyDescent="0.25">
      <c r="B2" s="72"/>
      <c r="C2" s="72"/>
      <c r="D2" s="72"/>
      <c r="E2" s="72"/>
      <c r="F2" s="72"/>
      <c r="H2" s="75"/>
      <c r="I2" s="72"/>
      <c r="J2" s="72"/>
      <c r="K2" s="72"/>
      <c r="L2" s="72"/>
    </row>
    <row r="3" spans="1:12" ht="15" customHeight="1" x14ac:dyDescent="0.25">
      <c r="B3" s="76" t="s">
        <v>137</v>
      </c>
      <c r="C3" s="590" t="s">
        <v>158</v>
      </c>
      <c r="D3" s="590"/>
      <c r="E3" s="590"/>
      <c r="F3" s="78"/>
      <c r="H3" s="76" t="s">
        <v>136</v>
      </c>
      <c r="I3" s="593" t="s">
        <v>157</v>
      </c>
      <c r="J3" s="594"/>
      <c r="K3" s="595"/>
      <c r="L3" s="77"/>
    </row>
    <row r="4" spans="1:12" ht="15" customHeight="1" x14ac:dyDescent="0.25">
      <c r="B4" s="229" t="s">
        <v>180</v>
      </c>
      <c r="C4" s="79" t="s">
        <v>4</v>
      </c>
      <c r="D4" s="79" t="s">
        <v>15</v>
      </c>
      <c r="E4" s="80" t="s">
        <v>16</v>
      </c>
      <c r="F4" s="78" t="s">
        <v>3</v>
      </c>
      <c r="H4" s="229" t="s">
        <v>179</v>
      </c>
      <c r="I4" s="79" t="s">
        <v>4</v>
      </c>
      <c r="J4" s="79" t="s">
        <v>15</v>
      </c>
      <c r="K4" s="80" t="s">
        <v>16</v>
      </c>
      <c r="L4" s="78"/>
    </row>
    <row r="5" spans="1:12" ht="15" customHeight="1" x14ac:dyDescent="0.25">
      <c r="B5" s="81" t="s">
        <v>17</v>
      </c>
      <c r="C5" s="82">
        <v>1</v>
      </c>
      <c r="D5" s="83" t="s">
        <v>18</v>
      </c>
      <c r="E5" s="78">
        <f>F5*C5</f>
        <v>1050000</v>
      </c>
      <c r="F5" s="117">
        <v>1050000</v>
      </c>
      <c r="H5" s="81" t="s">
        <v>17</v>
      </c>
      <c r="I5" s="82">
        <v>1</v>
      </c>
      <c r="J5" s="83" t="s">
        <v>18</v>
      </c>
      <c r="K5" s="78">
        <f>L5*I5</f>
        <v>1250000</v>
      </c>
      <c r="L5" s="117">
        <v>1250000</v>
      </c>
    </row>
    <row r="6" spans="1:12" ht="15" customHeight="1" x14ac:dyDescent="0.25">
      <c r="B6" s="81" t="s">
        <v>186</v>
      </c>
      <c r="C6" s="82">
        <v>1</v>
      </c>
      <c r="D6" s="83" t="s">
        <v>18</v>
      </c>
      <c r="E6" s="78">
        <f t="shared" ref="E6:E12" si="0">F6*C6</f>
        <v>680000</v>
      </c>
      <c r="F6" s="117">
        <v>680000</v>
      </c>
      <c r="H6" s="81" t="s">
        <v>19</v>
      </c>
      <c r="I6" s="82">
        <v>1</v>
      </c>
      <c r="J6" s="83" t="s">
        <v>18</v>
      </c>
      <c r="K6" s="78">
        <f t="shared" ref="K6:K12" si="1">L6*I6</f>
        <v>680000</v>
      </c>
      <c r="L6" s="117">
        <v>680000</v>
      </c>
    </row>
    <row r="7" spans="1:12" ht="15" customHeight="1" x14ac:dyDescent="0.25">
      <c r="B7" s="81" t="s">
        <v>20</v>
      </c>
      <c r="C7" s="82">
        <v>2</v>
      </c>
      <c r="D7" s="83" t="s">
        <v>18</v>
      </c>
      <c r="E7" s="78">
        <f t="shared" si="0"/>
        <v>120000</v>
      </c>
      <c r="F7" s="117">
        <v>60000</v>
      </c>
      <c r="H7" s="81" t="s">
        <v>20</v>
      </c>
      <c r="I7" s="82">
        <v>2</v>
      </c>
      <c r="J7" s="83" t="s">
        <v>18</v>
      </c>
      <c r="K7" s="78">
        <f t="shared" si="1"/>
        <v>120000</v>
      </c>
      <c r="L7" s="117">
        <v>60000</v>
      </c>
    </row>
    <row r="8" spans="1:12" ht="15" customHeight="1" x14ac:dyDescent="0.25">
      <c r="B8" s="81" t="s">
        <v>21</v>
      </c>
      <c r="C8" s="82">
        <v>1</v>
      </c>
      <c r="D8" s="83" t="s">
        <v>18</v>
      </c>
      <c r="E8" s="78">
        <f t="shared" si="0"/>
        <v>250000</v>
      </c>
      <c r="F8" s="117">
        <v>250000</v>
      </c>
      <c r="H8" s="81" t="s">
        <v>21</v>
      </c>
      <c r="I8" s="82">
        <v>2</v>
      </c>
      <c r="J8" s="83" t="s">
        <v>18</v>
      </c>
      <c r="K8" s="78">
        <f t="shared" si="1"/>
        <v>500000</v>
      </c>
      <c r="L8" s="117">
        <v>250000</v>
      </c>
    </row>
    <row r="9" spans="1:12" ht="15" customHeight="1" x14ac:dyDescent="0.25">
      <c r="B9" s="81" t="s">
        <v>22</v>
      </c>
      <c r="C9" s="82">
        <v>2</v>
      </c>
      <c r="D9" s="83" t="s">
        <v>18</v>
      </c>
      <c r="E9" s="78">
        <f t="shared" si="0"/>
        <v>24000</v>
      </c>
      <c r="F9" s="117">
        <v>12000</v>
      </c>
      <c r="H9" s="81" t="s">
        <v>22</v>
      </c>
      <c r="I9" s="82">
        <v>2</v>
      </c>
      <c r="J9" s="83" t="s">
        <v>18</v>
      </c>
      <c r="K9" s="78">
        <f t="shared" si="1"/>
        <v>24000</v>
      </c>
      <c r="L9" s="117">
        <v>12000</v>
      </c>
    </row>
    <row r="10" spans="1:12" ht="15" customHeight="1" x14ac:dyDescent="0.25">
      <c r="B10" s="81" t="s">
        <v>23</v>
      </c>
      <c r="C10" s="82">
        <v>8</v>
      </c>
      <c r="D10" s="83" t="s">
        <v>18</v>
      </c>
      <c r="E10" s="78">
        <f t="shared" si="0"/>
        <v>48000</v>
      </c>
      <c r="F10" s="117">
        <v>6000</v>
      </c>
      <c r="H10" s="81" t="s">
        <v>23</v>
      </c>
      <c r="I10" s="82">
        <v>8</v>
      </c>
      <c r="J10" s="83" t="s">
        <v>18</v>
      </c>
      <c r="K10" s="78">
        <f t="shared" si="1"/>
        <v>48000</v>
      </c>
      <c r="L10" s="117">
        <v>6000</v>
      </c>
    </row>
    <row r="11" spans="1:12" ht="15" customHeight="1" x14ac:dyDescent="0.25">
      <c r="B11" s="81" t="s">
        <v>159</v>
      </c>
      <c r="C11" s="82">
        <v>2</v>
      </c>
      <c r="D11" s="83" t="s">
        <v>18</v>
      </c>
      <c r="E11" s="78">
        <f t="shared" si="0"/>
        <v>20000</v>
      </c>
      <c r="F11" s="117">
        <v>10000</v>
      </c>
      <c r="H11" s="81" t="s">
        <v>159</v>
      </c>
      <c r="I11" s="82">
        <v>2</v>
      </c>
      <c r="J11" s="83" t="s">
        <v>18</v>
      </c>
      <c r="K11" s="78">
        <f t="shared" si="1"/>
        <v>20000</v>
      </c>
      <c r="L11" s="117">
        <v>10000</v>
      </c>
    </row>
    <row r="12" spans="1:12" ht="15" customHeight="1" x14ac:dyDescent="0.25">
      <c r="B12" s="81" t="s">
        <v>106</v>
      </c>
      <c r="C12" s="82">
        <v>1.8</v>
      </c>
      <c r="D12" s="85" t="s">
        <v>107</v>
      </c>
      <c r="E12" s="78">
        <f t="shared" si="0"/>
        <v>810000</v>
      </c>
      <c r="F12" s="117">
        <f>'A2'!$T$2</f>
        <v>450000</v>
      </c>
      <c r="H12" s="81" t="s">
        <v>106</v>
      </c>
      <c r="I12" s="82">
        <v>2.5</v>
      </c>
      <c r="J12" s="85" t="s">
        <v>107</v>
      </c>
      <c r="K12" s="78">
        <f t="shared" si="1"/>
        <v>1125000</v>
      </c>
      <c r="L12" s="117">
        <f>'A2'!$T$2</f>
        <v>450000</v>
      </c>
    </row>
    <row r="13" spans="1:12" ht="15" customHeight="1" x14ac:dyDescent="0.25">
      <c r="B13" s="120"/>
      <c r="C13" s="591">
        <f>SUM(E5:E13)</f>
        <v>3002000</v>
      </c>
      <c r="D13" s="592"/>
      <c r="E13" s="592"/>
      <c r="F13" s="121"/>
      <c r="H13" s="81"/>
      <c r="I13" s="591">
        <f>SUM(K5:K13)</f>
        <v>3767000</v>
      </c>
      <c r="J13" s="592"/>
      <c r="K13" s="592"/>
      <c r="L13" s="78"/>
    </row>
    <row r="14" spans="1:12" ht="15" customHeight="1" x14ac:dyDescent="0.25">
      <c r="B14" s="74"/>
      <c r="C14" s="72"/>
      <c r="D14" s="72"/>
      <c r="E14" s="72"/>
      <c r="F14" s="72"/>
      <c r="H14" s="72"/>
      <c r="I14" s="72"/>
      <c r="J14" s="72"/>
      <c r="K14" s="72"/>
      <c r="L14" s="72"/>
    </row>
    <row r="15" spans="1:12" ht="15.75" x14ac:dyDescent="0.25">
      <c r="B15" s="81"/>
      <c r="C15" s="590" t="s">
        <v>160</v>
      </c>
      <c r="D15" s="590"/>
      <c r="E15" s="590"/>
      <c r="F15" s="78"/>
    </row>
    <row r="16" spans="1:12" x14ac:dyDescent="0.25">
      <c r="B16" s="229" t="s">
        <v>5</v>
      </c>
      <c r="C16" s="79" t="s">
        <v>4</v>
      </c>
      <c r="D16" s="79" t="s">
        <v>15</v>
      </c>
      <c r="E16" s="80" t="s">
        <v>16</v>
      </c>
      <c r="F16" s="78"/>
    </row>
    <row r="17" spans="2:6" x14ac:dyDescent="0.25">
      <c r="B17" s="81" t="s">
        <v>24</v>
      </c>
      <c r="C17" s="82">
        <v>2</v>
      </c>
      <c r="D17" s="83" t="s">
        <v>18</v>
      </c>
      <c r="E17" s="78">
        <f>F17*C17</f>
        <v>260000</v>
      </c>
      <c r="F17" s="117">
        <v>130000</v>
      </c>
    </row>
    <row r="18" spans="2:6" x14ac:dyDescent="0.25">
      <c r="B18" s="81" t="s">
        <v>187</v>
      </c>
      <c r="C18" s="82">
        <v>2</v>
      </c>
      <c r="D18" s="83" t="s">
        <v>18</v>
      </c>
      <c r="E18" s="78">
        <f t="shared" ref="E18:E32" si="2">F18*C18</f>
        <v>160000</v>
      </c>
      <c r="F18" s="117">
        <v>80000</v>
      </c>
    </row>
    <row r="19" spans="2:6" x14ac:dyDescent="0.25">
      <c r="B19" s="81" t="s">
        <v>26</v>
      </c>
      <c r="C19" s="82">
        <v>2</v>
      </c>
      <c r="D19" s="83" t="s">
        <v>18</v>
      </c>
      <c r="E19" s="78">
        <f t="shared" si="2"/>
        <v>700000</v>
      </c>
      <c r="F19" s="117">
        <v>350000</v>
      </c>
    </row>
    <row r="20" spans="2:6" x14ac:dyDescent="0.25">
      <c r="B20" s="81" t="s">
        <v>27</v>
      </c>
      <c r="C20" s="82">
        <v>1</v>
      </c>
      <c r="D20" s="83" t="s">
        <v>18</v>
      </c>
      <c r="E20" s="78">
        <f t="shared" si="2"/>
        <v>110000</v>
      </c>
      <c r="F20" s="117">
        <v>110000</v>
      </c>
    </row>
    <row r="21" spans="2:6" x14ac:dyDescent="0.25">
      <c r="B21" s="81" t="s">
        <v>28</v>
      </c>
      <c r="C21" s="82">
        <v>1</v>
      </c>
      <c r="D21" s="83" t="s">
        <v>18</v>
      </c>
      <c r="E21" s="78">
        <f t="shared" si="2"/>
        <v>400000</v>
      </c>
      <c r="F21" s="117">
        <v>400000</v>
      </c>
    </row>
    <row r="22" spans="2:6" x14ac:dyDescent="0.25">
      <c r="B22" s="81" t="s">
        <v>29</v>
      </c>
      <c r="C22" s="82">
        <v>1</v>
      </c>
      <c r="D22" s="83" t="s">
        <v>18</v>
      </c>
      <c r="E22" s="78">
        <f t="shared" si="2"/>
        <v>250000</v>
      </c>
      <c r="F22" s="117">
        <v>250000</v>
      </c>
    </row>
    <row r="23" spans="2:6" x14ac:dyDescent="0.25">
      <c r="B23" s="81" t="s">
        <v>30</v>
      </c>
      <c r="C23" s="82">
        <v>2</v>
      </c>
      <c r="D23" s="83" t="s">
        <v>18</v>
      </c>
      <c r="E23" s="78">
        <f t="shared" si="2"/>
        <v>50000</v>
      </c>
      <c r="F23" s="117">
        <v>25000</v>
      </c>
    </row>
    <row r="24" spans="2:6" x14ac:dyDescent="0.25">
      <c r="B24" s="81" t="s">
        <v>31</v>
      </c>
      <c r="C24" s="82">
        <v>8</v>
      </c>
      <c r="D24" s="83" t="s">
        <v>18</v>
      </c>
      <c r="E24" s="78">
        <f t="shared" si="2"/>
        <v>40000</v>
      </c>
      <c r="F24" s="117">
        <v>5000</v>
      </c>
    </row>
    <row r="25" spans="2:6" x14ac:dyDescent="0.25">
      <c r="B25" s="81" t="s">
        <v>32</v>
      </c>
      <c r="C25" s="82">
        <v>1</v>
      </c>
      <c r="D25" s="83" t="s">
        <v>18</v>
      </c>
      <c r="E25" s="78">
        <f t="shared" si="2"/>
        <v>100000</v>
      </c>
      <c r="F25" s="117">
        <v>100000</v>
      </c>
    </row>
    <row r="26" spans="2:6" x14ac:dyDescent="0.25">
      <c r="B26" s="81" t="s">
        <v>108</v>
      </c>
      <c r="C26" s="82">
        <v>2</v>
      </c>
      <c r="D26" s="83" t="s">
        <v>18</v>
      </c>
      <c r="E26" s="78">
        <f t="shared" si="2"/>
        <v>20000</v>
      </c>
      <c r="F26" s="117">
        <v>10000</v>
      </c>
    </row>
    <row r="27" spans="2:6" ht="24" x14ac:dyDescent="0.25">
      <c r="B27" s="81" t="s">
        <v>33</v>
      </c>
      <c r="C27" s="82">
        <v>8</v>
      </c>
      <c r="D27" s="83" t="s">
        <v>18</v>
      </c>
      <c r="E27" s="78">
        <f t="shared" si="2"/>
        <v>80000</v>
      </c>
      <c r="F27" s="117">
        <v>10000</v>
      </c>
    </row>
    <row r="28" spans="2:6" ht="24" x14ac:dyDescent="0.25">
      <c r="B28" s="81" t="s">
        <v>162</v>
      </c>
      <c r="C28" s="82">
        <v>4</v>
      </c>
      <c r="D28" s="83" t="s">
        <v>18</v>
      </c>
      <c r="E28" s="78">
        <f t="shared" si="2"/>
        <v>40000</v>
      </c>
      <c r="F28" s="117">
        <v>10000</v>
      </c>
    </row>
    <row r="29" spans="2:6" x14ac:dyDescent="0.25">
      <c r="B29" s="81" t="s">
        <v>34</v>
      </c>
      <c r="C29" s="82">
        <v>2</v>
      </c>
      <c r="D29" s="83" t="s">
        <v>18</v>
      </c>
      <c r="E29" s="78">
        <f t="shared" si="2"/>
        <v>40000</v>
      </c>
      <c r="F29" s="117">
        <v>20000</v>
      </c>
    </row>
    <row r="30" spans="2:6" ht="24" x14ac:dyDescent="0.25">
      <c r="B30" s="81" t="s">
        <v>35</v>
      </c>
      <c r="C30" s="82">
        <v>8</v>
      </c>
      <c r="D30" s="83" t="s">
        <v>18</v>
      </c>
      <c r="E30" s="78">
        <f t="shared" si="2"/>
        <v>120000</v>
      </c>
      <c r="F30" s="117">
        <v>15000</v>
      </c>
    </row>
    <row r="31" spans="2:6" x14ac:dyDescent="0.25">
      <c r="B31" s="81" t="s">
        <v>36</v>
      </c>
      <c r="C31" s="82">
        <v>3</v>
      </c>
      <c r="D31" s="83" t="s">
        <v>18</v>
      </c>
      <c r="E31" s="78">
        <f t="shared" si="2"/>
        <v>30000</v>
      </c>
      <c r="F31" s="117">
        <v>10000</v>
      </c>
    </row>
    <row r="32" spans="2:6" x14ac:dyDescent="0.25">
      <c r="B32" s="81" t="s">
        <v>37</v>
      </c>
      <c r="C32" s="82">
        <v>1</v>
      </c>
      <c r="D32" s="83" t="s">
        <v>18</v>
      </c>
      <c r="E32" s="78">
        <f t="shared" si="2"/>
        <v>5000</v>
      </c>
      <c r="F32" s="117">
        <v>5000</v>
      </c>
    </row>
    <row r="33" spans="2:6" ht="21" x14ac:dyDescent="0.25">
      <c r="B33" s="81"/>
      <c r="C33" s="591">
        <f>SUM(E17:E32)</f>
        <v>2405000</v>
      </c>
      <c r="D33" s="592"/>
      <c r="E33" s="592"/>
      <c r="F33" s="78"/>
    </row>
    <row r="34" spans="2:6" x14ac:dyDescent="0.25">
      <c r="B34" s="74"/>
      <c r="C34" s="74"/>
      <c r="D34" s="74"/>
      <c r="E34" s="74"/>
      <c r="F34" s="74"/>
    </row>
    <row r="35" spans="2:6" ht="15.75" x14ac:dyDescent="0.25">
      <c r="B35" s="81"/>
      <c r="C35" s="590" t="s">
        <v>161</v>
      </c>
      <c r="D35" s="590"/>
      <c r="E35" s="590"/>
      <c r="F35" s="78"/>
    </row>
    <row r="36" spans="2:6" x14ac:dyDescent="0.25">
      <c r="B36" s="229" t="s">
        <v>6</v>
      </c>
      <c r="C36" s="79" t="s">
        <v>4</v>
      </c>
      <c r="D36" s="79" t="s">
        <v>15</v>
      </c>
      <c r="E36" s="80" t="s">
        <v>16</v>
      </c>
      <c r="F36" s="78"/>
    </row>
    <row r="37" spans="2:6" x14ac:dyDescent="0.25">
      <c r="B37" s="81" t="s">
        <v>24</v>
      </c>
      <c r="C37" s="82">
        <v>2</v>
      </c>
      <c r="D37" s="83" t="s">
        <v>18</v>
      </c>
      <c r="E37" s="78">
        <f>F37*C37</f>
        <v>260000</v>
      </c>
      <c r="F37" s="117">
        <v>130000</v>
      </c>
    </row>
    <row r="38" spans="2:6" x14ac:dyDescent="0.25">
      <c r="B38" s="81" t="s">
        <v>25</v>
      </c>
      <c r="C38" s="82">
        <v>2</v>
      </c>
      <c r="D38" s="83" t="s">
        <v>18</v>
      </c>
      <c r="E38" s="78">
        <f t="shared" ref="E38:E52" si="3">F38*C38</f>
        <v>160000</v>
      </c>
      <c r="F38" s="117">
        <v>80000</v>
      </c>
    </row>
    <row r="39" spans="2:6" x14ac:dyDescent="0.25">
      <c r="B39" s="81" t="s">
        <v>26</v>
      </c>
      <c r="C39" s="82">
        <v>2</v>
      </c>
      <c r="D39" s="83" t="s">
        <v>18</v>
      </c>
      <c r="E39" s="78">
        <f t="shared" si="3"/>
        <v>700000</v>
      </c>
      <c r="F39" s="117">
        <v>350000</v>
      </c>
    </row>
    <row r="40" spans="2:6" x14ac:dyDescent="0.25">
      <c r="B40" s="81" t="s">
        <v>38</v>
      </c>
      <c r="C40" s="82">
        <v>1</v>
      </c>
      <c r="D40" s="83" t="s">
        <v>18</v>
      </c>
      <c r="E40" s="78">
        <f t="shared" si="3"/>
        <v>150000</v>
      </c>
      <c r="F40" s="117">
        <v>150000</v>
      </c>
    </row>
    <row r="41" spans="2:6" x14ac:dyDescent="0.25">
      <c r="B41" s="81" t="s">
        <v>28</v>
      </c>
      <c r="C41" s="82">
        <v>2</v>
      </c>
      <c r="D41" s="83" t="s">
        <v>18</v>
      </c>
      <c r="E41" s="78">
        <f t="shared" si="3"/>
        <v>800000</v>
      </c>
      <c r="F41" s="117">
        <v>400000</v>
      </c>
    </row>
    <row r="42" spans="2:6" x14ac:dyDescent="0.25">
      <c r="B42" s="81" t="s">
        <v>29</v>
      </c>
      <c r="C42" s="82">
        <v>1</v>
      </c>
      <c r="D42" s="83" t="s">
        <v>18</v>
      </c>
      <c r="E42" s="78">
        <f t="shared" si="3"/>
        <v>250000</v>
      </c>
      <c r="F42" s="117">
        <v>250000</v>
      </c>
    </row>
    <row r="43" spans="2:6" x14ac:dyDescent="0.25">
      <c r="B43" s="81" t="s">
        <v>30</v>
      </c>
      <c r="C43" s="82">
        <v>2</v>
      </c>
      <c r="D43" s="83" t="s">
        <v>18</v>
      </c>
      <c r="E43" s="78">
        <f t="shared" si="3"/>
        <v>50000</v>
      </c>
      <c r="F43" s="117">
        <v>25000</v>
      </c>
    </row>
    <row r="44" spans="2:6" x14ac:dyDescent="0.25">
      <c r="B44" s="81" t="s">
        <v>31</v>
      </c>
      <c r="C44" s="82">
        <v>8</v>
      </c>
      <c r="D44" s="83" t="s">
        <v>18</v>
      </c>
      <c r="E44" s="78">
        <f t="shared" si="3"/>
        <v>40000</v>
      </c>
      <c r="F44" s="117">
        <v>5000</v>
      </c>
    </row>
    <row r="45" spans="2:6" x14ac:dyDescent="0.25">
      <c r="B45" s="81" t="s">
        <v>32</v>
      </c>
      <c r="C45" s="82">
        <v>1</v>
      </c>
      <c r="D45" s="83" t="s">
        <v>18</v>
      </c>
      <c r="E45" s="78">
        <f t="shared" si="3"/>
        <v>100000</v>
      </c>
      <c r="F45" s="117">
        <v>100000</v>
      </c>
    </row>
    <row r="46" spans="2:6" x14ac:dyDescent="0.25">
      <c r="B46" s="81" t="s">
        <v>108</v>
      </c>
      <c r="C46" s="82">
        <v>2</v>
      </c>
      <c r="D46" s="83" t="s">
        <v>18</v>
      </c>
      <c r="E46" s="78">
        <f t="shared" si="3"/>
        <v>20000</v>
      </c>
      <c r="F46" s="117">
        <v>10000</v>
      </c>
    </row>
    <row r="47" spans="2:6" ht="24" x14ac:dyDescent="0.25">
      <c r="B47" s="81" t="s">
        <v>33</v>
      </c>
      <c r="C47" s="82">
        <v>8</v>
      </c>
      <c r="D47" s="83" t="s">
        <v>18</v>
      </c>
      <c r="E47" s="78">
        <f t="shared" si="3"/>
        <v>80000</v>
      </c>
      <c r="F47" s="117">
        <v>10000</v>
      </c>
    </row>
    <row r="48" spans="2:6" ht="24" x14ac:dyDescent="0.25">
      <c r="B48" s="81" t="s">
        <v>162</v>
      </c>
      <c r="C48" s="82">
        <v>4</v>
      </c>
      <c r="D48" s="83" t="s">
        <v>18</v>
      </c>
      <c r="E48" s="78">
        <f t="shared" si="3"/>
        <v>40000</v>
      </c>
      <c r="F48" s="117">
        <v>10000</v>
      </c>
    </row>
    <row r="49" spans="2:12" x14ac:dyDescent="0.25">
      <c r="B49" s="81" t="s">
        <v>34</v>
      </c>
      <c r="C49" s="82">
        <v>2</v>
      </c>
      <c r="D49" s="83" t="s">
        <v>18</v>
      </c>
      <c r="E49" s="78">
        <f t="shared" si="3"/>
        <v>40000</v>
      </c>
      <c r="F49" s="117">
        <v>20000</v>
      </c>
    </row>
    <row r="50" spans="2:12" ht="24" x14ac:dyDescent="0.25">
      <c r="B50" s="81" t="s">
        <v>35</v>
      </c>
      <c r="C50" s="82">
        <v>8</v>
      </c>
      <c r="D50" s="83" t="s">
        <v>18</v>
      </c>
      <c r="E50" s="78">
        <f t="shared" si="3"/>
        <v>120000</v>
      </c>
      <c r="F50" s="117">
        <v>15000</v>
      </c>
    </row>
    <row r="51" spans="2:12" x14ac:dyDescent="0.25">
      <c r="B51" s="81" t="s">
        <v>36</v>
      </c>
      <c r="C51" s="82">
        <v>3</v>
      </c>
      <c r="D51" s="83" t="s">
        <v>18</v>
      </c>
      <c r="E51" s="78">
        <f t="shared" si="3"/>
        <v>30000</v>
      </c>
      <c r="F51" s="117">
        <v>10000</v>
      </c>
    </row>
    <row r="52" spans="2:12" x14ac:dyDescent="0.25">
      <c r="B52" s="81" t="s">
        <v>37</v>
      </c>
      <c r="C52" s="82">
        <v>1</v>
      </c>
      <c r="D52" s="83" t="s">
        <v>18</v>
      </c>
      <c r="E52" s="78">
        <f t="shared" si="3"/>
        <v>5000</v>
      </c>
      <c r="F52" s="117">
        <v>5000</v>
      </c>
    </row>
    <row r="53" spans="2:12" ht="21" x14ac:dyDescent="0.25">
      <c r="B53" s="81"/>
      <c r="C53" s="591">
        <f>SUM(E37:E52)</f>
        <v>2845000</v>
      </c>
      <c r="D53" s="592"/>
      <c r="E53" s="592"/>
      <c r="F53" s="78"/>
    </row>
    <row r="54" spans="2:12" x14ac:dyDescent="0.25">
      <c r="B54" s="72"/>
      <c r="C54" s="72"/>
      <c r="D54" s="72"/>
      <c r="E54" s="72"/>
      <c r="F54" s="72"/>
    </row>
    <row r="55" spans="2:12" ht="21" x14ac:dyDescent="0.25">
      <c r="B55" s="76" t="s">
        <v>137</v>
      </c>
      <c r="C55" s="596" t="s">
        <v>163</v>
      </c>
      <c r="D55" s="596"/>
      <c r="E55" s="596"/>
      <c r="F55" s="78"/>
      <c r="H55" s="76" t="s">
        <v>136</v>
      </c>
      <c r="I55" s="596" t="s">
        <v>163</v>
      </c>
      <c r="J55" s="596"/>
      <c r="K55" s="596"/>
      <c r="L55" s="78"/>
    </row>
    <row r="56" spans="2:12" x14ac:dyDescent="0.25">
      <c r="B56" s="229"/>
      <c r="C56" s="79" t="s">
        <v>4</v>
      </c>
      <c r="D56" s="79" t="s">
        <v>15</v>
      </c>
      <c r="E56" s="80" t="s">
        <v>16</v>
      </c>
      <c r="F56" s="78"/>
      <c r="H56" s="229"/>
      <c r="I56" s="79" t="s">
        <v>4</v>
      </c>
      <c r="J56" s="79" t="s">
        <v>15</v>
      </c>
      <c r="K56" s="80" t="s">
        <v>16</v>
      </c>
      <c r="L56" s="78"/>
    </row>
    <row r="57" spans="2:12" x14ac:dyDescent="0.25">
      <c r="B57" s="86" t="s">
        <v>105</v>
      </c>
      <c r="C57" s="82" t="e">
        <f>'2'!C5</f>
        <v>#VALUE!</v>
      </c>
      <c r="D57" s="87" t="s">
        <v>40</v>
      </c>
      <c r="E57" s="78" t="e">
        <f>F57*C57</f>
        <v>#VALUE!</v>
      </c>
      <c r="F57" s="88">
        <f>'2'!E9*4.7</f>
        <v>10340000</v>
      </c>
      <c r="H57" s="86" t="s">
        <v>105</v>
      </c>
      <c r="I57" s="82" t="e">
        <f>'2'!C5</f>
        <v>#VALUE!</v>
      </c>
      <c r="J57" s="87" t="s">
        <v>40</v>
      </c>
      <c r="K57" s="78" t="e">
        <f>L57*I57</f>
        <v>#VALUE!</v>
      </c>
      <c r="L57" s="88">
        <f>'2'!E9*6.7</f>
        <v>14740000</v>
      </c>
    </row>
    <row r="58" spans="2:12" x14ac:dyDescent="0.25">
      <c r="B58" s="86" t="s">
        <v>39</v>
      </c>
      <c r="C58" s="89" t="e">
        <f>((('2'!$D$8-0.25)*2)+0.52)*('2'!$E$5+'2'!$D$5)</f>
        <v>#VALUE!</v>
      </c>
      <c r="D58" s="87" t="s">
        <v>40</v>
      </c>
      <c r="E58" s="78" t="e">
        <f t="shared" ref="E58:E66" si="4">F58*C58</f>
        <v>#VALUE!</v>
      </c>
      <c r="F58" s="117">
        <v>800000</v>
      </c>
      <c r="H58" s="86" t="s">
        <v>39</v>
      </c>
      <c r="I58" s="89" t="e">
        <f>((('2'!$D$8-0.25)*2)+0.52)*('2'!$E$5+'2'!$D$5)</f>
        <v>#VALUE!</v>
      </c>
      <c r="J58" s="87" t="s">
        <v>40</v>
      </c>
      <c r="K58" s="78" t="e">
        <f t="shared" ref="K58:K66" si="5">L58*I58</f>
        <v>#VALUE!</v>
      </c>
      <c r="L58" s="117">
        <v>800000</v>
      </c>
    </row>
    <row r="59" spans="2:12" x14ac:dyDescent="0.25">
      <c r="B59" s="81" t="s">
        <v>43</v>
      </c>
      <c r="C59" s="89">
        <f>('2'!$D$8-0.25)*2</f>
        <v>-0.5</v>
      </c>
      <c r="D59" s="85" t="s">
        <v>40</v>
      </c>
      <c r="E59" s="78">
        <f>F59*C59</f>
        <v>-135000</v>
      </c>
      <c r="F59" s="117">
        <v>270000</v>
      </c>
      <c r="H59" s="81" t="s">
        <v>43</v>
      </c>
      <c r="I59" s="89">
        <f>('2'!$D$8-0.25)*2</f>
        <v>-0.5</v>
      </c>
      <c r="J59" s="85" t="s">
        <v>40</v>
      </c>
      <c r="K59" s="78">
        <f>L59*I59</f>
        <v>-135000</v>
      </c>
      <c r="L59" s="117">
        <v>270000</v>
      </c>
    </row>
    <row r="60" spans="2:12" x14ac:dyDescent="0.25">
      <c r="B60" s="81" t="s">
        <v>164</v>
      </c>
      <c r="C60" s="89" t="e">
        <f>(C57/0.6)+1</f>
        <v>#VALUE!</v>
      </c>
      <c r="D60" s="85" t="s">
        <v>18</v>
      </c>
      <c r="E60" s="78" t="e">
        <f t="shared" si="4"/>
        <v>#VALUE!</v>
      </c>
      <c r="F60" s="117">
        <v>365000</v>
      </c>
      <c r="H60" s="81" t="s">
        <v>164</v>
      </c>
      <c r="I60" s="89" t="e">
        <f>(I57/0.6)+1</f>
        <v>#VALUE!</v>
      </c>
      <c r="J60" s="85" t="s">
        <v>18</v>
      </c>
      <c r="K60" s="78" t="e">
        <f t="shared" si="5"/>
        <v>#VALUE!</v>
      </c>
      <c r="L60" s="117">
        <v>365000</v>
      </c>
    </row>
    <row r="61" spans="2:12" x14ac:dyDescent="0.25">
      <c r="B61" s="81" t="s">
        <v>165</v>
      </c>
      <c r="C61" s="82" t="e">
        <f>('2'!$D$5+'2'!$E$5)*2</f>
        <v>#VALUE!</v>
      </c>
      <c r="D61" s="85" t="s">
        <v>18</v>
      </c>
      <c r="E61" s="78" t="e">
        <f t="shared" si="4"/>
        <v>#VALUE!</v>
      </c>
      <c r="F61" s="117">
        <v>385000</v>
      </c>
      <c r="H61" s="81" t="s">
        <v>165</v>
      </c>
      <c r="I61" s="82" t="e">
        <f>('2'!$D$5+'2'!$E$5)*2</f>
        <v>#VALUE!</v>
      </c>
      <c r="J61" s="85" t="s">
        <v>18</v>
      </c>
      <c r="K61" s="78" t="e">
        <f t="shared" si="5"/>
        <v>#VALUE!</v>
      </c>
      <c r="L61" s="117">
        <v>385000</v>
      </c>
    </row>
    <row r="62" spans="2:12" x14ac:dyDescent="0.25">
      <c r="B62" s="81" t="s">
        <v>41</v>
      </c>
      <c r="C62" s="90" t="e">
        <f>('2'!$E$5+'2'!$D$5)</f>
        <v>#VALUE!</v>
      </c>
      <c r="D62" s="85" t="s">
        <v>18</v>
      </c>
      <c r="E62" s="78" t="e">
        <f>F62*C62</f>
        <v>#VALUE!</v>
      </c>
      <c r="F62" s="117">
        <v>100000</v>
      </c>
      <c r="H62" s="81" t="s">
        <v>41</v>
      </c>
      <c r="I62" s="90" t="e">
        <f>('2'!$E$5+'2'!$D$5)</f>
        <v>#VALUE!</v>
      </c>
      <c r="J62" s="85" t="s">
        <v>18</v>
      </c>
      <c r="K62" s="78" t="e">
        <f>L62*I62</f>
        <v>#VALUE!</v>
      </c>
      <c r="L62" s="117">
        <v>100000</v>
      </c>
    </row>
    <row r="63" spans="2:12" x14ac:dyDescent="0.25">
      <c r="B63" s="81" t="s">
        <v>42</v>
      </c>
      <c r="C63" s="90" t="e">
        <f>('2'!$E$5+'2'!$D$5)</f>
        <v>#VALUE!</v>
      </c>
      <c r="D63" s="85" t="s">
        <v>18</v>
      </c>
      <c r="E63" s="78" t="e">
        <f>F63*C63</f>
        <v>#VALUE!</v>
      </c>
      <c r="F63" s="117">
        <v>30000</v>
      </c>
      <c r="H63" s="81" t="s">
        <v>42</v>
      </c>
      <c r="I63" s="90" t="e">
        <f>('2'!$E$5+'2'!$D$5)</f>
        <v>#VALUE!</v>
      </c>
      <c r="J63" s="85" t="s">
        <v>18</v>
      </c>
      <c r="K63" s="78" t="e">
        <f>L63*I63</f>
        <v>#VALUE!</v>
      </c>
      <c r="L63" s="117">
        <v>30000</v>
      </c>
    </row>
    <row r="64" spans="2:12" x14ac:dyDescent="0.25">
      <c r="B64" s="81" t="s">
        <v>44</v>
      </c>
      <c r="C64" s="82" t="e">
        <f>4*('2'!$E$5+'2'!$D$5)</f>
        <v>#VALUE!</v>
      </c>
      <c r="D64" s="85" t="s">
        <v>18</v>
      </c>
      <c r="E64" s="78" t="e">
        <f t="shared" si="4"/>
        <v>#VALUE!</v>
      </c>
      <c r="F64" s="117">
        <v>10000</v>
      </c>
      <c r="H64" s="81" t="s">
        <v>44</v>
      </c>
      <c r="I64" s="82" t="e">
        <f>4*('2'!$E$5+'2'!$D$5)</f>
        <v>#VALUE!</v>
      </c>
      <c r="J64" s="85" t="s">
        <v>18</v>
      </c>
      <c r="K64" s="78" t="e">
        <f t="shared" si="5"/>
        <v>#VALUE!</v>
      </c>
      <c r="L64" s="117">
        <v>10000</v>
      </c>
    </row>
    <row r="65" spans="2:12" ht="24" x14ac:dyDescent="0.25">
      <c r="B65" s="81" t="s">
        <v>45</v>
      </c>
      <c r="C65" s="82" t="e">
        <f>4*('2'!$E$5+'2'!$D$5)</f>
        <v>#VALUE!</v>
      </c>
      <c r="D65" s="85" t="s">
        <v>18</v>
      </c>
      <c r="E65" s="78" t="e">
        <f t="shared" si="4"/>
        <v>#VALUE!</v>
      </c>
      <c r="F65" s="117">
        <v>10000</v>
      </c>
      <c r="H65" s="81" t="s">
        <v>45</v>
      </c>
      <c r="I65" s="82" t="e">
        <f>4*('2'!$E$5+'2'!$D$5)</f>
        <v>#VALUE!</v>
      </c>
      <c r="J65" s="85" t="s">
        <v>18</v>
      </c>
      <c r="K65" s="78" t="e">
        <f t="shared" si="5"/>
        <v>#VALUE!</v>
      </c>
      <c r="L65" s="117">
        <v>10000</v>
      </c>
    </row>
    <row r="66" spans="2:12" x14ac:dyDescent="0.25">
      <c r="B66" s="81" t="s">
        <v>106</v>
      </c>
      <c r="C66" s="82" t="e">
        <f>C57*4.7</f>
        <v>#VALUE!</v>
      </c>
      <c r="D66" s="83" t="s">
        <v>107</v>
      </c>
      <c r="E66" s="78" t="e">
        <f t="shared" si="4"/>
        <v>#VALUE!</v>
      </c>
      <c r="F66" s="117">
        <f>'A2'!$T$2</f>
        <v>450000</v>
      </c>
      <c r="H66" s="81" t="s">
        <v>106</v>
      </c>
      <c r="I66" s="82" t="e">
        <f>I57*6.7</f>
        <v>#VALUE!</v>
      </c>
      <c r="J66" s="83" t="s">
        <v>107</v>
      </c>
      <c r="K66" s="78" t="e">
        <f t="shared" si="5"/>
        <v>#VALUE!</v>
      </c>
      <c r="L66" s="117">
        <f>'A2'!$T$2</f>
        <v>450000</v>
      </c>
    </row>
    <row r="67" spans="2:12" ht="21" x14ac:dyDescent="0.25">
      <c r="B67" s="120" t="e">
        <f>SUM(E60:E65)</f>
        <v>#VALUE!</v>
      </c>
      <c r="C67" s="591" t="e">
        <f>SUM(E57:E66)</f>
        <v>#VALUE!</v>
      </c>
      <c r="D67" s="592"/>
      <c r="E67" s="592"/>
      <c r="F67" s="130" t="e">
        <f>SUM(E66)</f>
        <v>#VALUE!</v>
      </c>
      <c r="H67" s="81"/>
      <c r="I67" s="591" t="e">
        <f>SUM(K57:K67)</f>
        <v>#VALUE!</v>
      </c>
      <c r="J67" s="592"/>
      <c r="K67" s="592"/>
      <c r="L67" s="78"/>
    </row>
    <row r="68" spans="2:12" x14ac:dyDescent="0.25">
      <c r="B68" s="74"/>
      <c r="C68" s="74"/>
      <c r="D68" s="74"/>
      <c r="E68" s="74"/>
      <c r="F68" s="74"/>
    </row>
    <row r="69" spans="2:12" ht="15.75" x14ac:dyDescent="0.25">
      <c r="B69" s="81"/>
      <c r="C69" s="590" t="s">
        <v>166</v>
      </c>
      <c r="D69" s="590"/>
      <c r="E69" s="590"/>
      <c r="F69" s="78"/>
    </row>
    <row r="70" spans="2:12" x14ac:dyDescent="0.25">
      <c r="B70" s="229" t="s">
        <v>122</v>
      </c>
      <c r="C70" s="79" t="s">
        <v>4</v>
      </c>
      <c r="D70" s="79" t="s">
        <v>15</v>
      </c>
      <c r="E70" s="80" t="s">
        <v>16</v>
      </c>
      <c r="F70" s="78"/>
    </row>
    <row r="71" spans="2:12" x14ac:dyDescent="0.25">
      <c r="B71" s="81" t="s">
        <v>123</v>
      </c>
      <c r="C71" s="89">
        <f>(IF(AND('2'!$D$9&lt;=4),('2'!$D$9),IF(AND('2'!$D$9&gt;4,'2'!$D$9&lt;=8),('2'!$D$9/2),IF(AND('2'!$D$9&gt;8,'2'!$D$9&lt;=12),('2'!$D$9/3),0))))</f>
        <v>0</v>
      </c>
      <c r="D71" s="85" t="s">
        <v>40</v>
      </c>
      <c r="E71" s="78">
        <f>F71*C71</f>
        <v>0</v>
      </c>
      <c r="F71" s="88">
        <f>'2'!E9*3</f>
        <v>6600000</v>
      </c>
    </row>
    <row r="72" spans="2:12" x14ac:dyDescent="0.25">
      <c r="B72" s="81" t="s">
        <v>52</v>
      </c>
      <c r="C72" s="82">
        <v>2</v>
      </c>
      <c r="D72" s="85" t="s">
        <v>18</v>
      </c>
      <c r="E72" s="78">
        <f t="shared" ref="E72:E78" si="6">F72*C72</f>
        <v>300000</v>
      </c>
      <c r="F72" s="117">
        <v>150000</v>
      </c>
    </row>
    <row r="73" spans="2:12" x14ac:dyDescent="0.25">
      <c r="B73" s="81" t="s">
        <v>53</v>
      </c>
      <c r="C73" s="82">
        <v>4</v>
      </c>
      <c r="D73" s="85" t="s">
        <v>18</v>
      </c>
      <c r="E73" s="78">
        <f t="shared" si="6"/>
        <v>400000</v>
      </c>
      <c r="F73" s="117">
        <v>100000</v>
      </c>
    </row>
    <row r="74" spans="2:12" x14ac:dyDescent="0.25">
      <c r="B74" s="81" t="s">
        <v>106</v>
      </c>
      <c r="C74" s="82">
        <f>C71*3</f>
        <v>0</v>
      </c>
      <c r="D74" s="83" t="s">
        <v>107</v>
      </c>
      <c r="E74" s="78">
        <f t="shared" si="6"/>
        <v>0</v>
      </c>
      <c r="F74" s="117">
        <f>'A2'!$T$2</f>
        <v>450000</v>
      </c>
    </row>
    <row r="75" spans="2:12" x14ac:dyDescent="0.25">
      <c r="B75" s="81" t="s">
        <v>54</v>
      </c>
      <c r="C75" s="82">
        <v>4</v>
      </c>
      <c r="D75" s="85" t="s">
        <v>18</v>
      </c>
      <c r="E75" s="78">
        <f t="shared" si="6"/>
        <v>60000</v>
      </c>
      <c r="F75" s="117">
        <v>15000</v>
      </c>
    </row>
    <row r="76" spans="2:12" x14ac:dyDescent="0.25">
      <c r="B76" s="81" t="s">
        <v>44</v>
      </c>
      <c r="C76" s="82">
        <v>4</v>
      </c>
      <c r="D76" s="85" t="s">
        <v>18</v>
      </c>
      <c r="E76" s="78">
        <f t="shared" si="6"/>
        <v>40000</v>
      </c>
      <c r="F76" s="117">
        <v>10000</v>
      </c>
    </row>
    <row r="77" spans="2:12" ht="24" x14ac:dyDescent="0.25">
      <c r="B77" s="81" t="s">
        <v>45</v>
      </c>
      <c r="C77" s="82">
        <v>4</v>
      </c>
      <c r="D77" s="85" t="s">
        <v>18</v>
      </c>
      <c r="E77" s="78">
        <f t="shared" si="6"/>
        <v>40000</v>
      </c>
      <c r="F77" s="117">
        <v>10000</v>
      </c>
    </row>
    <row r="78" spans="2:12" ht="24" x14ac:dyDescent="0.25">
      <c r="B78" s="81" t="s">
        <v>55</v>
      </c>
      <c r="C78" s="82">
        <v>4</v>
      </c>
      <c r="D78" s="85" t="s">
        <v>18</v>
      </c>
      <c r="E78" s="78">
        <f t="shared" si="6"/>
        <v>24000</v>
      </c>
      <c r="F78" s="117">
        <v>6000</v>
      </c>
    </row>
    <row r="79" spans="2:12" ht="21" x14ac:dyDescent="0.25">
      <c r="B79" s="120">
        <f>SUM(E72:E73,E75:E78)</f>
        <v>864000</v>
      </c>
      <c r="C79" s="591">
        <f>SUM(E71:E78)</f>
        <v>864000</v>
      </c>
      <c r="D79" s="592"/>
      <c r="E79" s="592"/>
      <c r="F79" s="130">
        <f>SUM(E74)</f>
        <v>0</v>
      </c>
    </row>
    <row r="80" spans="2:12" x14ac:dyDescent="0.25">
      <c r="B80" s="72"/>
      <c r="C80" s="72"/>
      <c r="D80" s="72"/>
      <c r="E80" s="72"/>
      <c r="F80" s="72"/>
    </row>
    <row r="81" spans="2:6" ht="15.75" x14ac:dyDescent="0.25">
      <c r="B81" s="81"/>
      <c r="C81" s="590" t="s">
        <v>167</v>
      </c>
      <c r="D81" s="590"/>
      <c r="E81" s="590"/>
      <c r="F81" s="78"/>
    </row>
    <row r="82" spans="2:6" ht="25.5" x14ac:dyDescent="0.25">
      <c r="B82" s="230" t="s">
        <v>49</v>
      </c>
      <c r="C82" s="79" t="s">
        <v>4</v>
      </c>
      <c r="D82" s="79" t="s">
        <v>15</v>
      </c>
      <c r="E82" s="80" t="s">
        <v>16</v>
      </c>
      <c r="F82" s="78"/>
    </row>
    <row r="83" spans="2:6" x14ac:dyDescent="0.25">
      <c r="B83" s="81" t="s">
        <v>50</v>
      </c>
      <c r="C83" s="82">
        <v>1</v>
      </c>
      <c r="D83" s="83" t="s">
        <v>18</v>
      </c>
      <c r="E83" s="78">
        <f>F83*C83</f>
        <v>750000</v>
      </c>
      <c r="F83" s="117">
        <v>750000</v>
      </c>
    </row>
    <row r="84" spans="2:6" x14ac:dyDescent="0.25">
      <c r="B84" s="81" t="s">
        <v>51</v>
      </c>
      <c r="C84" s="82">
        <v>2</v>
      </c>
      <c r="D84" s="83" t="s">
        <v>18</v>
      </c>
      <c r="E84" s="78">
        <f t="shared" ref="E84:E88" si="7">F84*C84</f>
        <v>850000</v>
      </c>
      <c r="F84" s="117">
        <v>425000</v>
      </c>
    </row>
    <row r="85" spans="2:6" x14ac:dyDescent="0.25">
      <c r="B85" s="81" t="s">
        <v>46</v>
      </c>
      <c r="C85" s="82">
        <v>2</v>
      </c>
      <c r="D85" s="83" t="s">
        <v>18</v>
      </c>
      <c r="E85" s="78">
        <f t="shared" si="7"/>
        <v>1500000</v>
      </c>
      <c r="F85" s="117">
        <v>750000</v>
      </c>
    </row>
    <row r="86" spans="2:6" x14ac:dyDescent="0.25">
      <c r="B86" s="81" t="s">
        <v>106</v>
      </c>
      <c r="C86" s="82">
        <v>3.5</v>
      </c>
      <c r="D86" s="83" t="s">
        <v>107</v>
      </c>
      <c r="E86" s="78">
        <f t="shared" si="7"/>
        <v>1575000</v>
      </c>
      <c r="F86" s="117">
        <f>'A2'!$T$2</f>
        <v>450000</v>
      </c>
    </row>
    <row r="87" spans="2:6" ht="24" x14ac:dyDescent="0.25">
      <c r="B87" s="81" t="s">
        <v>47</v>
      </c>
      <c r="C87" s="82">
        <v>12</v>
      </c>
      <c r="D87" s="83" t="s">
        <v>18</v>
      </c>
      <c r="E87" s="78">
        <f t="shared" si="7"/>
        <v>120000</v>
      </c>
      <c r="F87" s="117">
        <v>10000</v>
      </c>
    </row>
    <row r="88" spans="2:6" ht="24" x14ac:dyDescent="0.25">
      <c r="B88" s="81" t="s">
        <v>48</v>
      </c>
      <c r="C88" s="82">
        <v>12</v>
      </c>
      <c r="D88" s="83" t="s">
        <v>18</v>
      </c>
      <c r="E88" s="78">
        <f t="shared" si="7"/>
        <v>240000</v>
      </c>
      <c r="F88" s="117">
        <v>20000</v>
      </c>
    </row>
    <row r="89" spans="2:6" ht="21" x14ac:dyDescent="0.25">
      <c r="B89" s="120">
        <f>SUM(E83:E85,E87:E88)</f>
        <v>3460000</v>
      </c>
      <c r="C89" s="591">
        <f>SUM(E83:E88)</f>
        <v>5035000</v>
      </c>
      <c r="D89" s="591"/>
      <c r="E89" s="591"/>
      <c r="F89" s="130">
        <f>E86</f>
        <v>1575000</v>
      </c>
    </row>
    <row r="90" spans="2:6" x14ac:dyDescent="0.25">
      <c r="B90" s="74"/>
      <c r="C90" s="74"/>
      <c r="D90" s="74"/>
      <c r="E90" s="74"/>
      <c r="F90" s="74"/>
    </row>
    <row r="91" spans="2:6" x14ac:dyDescent="0.25">
      <c r="B91" s="229" t="s">
        <v>56</v>
      </c>
      <c r="C91" s="79" t="s">
        <v>4</v>
      </c>
      <c r="D91" s="79" t="s">
        <v>15</v>
      </c>
      <c r="E91" s="80" t="s">
        <v>16</v>
      </c>
      <c r="F91" s="78"/>
    </row>
    <row r="92" spans="2:6" x14ac:dyDescent="0.25">
      <c r="B92" s="81" t="s">
        <v>57</v>
      </c>
      <c r="C92" s="89">
        <f>C71</f>
        <v>0</v>
      </c>
      <c r="D92" s="85" t="s">
        <v>40</v>
      </c>
      <c r="E92" s="78">
        <f>F92*C92</f>
        <v>0</v>
      </c>
      <c r="F92" s="117">
        <v>870000</v>
      </c>
    </row>
    <row r="93" spans="2:6" ht="24" x14ac:dyDescent="0.25">
      <c r="B93" s="81" t="s">
        <v>191</v>
      </c>
      <c r="C93" s="82">
        <v>2</v>
      </c>
      <c r="D93" s="85" t="s">
        <v>18</v>
      </c>
      <c r="E93" s="78">
        <f t="shared" ref="E93:E96" si="8">F93*C93</f>
        <v>200000</v>
      </c>
      <c r="F93" s="117">
        <v>100000</v>
      </c>
    </row>
    <row r="94" spans="2:6" ht="24" x14ac:dyDescent="0.25">
      <c r="B94" s="81" t="s">
        <v>190</v>
      </c>
      <c r="C94" s="82">
        <v>2</v>
      </c>
      <c r="D94" s="85" t="s">
        <v>18</v>
      </c>
      <c r="E94" s="78">
        <f t="shared" si="8"/>
        <v>30000</v>
      </c>
      <c r="F94" s="117">
        <v>15000</v>
      </c>
    </row>
    <row r="95" spans="2:6" ht="24" x14ac:dyDescent="0.25">
      <c r="B95" s="81" t="s">
        <v>192</v>
      </c>
      <c r="C95" s="82">
        <v>4</v>
      </c>
      <c r="D95" s="85" t="s">
        <v>18</v>
      </c>
      <c r="E95" s="78">
        <f t="shared" si="8"/>
        <v>72000</v>
      </c>
      <c r="F95" s="117">
        <v>18000</v>
      </c>
    </row>
    <row r="96" spans="2:6" x14ac:dyDescent="0.25">
      <c r="B96" s="81" t="s">
        <v>109</v>
      </c>
      <c r="C96" s="82">
        <f>C92*2.82</f>
        <v>0</v>
      </c>
      <c r="D96" s="85" t="s">
        <v>107</v>
      </c>
      <c r="E96" s="78">
        <f t="shared" si="8"/>
        <v>0</v>
      </c>
      <c r="F96" s="117">
        <v>75000</v>
      </c>
    </row>
    <row r="97" spans="2:12" ht="21" x14ac:dyDescent="0.25">
      <c r="B97" s="81"/>
      <c r="C97" s="597">
        <f>SUM(E92:E96)</f>
        <v>302000</v>
      </c>
      <c r="D97" s="597"/>
      <c r="E97" s="597"/>
      <c r="F97" s="78"/>
    </row>
    <row r="98" spans="2:12" x14ac:dyDescent="0.25">
      <c r="B98" s="72"/>
      <c r="C98" s="72"/>
      <c r="D98" s="72"/>
      <c r="E98" s="72"/>
      <c r="F98" s="72"/>
      <c r="H98" s="74"/>
      <c r="I98" s="74"/>
      <c r="J98" s="74"/>
      <c r="K98" s="74"/>
      <c r="L98" s="74"/>
    </row>
    <row r="99" spans="2:12" ht="21" x14ac:dyDescent="0.25">
      <c r="B99" s="76" t="s">
        <v>137</v>
      </c>
      <c r="C99" s="590" t="s">
        <v>169</v>
      </c>
      <c r="D99" s="590"/>
      <c r="E99" s="590"/>
      <c r="F99" s="78"/>
      <c r="H99" s="76" t="s">
        <v>136</v>
      </c>
      <c r="I99" s="590" t="s">
        <v>168</v>
      </c>
      <c r="J99" s="590"/>
      <c r="K99" s="590"/>
      <c r="L99" s="78"/>
    </row>
    <row r="100" spans="2:12" x14ac:dyDescent="0.25">
      <c r="B100" s="81"/>
      <c r="C100" s="79" t="s">
        <v>4</v>
      </c>
      <c r="D100" s="79" t="s">
        <v>15</v>
      </c>
      <c r="E100" s="80" t="s">
        <v>16</v>
      </c>
      <c r="F100" s="78"/>
      <c r="H100" s="81"/>
      <c r="I100" s="79" t="s">
        <v>4</v>
      </c>
      <c r="J100" s="79" t="s">
        <v>15</v>
      </c>
      <c r="K100" s="80" t="s">
        <v>16</v>
      </c>
      <c r="L100" s="78"/>
    </row>
    <row r="101" spans="2:12" x14ac:dyDescent="0.25">
      <c r="B101" s="81" t="s">
        <v>170</v>
      </c>
      <c r="C101" s="82">
        <v>1</v>
      </c>
      <c r="D101" s="83" t="s">
        <v>18</v>
      </c>
      <c r="E101" s="78">
        <f>F101*C101</f>
        <v>0</v>
      </c>
      <c r="F101" s="117">
        <f>IF(AND('پیش فاکتور سقف متحرک'!G13="120Nm بکر آلمان "),(400*'پیش فاکتور سقف متحرک'!C25),IF(AND('پیش فاکتور سقف متحرک'!G13="120Nm  سامفی فرانسه "),(450*'پیش فاکتور سقف متحرک'!C25),IF(AND('پیش فاکتور سقف متحرک'!G13="اختصاصی سایه روشن 120Nm"),(150*'پیش فاکتور سقف متحرک'!C25),0)))</f>
        <v>0</v>
      </c>
      <c r="H101" s="81" t="s">
        <v>58</v>
      </c>
      <c r="I101" s="82">
        <v>1</v>
      </c>
      <c r="J101" s="83" t="s">
        <v>18</v>
      </c>
      <c r="K101" s="78">
        <f>L101*I101</f>
        <v>60000000</v>
      </c>
      <c r="L101" s="117">
        <v>60000000</v>
      </c>
    </row>
    <row r="102" spans="2:12" x14ac:dyDescent="0.25">
      <c r="B102" s="81" t="s">
        <v>59</v>
      </c>
      <c r="C102" s="82">
        <v>1</v>
      </c>
      <c r="D102" s="83" t="s">
        <v>18</v>
      </c>
      <c r="E102" s="78">
        <f t="shared" ref="E102:E117" si="9">F102*C102</f>
        <v>350000</v>
      </c>
      <c r="F102" s="117">
        <v>350000</v>
      </c>
      <c r="H102" s="81" t="s">
        <v>59</v>
      </c>
      <c r="I102" s="82">
        <v>1</v>
      </c>
      <c r="J102" s="83" t="s">
        <v>18</v>
      </c>
      <c r="K102" s="78">
        <f t="shared" ref="K102:K117" si="10">L102*I102</f>
        <v>350000</v>
      </c>
      <c r="L102" s="117">
        <v>350000</v>
      </c>
    </row>
    <row r="103" spans="2:12" x14ac:dyDescent="0.25">
      <c r="B103" s="81" t="s">
        <v>171</v>
      </c>
      <c r="C103" s="82">
        <v>1</v>
      </c>
      <c r="D103" s="83" t="s">
        <v>18</v>
      </c>
      <c r="E103" s="78">
        <f t="shared" si="9"/>
        <v>350000</v>
      </c>
      <c r="F103" s="117">
        <v>350000</v>
      </c>
      <c r="H103" s="81" t="s">
        <v>60</v>
      </c>
      <c r="I103" s="82">
        <v>1</v>
      </c>
      <c r="J103" s="83" t="s">
        <v>18</v>
      </c>
      <c r="K103" s="78">
        <f t="shared" si="10"/>
        <v>350000</v>
      </c>
      <c r="L103" s="117">
        <v>350000</v>
      </c>
    </row>
    <row r="104" spans="2:12" x14ac:dyDescent="0.25">
      <c r="B104" s="81" t="s">
        <v>172</v>
      </c>
      <c r="C104" s="82">
        <v>1</v>
      </c>
      <c r="D104" s="83" t="s">
        <v>18</v>
      </c>
      <c r="E104" s="78">
        <f>F104*C104</f>
        <v>80000</v>
      </c>
      <c r="F104" s="117">
        <v>80000</v>
      </c>
      <c r="H104" s="81" t="s">
        <v>172</v>
      </c>
      <c r="I104" s="82">
        <v>1</v>
      </c>
      <c r="J104" s="83" t="s">
        <v>18</v>
      </c>
      <c r="K104" s="78">
        <f>L104*I104</f>
        <v>80000</v>
      </c>
      <c r="L104" s="117">
        <v>80000</v>
      </c>
    </row>
    <row r="105" spans="2:12" x14ac:dyDescent="0.25">
      <c r="B105" s="81" t="s">
        <v>173</v>
      </c>
      <c r="C105" s="82">
        <v>2</v>
      </c>
      <c r="D105" s="83" t="s">
        <v>18</v>
      </c>
      <c r="E105" s="78">
        <f>F105*C105</f>
        <v>160000</v>
      </c>
      <c r="F105" s="117">
        <v>80000</v>
      </c>
      <c r="H105" s="81" t="s">
        <v>173</v>
      </c>
      <c r="I105" s="82">
        <v>2</v>
      </c>
      <c r="J105" s="83" t="s">
        <v>18</v>
      </c>
      <c r="K105" s="78">
        <f>L105*I105</f>
        <v>160000</v>
      </c>
      <c r="L105" s="117">
        <v>80000</v>
      </c>
    </row>
    <row r="106" spans="2:12" x14ac:dyDescent="0.25">
      <c r="B106" s="81" t="s">
        <v>63</v>
      </c>
      <c r="C106" s="82">
        <v>4</v>
      </c>
      <c r="D106" s="83" t="s">
        <v>40</v>
      </c>
      <c r="E106" s="78">
        <f>F106*C106</f>
        <v>720000</v>
      </c>
      <c r="F106" s="117">
        <v>180000</v>
      </c>
      <c r="H106" s="81" t="s">
        <v>63</v>
      </c>
      <c r="I106" s="82">
        <v>4</v>
      </c>
      <c r="J106" s="83" t="s">
        <v>40</v>
      </c>
      <c r="K106" s="78">
        <f>L106*I106</f>
        <v>720000</v>
      </c>
      <c r="L106" s="117">
        <v>180000</v>
      </c>
    </row>
    <row r="107" spans="2:12" x14ac:dyDescent="0.25">
      <c r="B107" s="81" t="s">
        <v>189</v>
      </c>
      <c r="C107" s="82">
        <v>1</v>
      </c>
      <c r="D107" s="83" t="s">
        <v>18</v>
      </c>
      <c r="E107" s="78">
        <f>F107*C107</f>
        <v>750000</v>
      </c>
      <c r="F107" s="117">
        <v>750000</v>
      </c>
      <c r="H107" s="81" t="s">
        <v>189</v>
      </c>
      <c r="I107" s="82">
        <v>1</v>
      </c>
      <c r="J107" s="83" t="s">
        <v>18</v>
      </c>
      <c r="K107" s="78">
        <f>L107*I107</f>
        <v>750000</v>
      </c>
      <c r="L107" s="117">
        <v>750000</v>
      </c>
    </row>
    <row r="108" spans="2:12" x14ac:dyDescent="0.25">
      <c r="B108" s="81" t="s">
        <v>26</v>
      </c>
      <c r="C108" s="82">
        <v>1</v>
      </c>
      <c r="D108" s="83" t="s">
        <v>18</v>
      </c>
      <c r="E108" s="78">
        <f t="shared" si="9"/>
        <v>350000</v>
      </c>
      <c r="F108" s="117">
        <v>350000</v>
      </c>
      <c r="H108" s="81" t="s">
        <v>26</v>
      </c>
      <c r="I108" s="82">
        <v>1</v>
      </c>
      <c r="J108" s="83" t="s">
        <v>18</v>
      </c>
      <c r="K108" s="78">
        <f t="shared" si="10"/>
        <v>350000</v>
      </c>
      <c r="L108" s="117">
        <v>350000</v>
      </c>
    </row>
    <row r="109" spans="2:12" x14ac:dyDescent="0.25">
      <c r="B109" s="81" t="s">
        <v>174</v>
      </c>
      <c r="C109" s="82">
        <v>2</v>
      </c>
      <c r="D109" s="83" t="s">
        <v>18</v>
      </c>
      <c r="E109" s="78">
        <f t="shared" si="9"/>
        <v>700000</v>
      </c>
      <c r="F109" s="117">
        <v>350000</v>
      </c>
      <c r="H109" s="81" t="s">
        <v>174</v>
      </c>
      <c r="I109" s="82">
        <v>2</v>
      </c>
      <c r="J109" s="83" t="s">
        <v>18</v>
      </c>
      <c r="K109" s="78">
        <f t="shared" si="10"/>
        <v>700000</v>
      </c>
      <c r="L109" s="117">
        <v>350000</v>
      </c>
    </row>
    <row r="110" spans="2:12" x14ac:dyDescent="0.25">
      <c r="B110" s="81" t="s">
        <v>64</v>
      </c>
      <c r="C110" s="82">
        <v>2</v>
      </c>
      <c r="D110" s="83" t="s">
        <v>18</v>
      </c>
      <c r="E110" s="78">
        <f t="shared" si="9"/>
        <v>800000</v>
      </c>
      <c r="F110" s="117">
        <v>400000</v>
      </c>
      <c r="H110" s="81" t="s">
        <v>64</v>
      </c>
      <c r="I110" s="82">
        <v>2</v>
      </c>
      <c r="J110" s="83" t="s">
        <v>18</v>
      </c>
      <c r="K110" s="78">
        <f t="shared" si="10"/>
        <v>800000</v>
      </c>
      <c r="L110" s="117">
        <v>400000</v>
      </c>
    </row>
    <row r="111" spans="2:12" x14ac:dyDescent="0.25">
      <c r="B111" s="81" t="s">
        <v>61</v>
      </c>
      <c r="C111" s="82">
        <v>1</v>
      </c>
      <c r="D111" s="83" t="s">
        <v>18</v>
      </c>
      <c r="E111" s="78">
        <f>F111*C111</f>
        <v>850000</v>
      </c>
      <c r="F111" s="117">
        <v>850000</v>
      </c>
      <c r="H111" s="81" t="s">
        <v>61</v>
      </c>
      <c r="I111" s="82">
        <v>1</v>
      </c>
      <c r="J111" s="83" t="s">
        <v>18</v>
      </c>
      <c r="K111" s="78">
        <f>L111*I111</f>
        <v>850000</v>
      </c>
      <c r="L111" s="117">
        <v>850000</v>
      </c>
    </row>
    <row r="112" spans="2:12" x14ac:dyDescent="0.25">
      <c r="B112" s="81" t="s">
        <v>62</v>
      </c>
      <c r="C112" s="82">
        <v>1</v>
      </c>
      <c r="D112" s="83" t="s">
        <v>18</v>
      </c>
      <c r="E112" s="78">
        <f>F112*C112</f>
        <v>400000</v>
      </c>
      <c r="F112" s="117">
        <v>400000</v>
      </c>
      <c r="H112" s="81" t="s">
        <v>62</v>
      </c>
      <c r="I112" s="82">
        <v>1</v>
      </c>
      <c r="J112" s="83" t="s">
        <v>18</v>
      </c>
      <c r="K112" s="78">
        <f>L112*I112</f>
        <v>400000</v>
      </c>
      <c r="L112" s="117">
        <v>400000</v>
      </c>
    </row>
    <row r="113" spans="2:12" x14ac:dyDescent="0.25">
      <c r="B113" s="81"/>
      <c r="C113" s="82"/>
      <c r="D113" s="83"/>
      <c r="E113" s="78">
        <f t="shared" si="9"/>
        <v>0</v>
      </c>
      <c r="F113" s="78"/>
      <c r="H113" s="81" t="s">
        <v>65</v>
      </c>
      <c r="I113" s="82">
        <v>1</v>
      </c>
      <c r="J113" s="83" t="s">
        <v>18</v>
      </c>
      <c r="K113" s="78">
        <f t="shared" si="10"/>
        <v>250000</v>
      </c>
      <c r="L113" s="117">
        <v>250000</v>
      </c>
    </row>
    <row r="114" spans="2:12" x14ac:dyDescent="0.25">
      <c r="B114" s="81"/>
      <c r="C114" s="82"/>
      <c r="D114" s="83"/>
      <c r="E114" s="78">
        <f t="shared" si="9"/>
        <v>0</v>
      </c>
      <c r="F114" s="78"/>
      <c r="H114" s="81" t="s">
        <v>66</v>
      </c>
      <c r="I114" s="82">
        <v>1</v>
      </c>
      <c r="J114" s="83" t="s">
        <v>18</v>
      </c>
      <c r="K114" s="78">
        <f t="shared" si="10"/>
        <v>350000</v>
      </c>
      <c r="L114" s="117">
        <v>350000</v>
      </c>
    </row>
    <row r="115" spans="2:12" x14ac:dyDescent="0.25">
      <c r="B115" s="81" t="s">
        <v>188</v>
      </c>
      <c r="C115" s="82">
        <v>6</v>
      </c>
      <c r="D115" s="83" t="s">
        <v>18</v>
      </c>
      <c r="E115" s="78">
        <f t="shared" si="9"/>
        <v>90000</v>
      </c>
      <c r="F115" s="117">
        <v>15000</v>
      </c>
      <c r="H115" s="81" t="s">
        <v>188</v>
      </c>
      <c r="I115" s="82">
        <v>6</v>
      </c>
      <c r="J115" s="83" t="s">
        <v>18</v>
      </c>
      <c r="K115" s="78">
        <f t="shared" si="10"/>
        <v>90000</v>
      </c>
      <c r="L115" s="117">
        <v>15000</v>
      </c>
    </row>
    <row r="116" spans="2:12" ht="24" x14ac:dyDescent="0.25">
      <c r="B116" s="81" t="s">
        <v>67</v>
      </c>
      <c r="C116" s="82">
        <v>1</v>
      </c>
      <c r="D116" s="83" t="s">
        <v>18</v>
      </c>
      <c r="E116" s="78">
        <f t="shared" si="9"/>
        <v>12000</v>
      </c>
      <c r="F116" s="117">
        <v>12000</v>
      </c>
      <c r="H116" s="81" t="s">
        <v>67</v>
      </c>
      <c r="I116" s="82">
        <v>1</v>
      </c>
      <c r="J116" s="83" t="s">
        <v>18</v>
      </c>
      <c r="K116" s="78">
        <f t="shared" si="10"/>
        <v>12000</v>
      </c>
      <c r="L116" s="117">
        <v>12000</v>
      </c>
    </row>
    <row r="117" spans="2:12" x14ac:dyDescent="0.25">
      <c r="B117" s="81" t="s">
        <v>109</v>
      </c>
      <c r="C117" s="82">
        <v>5</v>
      </c>
      <c r="D117" s="85" t="s">
        <v>107</v>
      </c>
      <c r="E117" s="78">
        <f t="shared" si="9"/>
        <v>375000</v>
      </c>
      <c r="F117" s="117">
        <v>75000</v>
      </c>
      <c r="H117" s="81" t="s">
        <v>109</v>
      </c>
      <c r="I117" s="82">
        <v>5</v>
      </c>
      <c r="J117" s="85" t="s">
        <v>107</v>
      </c>
      <c r="K117" s="78">
        <f t="shared" si="10"/>
        <v>375000</v>
      </c>
      <c r="L117" s="117">
        <v>75000</v>
      </c>
    </row>
    <row r="118" spans="2:12" ht="21" x14ac:dyDescent="0.25">
      <c r="B118" s="120">
        <f>SUM(E102:E117)</f>
        <v>5987000</v>
      </c>
      <c r="C118" s="591">
        <f>SUM(E101:E117)</f>
        <v>5987000</v>
      </c>
      <c r="D118" s="592"/>
      <c r="E118" s="592"/>
      <c r="F118" s="131">
        <f>E101</f>
        <v>0</v>
      </c>
      <c r="H118" s="81"/>
      <c r="I118" s="591">
        <f>SUM(K101:K117)</f>
        <v>66587000</v>
      </c>
      <c r="J118" s="592"/>
      <c r="K118" s="592"/>
      <c r="L118" s="78"/>
    </row>
    <row r="119" spans="2:12" x14ac:dyDescent="0.25">
      <c r="B119" s="74"/>
      <c r="C119" s="74"/>
      <c r="D119" s="74"/>
      <c r="E119" s="74"/>
      <c r="F119" s="74"/>
      <c r="H119" s="74"/>
      <c r="I119" s="74"/>
      <c r="J119" s="74"/>
      <c r="K119" s="74"/>
      <c r="L119" s="74"/>
    </row>
    <row r="120" spans="2:12" ht="21" x14ac:dyDescent="0.25">
      <c r="B120" s="92" t="s">
        <v>137</v>
      </c>
      <c r="C120" s="598" t="s">
        <v>116</v>
      </c>
      <c r="D120" s="598"/>
      <c r="E120" s="598"/>
      <c r="F120" s="82"/>
      <c r="H120" s="91" t="s">
        <v>136</v>
      </c>
      <c r="I120" s="598" t="s">
        <v>116</v>
      </c>
      <c r="J120" s="598"/>
      <c r="K120" s="598"/>
      <c r="L120" s="78"/>
    </row>
    <row r="121" spans="2:12" ht="15.75" x14ac:dyDescent="0.25">
      <c r="B121" s="94"/>
      <c r="C121" s="79" t="s">
        <v>4</v>
      </c>
      <c r="D121" s="79" t="s">
        <v>15</v>
      </c>
      <c r="E121" s="80" t="s">
        <v>16</v>
      </c>
      <c r="F121" s="93"/>
      <c r="H121" s="81"/>
      <c r="I121" s="79" t="s">
        <v>4</v>
      </c>
      <c r="J121" s="79" t="s">
        <v>15</v>
      </c>
      <c r="K121" s="80" t="s">
        <v>16</v>
      </c>
      <c r="L121" s="93"/>
    </row>
    <row r="122" spans="2:12" x14ac:dyDescent="0.25">
      <c r="B122" s="81" t="s">
        <v>97</v>
      </c>
      <c r="C122" s="82">
        <f>('2'!$D$8*'2'!$D$9)</f>
        <v>0</v>
      </c>
      <c r="D122" s="85" t="s">
        <v>96</v>
      </c>
      <c r="E122" s="78">
        <f>F122*C122</f>
        <v>0</v>
      </c>
      <c r="F122" s="88">
        <f>8*'2'!E15</f>
        <v>5600000</v>
      </c>
      <c r="H122" s="81" t="s">
        <v>97</v>
      </c>
      <c r="I122" s="82">
        <f>('2'!$D$8*'2'!$D$9)</f>
        <v>0</v>
      </c>
      <c r="J122" s="85" t="s">
        <v>96</v>
      </c>
      <c r="K122" s="78">
        <f>L122*I122</f>
        <v>0</v>
      </c>
      <c r="L122" s="88">
        <f>8*'2'!E15</f>
        <v>5600000</v>
      </c>
    </row>
    <row r="123" spans="2:12" x14ac:dyDescent="0.25">
      <c r="B123" s="81" t="s">
        <v>125</v>
      </c>
      <c r="C123" s="82">
        <f>((('2'!$D$8-0.25)/0.6)-1)*('2'!$D$9)</f>
        <v>0</v>
      </c>
      <c r="D123" s="85" t="s">
        <v>40</v>
      </c>
      <c r="E123" s="78">
        <f t="shared" ref="E123:E134" si="11">F123*C123</f>
        <v>0</v>
      </c>
      <c r="F123" s="88">
        <f>1*'2'!E9</f>
        <v>2200000</v>
      </c>
      <c r="H123" s="81" t="s">
        <v>125</v>
      </c>
      <c r="I123" s="82">
        <f>((('2'!$D$8-0.25)/0.6)-1)*('2'!$D$9)</f>
        <v>0</v>
      </c>
      <c r="J123" s="85" t="s">
        <v>40</v>
      </c>
      <c r="K123" s="78">
        <f t="shared" ref="K123:K134" si="12">L123*I123</f>
        <v>0</v>
      </c>
      <c r="L123" s="88">
        <f>1.5*'2'!E9</f>
        <v>3300000</v>
      </c>
    </row>
    <row r="124" spans="2:12" x14ac:dyDescent="0.25">
      <c r="B124" s="81" t="s">
        <v>124</v>
      </c>
      <c r="C124" s="89">
        <f>'2'!$D$9*2</f>
        <v>0</v>
      </c>
      <c r="D124" s="85" t="s">
        <v>40</v>
      </c>
      <c r="E124" s="78">
        <f t="shared" si="11"/>
        <v>0</v>
      </c>
      <c r="F124" s="88">
        <f>1.9*'2'!E9</f>
        <v>4180000</v>
      </c>
      <c r="H124" s="81" t="s">
        <v>124</v>
      </c>
      <c r="I124" s="89">
        <f>'2'!$D$9*2</f>
        <v>0</v>
      </c>
      <c r="J124" s="85" t="s">
        <v>40</v>
      </c>
      <c r="K124" s="78">
        <f t="shared" si="12"/>
        <v>0</v>
      </c>
      <c r="L124" s="88">
        <f>1.9*'2'!E9</f>
        <v>4180000</v>
      </c>
    </row>
    <row r="125" spans="2:12" x14ac:dyDescent="0.25">
      <c r="B125" s="81" t="s">
        <v>68</v>
      </c>
      <c r="C125" s="89">
        <f>C124+C123</f>
        <v>0</v>
      </c>
      <c r="D125" s="85" t="s">
        <v>40</v>
      </c>
      <c r="E125" s="78">
        <f t="shared" si="11"/>
        <v>0</v>
      </c>
      <c r="F125" s="117">
        <v>50000</v>
      </c>
      <c r="H125" s="81" t="s">
        <v>68</v>
      </c>
      <c r="I125" s="89">
        <f>I124+I123</f>
        <v>0</v>
      </c>
      <c r="J125" s="85" t="s">
        <v>40</v>
      </c>
      <c r="K125" s="78">
        <f t="shared" si="12"/>
        <v>0</v>
      </c>
      <c r="L125" s="117">
        <v>50000</v>
      </c>
    </row>
    <row r="126" spans="2:12" x14ac:dyDescent="0.25">
      <c r="B126" s="81" t="s">
        <v>69</v>
      </c>
      <c r="C126" s="89">
        <f>'2'!$D$9</f>
        <v>0</v>
      </c>
      <c r="D126" s="85" t="s">
        <v>40</v>
      </c>
      <c r="E126" s="78">
        <f t="shared" si="11"/>
        <v>0</v>
      </c>
      <c r="F126" s="117">
        <v>30000</v>
      </c>
      <c r="H126" s="81" t="s">
        <v>69</v>
      </c>
      <c r="I126" s="89">
        <f>'2'!$D$9</f>
        <v>0</v>
      </c>
      <c r="J126" s="85" t="s">
        <v>40</v>
      </c>
      <c r="K126" s="78">
        <f t="shared" si="12"/>
        <v>0</v>
      </c>
      <c r="L126" s="117">
        <v>30000</v>
      </c>
    </row>
    <row r="127" spans="2:12" x14ac:dyDescent="0.25">
      <c r="B127" s="81" t="s">
        <v>71</v>
      </c>
      <c r="C127" s="89">
        <f>'2'!$D$8</f>
        <v>0</v>
      </c>
      <c r="D127" s="85" t="s">
        <v>40</v>
      </c>
      <c r="E127" s="78">
        <f t="shared" si="11"/>
        <v>0</v>
      </c>
      <c r="F127" s="117">
        <v>30000</v>
      </c>
      <c r="H127" s="81" t="s">
        <v>71</v>
      </c>
      <c r="I127" s="89">
        <f>'2'!$D$8</f>
        <v>0</v>
      </c>
      <c r="J127" s="85" t="s">
        <v>40</v>
      </c>
      <c r="K127" s="78">
        <f t="shared" si="12"/>
        <v>0</v>
      </c>
      <c r="L127" s="117">
        <v>30000</v>
      </c>
    </row>
    <row r="128" spans="2:12" x14ac:dyDescent="0.25">
      <c r="B128" s="81" t="s">
        <v>70</v>
      </c>
      <c r="C128" s="82">
        <f>((INT((C123+C124)/10))+1)</f>
        <v>1</v>
      </c>
      <c r="D128" s="85" t="s">
        <v>18</v>
      </c>
      <c r="E128" s="78">
        <f t="shared" si="11"/>
        <v>500000</v>
      </c>
      <c r="F128" s="117">
        <v>500000</v>
      </c>
      <c r="H128" s="81" t="s">
        <v>70</v>
      </c>
      <c r="I128" s="82">
        <f>((INT((I123+I124)/10))+1)</f>
        <v>1</v>
      </c>
      <c r="J128" s="85" t="s">
        <v>18</v>
      </c>
      <c r="K128" s="78">
        <f t="shared" si="12"/>
        <v>500000</v>
      </c>
      <c r="L128" s="117">
        <v>500000</v>
      </c>
    </row>
    <row r="129" spans="2:12" x14ac:dyDescent="0.25">
      <c r="B129" s="81" t="s">
        <v>126</v>
      </c>
      <c r="C129" s="82">
        <f>((INT(('2'!$D$8-0.25)/0.6)))*2</f>
        <v>-2</v>
      </c>
      <c r="D129" s="85" t="s">
        <v>18</v>
      </c>
      <c r="E129" s="78">
        <f t="shared" si="11"/>
        <v>-138000</v>
      </c>
      <c r="F129" s="117">
        <v>69000</v>
      </c>
      <c r="H129" s="81" t="s">
        <v>126</v>
      </c>
      <c r="I129" s="82">
        <f>((INT(('2'!$D$8-0.25)/0.6)))*2</f>
        <v>-2</v>
      </c>
      <c r="J129" s="85" t="s">
        <v>18</v>
      </c>
      <c r="K129" s="78">
        <f t="shared" si="12"/>
        <v>-138000</v>
      </c>
      <c r="L129" s="117">
        <v>69000</v>
      </c>
    </row>
    <row r="130" spans="2:12" x14ac:dyDescent="0.25">
      <c r="B130" s="81" t="s">
        <v>73</v>
      </c>
      <c r="C130" s="82">
        <v>4</v>
      </c>
      <c r="D130" s="85" t="s">
        <v>18</v>
      </c>
      <c r="E130" s="78">
        <f t="shared" si="11"/>
        <v>330000</v>
      </c>
      <c r="F130" s="117">
        <v>82500</v>
      </c>
      <c r="H130" s="81" t="s">
        <v>73</v>
      </c>
      <c r="I130" s="82">
        <v>4</v>
      </c>
      <c r="J130" s="85" t="s">
        <v>18</v>
      </c>
      <c r="K130" s="78">
        <f t="shared" si="12"/>
        <v>330000</v>
      </c>
      <c r="L130" s="117">
        <v>82500</v>
      </c>
    </row>
    <row r="131" spans="2:12" x14ac:dyDescent="0.25">
      <c r="B131" s="81" t="s">
        <v>72</v>
      </c>
      <c r="C131" s="82">
        <f>C129+C130</f>
        <v>2</v>
      </c>
      <c r="D131" s="85" t="s">
        <v>18</v>
      </c>
      <c r="E131" s="78">
        <f t="shared" si="11"/>
        <v>3000</v>
      </c>
      <c r="F131" s="117">
        <v>1500</v>
      </c>
      <c r="H131" s="81" t="s">
        <v>72</v>
      </c>
      <c r="I131" s="82">
        <f>I129+I130</f>
        <v>2</v>
      </c>
      <c r="J131" s="85" t="s">
        <v>18</v>
      </c>
      <c r="K131" s="78">
        <f t="shared" si="12"/>
        <v>3000</v>
      </c>
      <c r="L131" s="117">
        <v>1500</v>
      </c>
    </row>
    <row r="132" spans="2:12" ht="24" x14ac:dyDescent="0.25">
      <c r="B132" s="81" t="s">
        <v>74</v>
      </c>
      <c r="C132" s="82">
        <f>C131</f>
        <v>2</v>
      </c>
      <c r="D132" s="85" t="s">
        <v>18</v>
      </c>
      <c r="E132" s="78">
        <f t="shared" si="11"/>
        <v>20000</v>
      </c>
      <c r="F132" s="117">
        <v>10000</v>
      </c>
      <c r="H132" s="81" t="s">
        <v>74</v>
      </c>
      <c r="I132" s="82">
        <f>I129+I130</f>
        <v>2</v>
      </c>
      <c r="J132" s="85" t="s">
        <v>18</v>
      </c>
      <c r="K132" s="78">
        <f t="shared" si="12"/>
        <v>20000</v>
      </c>
      <c r="L132" s="117">
        <v>10000</v>
      </c>
    </row>
    <row r="133" spans="2:12" x14ac:dyDescent="0.25">
      <c r="B133" s="81" t="s">
        <v>75</v>
      </c>
      <c r="C133" s="82">
        <f>C131</f>
        <v>2</v>
      </c>
      <c r="D133" s="85" t="s">
        <v>18</v>
      </c>
      <c r="E133" s="78">
        <f t="shared" si="11"/>
        <v>12000</v>
      </c>
      <c r="F133" s="117">
        <v>6000</v>
      </c>
      <c r="H133" s="81" t="s">
        <v>75</v>
      </c>
      <c r="I133" s="82">
        <f>I129+I130</f>
        <v>2</v>
      </c>
      <c r="J133" s="85" t="s">
        <v>18</v>
      </c>
      <c r="K133" s="78">
        <f t="shared" si="12"/>
        <v>12000</v>
      </c>
      <c r="L133" s="117">
        <v>6000</v>
      </c>
    </row>
    <row r="134" spans="2:12" x14ac:dyDescent="0.25">
      <c r="B134" s="81" t="s">
        <v>106</v>
      </c>
      <c r="C134" s="82">
        <f>(C123*1)+(C124*1.9)</f>
        <v>0</v>
      </c>
      <c r="D134" s="83" t="s">
        <v>107</v>
      </c>
      <c r="E134" s="78">
        <f t="shared" si="11"/>
        <v>0</v>
      </c>
      <c r="F134" s="117">
        <f>'A2'!$T$2</f>
        <v>450000</v>
      </c>
      <c r="H134" s="81" t="s">
        <v>106</v>
      </c>
      <c r="I134" s="82">
        <f>(I123*1.5)+(I124*1.9)</f>
        <v>0</v>
      </c>
      <c r="J134" s="83" t="s">
        <v>107</v>
      </c>
      <c r="K134" s="78">
        <f t="shared" si="12"/>
        <v>0</v>
      </c>
      <c r="L134" s="117">
        <f>'A2'!$T$2</f>
        <v>450000</v>
      </c>
    </row>
    <row r="135" spans="2:12" ht="21" x14ac:dyDescent="0.25">
      <c r="B135" s="120">
        <f>SUM(E125:E133)</f>
        <v>727000</v>
      </c>
      <c r="C135" s="591">
        <f>SUM(E122:E134)</f>
        <v>727000</v>
      </c>
      <c r="D135" s="592"/>
      <c r="E135" s="592"/>
      <c r="F135" s="130">
        <f>E134</f>
        <v>0</v>
      </c>
      <c r="H135" s="81"/>
      <c r="I135" s="591">
        <f>SUM(K122:K134)</f>
        <v>727000</v>
      </c>
      <c r="J135" s="592"/>
      <c r="K135" s="592"/>
      <c r="L135" s="78"/>
    </row>
    <row r="136" spans="2:12" x14ac:dyDescent="0.25">
      <c r="B136" s="74"/>
      <c r="C136" s="74"/>
      <c r="D136" s="74"/>
      <c r="E136" s="74"/>
      <c r="F136" s="74"/>
    </row>
    <row r="137" spans="2:12" x14ac:dyDescent="0.25">
      <c r="B137" s="81"/>
      <c r="C137" s="598" t="s">
        <v>76</v>
      </c>
      <c r="D137" s="598"/>
      <c r="E137" s="598"/>
      <c r="F137" s="78"/>
    </row>
    <row r="138" spans="2:12" x14ac:dyDescent="0.25">
      <c r="B138" s="81"/>
      <c r="C138" s="79" t="s">
        <v>4</v>
      </c>
      <c r="D138" s="79" t="s">
        <v>15</v>
      </c>
      <c r="E138" s="80" t="s">
        <v>16</v>
      </c>
      <c r="F138" s="78"/>
    </row>
    <row r="139" spans="2:12" x14ac:dyDescent="0.25">
      <c r="B139" s="81" t="s">
        <v>127</v>
      </c>
      <c r="C139" s="82">
        <f>('2'!$D$9*((((INT('2'!$D$8/0.6))+1)*0.07)+0.25))</f>
        <v>0</v>
      </c>
      <c r="D139" s="85" t="s">
        <v>96</v>
      </c>
      <c r="E139" s="78">
        <f>F139*C139</f>
        <v>0</v>
      </c>
      <c r="F139" s="78">
        <f>8*0.5*'2'!E15</f>
        <v>2800000</v>
      </c>
    </row>
    <row r="140" spans="2:12" x14ac:dyDescent="0.25">
      <c r="B140" s="81" t="s">
        <v>78</v>
      </c>
      <c r="C140" s="82" t="e">
        <f>('2'!$E$5+'2'!$D$5)*2</f>
        <v>#VALUE!</v>
      </c>
      <c r="D140" s="85" t="s">
        <v>18</v>
      </c>
      <c r="E140" s="78" t="e">
        <f>F140*C140</f>
        <v>#VALUE!</v>
      </c>
      <c r="F140" s="117">
        <v>150000</v>
      </c>
    </row>
    <row r="141" spans="2:12" x14ac:dyDescent="0.25">
      <c r="B141" s="81" t="s">
        <v>79</v>
      </c>
      <c r="C141" s="82">
        <v>2</v>
      </c>
      <c r="D141" s="85" t="s">
        <v>18</v>
      </c>
      <c r="E141" s="78">
        <f>F141*C141</f>
        <v>300000</v>
      </c>
      <c r="F141" s="117">
        <v>150000</v>
      </c>
    </row>
    <row r="142" spans="2:12" x14ac:dyDescent="0.25">
      <c r="B142" s="81" t="s">
        <v>80</v>
      </c>
      <c r="C142" s="89">
        <f>'2'!$D$9</f>
        <v>0</v>
      </c>
      <c r="D142" s="85" t="s">
        <v>40</v>
      </c>
      <c r="E142" s="78">
        <f>F142*C142</f>
        <v>0</v>
      </c>
      <c r="F142" s="117">
        <v>220000</v>
      </c>
    </row>
    <row r="143" spans="2:12" x14ac:dyDescent="0.25">
      <c r="B143" s="81" t="s">
        <v>82</v>
      </c>
      <c r="C143" s="82">
        <v>2</v>
      </c>
      <c r="D143" s="85" t="s">
        <v>18</v>
      </c>
      <c r="E143" s="78">
        <f>F143*C143</f>
        <v>3700000</v>
      </c>
      <c r="F143" s="117">
        <v>1850000</v>
      </c>
    </row>
    <row r="144" spans="2:12" x14ac:dyDescent="0.25">
      <c r="B144" s="81" t="s">
        <v>81</v>
      </c>
      <c r="C144" s="89">
        <f>'2'!$D$9</f>
        <v>0</v>
      </c>
      <c r="D144" s="85" t="s">
        <v>40</v>
      </c>
      <c r="E144" s="78">
        <f t="shared" ref="E144:E150" si="13">F144*C144</f>
        <v>0</v>
      </c>
      <c r="F144" s="117">
        <v>430000</v>
      </c>
    </row>
    <row r="145" spans="2:12" x14ac:dyDescent="0.25">
      <c r="B145" s="81" t="s">
        <v>77</v>
      </c>
      <c r="C145" s="82">
        <f>C139/1.5</f>
        <v>0</v>
      </c>
      <c r="D145" s="85" t="s">
        <v>18</v>
      </c>
      <c r="E145" s="78">
        <f>F145*C145</f>
        <v>0</v>
      </c>
      <c r="F145" s="88">
        <v>500000</v>
      </c>
    </row>
    <row r="146" spans="2:12" ht="24" x14ac:dyDescent="0.25">
      <c r="B146" s="81" t="s">
        <v>83</v>
      </c>
      <c r="C146" s="82">
        <v>2</v>
      </c>
      <c r="D146" s="85" t="s">
        <v>18</v>
      </c>
      <c r="E146" s="78">
        <f t="shared" si="13"/>
        <v>160000</v>
      </c>
      <c r="F146" s="117">
        <v>80000</v>
      </c>
    </row>
    <row r="147" spans="2:12" x14ac:dyDescent="0.25">
      <c r="B147" s="81" t="s">
        <v>84</v>
      </c>
      <c r="C147" s="82" t="e">
        <f>C140/2</f>
        <v>#VALUE!</v>
      </c>
      <c r="D147" s="85" t="s">
        <v>18</v>
      </c>
      <c r="E147" s="78" t="e">
        <f t="shared" si="13"/>
        <v>#VALUE!</v>
      </c>
      <c r="F147" s="117">
        <v>200000</v>
      </c>
    </row>
    <row r="148" spans="2:12" ht="24" x14ac:dyDescent="0.25">
      <c r="B148" s="81" t="s">
        <v>85</v>
      </c>
      <c r="C148" s="82">
        <v>2</v>
      </c>
      <c r="D148" s="85" t="s">
        <v>18</v>
      </c>
      <c r="E148" s="78">
        <f t="shared" si="13"/>
        <v>50000</v>
      </c>
      <c r="F148" s="117">
        <v>25000</v>
      </c>
    </row>
    <row r="149" spans="2:12" x14ac:dyDescent="0.25">
      <c r="B149" s="81" t="s">
        <v>86</v>
      </c>
      <c r="C149" s="82">
        <f>C139*5</f>
        <v>0</v>
      </c>
      <c r="D149" s="85" t="s">
        <v>18</v>
      </c>
      <c r="E149" s="78">
        <f t="shared" si="13"/>
        <v>0</v>
      </c>
      <c r="F149" s="117">
        <v>10000</v>
      </c>
    </row>
    <row r="150" spans="2:12" x14ac:dyDescent="0.25">
      <c r="B150" s="81" t="s">
        <v>106</v>
      </c>
      <c r="C150" s="82">
        <f>C139*3.2</f>
        <v>0</v>
      </c>
      <c r="D150" s="83" t="s">
        <v>107</v>
      </c>
      <c r="E150" s="78">
        <f t="shared" si="13"/>
        <v>0</v>
      </c>
      <c r="F150" s="117">
        <f>'A2'!$T$2</f>
        <v>450000</v>
      </c>
    </row>
    <row r="151" spans="2:12" ht="21" x14ac:dyDescent="0.25">
      <c r="B151" s="120" t="e">
        <f>SUM(E140:E149)</f>
        <v>#VALUE!</v>
      </c>
      <c r="C151" s="591" t="e">
        <f>SUM(E139:E150)</f>
        <v>#VALUE!</v>
      </c>
      <c r="D151" s="592"/>
      <c r="E151" s="592"/>
      <c r="F151" s="130">
        <f>SUM(E150)</f>
        <v>0</v>
      </c>
    </row>
    <row r="152" spans="2:12" x14ac:dyDescent="0.25">
      <c r="B152" s="74"/>
      <c r="C152" s="74"/>
      <c r="D152" s="74"/>
      <c r="E152" s="74"/>
      <c r="F152" s="74"/>
      <c r="H152" s="74"/>
      <c r="I152" s="74"/>
      <c r="J152" s="74"/>
      <c r="K152" s="74"/>
      <c r="L152" s="74"/>
    </row>
    <row r="153" spans="2:12" ht="21" x14ac:dyDescent="0.25">
      <c r="B153" s="92" t="s">
        <v>137</v>
      </c>
      <c r="C153" s="598" t="s">
        <v>87</v>
      </c>
      <c r="D153" s="598"/>
      <c r="E153" s="598"/>
      <c r="F153" s="78"/>
      <c r="H153" s="91" t="s">
        <v>136</v>
      </c>
      <c r="I153" s="598" t="s">
        <v>87</v>
      </c>
      <c r="J153" s="598"/>
      <c r="K153" s="598"/>
      <c r="L153" s="78"/>
    </row>
    <row r="154" spans="2:12" ht="15.75" x14ac:dyDescent="0.25">
      <c r="B154" s="229"/>
      <c r="C154" s="79" t="s">
        <v>4</v>
      </c>
      <c r="D154" s="79" t="s">
        <v>15</v>
      </c>
      <c r="E154" s="80" t="s">
        <v>16</v>
      </c>
      <c r="F154" s="93"/>
      <c r="H154" s="229"/>
      <c r="I154" s="79" t="s">
        <v>4</v>
      </c>
      <c r="J154" s="79" t="s">
        <v>15</v>
      </c>
      <c r="K154" s="80" t="s">
        <v>16</v>
      </c>
      <c r="L154" s="93"/>
    </row>
    <row r="155" spans="2:12" x14ac:dyDescent="0.25">
      <c r="B155" s="95" t="s">
        <v>110</v>
      </c>
      <c r="C155" s="89">
        <f>'2'!$D$9</f>
        <v>0</v>
      </c>
      <c r="D155" s="85" t="s">
        <v>40</v>
      </c>
      <c r="E155" s="78">
        <f>F155*C155</f>
        <v>0</v>
      </c>
      <c r="F155" s="78">
        <v>0</v>
      </c>
      <c r="H155" s="95" t="s">
        <v>110</v>
      </c>
      <c r="I155" s="89">
        <f>'2'!$D$9</f>
        <v>0</v>
      </c>
      <c r="J155" s="85" t="s">
        <v>40</v>
      </c>
      <c r="K155" s="78">
        <f>L155*I155</f>
        <v>0</v>
      </c>
      <c r="L155" s="88">
        <f>'2'!E9*2.9</f>
        <v>6380000</v>
      </c>
    </row>
    <row r="156" spans="2:12" x14ac:dyDescent="0.25">
      <c r="B156" s="95" t="s">
        <v>111</v>
      </c>
      <c r="C156" s="89">
        <f>'2'!$D$9</f>
        <v>0</v>
      </c>
      <c r="D156" s="85" t="s">
        <v>40</v>
      </c>
      <c r="E156" s="78">
        <f t="shared" ref="E156:E166" si="14">F156*C156</f>
        <v>0</v>
      </c>
      <c r="F156" s="78">
        <v>0</v>
      </c>
      <c r="H156" s="95" t="s">
        <v>111</v>
      </c>
      <c r="I156" s="89">
        <f>'2'!$D$9</f>
        <v>0</v>
      </c>
      <c r="J156" s="85" t="s">
        <v>40</v>
      </c>
      <c r="K156" s="78">
        <f t="shared" ref="K156:K166" si="15">L156*I156</f>
        <v>0</v>
      </c>
      <c r="L156" s="88">
        <f>'2'!E9*1.5</f>
        <v>3300000</v>
      </c>
    </row>
    <row r="157" spans="2:12" x14ac:dyDescent="0.25">
      <c r="B157" s="95" t="s">
        <v>154</v>
      </c>
      <c r="C157" s="89">
        <f>'2'!$D$9</f>
        <v>0</v>
      </c>
      <c r="D157" s="85" t="s">
        <v>40</v>
      </c>
      <c r="E157" s="78">
        <f t="shared" si="14"/>
        <v>0</v>
      </c>
      <c r="F157" s="88">
        <f>'2'!E9*3.7</f>
        <v>8140000</v>
      </c>
      <c r="H157" s="95" t="s">
        <v>154</v>
      </c>
      <c r="I157" s="89">
        <f>'2'!$D$9</f>
        <v>0</v>
      </c>
      <c r="J157" s="85" t="s">
        <v>40</v>
      </c>
      <c r="K157" s="78">
        <f t="shared" si="15"/>
        <v>0</v>
      </c>
      <c r="L157" s="88">
        <f>'2'!E9*3.7</f>
        <v>8140000</v>
      </c>
    </row>
    <row r="158" spans="2:12" x14ac:dyDescent="0.25">
      <c r="B158" s="95" t="s">
        <v>90</v>
      </c>
      <c r="C158" s="89">
        <f>'2'!$D$9</f>
        <v>0</v>
      </c>
      <c r="D158" s="85" t="s">
        <v>40</v>
      </c>
      <c r="E158" s="78">
        <f>F158*C158</f>
        <v>0</v>
      </c>
      <c r="F158" s="117">
        <v>120000</v>
      </c>
      <c r="H158" s="95" t="s">
        <v>90</v>
      </c>
      <c r="I158" s="89">
        <f>'2'!$D$9</f>
        <v>0</v>
      </c>
      <c r="J158" s="85" t="s">
        <v>40</v>
      </c>
      <c r="K158" s="78">
        <f>L158*I158</f>
        <v>0</v>
      </c>
      <c r="L158" s="84">
        <v>110000</v>
      </c>
    </row>
    <row r="159" spans="2:12" x14ac:dyDescent="0.25">
      <c r="B159" s="95" t="s">
        <v>88</v>
      </c>
      <c r="C159" s="82">
        <v>6</v>
      </c>
      <c r="D159" s="85" t="s">
        <v>18</v>
      </c>
      <c r="E159" s="78">
        <f t="shared" si="14"/>
        <v>7200000</v>
      </c>
      <c r="F159" s="117">
        <v>1200000</v>
      </c>
      <c r="H159" s="95" t="s">
        <v>88</v>
      </c>
      <c r="I159" s="82">
        <v>6</v>
      </c>
      <c r="J159" s="85" t="s">
        <v>18</v>
      </c>
      <c r="K159" s="78">
        <f t="shared" si="15"/>
        <v>0</v>
      </c>
      <c r="L159" s="78">
        <v>0</v>
      </c>
    </row>
    <row r="160" spans="2:12" x14ac:dyDescent="0.25">
      <c r="B160" s="95" t="s">
        <v>89</v>
      </c>
      <c r="C160" s="82">
        <v>2</v>
      </c>
      <c r="D160" s="85" t="s">
        <v>18</v>
      </c>
      <c r="E160" s="78">
        <f t="shared" si="14"/>
        <v>210000</v>
      </c>
      <c r="F160" s="117">
        <v>105000</v>
      </c>
      <c r="H160" s="95" t="s">
        <v>89</v>
      </c>
      <c r="I160" s="82">
        <v>2</v>
      </c>
      <c r="J160" s="85" t="s">
        <v>18</v>
      </c>
      <c r="K160" s="78">
        <f t="shared" si="15"/>
        <v>210000</v>
      </c>
      <c r="L160" s="84">
        <v>105000</v>
      </c>
    </row>
    <row r="161" spans="2:12" x14ac:dyDescent="0.25">
      <c r="B161" s="95" t="s">
        <v>91</v>
      </c>
      <c r="C161" s="82">
        <v>1</v>
      </c>
      <c r="D161" s="85" t="s">
        <v>18</v>
      </c>
      <c r="E161" s="78">
        <f t="shared" si="14"/>
        <v>160000</v>
      </c>
      <c r="F161" s="117">
        <v>160000</v>
      </c>
      <c r="H161" s="95" t="s">
        <v>91</v>
      </c>
      <c r="I161" s="82">
        <v>1</v>
      </c>
      <c r="J161" s="85" t="s">
        <v>18</v>
      </c>
      <c r="K161" s="78">
        <f t="shared" si="15"/>
        <v>121000</v>
      </c>
      <c r="L161" s="84">
        <v>121000</v>
      </c>
    </row>
    <row r="162" spans="2:12" ht="24" x14ac:dyDescent="0.25">
      <c r="B162" s="95" t="s">
        <v>92</v>
      </c>
      <c r="C162" s="90" t="e">
        <f>'2'!$E$5+'2'!$D$5</f>
        <v>#VALUE!</v>
      </c>
      <c r="D162" s="85" t="s">
        <v>18</v>
      </c>
      <c r="E162" s="78" t="e">
        <f t="shared" si="14"/>
        <v>#VALUE!</v>
      </c>
      <c r="F162" s="84">
        <v>0</v>
      </c>
      <c r="H162" s="95" t="s">
        <v>92</v>
      </c>
      <c r="I162" s="90" t="e">
        <f>'2'!$E$5+'2'!$D$5</f>
        <v>#VALUE!</v>
      </c>
      <c r="J162" s="85" t="s">
        <v>18</v>
      </c>
      <c r="K162" s="78" t="e">
        <f t="shared" si="15"/>
        <v>#VALUE!</v>
      </c>
      <c r="L162" s="84">
        <v>58000</v>
      </c>
    </row>
    <row r="163" spans="2:12" x14ac:dyDescent="0.25">
      <c r="B163" s="81" t="s">
        <v>95</v>
      </c>
      <c r="C163" s="82">
        <v>1</v>
      </c>
      <c r="D163" s="85" t="s">
        <v>40</v>
      </c>
      <c r="E163" s="78">
        <f t="shared" si="14"/>
        <v>500000</v>
      </c>
      <c r="F163" s="117">
        <v>500000</v>
      </c>
      <c r="H163" s="81" t="s">
        <v>95</v>
      </c>
      <c r="I163" s="82">
        <v>6</v>
      </c>
      <c r="J163" s="85" t="s">
        <v>40</v>
      </c>
      <c r="K163" s="78">
        <f t="shared" si="15"/>
        <v>1500000</v>
      </c>
      <c r="L163" s="84">
        <v>250000</v>
      </c>
    </row>
    <row r="164" spans="2:12" ht="24" x14ac:dyDescent="0.25">
      <c r="B164" s="95" t="s">
        <v>93</v>
      </c>
      <c r="C164" s="82">
        <v>20</v>
      </c>
      <c r="D164" s="85" t="s">
        <v>18</v>
      </c>
      <c r="E164" s="78">
        <f t="shared" si="14"/>
        <v>300000</v>
      </c>
      <c r="F164" s="117">
        <v>15000</v>
      </c>
      <c r="H164" s="95" t="s">
        <v>93</v>
      </c>
      <c r="I164" s="82">
        <v>20</v>
      </c>
      <c r="J164" s="85" t="s">
        <v>18</v>
      </c>
      <c r="K164" s="78">
        <f t="shared" si="15"/>
        <v>96000</v>
      </c>
      <c r="L164" s="84">
        <v>4800</v>
      </c>
    </row>
    <row r="165" spans="2:12" ht="24" x14ac:dyDescent="0.25">
      <c r="B165" s="95" t="s">
        <v>94</v>
      </c>
      <c r="C165" s="82" t="e">
        <f>C162*4</f>
        <v>#VALUE!</v>
      </c>
      <c r="D165" s="85" t="s">
        <v>18</v>
      </c>
      <c r="E165" s="78" t="e">
        <f t="shared" si="14"/>
        <v>#VALUE!</v>
      </c>
      <c r="F165" s="117">
        <v>15000</v>
      </c>
      <c r="H165" s="95" t="s">
        <v>94</v>
      </c>
      <c r="I165" s="82" t="e">
        <f>I162*4</f>
        <v>#VALUE!</v>
      </c>
      <c r="J165" s="85" t="s">
        <v>18</v>
      </c>
      <c r="K165" s="78" t="e">
        <f t="shared" si="15"/>
        <v>#VALUE!</v>
      </c>
      <c r="L165" s="84">
        <v>5500</v>
      </c>
    </row>
    <row r="166" spans="2:12" x14ac:dyDescent="0.25">
      <c r="B166" s="81" t="s">
        <v>106</v>
      </c>
      <c r="C166" s="82">
        <f>(C155*3.7)+(C159*2)</f>
        <v>12</v>
      </c>
      <c r="D166" s="85" t="s">
        <v>107</v>
      </c>
      <c r="E166" s="78">
        <f t="shared" si="14"/>
        <v>5400000</v>
      </c>
      <c r="F166" s="117">
        <f>'A2'!$T$2</f>
        <v>450000</v>
      </c>
      <c r="H166" s="81" t="s">
        <v>106</v>
      </c>
      <c r="I166" s="82">
        <f>(I155*8.2)+(I159*2)</f>
        <v>12</v>
      </c>
      <c r="J166" s="85" t="s">
        <v>107</v>
      </c>
      <c r="K166" s="78">
        <f t="shared" si="15"/>
        <v>5400000</v>
      </c>
      <c r="L166" s="117">
        <f>'A2'!$T$2</f>
        <v>450000</v>
      </c>
    </row>
    <row r="167" spans="2:12" ht="21" x14ac:dyDescent="0.25">
      <c r="B167" s="120" t="e">
        <f>SUM(E159:E165)</f>
        <v>#VALUE!</v>
      </c>
      <c r="C167" s="591" t="e">
        <f>SUM(E155:E166)</f>
        <v>#VALUE!</v>
      </c>
      <c r="D167" s="592"/>
      <c r="E167" s="592"/>
      <c r="F167" s="130">
        <f>E166</f>
        <v>5400000</v>
      </c>
      <c r="H167" s="81"/>
      <c r="I167" s="591" t="e">
        <f>SUM(K155:K166)</f>
        <v>#VALUE!</v>
      </c>
      <c r="J167" s="592"/>
      <c r="K167" s="592"/>
      <c r="L167" s="78"/>
    </row>
    <row r="168" spans="2:12" x14ac:dyDescent="0.25">
      <c r="B168" s="74"/>
      <c r="C168" s="74"/>
      <c r="D168" s="74"/>
      <c r="E168" s="74"/>
      <c r="F168" s="74"/>
    </row>
    <row r="169" spans="2:12" ht="21" x14ac:dyDescent="0.25">
      <c r="B169" s="92" t="s">
        <v>137</v>
      </c>
      <c r="C169" s="600" t="s">
        <v>175</v>
      </c>
      <c r="D169" s="600"/>
      <c r="E169" s="600"/>
      <c r="F169" s="96"/>
    </row>
    <row r="170" spans="2:12" x14ac:dyDescent="0.25">
      <c r="B170" s="230" t="s">
        <v>128</v>
      </c>
      <c r="C170" s="79" t="s">
        <v>4</v>
      </c>
      <c r="D170" s="79" t="s">
        <v>15</v>
      </c>
      <c r="E170" s="80" t="s">
        <v>16</v>
      </c>
      <c r="F170" s="78"/>
    </row>
    <row r="171" spans="2:12" x14ac:dyDescent="0.25">
      <c r="B171" s="81" t="s">
        <v>130</v>
      </c>
      <c r="C171" s="82" t="e">
        <f>3*('2'!$E$5+'2'!$D$5)</f>
        <v>#VALUE!</v>
      </c>
      <c r="D171" s="85" t="s">
        <v>40</v>
      </c>
      <c r="E171" s="78" t="e">
        <f>F171*C171</f>
        <v>#VALUE!</v>
      </c>
      <c r="F171" s="88">
        <f>'2'!E9*4.2</f>
        <v>9240000</v>
      </c>
    </row>
    <row r="172" spans="2:12" x14ac:dyDescent="0.25">
      <c r="B172" s="81" t="s">
        <v>131</v>
      </c>
      <c r="C172" s="89">
        <f>'2'!D9</f>
        <v>0</v>
      </c>
      <c r="D172" s="85" t="s">
        <v>40</v>
      </c>
      <c r="E172" s="78">
        <f>F172*C172</f>
        <v>0</v>
      </c>
      <c r="F172" s="88">
        <f>F171</f>
        <v>9240000</v>
      </c>
    </row>
    <row r="173" spans="2:12" x14ac:dyDescent="0.25">
      <c r="B173" s="81" t="s">
        <v>106</v>
      </c>
      <c r="C173" s="82" t="e">
        <f>(C171*4.2)+(C172*4.2)</f>
        <v>#VALUE!</v>
      </c>
      <c r="D173" s="85" t="s">
        <v>107</v>
      </c>
      <c r="E173" s="78" t="e">
        <f>F173*C173</f>
        <v>#VALUE!</v>
      </c>
      <c r="F173" s="117">
        <f>'A2'!$T$2</f>
        <v>450000</v>
      </c>
    </row>
    <row r="174" spans="2:12" x14ac:dyDescent="0.25">
      <c r="B174" s="81" t="s">
        <v>129</v>
      </c>
      <c r="C174" s="90" t="e">
        <f>('2'!$E$5+'2'!$D$5)*1</f>
        <v>#VALUE!</v>
      </c>
      <c r="D174" s="85" t="s">
        <v>40</v>
      </c>
      <c r="E174" s="78" t="e">
        <f>F174*C174</f>
        <v>#VALUE!</v>
      </c>
      <c r="F174" s="117">
        <v>1600000</v>
      </c>
    </row>
    <row r="175" spans="2:12" x14ac:dyDescent="0.25">
      <c r="B175" s="81" t="s">
        <v>112</v>
      </c>
      <c r="C175" s="82" t="e">
        <f>C174*6.2</f>
        <v>#VALUE!</v>
      </c>
      <c r="D175" s="85" t="s">
        <v>107</v>
      </c>
      <c r="E175" s="78" t="e">
        <f t="shared" ref="E175:E177" si="16">F175*C175</f>
        <v>#VALUE!</v>
      </c>
      <c r="F175" s="117">
        <v>75000</v>
      </c>
    </row>
    <row r="176" spans="2:12" x14ac:dyDescent="0.25">
      <c r="B176" s="81" t="s">
        <v>132</v>
      </c>
      <c r="C176" s="82" t="e">
        <f>('2'!$E$5+'2'!$D$5)*2</f>
        <v>#VALUE!</v>
      </c>
      <c r="D176" s="85" t="s">
        <v>18</v>
      </c>
      <c r="E176" s="78" t="e">
        <f t="shared" si="16"/>
        <v>#VALUE!</v>
      </c>
      <c r="F176" s="117">
        <v>1600000</v>
      </c>
    </row>
    <row r="177" spans="2:6" x14ac:dyDescent="0.25">
      <c r="B177" s="81" t="s">
        <v>133</v>
      </c>
      <c r="C177" s="82" t="e">
        <f>C176*8</f>
        <v>#VALUE!</v>
      </c>
      <c r="D177" s="85" t="s">
        <v>18</v>
      </c>
      <c r="E177" s="78" t="e">
        <f t="shared" si="16"/>
        <v>#VALUE!</v>
      </c>
      <c r="F177" s="117">
        <v>25000</v>
      </c>
    </row>
    <row r="178" spans="2:6" ht="21" x14ac:dyDescent="0.25">
      <c r="B178" s="120" t="e">
        <f>SUM(E174,E175:E177)</f>
        <v>#VALUE!</v>
      </c>
      <c r="C178" s="591" t="e">
        <f>SUM(E171:E177)</f>
        <v>#VALUE!</v>
      </c>
      <c r="D178" s="592"/>
      <c r="E178" s="592"/>
      <c r="F178" s="130" t="e">
        <f>SUM(E173)</f>
        <v>#VALUE!</v>
      </c>
    </row>
    <row r="179" spans="2:6" x14ac:dyDescent="0.25">
      <c r="B179" s="74"/>
      <c r="C179" s="74"/>
      <c r="D179" s="74"/>
      <c r="E179" s="74"/>
      <c r="F179" s="74"/>
    </row>
    <row r="180" spans="2:6" ht="21" x14ac:dyDescent="0.25">
      <c r="B180" s="92" t="s">
        <v>137</v>
      </c>
      <c r="C180" s="600" t="s">
        <v>176</v>
      </c>
      <c r="D180" s="600"/>
      <c r="E180" s="600"/>
      <c r="F180" s="97"/>
    </row>
    <row r="181" spans="2:6" x14ac:dyDescent="0.25">
      <c r="B181" s="230" t="s">
        <v>128</v>
      </c>
      <c r="C181" s="79" t="s">
        <v>4</v>
      </c>
      <c r="D181" s="79" t="s">
        <v>15</v>
      </c>
      <c r="E181" s="80" t="s">
        <v>16</v>
      </c>
      <c r="F181" s="78"/>
    </row>
    <row r="182" spans="2:6" x14ac:dyDescent="0.25">
      <c r="B182" s="81" t="s">
        <v>130</v>
      </c>
      <c r="C182" s="82" t="e">
        <f>(2.5*('2'!$E$5+'2'!$D$5))+(3.5*('2'!$E$5+'2'!$D$5))+(IF(AND('2'!$D$9&gt;4,'2'!$D$9&lt;=8),1,IF(AND('2'!$D$9&gt;8,'2'!$D$9&lt;=10),2,0)))*2*2.5</f>
        <v>#VALUE!</v>
      </c>
      <c r="D182" s="85" t="s">
        <v>40</v>
      </c>
      <c r="E182" s="78" t="e">
        <f>F182*C182</f>
        <v>#VALUE!</v>
      </c>
      <c r="F182" s="88">
        <f>F171</f>
        <v>9240000</v>
      </c>
    </row>
    <row r="183" spans="2:6" x14ac:dyDescent="0.25">
      <c r="B183" s="81" t="s">
        <v>131</v>
      </c>
      <c r="C183" s="82">
        <f>('2'!$D$8*2)+('2'!$D$9)</f>
        <v>0</v>
      </c>
      <c r="D183" s="85" t="s">
        <v>40</v>
      </c>
      <c r="E183" s="78">
        <f>F183*C183</f>
        <v>0</v>
      </c>
      <c r="F183" s="88">
        <f>F171</f>
        <v>9240000</v>
      </c>
    </row>
    <row r="184" spans="2:6" x14ac:dyDescent="0.25">
      <c r="B184" s="81" t="s">
        <v>106</v>
      </c>
      <c r="C184" s="82" t="e">
        <f>(C182*4.1)+(C183*4.1)</f>
        <v>#VALUE!</v>
      </c>
      <c r="D184" s="85" t="s">
        <v>107</v>
      </c>
      <c r="E184" s="78" t="e">
        <f>F184*C184</f>
        <v>#VALUE!</v>
      </c>
      <c r="F184" s="117">
        <f>'A2'!$T$2</f>
        <v>450000</v>
      </c>
    </row>
    <row r="185" spans="2:6" x14ac:dyDescent="0.25">
      <c r="B185" s="81" t="s">
        <v>129</v>
      </c>
      <c r="C185" s="82" t="e">
        <f>(0.5*('2'!$E$5+'2'!$D$5))+(0.5*('2'!$E$5+'2'!$D$5))+(IF(AND('2'!$D$9&gt;4,'2'!$D$9&lt;=8),1,IF(AND('2'!$D$9&gt;8,'2'!$D$9&lt;=10),2,0)))*2*0.5</f>
        <v>#VALUE!</v>
      </c>
      <c r="D185" s="85" t="s">
        <v>40</v>
      </c>
      <c r="E185" s="78" t="e">
        <f>F185*C185</f>
        <v>#VALUE!</v>
      </c>
      <c r="F185" s="117">
        <v>1600000</v>
      </c>
    </row>
    <row r="186" spans="2:6" x14ac:dyDescent="0.25">
      <c r="B186" s="81" t="s">
        <v>112</v>
      </c>
      <c r="C186" s="82" t="e">
        <f>C185*6.2</f>
        <v>#VALUE!</v>
      </c>
      <c r="D186" s="85" t="s">
        <v>107</v>
      </c>
      <c r="E186" s="78" t="e">
        <f t="shared" ref="E186:E188" si="17">F186*C186</f>
        <v>#VALUE!</v>
      </c>
      <c r="F186" s="117">
        <v>60000</v>
      </c>
    </row>
    <row r="187" spans="2:6" x14ac:dyDescent="0.25">
      <c r="B187" s="81" t="s">
        <v>132</v>
      </c>
      <c r="C187" s="82" t="e">
        <f>('2'!$E$5+'2'!$D$5)*3</f>
        <v>#VALUE!</v>
      </c>
      <c r="D187" s="85" t="s">
        <v>18</v>
      </c>
      <c r="E187" s="78" t="e">
        <f t="shared" si="17"/>
        <v>#VALUE!</v>
      </c>
      <c r="F187" s="117">
        <v>1600000</v>
      </c>
    </row>
    <row r="188" spans="2:6" x14ac:dyDescent="0.25">
      <c r="B188" s="81" t="s">
        <v>133</v>
      </c>
      <c r="C188" s="82" t="e">
        <f>C187*8</f>
        <v>#VALUE!</v>
      </c>
      <c r="D188" s="85" t="s">
        <v>18</v>
      </c>
      <c r="E188" s="78" t="e">
        <f t="shared" si="17"/>
        <v>#VALUE!</v>
      </c>
      <c r="F188" s="117">
        <v>25000</v>
      </c>
    </row>
    <row r="189" spans="2:6" ht="21" x14ac:dyDescent="0.25">
      <c r="B189" s="120" t="e">
        <f>SUM(E185,E186:E188)</f>
        <v>#VALUE!</v>
      </c>
      <c r="C189" s="591" t="e">
        <f>SUM(E182:E188)</f>
        <v>#VALUE!</v>
      </c>
      <c r="D189" s="592"/>
      <c r="E189" s="592"/>
      <c r="F189" s="130" t="e">
        <f>SUM(E184)</f>
        <v>#VALUE!</v>
      </c>
    </row>
    <row r="190" spans="2:6" x14ac:dyDescent="0.25">
      <c r="B190" s="74"/>
      <c r="C190" s="74"/>
      <c r="D190" s="74"/>
      <c r="E190" s="74"/>
      <c r="F190" s="74"/>
    </row>
    <row r="191" spans="2:6" x14ac:dyDescent="0.25">
      <c r="B191" s="81"/>
      <c r="C191" s="599" t="s">
        <v>113</v>
      </c>
      <c r="D191" s="599"/>
      <c r="E191" s="599"/>
      <c r="F191" s="82"/>
    </row>
    <row r="192" spans="2:6" x14ac:dyDescent="0.25">
      <c r="B192" s="229" t="s">
        <v>178</v>
      </c>
      <c r="C192" s="79" t="s">
        <v>4</v>
      </c>
      <c r="D192" s="79" t="s">
        <v>15</v>
      </c>
      <c r="E192" s="80" t="s">
        <v>16</v>
      </c>
      <c r="F192" s="78"/>
    </row>
    <row r="193" spans="2:6" x14ac:dyDescent="0.25">
      <c r="B193" s="81" t="s">
        <v>177</v>
      </c>
      <c r="C193" s="82">
        <v>2.5</v>
      </c>
      <c r="D193" s="85" t="s">
        <v>40</v>
      </c>
      <c r="E193" s="78">
        <f>F193*C193</f>
        <v>3750000</v>
      </c>
      <c r="F193" s="117">
        <v>1500000</v>
      </c>
    </row>
    <row r="194" spans="2:6" x14ac:dyDescent="0.25">
      <c r="B194" s="81" t="s">
        <v>115</v>
      </c>
      <c r="C194" s="82">
        <v>2.5</v>
      </c>
      <c r="D194" s="85" t="s">
        <v>40</v>
      </c>
      <c r="E194" s="78">
        <f t="shared" ref="E194:E195" si="18">F194*C194</f>
        <v>7500000</v>
      </c>
      <c r="F194" s="117">
        <v>3000000</v>
      </c>
    </row>
    <row r="195" spans="2:6" x14ac:dyDescent="0.25">
      <c r="B195" s="81" t="s">
        <v>106</v>
      </c>
      <c r="C195" s="82">
        <v>20</v>
      </c>
      <c r="D195" s="85" t="s">
        <v>107</v>
      </c>
      <c r="E195" s="78">
        <f t="shared" si="18"/>
        <v>9000000</v>
      </c>
      <c r="F195" s="117">
        <f>'A2'!$T$2</f>
        <v>450000</v>
      </c>
    </row>
    <row r="196" spans="2:6" ht="21" x14ac:dyDescent="0.25">
      <c r="B196" s="120">
        <f>SUM(E193:E194)</f>
        <v>11250000</v>
      </c>
      <c r="C196" s="591">
        <f>SUM(E193:E195)</f>
        <v>20250000</v>
      </c>
      <c r="D196" s="592"/>
      <c r="E196" s="592"/>
      <c r="F196" s="130">
        <f>SUM(E195)</f>
        <v>9000000</v>
      </c>
    </row>
    <row r="197" spans="2:6" x14ac:dyDescent="0.25">
      <c r="B197" s="74"/>
      <c r="C197" s="74"/>
      <c r="D197" s="74"/>
      <c r="E197" s="74"/>
      <c r="F197" s="74"/>
    </row>
  </sheetData>
  <sheetProtection formatCells="0" formatColumns="0" formatRows="0" insertColumns="0" insertRows="0" insertHyperlinks="0" deleteColumns="0" deleteRows="0" sort="0" autoFilter="0" pivotTables="0"/>
  <mergeCells count="37">
    <mergeCell ref="C196:E196"/>
    <mergeCell ref="C137:E137"/>
    <mergeCell ref="C151:E151"/>
    <mergeCell ref="C153:E153"/>
    <mergeCell ref="I153:K153"/>
    <mergeCell ref="C167:E167"/>
    <mergeCell ref="I167:K167"/>
    <mergeCell ref="C169:E169"/>
    <mergeCell ref="C178:E178"/>
    <mergeCell ref="C180:E180"/>
    <mergeCell ref="C189:E189"/>
    <mergeCell ref="C191:E191"/>
    <mergeCell ref="C135:E135"/>
    <mergeCell ref="I135:K135"/>
    <mergeCell ref="C69:E69"/>
    <mergeCell ref="C79:E79"/>
    <mergeCell ref="C81:E81"/>
    <mergeCell ref="C89:E89"/>
    <mergeCell ref="C97:E97"/>
    <mergeCell ref="C99:E99"/>
    <mergeCell ref="I99:K99"/>
    <mergeCell ref="C118:E118"/>
    <mergeCell ref="I118:K118"/>
    <mergeCell ref="C120:E120"/>
    <mergeCell ref="I120:K120"/>
    <mergeCell ref="C35:E35"/>
    <mergeCell ref="C53:E53"/>
    <mergeCell ref="C55:E55"/>
    <mergeCell ref="I55:K55"/>
    <mergeCell ref="C67:E67"/>
    <mergeCell ref="I67:K67"/>
    <mergeCell ref="C33:E33"/>
    <mergeCell ref="C3:E3"/>
    <mergeCell ref="I3:K3"/>
    <mergeCell ref="C13:E13"/>
    <mergeCell ref="I13:K13"/>
    <mergeCell ref="C15:E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115"/>
  <sheetViews>
    <sheetView rightToLeft="1" topLeftCell="G16" workbookViewId="0">
      <selection activeCell="S22" sqref="S22:T22"/>
    </sheetView>
  </sheetViews>
  <sheetFormatPr defaultRowHeight="15" x14ac:dyDescent="0.25"/>
  <cols>
    <col min="1" max="1" width="4.7109375" style="33" customWidth="1"/>
    <col min="2" max="2" width="25.7109375" style="34" customWidth="1"/>
    <col min="3" max="16" width="10.5703125" style="34" customWidth="1"/>
    <col min="17" max="17" width="13.7109375" style="35" customWidth="1"/>
    <col min="18" max="18" width="5.7109375" style="35" customWidth="1"/>
    <col min="19" max="19" width="13.7109375" style="36" customWidth="1"/>
    <col min="20" max="20" width="13.7109375" style="40" customWidth="1"/>
    <col min="21" max="21" width="2.7109375" style="38" customWidth="1"/>
    <col min="22" max="22" width="25.7109375" style="39" customWidth="1"/>
    <col min="23" max="23" width="13.7109375" style="33" customWidth="1"/>
    <col min="24" max="24" width="5.7109375" style="33" customWidth="1"/>
    <col min="25" max="25" width="13.7109375" style="40" customWidth="1"/>
    <col min="26" max="26" width="13.7109375" style="33" customWidth="1"/>
    <col min="27" max="27" width="10.85546875" style="41" bestFit="1" customWidth="1"/>
  </cols>
  <sheetData>
    <row r="1" spans="1:23" x14ac:dyDescent="0.25">
      <c r="T1" s="37" t="s">
        <v>14</v>
      </c>
    </row>
    <row r="2" spans="1:23" ht="29.45" customHeight="1" x14ac:dyDescent="0.25">
      <c r="A2" s="42"/>
      <c r="B2" s="43" t="s">
        <v>2</v>
      </c>
      <c r="C2" s="72" t="s">
        <v>193</v>
      </c>
      <c r="D2" s="72" t="s">
        <v>194</v>
      </c>
      <c r="E2" s="72" t="s">
        <v>195</v>
      </c>
      <c r="F2" s="72" t="s">
        <v>197</v>
      </c>
      <c r="G2" s="72" t="s">
        <v>199</v>
      </c>
      <c r="H2" s="72" t="s">
        <v>196</v>
      </c>
      <c r="I2" s="137" t="s">
        <v>200</v>
      </c>
      <c r="J2" s="137" t="s">
        <v>217</v>
      </c>
      <c r="K2" s="137" t="s">
        <v>218</v>
      </c>
      <c r="L2" s="137" t="s">
        <v>219</v>
      </c>
      <c r="M2" s="137" t="s">
        <v>220</v>
      </c>
      <c r="N2" s="137" t="s">
        <v>221</v>
      </c>
      <c r="O2" s="137" t="s">
        <v>222</v>
      </c>
      <c r="P2" s="137"/>
      <c r="Q2" s="44">
        <f>'3'!D8*'3'!D9*'3'!D10</f>
        <v>0</v>
      </c>
      <c r="R2" s="44"/>
      <c r="S2" s="227" t="s">
        <v>198</v>
      </c>
      <c r="T2" s="164">
        <f>'3'!E17</f>
        <v>450000</v>
      </c>
      <c r="V2" s="113" t="e">
        <f>W2/Q2</f>
        <v>#DIV/0!</v>
      </c>
      <c r="W2" s="112">
        <f>SUM(W3:W24)</f>
        <v>0</v>
      </c>
    </row>
    <row r="3" spans="1:23" x14ac:dyDescent="0.25">
      <c r="A3" s="46">
        <v>1</v>
      </c>
      <c r="B3" s="47" t="s">
        <v>156</v>
      </c>
      <c r="C3" s="138"/>
      <c r="D3" s="47"/>
      <c r="E3" s="138"/>
      <c r="F3" s="138">
        <f>SUM('D3'!K5:K11)</f>
        <v>2642000</v>
      </c>
      <c r="G3" s="47"/>
      <c r="H3" s="47"/>
      <c r="I3" s="138">
        <f>SUM('D3'!K12)</f>
        <v>1125000</v>
      </c>
      <c r="J3" s="138"/>
      <c r="K3" s="138"/>
      <c r="L3" s="138"/>
      <c r="M3" s="138"/>
      <c r="N3" s="138"/>
      <c r="O3" s="138"/>
      <c r="P3" s="140">
        <f>SUM(C3:O3)</f>
        <v>3767000</v>
      </c>
      <c r="Q3" s="225">
        <f>'D3'!I13</f>
        <v>3767000</v>
      </c>
      <c r="R3" s="49">
        <f>(IF('3'!D13="VIP",('3'!D5+'3'!E5),0))*'3'!D10</f>
        <v>0</v>
      </c>
      <c r="S3" s="225">
        <f>R3*Q3</f>
        <v>0</v>
      </c>
      <c r="T3" s="584" t="s">
        <v>151</v>
      </c>
    </row>
    <row r="4" spans="1:23" x14ac:dyDescent="0.25">
      <c r="A4" s="46">
        <f t="shared" ref="A4:A21" si="0">A3+1</f>
        <v>2</v>
      </c>
      <c r="B4" s="47" t="s">
        <v>205</v>
      </c>
      <c r="C4" s="138"/>
      <c r="D4" s="47"/>
      <c r="E4" s="138"/>
      <c r="F4" s="138">
        <f>SUM('D3'!E5:E11)</f>
        <v>2192000</v>
      </c>
      <c r="G4" s="47"/>
      <c r="H4" s="47"/>
      <c r="I4" s="138">
        <f>SUM('D3'!E12)</f>
        <v>810000</v>
      </c>
      <c r="J4" s="138"/>
      <c r="K4" s="138"/>
      <c r="L4" s="138"/>
      <c r="M4" s="138"/>
      <c r="N4" s="138"/>
      <c r="O4" s="138"/>
      <c r="P4" s="140">
        <f t="shared" ref="P4:P6" si="1">SUM(C4:O4)</f>
        <v>3002000</v>
      </c>
      <c r="Q4" s="225">
        <f>'D3'!C13</f>
        <v>3002000</v>
      </c>
      <c r="R4" s="49" t="e">
        <f>(IF('3'!D13="REGULAR",('3'!D5+'3'!E5),0))*'3'!D10</f>
        <v>#VALUE!</v>
      </c>
      <c r="S4" s="225" t="e">
        <f>R4*Q4</f>
        <v>#VALUE!</v>
      </c>
      <c r="T4" s="585"/>
    </row>
    <row r="5" spans="1:23" x14ac:dyDescent="0.25">
      <c r="A5" s="46">
        <f t="shared" si="0"/>
        <v>3</v>
      </c>
      <c r="B5" s="47" t="s">
        <v>5</v>
      </c>
      <c r="C5" s="47"/>
      <c r="D5" s="47"/>
      <c r="E5" s="47"/>
      <c r="F5" s="138">
        <f>SUM('D3'!C33)</f>
        <v>2405000</v>
      </c>
      <c r="G5" s="47"/>
      <c r="H5" s="47"/>
      <c r="I5" s="47"/>
      <c r="J5" s="47"/>
      <c r="K5" s="47"/>
      <c r="L5" s="47"/>
      <c r="M5" s="47"/>
      <c r="N5" s="47"/>
      <c r="O5" s="47"/>
      <c r="P5" s="140">
        <f t="shared" si="1"/>
        <v>2405000</v>
      </c>
      <c r="Q5" s="225">
        <f>'D3'!C33</f>
        <v>2405000</v>
      </c>
      <c r="R5" s="50">
        <f>('3'!D5*'3'!D10)</f>
        <v>0</v>
      </c>
      <c r="S5" s="225">
        <f>R5*Q5</f>
        <v>0</v>
      </c>
      <c r="T5" s="585"/>
    </row>
    <row r="6" spans="1:23" x14ac:dyDescent="0.25">
      <c r="A6" s="51">
        <f t="shared" si="0"/>
        <v>4</v>
      </c>
      <c r="B6" s="52" t="s">
        <v>6</v>
      </c>
      <c r="C6" s="52"/>
      <c r="D6" s="52"/>
      <c r="E6" s="52"/>
      <c r="F6" s="139">
        <f>SUM('D3'!C53)</f>
        <v>2845000</v>
      </c>
      <c r="G6" s="52"/>
      <c r="H6" s="52"/>
      <c r="I6" s="52"/>
      <c r="J6" s="52"/>
      <c r="K6" s="52"/>
      <c r="L6" s="52"/>
      <c r="M6" s="52"/>
      <c r="N6" s="52"/>
      <c r="O6" s="52"/>
      <c r="P6" s="140">
        <f t="shared" si="1"/>
        <v>2845000</v>
      </c>
      <c r="Q6" s="226">
        <f>'D3'!C53</f>
        <v>2845000</v>
      </c>
      <c r="R6" s="54" t="e">
        <f>'3'!E5*'3'!D10</f>
        <v>#VALUE!</v>
      </c>
      <c r="S6" s="226" t="e">
        <f>R6*Q6</f>
        <v>#VALUE!</v>
      </c>
      <c r="T6" s="586"/>
    </row>
    <row r="7" spans="1:23" x14ac:dyDescent="0.25">
      <c r="A7" s="55">
        <f t="shared" si="0"/>
        <v>5</v>
      </c>
      <c r="B7" s="56" t="s">
        <v>134</v>
      </c>
      <c r="C7" s="141" t="e">
        <f>'D3'!K57</f>
        <v>#VALUE!</v>
      </c>
      <c r="D7" s="56"/>
      <c r="E7" s="141" t="e">
        <f>SUM('D3'!K60:K65)</f>
        <v>#VALUE!</v>
      </c>
      <c r="F7" s="56"/>
      <c r="G7" s="56"/>
      <c r="H7" s="141" t="e">
        <f>'D3'!K58</f>
        <v>#VALUE!</v>
      </c>
      <c r="I7" s="141" t="e">
        <f>SUM('D3'!K66)</f>
        <v>#VALUE!</v>
      </c>
      <c r="J7" s="141"/>
      <c r="K7" s="141"/>
      <c r="L7" s="141"/>
      <c r="M7" s="141"/>
      <c r="N7" s="141">
        <f>'D3'!K59</f>
        <v>-135000</v>
      </c>
      <c r="O7" s="141"/>
      <c r="P7" s="143" t="e">
        <f>SUM(C7:O7)</f>
        <v>#VALUE!</v>
      </c>
      <c r="Q7" s="228" t="e">
        <f>'D3'!I67</f>
        <v>#VALUE!</v>
      </c>
      <c r="R7" s="58">
        <f>(IF('3'!$D$17="VIP",('3'!$D$10),0))</f>
        <v>0</v>
      </c>
      <c r="S7" s="228" t="e">
        <f>Q7*R7</f>
        <v>#VALUE!</v>
      </c>
      <c r="T7" s="587" t="s">
        <v>148</v>
      </c>
    </row>
    <row r="8" spans="1:23" x14ac:dyDescent="0.25">
      <c r="A8" s="59">
        <f t="shared" si="0"/>
        <v>6</v>
      </c>
      <c r="B8" s="60" t="s">
        <v>135</v>
      </c>
      <c r="C8" s="142" t="e">
        <f>'D3'!E57</f>
        <v>#VALUE!</v>
      </c>
      <c r="D8" s="60"/>
      <c r="E8" s="142" t="e">
        <f>SUM('D3'!E60:E65)</f>
        <v>#VALUE!</v>
      </c>
      <c r="F8" s="60"/>
      <c r="G8" s="60"/>
      <c r="H8" s="142" t="e">
        <f>'D3'!E58</f>
        <v>#VALUE!</v>
      </c>
      <c r="I8" s="142" t="e">
        <f>SUM('D3'!E66)</f>
        <v>#VALUE!</v>
      </c>
      <c r="J8" s="141"/>
      <c r="K8" s="141"/>
      <c r="L8" s="141"/>
      <c r="M8" s="141"/>
      <c r="N8" s="141">
        <f>'D3'!E59</f>
        <v>-135000</v>
      </c>
      <c r="O8" s="141"/>
      <c r="P8" s="143" t="e">
        <f>SUM(C8:O8)</f>
        <v>#VALUE!</v>
      </c>
      <c r="Q8" s="227" t="e">
        <f>'D3'!C67</f>
        <v>#VALUE!</v>
      </c>
      <c r="R8" s="44">
        <f>(IF('3'!$D$13="REGULAR",('3'!$D$10),0))</f>
        <v>0</v>
      </c>
      <c r="S8" s="227" t="e">
        <f>Q8*R8</f>
        <v>#VALUE!</v>
      </c>
      <c r="T8" s="582"/>
    </row>
    <row r="9" spans="1:23" x14ac:dyDescent="0.25">
      <c r="A9" s="46">
        <f t="shared" si="0"/>
        <v>7</v>
      </c>
      <c r="B9" s="47" t="s">
        <v>49</v>
      </c>
      <c r="C9" s="47"/>
      <c r="D9" s="47"/>
      <c r="E9" s="138"/>
      <c r="F9" s="47"/>
      <c r="G9" s="47"/>
      <c r="H9" s="47"/>
      <c r="I9" s="138">
        <f>SUM('D3'!E86)</f>
        <v>1575000</v>
      </c>
      <c r="J9" s="47"/>
      <c r="K9" s="138">
        <f>SUM('D3'!E83:E85,'D3'!E87:E88)</f>
        <v>3460000</v>
      </c>
      <c r="L9" s="47"/>
      <c r="M9" s="47"/>
      <c r="N9" s="47"/>
      <c r="O9" s="47"/>
      <c r="P9" s="140">
        <f t="shared" ref="P9:P11" si="2">SUM(C9:O9)</f>
        <v>5035000</v>
      </c>
      <c r="Q9" s="225">
        <f>'D3'!C89</f>
        <v>5035000</v>
      </c>
      <c r="R9" s="49" t="e">
        <f>(IF(AND('3'!D8&gt;6,'3'!D8&lt;=8),1,IF(AND('3'!D8&gt;8,'3'!D8&lt;=10),2,0)))*('3'!D5+'3'!E5)*'3'!D10</f>
        <v>#VALUE!</v>
      </c>
      <c r="S9" s="225" t="e">
        <f>R9*Q9</f>
        <v>#VALUE!</v>
      </c>
      <c r="T9" s="584" t="s">
        <v>184</v>
      </c>
    </row>
    <row r="10" spans="1:23" x14ac:dyDescent="0.25">
      <c r="A10" s="46">
        <f t="shared" si="0"/>
        <v>8</v>
      </c>
      <c r="B10" s="47" t="s">
        <v>122</v>
      </c>
      <c r="C10" s="138">
        <f>SUM('D3'!E71)</f>
        <v>0</v>
      </c>
      <c r="D10" s="47"/>
      <c r="E10" s="138">
        <f>SUM('D3'!E75:E78)</f>
        <v>164000</v>
      </c>
      <c r="F10" s="47"/>
      <c r="G10" s="47"/>
      <c r="H10" s="47"/>
      <c r="I10" s="138">
        <f>SUM('D3'!E74)</f>
        <v>0</v>
      </c>
      <c r="J10" s="138"/>
      <c r="K10" s="138">
        <f>SUM('D3'!E72:E73)</f>
        <v>700000</v>
      </c>
      <c r="L10" s="138"/>
      <c r="M10" s="138"/>
      <c r="N10" s="138"/>
      <c r="O10" s="138"/>
      <c r="P10" s="140">
        <f t="shared" si="2"/>
        <v>864000</v>
      </c>
      <c r="Q10" s="225">
        <f>'D3'!C79</f>
        <v>864000</v>
      </c>
      <c r="R10" s="49" t="e">
        <f>(IF(AND('3'!D8&lt;=6),1,IF(AND('3'!D8&gt;6,'3'!D8&lt;=8),2,IF(AND('3'!D8&gt;8,'3'!D8&lt;=10),3,0))))*('3'!D5+'3'!E5-1)*'3'!D10</f>
        <v>#VALUE!</v>
      </c>
      <c r="S10" s="225" t="e">
        <f>R10*Q10</f>
        <v>#VALUE!</v>
      </c>
      <c r="T10" s="585"/>
      <c r="W10" s="39"/>
    </row>
    <row r="11" spans="1:23" x14ac:dyDescent="0.25">
      <c r="A11" s="51">
        <f t="shared" si="0"/>
        <v>9</v>
      </c>
      <c r="B11" s="52" t="s">
        <v>56</v>
      </c>
      <c r="C11" s="52"/>
      <c r="D11" s="52"/>
      <c r="E11" s="139"/>
      <c r="F11" s="52"/>
      <c r="G11" s="52"/>
      <c r="H11" s="52"/>
      <c r="I11" s="52"/>
      <c r="J11" s="138">
        <f>SUM('D3'!C97)</f>
        <v>302000</v>
      </c>
      <c r="K11" s="47"/>
      <c r="L11" s="47"/>
      <c r="M11" s="47"/>
      <c r="N11" s="47"/>
      <c r="O11" s="47"/>
      <c r="P11" s="140">
        <f t="shared" si="2"/>
        <v>302000</v>
      </c>
      <c r="Q11" s="226">
        <f>'D3'!C97</f>
        <v>302000</v>
      </c>
      <c r="R11" s="54">
        <f>('3'!D10)</f>
        <v>0</v>
      </c>
      <c r="S11" s="226">
        <f>R11*Q11</f>
        <v>0</v>
      </c>
      <c r="T11" s="586"/>
      <c r="V11" s="33"/>
    </row>
    <row r="12" spans="1:23" x14ac:dyDescent="0.25">
      <c r="A12" s="55">
        <f t="shared" si="0"/>
        <v>10</v>
      </c>
      <c r="B12" s="56" t="s">
        <v>140</v>
      </c>
      <c r="C12" s="56"/>
      <c r="D12" s="56"/>
      <c r="E12" s="141">
        <f>SUM('D3'!K107:K117)</f>
        <v>4927000</v>
      </c>
      <c r="F12" s="56"/>
      <c r="G12" s="141">
        <f>SUM('D3'!K101)</f>
        <v>60000000</v>
      </c>
      <c r="H12" s="56"/>
      <c r="I12" s="56"/>
      <c r="J12" s="141">
        <f>SUM('D3'!K102:K106)</f>
        <v>1660000</v>
      </c>
      <c r="K12" s="56"/>
      <c r="L12" s="56"/>
      <c r="M12" s="56"/>
      <c r="N12" s="56"/>
      <c r="O12" s="56"/>
      <c r="P12" s="143">
        <f>SUM(C12:O12)</f>
        <v>66587000</v>
      </c>
      <c r="Q12" s="228">
        <f>'D3'!I118</f>
        <v>66587000</v>
      </c>
      <c r="R12" s="58">
        <f>(IF('3'!$D$17="VIP",('3'!$D$10),0))</f>
        <v>0</v>
      </c>
      <c r="S12" s="228">
        <f>Q12*R12</f>
        <v>0</v>
      </c>
      <c r="T12" s="587" t="s">
        <v>149</v>
      </c>
      <c r="V12" s="33"/>
    </row>
    <row r="13" spans="1:23" ht="24" x14ac:dyDescent="0.25">
      <c r="A13" s="59">
        <f t="shared" si="0"/>
        <v>11</v>
      </c>
      <c r="B13" s="60" t="s">
        <v>141</v>
      </c>
      <c r="C13" s="60"/>
      <c r="D13" s="60"/>
      <c r="E13" s="142">
        <f>SUM('D3'!E107:E117)</f>
        <v>4327000</v>
      </c>
      <c r="F13" s="60"/>
      <c r="G13" s="142">
        <f>SUM('D3'!E101)</f>
        <v>0</v>
      </c>
      <c r="H13" s="60"/>
      <c r="I13" s="60"/>
      <c r="J13" s="141">
        <f>SUM('D3'!E102:E106)</f>
        <v>1660000</v>
      </c>
      <c r="K13" s="56"/>
      <c r="L13" s="56"/>
      <c r="M13" s="56"/>
      <c r="N13" s="56"/>
      <c r="O13" s="56"/>
      <c r="P13" s="143">
        <f>SUM(C13:O13)</f>
        <v>5987000</v>
      </c>
      <c r="Q13" s="227">
        <f>'D3'!C118</f>
        <v>5987000</v>
      </c>
      <c r="R13" s="44">
        <f>(IF('3'!$D$13="REGULAR",('3'!$D$10),0))</f>
        <v>0</v>
      </c>
      <c r="S13" s="227">
        <f>Q13*R13</f>
        <v>0</v>
      </c>
      <c r="T13" s="582"/>
      <c r="V13" s="33"/>
    </row>
    <row r="14" spans="1:23" ht="24" x14ac:dyDescent="0.25">
      <c r="A14" s="46">
        <f t="shared" si="0"/>
        <v>12</v>
      </c>
      <c r="B14" s="47" t="s">
        <v>143</v>
      </c>
      <c r="C14" s="138">
        <f>SUM('D3'!K123:K124)</f>
        <v>0</v>
      </c>
      <c r="D14" s="138">
        <f>SUM('D3'!K122)</f>
        <v>0</v>
      </c>
      <c r="E14" s="138">
        <f>SUM('D3'!K126:K133)</f>
        <v>727000</v>
      </c>
      <c r="F14" s="47"/>
      <c r="G14" s="47"/>
      <c r="H14" s="47"/>
      <c r="I14" s="138">
        <f>SUM('D3'!K134)</f>
        <v>0</v>
      </c>
      <c r="J14" s="138"/>
      <c r="K14" s="138"/>
      <c r="L14" s="138">
        <f>'D3'!K125</f>
        <v>0</v>
      </c>
      <c r="M14" s="138"/>
      <c r="N14" s="138"/>
      <c r="O14" s="138"/>
      <c r="P14" s="140">
        <f t="shared" ref="P14:P18" si="3">SUM(C14:O14)</f>
        <v>727000</v>
      </c>
      <c r="Q14" s="225">
        <f>'D3'!I135</f>
        <v>727000</v>
      </c>
      <c r="R14" s="49">
        <f>(IF('3'!$D$17="VIP",('3'!$D$10),0))</f>
        <v>0</v>
      </c>
      <c r="S14" s="225">
        <f>Q14*R14</f>
        <v>0</v>
      </c>
      <c r="T14" s="588" t="s">
        <v>185</v>
      </c>
      <c r="V14" s="33"/>
    </row>
    <row r="15" spans="1:23" ht="24" x14ac:dyDescent="0.25">
      <c r="A15" s="51">
        <f t="shared" si="0"/>
        <v>13</v>
      </c>
      <c r="B15" s="52" t="s">
        <v>142</v>
      </c>
      <c r="C15" s="139">
        <f>SUM('D3'!E123:E124)</f>
        <v>0</v>
      </c>
      <c r="D15" s="139">
        <f>SUM('D3'!E122)</f>
        <v>0</v>
      </c>
      <c r="E15" s="139">
        <f>SUM('D3'!E126:E133)</f>
        <v>727000</v>
      </c>
      <c r="F15" s="52"/>
      <c r="G15" s="52"/>
      <c r="H15" s="52"/>
      <c r="I15" s="139">
        <f>SUM('D3'!E134)</f>
        <v>0</v>
      </c>
      <c r="J15" s="138"/>
      <c r="K15" s="138"/>
      <c r="L15" s="138">
        <f>'D3'!E125</f>
        <v>0</v>
      </c>
      <c r="M15" s="138"/>
      <c r="N15" s="138"/>
      <c r="O15" s="138"/>
      <c r="P15" s="140">
        <f t="shared" si="3"/>
        <v>727000</v>
      </c>
      <c r="Q15" s="226">
        <f>'D3'!C135</f>
        <v>727000</v>
      </c>
      <c r="R15" s="61">
        <f>(IF('3'!$D$13="REGULAR",('3'!$D$10),0))</f>
        <v>0</v>
      </c>
      <c r="S15" s="226">
        <f>Q15*R15</f>
        <v>0</v>
      </c>
      <c r="T15" s="589"/>
      <c r="V15" s="33"/>
    </row>
    <row r="16" spans="1:23" ht="18.75" customHeight="1" x14ac:dyDescent="0.25">
      <c r="A16" s="62">
        <f t="shared" si="0"/>
        <v>14</v>
      </c>
      <c r="B16" s="63" t="s">
        <v>76</v>
      </c>
      <c r="C16" s="63"/>
      <c r="D16" s="144">
        <f>'D3'!E139</f>
        <v>0</v>
      </c>
      <c r="E16" s="144" t="e">
        <f>SUM('D3'!E144:E149)</f>
        <v>#VALUE!</v>
      </c>
      <c r="F16" s="63"/>
      <c r="G16" s="63"/>
      <c r="H16" s="63"/>
      <c r="I16" s="144">
        <f>SUM('D3'!E150)</f>
        <v>0</v>
      </c>
      <c r="J16" s="141" t="e">
        <f>SUM('D3'!E140:E142)</f>
        <v>#VALUE!</v>
      </c>
      <c r="K16" s="141">
        <f>'D3'!E143</f>
        <v>3700000</v>
      </c>
      <c r="L16" s="141"/>
      <c r="M16" s="141"/>
      <c r="N16" s="141"/>
      <c r="O16" s="141"/>
      <c r="P16" s="143" t="e">
        <f>SUM(C16:O16)</f>
        <v>#VALUE!</v>
      </c>
      <c r="Q16" s="64" t="e">
        <f>'D3'!C151</f>
        <v>#VALUE!</v>
      </c>
      <c r="R16" s="65">
        <f>'3'!D10</f>
        <v>0</v>
      </c>
      <c r="S16" s="64" t="e">
        <f>R16*Q16</f>
        <v>#VALUE!</v>
      </c>
      <c r="T16" s="135" t="s">
        <v>76</v>
      </c>
      <c r="V16" s="33"/>
    </row>
    <row r="17" spans="1:30" x14ac:dyDescent="0.25">
      <c r="A17" s="46">
        <f t="shared" si="0"/>
        <v>15</v>
      </c>
      <c r="B17" s="47" t="s">
        <v>144</v>
      </c>
      <c r="C17" s="138">
        <f>SUM('D3'!K155:K157)</f>
        <v>0</v>
      </c>
      <c r="D17" s="47"/>
      <c r="E17" s="138"/>
      <c r="F17" s="47"/>
      <c r="G17" s="47"/>
      <c r="H17" s="47"/>
      <c r="I17" s="138">
        <f>SUM('D3'!K166)</f>
        <v>5400000</v>
      </c>
      <c r="J17" s="138"/>
      <c r="K17" s="138"/>
      <c r="L17" s="138"/>
      <c r="M17" s="138"/>
      <c r="N17" s="138">
        <f>'D3'!K158</f>
        <v>0</v>
      </c>
      <c r="O17" s="138" t="e">
        <f>SUM('D3'!K159:K165)</f>
        <v>#VALUE!</v>
      </c>
      <c r="P17" s="140" t="e">
        <f t="shared" si="3"/>
        <v>#VALUE!</v>
      </c>
      <c r="Q17" s="225" t="e">
        <f>'D3'!I167</f>
        <v>#VALUE!</v>
      </c>
      <c r="R17" s="49">
        <f>(IF('3'!$D$17="vip",('3'!$D$10),0))</f>
        <v>0</v>
      </c>
      <c r="S17" s="225" t="e">
        <f>Q17*R17</f>
        <v>#VALUE!</v>
      </c>
      <c r="T17" s="585" t="s">
        <v>150</v>
      </c>
      <c r="V17" s="33"/>
    </row>
    <row r="18" spans="1:30" ht="24" x14ac:dyDescent="0.25">
      <c r="A18" s="51">
        <f t="shared" si="0"/>
        <v>16</v>
      </c>
      <c r="B18" s="52" t="s">
        <v>145</v>
      </c>
      <c r="C18" s="139">
        <f>SUM('D3'!E157)</f>
        <v>0</v>
      </c>
      <c r="D18" s="52"/>
      <c r="E18" s="139"/>
      <c r="F18" s="52"/>
      <c r="G18" s="52"/>
      <c r="H18" s="52"/>
      <c r="I18" s="139">
        <f>SUM('D3'!E166)</f>
        <v>5400000</v>
      </c>
      <c r="J18" s="138"/>
      <c r="K18" s="138"/>
      <c r="L18" s="138"/>
      <c r="M18" s="138"/>
      <c r="N18" s="138">
        <f>'D3'!E158</f>
        <v>0</v>
      </c>
      <c r="O18" s="138" t="e">
        <f>SUM('D3'!E159:E165)</f>
        <v>#VALUE!</v>
      </c>
      <c r="P18" s="140" t="e">
        <f t="shared" si="3"/>
        <v>#VALUE!</v>
      </c>
      <c r="Q18" s="226" t="e">
        <f>'D3'!C167</f>
        <v>#VALUE!</v>
      </c>
      <c r="R18" s="61">
        <f>(IF('3'!$D$13="REGULAR",('3'!$D$10),0))</f>
        <v>0</v>
      </c>
      <c r="S18" s="226" t="e">
        <f>Q18*R18</f>
        <v>#VALUE!</v>
      </c>
      <c r="T18" s="586"/>
      <c r="V18" s="33"/>
    </row>
    <row r="19" spans="1:30" ht="24" x14ac:dyDescent="0.25">
      <c r="A19" s="55">
        <f>A18+1</f>
        <v>17</v>
      </c>
      <c r="B19" s="56" t="s">
        <v>146</v>
      </c>
      <c r="C19" s="141" t="e">
        <f>SUM('D3'!E171:E172)</f>
        <v>#VALUE!</v>
      </c>
      <c r="D19" s="56"/>
      <c r="E19" s="141" t="e">
        <f>'D3'!E177</f>
        <v>#VALUE!</v>
      </c>
      <c r="F19" s="56"/>
      <c r="G19" s="56"/>
      <c r="H19" s="56"/>
      <c r="I19" s="141" t="e">
        <f>SUM('D3'!E173)</f>
        <v>#VALUE!</v>
      </c>
      <c r="J19" s="141" t="e">
        <f>SUM('D3'!E174:E175)</f>
        <v>#VALUE!</v>
      </c>
      <c r="K19" s="141" t="e">
        <f>'D3'!E176</f>
        <v>#VALUE!</v>
      </c>
      <c r="L19" s="141"/>
      <c r="M19" s="141"/>
      <c r="N19" s="141"/>
      <c r="O19" s="141"/>
      <c r="P19" s="143" t="e">
        <f>SUM(C19:O19)</f>
        <v>#VALUE!</v>
      </c>
      <c r="Q19" s="228" t="e">
        <f>'D3'!C178</f>
        <v>#VALUE!</v>
      </c>
      <c r="R19" s="58">
        <f>(IF(AND('3'!$D$13="REGULAR",'3'!$D$15="SAYANEH"),('3'!$D$10),0))</f>
        <v>0</v>
      </c>
      <c r="S19" s="228" t="e">
        <f>R19*Q19</f>
        <v>#VALUE!</v>
      </c>
      <c r="T19" s="581"/>
      <c r="V19" s="33"/>
    </row>
    <row r="20" spans="1:30" ht="24" x14ac:dyDescent="0.25">
      <c r="A20" s="55">
        <f>A19+1</f>
        <v>18</v>
      </c>
      <c r="B20" s="60" t="s">
        <v>147</v>
      </c>
      <c r="C20" s="142" t="e">
        <f>SUM('D3'!E182:E183)</f>
        <v>#VALUE!</v>
      </c>
      <c r="D20" s="60"/>
      <c r="E20" s="142" t="e">
        <f>'D3'!E188</f>
        <v>#VALUE!</v>
      </c>
      <c r="F20" s="60"/>
      <c r="G20" s="60"/>
      <c r="H20" s="60"/>
      <c r="I20" s="142" t="e">
        <f>'D3'!E184</f>
        <v>#VALUE!</v>
      </c>
      <c r="J20" s="141" t="e">
        <f>SUM('D3'!E185:E186)</f>
        <v>#VALUE!</v>
      </c>
      <c r="K20" s="141" t="e">
        <f>'D3'!E187</f>
        <v>#VALUE!</v>
      </c>
      <c r="L20" s="141"/>
      <c r="M20" s="141"/>
      <c r="N20" s="141"/>
      <c r="O20" s="141"/>
      <c r="P20" s="143" t="e">
        <f>SUM(C20:O20)</f>
        <v>#VALUE!</v>
      </c>
      <c r="Q20" s="227" t="e">
        <f>'D3'!C189</f>
        <v>#VALUE!</v>
      </c>
      <c r="R20" s="44">
        <f>(IF(AND('3'!$D$13="REGULAR",'3'!$D$15="PAVLION"),('3'!$D$10),0))</f>
        <v>0</v>
      </c>
      <c r="S20" s="227" t="e">
        <f>R20*Q20</f>
        <v>#VALUE!</v>
      </c>
      <c r="T20" s="582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x14ac:dyDescent="0.25">
      <c r="A21" s="66">
        <f t="shared" si="0"/>
        <v>19</v>
      </c>
      <c r="B21" s="67" t="s">
        <v>114</v>
      </c>
      <c r="C21" s="67"/>
      <c r="D21" s="67"/>
      <c r="E21" s="145"/>
      <c r="F21" s="67"/>
      <c r="G21" s="67"/>
      <c r="H21" s="67"/>
      <c r="I21" s="145">
        <f>SUM('D3'!E195)</f>
        <v>9000000</v>
      </c>
      <c r="J21" s="138">
        <f>'D3'!E193</f>
        <v>3750000</v>
      </c>
      <c r="K21" s="138">
        <f>'D3'!E194</f>
        <v>7500000</v>
      </c>
      <c r="L21" s="138"/>
      <c r="M21" s="138"/>
      <c r="N21" s="138"/>
      <c r="O21" s="138"/>
      <c r="P21" s="140">
        <f t="shared" ref="P21" si="4">SUM(C21:O21)</f>
        <v>20250000</v>
      </c>
      <c r="Q21" s="68">
        <f>'D3'!C196</f>
        <v>20250000</v>
      </c>
      <c r="R21" s="69" t="e">
        <f>(IF(AND('3'!D8&gt;6,'3'!D8&lt;=8),1,IF(AND('3'!D8&gt;8,'3'!D8&lt;=10),2,0)))*('3'!D5+'3'!E5)*('3'!D10)</f>
        <v>#VALUE!</v>
      </c>
      <c r="S21" s="68" t="e">
        <f>R21*Q21</f>
        <v>#VALUE!</v>
      </c>
      <c r="T21" s="68"/>
      <c r="V21" s="38"/>
      <c r="W21" s="38"/>
      <c r="X21" s="38"/>
      <c r="Y21" s="38"/>
      <c r="Z21" s="38"/>
      <c r="AA21" s="38"/>
      <c r="AB21" s="38"/>
      <c r="AC21" s="38"/>
      <c r="AD21" s="38"/>
    </row>
    <row r="22" spans="1:30" ht="15" customHeight="1" x14ac:dyDescent="0.25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  <c r="R22" s="72"/>
      <c r="S22" s="583" t="e">
        <f>S23*'پیش فاکتور سقف متحرک'!G20</f>
        <v>#VALUE!</v>
      </c>
      <c r="T22" s="583"/>
      <c r="V22" s="38"/>
      <c r="W22" s="38"/>
      <c r="X22" s="38"/>
      <c r="Y22" s="38"/>
      <c r="Z22" s="38"/>
      <c r="AA22" s="38"/>
      <c r="AB22" s="38"/>
      <c r="AC22" s="38"/>
      <c r="AD22" s="38"/>
    </row>
    <row r="23" spans="1:30" ht="15.75" x14ac:dyDescent="0.25">
      <c r="A23" s="46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6" t="s">
        <v>7</v>
      </c>
      <c r="S23" s="579" t="e">
        <f>((SUM(S3:S21))/Q2)</f>
        <v>#VALUE!</v>
      </c>
      <c r="T23" s="579"/>
      <c r="V23" s="38"/>
      <c r="W23" s="38"/>
      <c r="X23" s="38"/>
      <c r="Y23" s="38"/>
      <c r="Z23" s="38"/>
      <c r="AA23" s="38"/>
      <c r="AB23" s="38"/>
      <c r="AC23" s="38"/>
      <c r="AD23" s="38"/>
    </row>
    <row r="24" spans="1:30" ht="15.75" x14ac:dyDescent="0.25">
      <c r="A24" s="55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7" t="s">
        <v>8</v>
      </c>
      <c r="S24" s="580">
        <v>3000000</v>
      </c>
      <c r="T24" s="580"/>
      <c r="V24" s="38"/>
      <c r="W24" s="38"/>
      <c r="X24" s="38"/>
      <c r="Y24" s="38"/>
      <c r="Z24" s="38"/>
      <c r="AA24" s="38"/>
      <c r="AB24" s="38"/>
      <c r="AC24" s="38"/>
      <c r="AD24" s="38"/>
    </row>
    <row r="25" spans="1:30" ht="15.75" x14ac:dyDescent="0.25">
      <c r="A25" s="46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8" t="s">
        <v>9</v>
      </c>
      <c r="S25" s="579" t="e">
        <f>(S23+S24)*('3'!G4*0.01)</f>
        <v>#VALUE!</v>
      </c>
      <c r="T25" s="579"/>
      <c r="V25" s="38"/>
      <c r="W25" s="38"/>
      <c r="X25" s="38"/>
      <c r="Y25" s="38"/>
      <c r="Z25" s="38"/>
      <c r="AA25" s="38"/>
      <c r="AB25" s="38"/>
      <c r="AC25" s="38"/>
      <c r="AD25" s="38"/>
    </row>
    <row r="26" spans="1:30" ht="15.75" x14ac:dyDescent="0.25">
      <c r="A26" s="5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9" t="s">
        <v>10</v>
      </c>
      <c r="S26" s="580" t="e">
        <f>(S23+S24)*('3'!G5*0.01)</f>
        <v>#VALUE!</v>
      </c>
      <c r="T26" s="580"/>
      <c r="V26" s="38"/>
      <c r="W26" s="38"/>
      <c r="X26" s="38"/>
      <c r="Y26" s="38"/>
      <c r="Z26" s="38"/>
      <c r="AA26" s="38"/>
      <c r="AB26" s="38"/>
      <c r="AC26" s="38"/>
      <c r="AD26" s="38"/>
    </row>
    <row r="27" spans="1:30" ht="15.75" x14ac:dyDescent="0.25">
      <c r="A27" s="46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8" t="s">
        <v>11</v>
      </c>
      <c r="S27" s="579" t="e">
        <f>(S23+S24)*('3'!G6*0.01)</f>
        <v>#VALUE!</v>
      </c>
      <c r="T27" s="579"/>
      <c r="V27" s="38"/>
      <c r="W27" s="38"/>
      <c r="X27" s="38"/>
      <c r="Y27" s="38"/>
      <c r="Z27" s="38"/>
      <c r="AA27" s="38"/>
      <c r="AB27" s="38"/>
      <c r="AC27" s="38"/>
      <c r="AD27" s="38"/>
    </row>
    <row r="28" spans="1:30" ht="15.75" x14ac:dyDescent="0.25">
      <c r="A28" s="5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9" t="s">
        <v>12</v>
      </c>
      <c r="S28" s="580" t="e">
        <f>(S23+S24)*('3'!G7*0.01)</f>
        <v>#VALUE!</v>
      </c>
      <c r="T28" s="580"/>
      <c r="V28" s="38"/>
      <c r="W28" s="38"/>
      <c r="X28" s="38"/>
      <c r="Y28" s="38"/>
      <c r="Z28" s="38"/>
      <c r="AA28" s="38"/>
      <c r="AB28" s="38"/>
      <c r="AC28" s="38"/>
      <c r="AD28" s="38"/>
    </row>
    <row r="29" spans="1:30" ht="15.75" x14ac:dyDescent="0.25">
      <c r="A29" s="46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8" t="s">
        <v>13</v>
      </c>
      <c r="S29" s="579" t="e">
        <f>(S23+S24+S25+S26+S27+S28)*('3'!G8*0.01)</f>
        <v>#VALUE!</v>
      </c>
      <c r="T29" s="579"/>
    </row>
    <row r="30" spans="1:30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30" ht="15" customHeight="1" x14ac:dyDescent="0.25">
      <c r="A31" s="9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3"/>
      <c r="R31" s="33"/>
      <c r="S31" s="40"/>
      <c r="T31" s="33"/>
      <c r="U31" s="39"/>
    </row>
    <row r="32" spans="1:30" ht="15" customHeight="1" x14ac:dyDescent="0.25">
      <c r="A32" s="98"/>
      <c r="B32" s="73" t="e">
        <f>SUM(C32:O32)</f>
        <v>#VALUE!</v>
      </c>
      <c r="C32" s="138" t="e">
        <f>SUM(C34:C52)</f>
        <v>#VALUE!</v>
      </c>
      <c r="D32" s="138" t="e">
        <f t="shared" ref="D32:O32" si="5">SUM(D34:D52)</f>
        <v>#VALUE!</v>
      </c>
      <c r="E32" s="138" t="e">
        <f t="shared" si="5"/>
        <v>#VALUE!</v>
      </c>
      <c r="F32" s="138" t="e">
        <f t="shared" si="5"/>
        <v>#VALUE!</v>
      </c>
      <c r="G32" s="138" t="e">
        <f t="shared" si="5"/>
        <v>#VALUE!</v>
      </c>
      <c r="H32" s="138" t="e">
        <f t="shared" si="5"/>
        <v>#VALUE!</v>
      </c>
      <c r="I32" s="138" t="e">
        <f t="shared" si="5"/>
        <v>#VALUE!</v>
      </c>
      <c r="J32" s="138" t="e">
        <f t="shared" si="5"/>
        <v>#VALUE!</v>
      </c>
      <c r="K32" s="138" t="e">
        <f t="shared" si="5"/>
        <v>#VALUE!</v>
      </c>
      <c r="L32" s="138" t="e">
        <f t="shared" si="5"/>
        <v>#VALUE!</v>
      </c>
      <c r="M32" s="138" t="e">
        <f t="shared" si="5"/>
        <v>#VALUE!</v>
      </c>
      <c r="N32" s="138" t="e">
        <f t="shared" si="5"/>
        <v>#VALUE!</v>
      </c>
      <c r="O32" s="138" t="e">
        <f t="shared" si="5"/>
        <v>#VALUE!</v>
      </c>
      <c r="P32" s="39"/>
      <c r="Q32" s="33"/>
      <c r="R32" s="33"/>
      <c r="S32" s="40"/>
      <c r="T32" s="33"/>
      <c r="U32" s="39"/>
    </row>
    <row r="33" spans="1:21" ht="24.6" customHeight="1" x14ac:dyDescent="0.25">
      <c r="A33" s="42"/>
      <c r="B33" s="43" t="s">
        <v>2</v>
      </c>
      <c r="C33" s="146" t="s">
        <v>193</v>
      </c>
      <c r="D33" s="146" t="s">
        <v>194</v>
      </c>
      <c r="E33" s="146" t="s">
        <v>195</v>
      </c>
      <c r="F33" s="146" t="s">
        <v>197</v>
      </c>
      <c r="G33" s="146" t="s">
        <v>199</v>
      </c>
      <c r="H33" s="146" t="s">
        <v>196</v>
      </c>
      <c r="I33" s="147" t="s">
        <v>200</v>
      </c>
      <c r="J33" s="137" t="s">
        <v>217</v>
      </c>
      <c r="K33" s="137" t="s">
        <v>218</v>
      </c>
      <c r="L33" s="137" t="s">
        <v>219</v>
      </c>
      <c r="M33" s="137" t="s">
        <v>220</v>
      </c>
      <c r="N33" s="137" t="s">
        <v>221</v>
      </c>
      <c r="O33" s="137" t="s">
        <v>222</v>
      </c>
      <c r="P33" s="39"/>
      <c r="Q33" s="33"/>
      <c r="R33" s="33"/>
      <c r="U33" s="39"/>
    </row>
    <row r="34" spans="1:21" ht="15" customHeight="1" x14ac:dyDescent="0.25">
      <c r="A34" s="46">
        <v>1</v>
      </c>
      <c r="B34" s="47" t="s">
        <v>156</v>
      </c>
      <c r="C34" s="138"/>
      <c r="D34" s="138"/>
      <c r="E34" s="138"/>
      <c r="F34" s="138">
        <f>F3*$R$3</f>
        <v>0</v>
      </c>
      <c r="G34" s="138"/>
      <c r="H34" s="138"/>
      <c r="I34" s="138">
        <f>I3*$R$3</f>
        <v>0</v>
      </c>
      <c r="J34" s="138"/>
      <c r="K34" s="138"/>
      <c r="L34" s="138"/>
      <c r="M34" s="138"/>
      <c r="N34" s="138"/>
      <c r="O34" s="138"/>
      <c r="P34" s="39"/>
      <c r="Q34" s="33"/>
      <c r="R34" s="33"/>
      <c r="U34" s="39"/>
    </row>
    <row r="35" spans="1:21" ht="15" customHeight="1" x14ac:dyDescent="0.25">
      <c r="A35" s="46">
        <f t="shared" ref="A35:A52" si="6">A34+1</f>
        <v>2</v>
      </c>
      <c r="B35" s="47" t="s">
        <v>205</v>
      </c>
      <c r="C35" s="138"/>
      <c r="D35" s="138"/>
      <c r="E35" s="138"/>
      <c r="F35" s="138" t="e">
        <f>F4*$R$4</f>
        <v>#VALUE!</v>
      </c>
      <c r="G35" s="138"/>
      <c r="H35" s="138"/>
      <c r="I35" s="138" t="e">
        <f>I4*$R$4</f>
        <v>#VALUE!</v>
      </c>
      <c r="J35" s="138"/>
      <c r="K35" s="138"/>
      <c r="L35" s="138"/>
      <c r="M35" s="138"/>
      <c r="N35" s="138"/>
      <c r="O35" s="138"/>
      <c r="P35" s="39"/>
      <c r="Q35" s="33"/>
      <c r="R35" s="33"/>
      <c r="U35" s="39"/>
    </row>
    <row r="36" spans="1:21" ht="15" customHeight="1" x14ac:dyDescent="0.25">
      <c r="A36" s="46">
        <f t="shared" si="6"/>
        <v>3</v>
      </c>
      <c r="B36" s="47" t="s">
        <v>5</v>
      </c>
      <c r="C36" s="138"/>
      <c r="D36" s="138"/>
      <c r="E36" s="138"/>
      <c r="F36" s="138">
        <f>F5*$R$5</f>
        <v>0</v>
      </c>
      <c r="G36" s="138"/>
      <c r="H36" s="138"/>
      <c r="I36" s="138">
        <f>I5*$R$5</f>
        <v>0</v>
      </c>
      <c r="J36" s="138"/>
      <c r="K36" s="138"/>
      <c r="L36" s="138"/>
      <c r="M36" s="138"/>
      <c r="N36" s="138"/>
      <c r="O36" s="138"/>
      <c r="P36" s="39"/>
      <c r="Q36" s="33"/>
      <c r="R36" s="33"/>
      <c r="U36" s="39"/>
    </row>
    <row r="37" spans="1:21" ht="15" customHeight="1" x14ac:dyDescent="0.25">
      <c r="A37" s="51">
        <f t="shared" si="6"/>
        <v>4</v>
      </c>
      <c r="B37" s="52" t="s">
        <v>6</v>
      </c>
      <c r="C37" s="139"/>
      <c r="D37" s="139"/>
      <c r="E37" s="139"/>
      <c r="F37" s="139" t="e">
        <f>F6*$R$6</f>
        <v>#VALUE!</v>
      </c>
      <c r="G37" s="139"/>
      <c r="H37" s="139"/>
      <c r="I37" s="138" t="e">
        <f>I6*$R$6</f>
        <v>#VALUE!</v>
      </c>
      <c r="J37" s="138"/>
      <c r="K37" s="138"/>
      <c r="L37" s="138"/>
      <c r="M37" s="138"/>
      <c r="N37" s="138"/>
      <c r="O37" s="138"/>
      <c r="P37" s="39"/>
      <c r="Q37" s="33"/>
      <c r="R37" s="33"/>
      <c r="U37" s="39"/>
    </row>
    <row r="38" spans="1:21" ht="15" customHeight="1" x14ac:dyDescent="0.25">
      <c r="A38" s="55">
        <f t="shared" si="6"/>
        <v>5</v>
      </c>
      <c r="B38" s="56" t="s">
        <v>134</v>
      </c>
      <c r="C38" s="148" t="e">
        <f>C7*$R$7</f>
        <v>#VALUE!</v>
      </c>
      <c r="D38" s="148"/>
      <c r="E38" s="148" t="e">
        <f>E7*$R$7</f>
        <v>#VALUE!</v>
      </c>
      <c r="F38" s="148"/>
      <c r="G38" s="148"/>
      <c r="H38" s="148" t="e">
        <f>H7*$R$7</f>
        <v>#VALUE!</v>
      </c>
      <c r="I38" s="151" t="e">
        <f>I7*$R$7</f>
        <v>#VALUE!</v>
      </c>
      <c r="J38" s="151">
        <f t="shared" ref="J38:O38" si="7">J7*$R$7</f>
        <v>0</v>
      </c>
      <c r="K38" s="151">
        <f t="shared" si="7"/>
        <v>0</v>
      </c>
      <c r="L38" s="151">
        <f t="shared" si="7"/>
        <v>0</v>
      </c>
      <c r="M38" s="151">
        <f t="shared" si="7"/>
        <v>0</v>
      </c>
      <c r="N38" s="151">
        <f t="shared" si="7"/>
        <v>0</v>
      </c>
      <c r="O38" s="151">
        <f t="shared" si="7"/>
        <v>0</v>
      </c>
      <c r="P38" s="39"/>
      <c r="Q38" s="33"/>
      <c r="R38" s="33"/>
      <c r="U38" s="39"/>
    </row>
    <row r="39" spans="1:21" ht="15" customHeight="1" x14ac:dyDescent="0.25">
      <c r="A39" s="59">
        <f t="shared" si="6"/>
        <v>6</v>
      </c>
      <c r="B39" s="60" t="s">
        <v>135</v>
      </c>
      <c r="C39" s="149" t="e">
        <f>C8*$R$8</f>
        <v>#VALUE!</v>
      </c>
      <c r="D39" s="149"/>
      <c r="E39" s="149" t="e">
        <f>E8*$R$8</f>
        <v>#VALUE!</v>
      </c>
      <c r="F39" s="149"/>
      <c r="G39" s="149"/>
      <c r="H39" s="149" t="e">
        <f>H8*$R$8</f>
        <v>#VALUE!</v>
      </c>
      <c r="I39" s="149" t="e">
        <f>I8*$R$8</f>
        <v>#VALUE!</v>
      </c>
      <c r="J39" s="149">
        <f t="shared" ref="J39:O39" si="8">J8*$R$8</f>
        <v>0</v>
      </c>
      <c r="K39" s="149">
        <f t="shared" si="8"/>
        <v>0</v>
      </c>
      <c r="L39" s="149">
        <f t="shared" si="8"/>
        <v>0</v>
      </c>
      <c r="M39" s="149">
        <f t="shared" si="8"/>
        <v>0</v>
      </c>
      <c r="N39" s="149">
        <f t="shared" si="8"/>
        <v>0</v>
      </c>
      <c r="O39" s="149">
        <f t="shared" si="8"/>
        <v>0</v>
      </c>
      <c r="P39" s="39"/>
      <c r="Q39" s="33"/>
      <c r="R39" s="33"/>
      <c r="U39" s="39"/>
    </row>
    <row r="40" spans="1:21" ht="15" customHeight="1" x14ac:dyDescent="0.25">
      <c r="A40" s="46">
        <f t="shared" si="6"/>
        <v>7</v>
      </c>
      <c r="B40" s="47" t="s">
        <v>49</v>
      </c>
      <c r="C40" s="138" t="e">
        <f>C9*$R$9</f>
        <v>#VALUE!</v>
      </c>
      <c r="D40" s="138"/>
      <c r="E40" s="138" t="e">
        <f>E9*$R$9</f>
        <v>#VALUE!</v>
      </c>
      <c r="F40" s="138"/>
      <c r="G40" s="138"/>
      <c r="H40" s="138"/>
      <c r="I40" s="138" t="e">
        <f>I9*$R$9</f>
        <v>#VALUE!</v>
      </c>
      <c r="J40" s="138" t="e">
        <f t="shared" ref="J40:O40" si="9">J9*$R$9</f>
        <v>#VALUE!</v>
      </c>
      <c r="K40" s="138" t="e">
        <f t="shared" si="9"/>
        <v>#VALUE!</v>
      </c>
      <c r="L40" s="138" t="e">
        <f t="shared" si="9"/>
        <v>#VALUE!</v>
      </c>
      <c r="M40" s="138" t="e">
        <f t="shared" si="9"/>
        <v>#VALUE!</v>
      </c>
      <c r="N40" s="138" t="e">
        <f t="shared" si="9"/>
        <v>#VALUE!</v>
      </c>
      <c r="O40" s="138" t="e">
        <f t="shared" si="9"/>
        <v>#VALUE!</v>
      </c>
      <c r="P40" s="39"/>
      <c r="Q40" s="33"/>
      <c r="R40" s="33"/>
      <c r="S40" s="40"/>
      <c r="T40" s="33"/>
      <c r="U40" s="39"/>
    </row>
    <row r="41" spans="1:21" ht="15" customHeight="1" x14ac:dyDescent="0.25">
      <c r="A41" s="46">
        <f t="shared" si="6"/>
        <v>8</v>
      </c>
      <c r="B41" s="47" t="s">
        <v>122</v>
      </c>
      <c r="C41" s="138" t="e">
        <f>C10*$R$10</f>
        <v>#VALUE!</v>
      </c>
      <c r="D41" s="138"/>
      <c r="E41" s="138" t="e">
        <f>E10*$R$10</f>
        <v>#VALUE!</v>
      </c>
      <c r="F41" s="138"/>
      <c r="G41" s="138"/>
      <c r="H41" s="138"/>
      <c r="I41" s="138" t="e">
        <f>I10*$R$10</f>
        <v>#VALUE!</v>
      </c>
      <c r="J41" s="138" t="e">
        <f t="shared" ref="J41:O41" si="10">J10*$R$10</f>
        <v>#VALUE!</v>
      </c>
      <c r="K41" s="138" t="e">
        <f t="shared" si="10"/>
        <v>#VALUE!</v>
      </c>
      <c r="L41" s="138" t="e">
        <f t="shared" si="10"/>
        <v>#VALUE!</v>
      </c>
      <c r="M41" s="138" t="e">
        <f t="shared" si="10"/>
        <v>#VALUE!</v>
      </c>
      <c r="N41" s="138" t="e">
        <f t="shared" si="10"/>
        <v>#VALUE!</v>
      </c>
      <c r="O41" s="138" t="e">
        <f t="shared" si="10"/>
        <v>#VALUE!</v>
      </c>
      <c r="P41" s="39"/>
      <c r="Q41" s="33"/>
      <c r="R41" s="33"/>
      <c r="S41" s="40"/>
      <c r="T41" s="33"/>
      <c r="U41" s="39"/>
    </row>
    <row r="42" spans="1:21" ht="15" customHeight="1" x14ac:dyDescent="0.25">
      <c r="A42" s="51">
        <f t="shared" si="6"/>
        <v>9</v>
      </c>
      <c r="B42" s="52" t="s">
        <v>56</v>
      </c>
      <c r="C42" s="139">
        <f>C11*$R$11</f>
        <v>0</v>
      </c>
      <c r="D42" s="139"/>
      <c r="E42" s="139">
        <f>E11*$R$11</f>
        <v>0</v>
      </c>
      <c r="F42" s="139"/>
      <c r="G42" s="139"/>
      <c r="H42" s="139"/>
      <c r="I42" s="139">
        <f>I11*$R$11</f>
        <v>0</v>
      </c>
      <c r="J42" s="139">
        <f t="shared" ref="J42:O42" si="11">J11*$R$11</f>
        <v>0</v>
      </c>
      <c r="K42" s="139">
        <f t="shared" si="11"/>
        <v>0</v>
      </c>
      <c r="L42" s="139">
        <f t="shared" si="11"/>
        <v>0</v>
      </c>
      <c r="M42" s="139">
        <f t="shared" si="11"/>
        <v>0</v>
      </c>
      <c r="N42" s="139">
        <f t="shared" si="11"/>
        <v>0</v>
      </c>
      <c r="O42" s="139">
        <f t="shared" si="11"/>
        <v>0</v>
      </c>
      <c r="P42" s="39"/>
      <c r="Q42" s="33"/>
      <c r="R42" s="33"/>
      <c r="S42" s="40"/>
      <c r="T42" s="33"/>
      <c r="U42" s="39"/>
    </row>
    <row r="43" spans="1:21" ht="15" customHeight="1" x14ac:dyDescent="0.25">
      <c r="A43" s="55">
        <f t="shared" si="6"/>
        <v>10</v>
      </c>
      <c r="B43" s="56" t="s">
        <v>140</v>
      </c>
      <c r="C43" s="148"/>
      <c r="D43" s="148"/>
      <c r="E43" s="148">
        <f>E12*$R$12</f>
        <v>0</v>
      </c>
      <c r="F43" s="148"/>
      <c r="G43" s="148">
        <f>G12*$R$12</f>
        <v>0</v>
      </c>
      <c r="H43" s="148">
        <f t="shared" ref="H43:I43" si="12">H12*$R$12</f>
        <v>0</v>
      </c>
      <c r="I43" s="148">
        <f t="shared" si="12"/>
        <v>0</v>
      </c>
      <c r="J43" s="148">
        <f>J12*$R$12</f>
        <v>0</v>
      </c>
      <c r="K43" s="148"/>
      <c r="L43" s="148"/>
      <c r="M43" s="148"/>
      <c r="N43" s="148"/>
      <c r="O43" s="148"/>
      <c r="P43" s="39"/>
      <c r="Q43" s="33"/>
      <c r="R43" s="33"/>
      <c r="S43" s="40"/>
      <c r="T43" s="33"/>
      <c r="U43" s="39"/>
    </row>
    <row r="44" spans="1:21" ht="15" customHeight="1" x14ac:dyDescent="0.25">
      <c r="A44" s="59">
        <f t="shared" si="6"/>
        <v>11</v>
      </c>
      <c r="B44" s="60" t="s">
        <v>141</v>
      </c>
      <c r="C44" s="149"/>
      <c r="D44" s="149"/>
      <c r="E44" s="149">
        <f>E13*$R$13</f>
        <v>0</v>
      </c>
      <c r="F44" s="149"/>
      <c r="G44" s="148">
        <f>G13*$R$13</f>
        <v>0</v>
      </c>
      <c r="H44" s="148">
        <f t="shared" ref="H44:I44" si="13">H13*$R$13</f>
        <v>0</v>
      </c>
      <c r="I44" s="148">
        <f t="shared" si="13"/>
        <v>0</v>
      </c>
      <c r="J44" s="148">
        <f>J13*$R$13</f>
        <v>0</v>
      </c>
      <c r="K44" s="149"/>
      <c r="L44" s="149"/>
      <c r="M44" s="149"/>
      <c r="N44" s="149"/>
      <c r="O44" s="149"/>
      <c r="P44" s="39"/>
      <c r="Q44" s="33"/>
      <c r="R44" s="33"/>
      <c r="S44" s="40"/>
      <c r="T44" s="33"/>
      <c r="U44" s="39"/>
    </row>
    <row r="45" spans="1:21" ht="15" customHeight="1" x14ac:dyDescent="0.25">
      <c r="A45" s="46">
        <f t="shared" si="6"/>
        <v>12</v>
      </c>
      <c r="B45" s="47" t="s">
        <v>143</v>
      </c>
      <c r="C45" s="138">
        <f>C14*$R$14</f>
        <v>0</v>
      </c>
      <c r="D45" s="138">
        <f>D14*$R$14</f>
        <v>0</v>
      </c>
      <c r="E45" s="138">
        <f>E14*$R$14</f>
        <v>0</v>
      </c>
      <c r="F45" s="138">
        <f t="shared" ref="F45:O45" si="14">F14*$R$14</f>
        <v>0</v>
      </c>
      <c r="G45" s="138">
        <f t="shared" si="14"/>
        <v>0</v>
      </c>
      <c r="H45" s="138">
        <f t="shared" si="14"/>
        <v>0</v>
      </c>
      <c r="I45" s="138">
        <f t="shared" si="14"/>
        <v>0</v>
      </c>
      <c r="J45" s="138">
        <f t="shared" si="14"/>
        <v>0</v>
      </c>
      <c r="K45" s="138">
        <f t="shared" si="14"/>
        <v>0</v>
      </c>
      <c r="L45" s="138">
        <f t="shared" si="14"/>
        <v>0</v>
      </c>
      <c r="M45" s="138">
        <f t="shared" si="14"/>
        <v>0</v>
      </c>
      <c r="N45" s="138">
        <f t="shared" si="14"/>
        <v>0</v>
      </c>
      <c r="O45" s="138">
        <f t="shared" si="14"/>
        <v>0</v>
      </c>
      <c r="P45" s="39"/>
      <c r="Q45" s="33"/>
      <c r="R45" s="33"/>
      <c r="S45" s="40"/>
      <c r="T45" s="33"/>
      <c r="U45" s="39"/>
    </row>
    <row r="46" spans="1:21" ht="15" customHeight="1" x14ac:dyDescent="0.25">
      <c r="A46" s="51">
        <f t="shared" si="6"/>
        <v>13</v>
      </c>
      <c r="B46" s="52" t="s">
        <v>142</v>
      </c>
      <c r="C46" s="138">
        <f>C15*$R$15</f>
        <v>0</v>
      </c>
      <c r="D46" s="138">
        <f>D15*$R$15</f>
        <v>0</v>
      </c>
      <c r="E46" s="138">
        <f>E15*$R$15</f>
        <v>0</v>
      </c>
      <c r="F46" s="138">
        <f t="shared" ref="F46:O46" si="15">F15*$R$15</f>
        <v>0</v>
      </c>
      <c r="G46" s="138">
        <f t="shared" si="15"/>
        <v>0</v>
      </c>
      <c r="H46" s="138">
        <f t="shared" si="15"/>
        <v>0</v>
      </c>
      <c r="I46" s="138">
        <f t="shared" si="15"/>
        <v>0</v>
      </c>
      <c r="J46" s="138">
        <f t="shared" si="15"/>
        <v>0</v>
      </c>
      <c r="K46" s="138">
        <f t="shared" si="15"/>
        <v>0</v>
      </c>
      <c r="L46" s="138">
        <f t="shared" si="15"/>
        <v>0</v>
      </c>
      <c r="M46" s="138">
        <f t="shared" si="15"/>
        <v>0</v>
      </c>
      <c r="N46" s="138">
        <f t="shared" si="15"/>
        <v>0</v>
      </c>
      <c r="O46" s="138">
        <f t="shared" si="15"/>
        <v>0</v>
      </c>
      <c r="P46" s="39"/>
      <c r="Q46" s="33"/>
      <c r="R46" s="33"/>
      <c r="S46" s="40"/>
      <c r="T46" s="33"/>
      <c r="U46" s="39"/>
    </row>
    <row r="47" spans="1:21" ht="15" customHeight="1" x14ac:dyDescent="0.25">
      <c r="A47" s="62">
        <f t="shared" si="6"/>
        <v>14</v>
      </c>
      <c r="B47" s="63" t="s">
        <v>76</v>
      </c>
      <c r="C47" s="150">
        <f t="shared" ref="C47:D47" si="16">C16*$R$16</f>
        <v>0</v>
      </c>
      <c r="D47" s="150">
        <f t="shared" si="16"/>
        <v>0</v>
      </c>
      <c r="E47" s="150" t="e">
        <f>E16*$R$16</f>
        <v>#VALUE!</v>
      </c>
      <c r="F47" s="150">
        <f t="shared" ref="F47:H47" si="17">F16*$R$16</f>
        <v>0</v>
      </c>
      <c r="G47" s="150">
        <f t="shared" si="17"/>
        <v>0</v>
      </c>
      <c r="H47" s="150">
        <f t="shared" si="17"/>
        <v>0</v>
      </c>
      <c r="I47" s="150">
        <f>I16*$R$16</f>
        <v>0</v>
      </c>
      <c r="J47" s="150" t="e">
        <f t="shared" ref="J47:O47" si="18">J16*$R$16</f>
        <v>#VALUE!</v>
      </c>
      <c r="K47" s="150">
        <f t="shared" si="18"/>
        <v>0</v>
      </c>
      <c r="L47" s="150">
        <f t="shared" si="18"/>
        <v>0</v>
      </c>
      <c r="M47" s="150">
        <f t="shared" si="18"/>
        <v>0</v>
      </c>
      <c r="N47" s="150">
        <f t="shared" si="18"/>
        <v>0</v>
      </c>
      <c r="O47" s="150">
        <f t="shared" si="18"/>
        <v>0</v>
      </c>
      <c r="P47" s="39"/>
      <c r="Q47" s="33"/>
      <c r="R47" s="33"/>
      <c r="S47" s="40"/>
      <c r="T47" s="33"/>
      <c r="U47" s="39"/>
    </row>
    <row r="48" spans="1:21" ht="15" customHeight="1" x14ac:dyDescent="0.25">
      <c r="A48" s="46">
        <f t="shared" si="6"/>
        <v>15</v>
      </c>
      <c r="B48" s="47" t="s">
        <v>144</v>
      </c>
      <c r="C48" s="138">
        <f>C17*$R$17</f>
        <v>0</v>
      </c>
      <c r="D48" s="138">
        <f t="shared" ref="D48:H48" si="19">D17*$R$17</f>
        <v>0</v>
      </c>
      <c r="E48" s="138">
        <f t="shared" si="19"/>
        <v>0</v>
      </c>
      <c r="F48" s="138">
        <f t="shared" si="19"/>
        <v>0</v>
      </c>
      <c r="G48" s="138">
        <f t="shared" si="19"/>
        <v>0</v>
      </c>
      <c r="H48" s="138">
        <f t="shared" si="19"/>
        <v>0</v>
      </c>
      <c r="I48" s="138">
        <f>I17*$R$17</f>
        <v>0</v>
      </c>
      <c r="J48" s="138">
        <f t="shared" ref="J48:O48" si="20">J17*$R$17</f>
        <v>0</v>
      </c>
      <c r="K48" s="138">
        <f t="shared" si="20"/>
        <v>0</v>
      </c>
      <c r="L48" s="138">
        <f t="shared" si="20"/>
        <v>0</v>
      </c>
      <c r="M48" s="138">
        <f t="shared" si="20"/>
        <v>0</v>
      </c>
      <c r="N48" s="138">
        <f t="shared" si="20"/>
        <v>0</v>
      </c>
      <c r="O48" s="138" t="e">
        <f t="shared" si="20"/>
        <v>#VALUE!</v>
      </c>
      <c r="P48" s="39"/>
      <c r="Q48" s="33"/>
      <c r="R48" s="33"/>
      <c r="S48" s="40"/>
      <c r="T48" s="33"/>
      <c r="U48" s="39"/>
    </row>
    <row r="49" spans="1:21" ht="15" customHeight="1" x14ac:dyDescent="0.25">
      <c r="A49" s="51">
        <f t="shared" si="6"/>
        <v>16</v>
      </c>
      <c r="B49" s="52" t="s">
        <v>145</v>
      </c>
      <c r="C49" s="139">
        <f>C18*$R$18</f>
        <v>0</v>
      </c>
      <c r="D49" s="139">
        <f t="shared" ref="D49:H49" si="21">D18*$R$18</f>
        <v>0</v>
      </c>
      <c r="E49" s="139">
        <f t="shared" si="21"/>
        <v>0</v>
      </c>
      <c r="F49" s="139">
        <f t="shared" si="21"/>
        <v>0</v>
      </c>
      <c r="G49" s="139">
        <f t="shared" si="21"/>
        <v>0</v>
      </c>
      <c r="H49" s="139">
        <f t="shared" si="21"/>
        <v>0</v>
      </c>
      <c r="I49" s="139">
        <f>I18*$R$18</f>
        <v>0</v>
      </c>
      <c r="J49" s="139">
        <f t="shared" ref="J49:O49" si="22">J18*$R$18</f>
        <v>0</v>
      </c>
      <c r="K49" s="139">
        <f t="shared" si="22"/>
        <v>0</v>
      </c>
      <c r="L49" s="139">
        <f t="shared" si="22"/>
        <v>0</v>
      </c>
      <c r="M49" s="139">
        <f t="shared" si="22"/>
        <v>0</v>
      </c>
      <c r="N49" s="139">
        <f t="shared" si="22"/>
        <v>0</v>
      </c>
      <c r="O49" s="139" t="e">
        <f t="shared" si="22"/>
        <v>#VALUE!</v>
      </c>
      <c r="P49" s="39"/>
      <c r="Q49" s="33"/>
      <c r="R49" s="33"/>
      <c r="S49" s="40"/>
      <c r="T49" s="33"/>
      <c r="U49" s="39"/>
    </row>
    <row r="50" spans="1:21" ht="15" customHeight="1" x14ac:dyDescent="0.25">
      <c r="A50" s="55">
        <f>A49+1</f>
        <v>17</v>
      </c>
      <c r="B50" s="56" t="s">
        <v>146</v>
      </c>
      <c r="C50" s="148" t="e">
        <f>C19*$R$19</f>
        <v>#VALUE!</v>
      </c>
      <c r="D50" s="148">
        <f t="shared" ref="D50:O50" si="23">D19*$R$19</f>
        <v>0</v>
      </c>
      <c r="E50" s="148" t="e">
        <f t="shared" si="23"/>
        <v>#VALUE!</v>
      </c>
      <c r="F50" s="148">
        <f t="shared" si="23"/>
        <v>0</v>
      </c>
      <c r="G50" s="148">
        <f t="shared" si="23"/>
        <v>0</v>
      </c>
      <c r="H50" s="148">
        <f t="shared" si="23"/>
        <v>0</v>
      </c>
      <c r="I50" s="148" t="e">
        <f t="shared" si="23"/>
        <v>#VALUE!</v>
      </c>
      <c r="J50" s="148" t="e">
        <f t="shared" si="23"/>
        <v>#VALUE!</v>
      </c>
      <c r="K50" s="148" t="e">
        <f t="shared" si="23"/>
        <v>#VALUE!</v>
      </c>
      <c r="L50" s="148">
        <f t="shared" si="23"/>
        <v>0</v>
      </c>
      <c r="M50" s="148">
        <f t="shared" si="23"/>
        <v>0</v>
      </c>
      <c r="N50" s="148">
        <f t="shared" si="23"/>
        <v>0</v>
      </c>
      <c r="O50" s="148">
        <f t="shared" si="23"/>
        <v>0</v>
      </c>
      <c r="P50" s="39"/>
      <c r="Q50" s="33"/>
      <c r="R50" s="33"/>
      <c r="S50" s="40"/>
      <c r="T50" s="33"/>
      <c r="U50" s="39"/>
    </row>
    <row r="51" spans="1:21" ht="15" customHeight="1" x14ac:dyDescent="0.25">
      <c r="A51" s="55">
        <f>A50+1</f>
        <v>18</v>
      </c>
      <c r="B51" s="60" t="s">
        <v>147</v>
      </c>
      <c r="C51" s="149" t="e">
        <f>C20*$R$20</f>
        <v>#VALUE!</v>
      </c>
      <c r="D51" s="149">
        <f t="shared" ref="D51:O51" si="24">D20*$R$20</f>
        <v>0</v>
      </c>
      <c r="E51" s="149" t="e">
        <f t="shared" si="24"/>
        <v>#VALUE!</v>
      </c>
      <c r="F51" s="149">
        <f t="shared" si="24"/>
        <v>0</v>
      </c>
      <c r="G51" s="149">
        <f t="shared" si="24"/>
        <v>0</v>
      </c>
      <c r="H51" s="149">
        <f t="shared" si="24"/>
        <v>0</v>
      </c>
      <c r="I51" s="149" t="e">
        <f t="shared" si="24"/>
        <v>#VALUE!</v>
      </c>
      <c r="J51" s="149" t="e">
        <f t="shared" si="24"/>
        <v>#VALUE!</v>
      </c>
      <c r="K51" s="149" t="e">
        <f t="shared" si="24"/>
        <v>#VALUE!</v>
      </c>
      <c r="L51" s="149">
        <f t="shared" si="24"/>
        <v>0</v>
      </c>
      <c r="M51" s="149">
        <f t="shared" si="24"/>
        <v>0</v>
      </c>
      <c r="N51" s="149">
        <f t="shared" si="24"/>
        <v>0</v>
      </c>
      <c r="O51" s="149">
        <f t="shared" si="24"/>
        <v>0</v>
      </c>
      <c r="P51" s="39"/>
      <c r="Q51" s="33"/>
      <c r="R51" s="33"/>
      <c r="S51" s="40"/>
      <c r="T51" s="33"/>
      <c r="U51" s="39"/>
    </row>
    <row r="52" spans="1:21" ht="15" customHeight="1" x14ac:dyDescent="0.25">
      <c r="A52" s="66">
        <f t="shared" si="6"/>
        <v>19</v>
      </c>
      <c r="B52" s="67" t="s">
        <v>114</v>
      </c>
      <c r="C52" s="145" t="e">
        <f t="shared" ref="C52:D52" si="25">C21*$R$21</f>
        <v>#VALUE!</v>
      </c>
      <c r="D52" s="145" t="e">
        <f t="shared" si="25"/>
        <v>#VALUE!</v>
      </c>
      <c r="E52" s="145" t="e">
        <f>E21*$R$21</f>
        <v>#VALUE!</v>
      </c>
      <c r="F52" s="145" t="e">
        <f t="shared" ref="F52:H52" si="26">F21*$R$21</f>
        <v>#VALUE!</v>
      </c>
      <c r="G52" s="145" t="e">
        <f t="shared" si="26"/>
        <v>#VALUE!</v>
      </c>
      <c r="H52" s="145" t="e">
        <f t="shared" si="26"/>
        <v>#VALUE!</v>
      </c>
      <c r="I52" s="145" t="e">
        <f>I21*$R$21</f>
        <v>#VALUE!</v>
      </c>
      <c r="J52" s="145" t="e">
        <f t="shared" ref="J52:O52" si="27">J21*$R$21</f>
        <v>#VALUE!</v>
      </c>
      <c r="K52" s="145" t="e">
        <f t="shared" si="27"/>
        <v>#VALUE!</v>
      </c>
      <c r="L52" s="145" t="e">
        <f t="shared" si="27"/>
        <v>#VALUE!</v>
      </c>
      <c r="M52" s="145" t="e">
        <f t="shared" si="27"/>
        <v>#VALUE!</v>
      </c>
      <c r="N52" s="145" t="e">
        <f t="shared" si="27"/>
        <v>#VALUE!</v>
      </c>
      <c r="O52" s="145" t="e">
        <f t="shared" si="27"/>
        <v>#VALUE!</v>
      </c>
      <c r="P52" s="39"/>
      <c r="Q52" s="33"/>
      <c r="R52" s="33"/>
      <c r="S52" s="40"/>
      <c r="T52" s="33"/>
      <c r="U52" s="39"/>
    </row>
    <row r="53" spans="1:21" ht="15" customHeight="1" x14ac:dyDescent="0.25">
      <c r="A53" s="9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3"/>
      <c r="R53" s="33"/>
      <c r="S53" s="40"/>
      <c r="T53" s="33"/>
      <c r="U53" s="39"/>
    </row>
    <row r="54" spans="1:21" ht="15" customHeight="1" x14ac:dyDescent="0.25">
      <c r="A54" s="9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3"/>
      <c r="R54" s="33"/>
      <c r="S54" s="40"/>
      <c r="T54" s="33"/>
      <c r="U54" s="39"/>
    </row>
    <row r="55" spans="1:21" ht="15" customHeight="1" x14ac:dyDescent="0.25">
      <c r="A55" s="98"/>
      <c r="B55" s="39"/>
      <c r="C55" s="39"/>
      <c r="D55" s="39"/>
      <c r="E55" s="39"/>
      <c r="F55" s="39"/>
      <c r="G55" s="39" t="s">
        <v>3</v>
      </c>
      <c r="H55" s="39"/>
      <c r="I55" s="39"/>
      <c r="J55" s="39"/>
      <c r="K55" s="39"/>
      <c r="L55" s="39"/>
      <c r="M55" s="39"/>
      <c r="N55" s="39"/>
      <c r="O55" s="39"/>
      <c r="P55" s="39"/>
      <c r="Q55" s="33"/>
      <c r="R55" s="33"/>
      <c r="S55" s="40"/>
      <c r="T55" s="33"/>
      <c r="U55" s="39"/>
    </row>
    <row r="56" spans="1:21" x14ac:dyDescent="0.25">
      <c r="A56" s="98"/>
      <c r="B56" s="39"/>
      <c r="C56" s="33"/>
      <c r="D56" s="33" t="e">
        <f>E56*'3'!E9</f>
        <v>#VALUE!</v>
      </c>
      <c r="E56" s="82" t="e">
        <f>SUM(E57:E63)</f>
        <v>#VALUE!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T56" s="33"/>
      <c r="U56" s="40"/>
    </row>
    <row r="57" spans="1:21" x14ac:dyDescent="0.25">
      <c r="A57" s="98"/>
      <c r="B57" s="86" t="s">
        <v>105</v>
      </c>
      <c r="C57" s="82" t="e">
        <f>'D3'!C57</f>
        <v>#VALUE!</v>
      </c>
      <c r="D57" s="87" t="s">
        <v>40</v>
      </c>
      <c r="E57" s="82" t="e">
        <f>C57*4.7</f>
        <v>#VALUE!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T57" s="33"/>
      <c r="U57" s="40"/>
    </row>
    <row r="58" spans="1:21" x14ac:dyDescent="0.25">
      <c r="A58" s="98"/>
      <c r="B58" s="81" t="s">
        <v>123</v>
      </c>
      <c r="C58" s="89">
        <f>'D3'!C71</f>
        <v>0</v>
      </c>
      <c r="D58" s="85" t="s">
        <v>40</v>
      </c>
      <c r="E58" s="89">
        <f>C58*3</f>
        <v>0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T58" s="33"/>
      <c r="U58" s="40"/>
    </row>
    <row r="59" spans="1:21" x14ac:dyDescent="0.25">
      <c r="A59" s="98"/>
      <c r="B59" s="81" t="s">
        <v>125</v>
      </c>
      <c r="C59" s="89">
        <f>'D3'!C123</f>
        <v>0</v>
      </c>
      <c r="D59" s="136" t="s">
        <v>40</v>
      </c>
      <c r="E59" s="89">
        <f>C59*1</f>
        <v>0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T59" s="33"/>
      <c r="U59" s="40"/>
    </row>
    <row r="60" spans="1:21" ht="15" customHeight="1" x14ac:dyDescent="0.25">
      <c r="A60" s="98"/>
      <c r="B60" s="81" t="s">
        <v>124</v>
      </c>
      <c r="C60" s="89">
        <f>'D3'!C124</f>
        <v>0</v>
      </c>
      <c r="D60" s="85" t="s">
        <v>40</v>
      </c>
      <c r="E60" s="82">
        <f>C60*1.9</f>
        <v>0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T60" s="33"/>
      <c r="U60" s="40"/>
    </row>
    <row r="61" spans="1:21" x14ac:dyDescent="0.25">
      <c r="A61" s="98"/>
      <c r="B61" s="95" t="s">
        <v>154</v>
      </c>
      <c r="C61" s="89">
        <f>'D3'!C157</f>
        <v>0</v>
      </c>
      <c r="D61" s="85" t="s">
        <v>40</v>
      </c>
      <c r="E61" s="89">
        <f>C61*3.67</f>
        <v>0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T61" s="33"/>
      <c r="U61" s="40"/>
    </row>
    <row r="62" spans="1:21" x14ac:dyDescent="0.25">
      <c r="A62" s="98"/>
      <c r="B62" s="81" t="s">
        <v>201</v>
      </c>
      <c r="C62" s="89">
        <f>IF('3'!$D$15="SAYANEH",'D3'!C171,0)</f>
        <v>0</v>
      </c>
      <c r="D62" s="85" t="s">
        <v>40</v>
      </c>
      <c r="E62" s="82">
        <f>C62*4.2</f>
        <v>0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T62" s="33"/>
      <c r="U62" s="40"/>
    </row>
    <row r="63" spans="1:21" x14ac:dyDescent="0.25">
      <c r="A63" s="98"/>
      <c r="B63" s="81" t="s">
        <v>202</v>
      </c>
      <c r="C63" s="89">
        <f>IF('3'!$D$15="SAYANEH",'D3'!C172,0)</f>
        <v>0</v>
      </c>
      <c r="D63" s="85" t="s">
        <v>40</v>
      </c>
      <c r="E63" s="82">
        <f>C63*4.2</f>
        <v>0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T63" s="33"/>
      <c r="U63" s="40"/>
    </row>
    <row r="64" spans="1:21" x14ac:dyDescent="0.25">
      <c r="A64" s="98"/>
      <c r="B64" s="81" t="s">
        <v>203</v>
      </c>
      <c r="C64" s="89">
        <f>IF('3'!$D$15="PAVLION",'D3'!C182,0)</f>
        <v>0</v>
      </c>
      <c r="D64" s="85" t="s">
        <v>40</v>
      </c>
      <c r="E64" s="82">
        <f>C64*4.2</f>
        <v>0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T64" s="33"/>
      <c r="U64" s="40"/>
    </row>
    <row r="65" spans="1:21" x14ac:dyDescent="0.25">
      <c r="A65" s="98"/>
      <c r="B65" s="81" t="s">
        <v>204</v>
      </c>
      <c r="C65" s="89">
        <f>IF('3'!$D$15="PAVLION",'D3'!C183,0)</f>
        <v>0</v>
      </c>
      <c r="D65" s="85" t="s">
        <v>40</v>
      </c>
      <c r="E65" s="82">
        <f>C65*4.2</f>
        <v>0</v>
      </c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T65" s="33"/>
      <c r="U65" s="33"/>
    </row>
    <row r="66" spans="1:21" x14ac:dyDescent="0.25">
      <c r="A66" s="9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40"/>
      <c r="T66" s="33"/>
    </row>
    <row r="67" spans="1:21" x14ac:dyDescent="0.25">
      <c r="A67" s="98"/>
      <c r="B67" s="114" t="s">
        <v>193</v>
      </c>
      <c r="C67" s="114" t="e">
        <f>C32</f>
        <v>#VALUE!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U67" s="33"/>
    </row>
    <row r="68" spans="1:21" x14ac:dyDescent="0.25">
      <c r="A68" s="98"/>
      <c r="B68" s="132" t="s">
        <v>194</v>
      </c>
      <c r="C68" s="115" t="e">
        <f>D32</f>
        <v>#VALUE!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U68" s="101"/>
    </row>
    <row r="69" spans="1:21" x14ac:dyDescent="0.25">
      <c r="A69" s="98"/>
      <c r="B69" s="114" t="s">
        <v>195</v>
      </c>
      <c r="C69" s="114" t="e">
        <f>E32</f>
        <v>#VALUE!</v>
      </c>
    </row>
    <row r="70" spans="1:21" x14ac:dyDescent="0.25">
      <c r="A70" s="98"/>
      <c r="B70" s="132" t="s">
        <v>197</v>
      </c>
      <c r="C70" s="115" t="e">
        <f>F32</f>
        <v>#VALUE!</v>
      </c>
      <c r="U70" s="40"/>
    </row>
    <row r="71" spans="1:21" x14ac:dyDescent="0.25">
      <c r="A71" s="98"/>
      <c r="B71" s="114" t="s">
        <v>196</v>
      </c>
      <c r="C71" s="114" t="e">
        <f>H32</f>
        <v>#VALUE!</v>
      </c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U71" s="40"/>
    </row>
    <row r="72" spans="1:21" x14ac:dyDescent="0.25">
      <c r="A72" s="98"/>
      <c r="B72" s="132" t="s">
        <v>199</v>
      </c>
      <c r="C72" s="116" t="e">
        <f>G32</f>
        <v>#VALUE!</v>
      </c>
      <c r="Q72" s="103"/>
      <c r="R72" s="104"/>
      <c r="S72" s="104"/>
      <c r="U72" s="40"/>
    </row>
    <row r="73" spans="1:21" x14ac:dyDescent="0.25">
      <c r="A73" s="98"/>
      <c r="B73" s="133" t="s">
        <v>200</v>
      </c>
      <c r="C73" s="114" t="e">
        <f>I32</f>
        <v>#VALUE!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98"/>
      <c r="R73" s="98"/>
      <c r="S73" s="98"/>
      <c r="T73" s="33"/>
      <c r="U73" s="40"/>
    </row>
    <row r="74" spans="1:21" ht="15" customHeight="1" x14ac:dyDescent="0.25">
      <c r="A74" s="98"/>
      <c r="B74" s="165" t="s">
        <v>217</v>
      </c>
      <c r="C74" s="116" t="e">
        <f>J32</f>
        <v>#VALUE!</v>
      </c>
      <c r="Q74" s="106"/>
      <c r="R74" s="106"/>
      <c r="S74" s="106"/>
      <c r="T74" s="33"/>
      <c r="U74" s="40"/>
    </row>
    <row r="75" spans="1:21" x14ac:dyDescent="0.25">
      <c r="A75" s="98"/>
      <c r="B75" s="114" t="s">
        <v>218</v>
      </c>
      <c r="C75" s="116" t="e">
        <f>K32</f>
        <v>#VALUE!</v>
      </c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99"/>
      <c r="R75" s="99"/>
      <c r="S75" s="100"/>
      <c r="U75" s="33"/>
    </row>
    <row r="76" spans="1:21" x14ac:dyDescent="0.25">
      <c r="A76" s="98"/>
      <c r="B76" s="132" t="s">
        <v>219</v>
      </c>
      <c r="C76" s="115" t="e">
        <f>L32</f>
        <v>#VALUE!</v>
      </c>
      <c r="U76" s="33"/>
    </row>
    <row r="77" spans="1:21" x14ac:dyDescent="0.25">
      <c r="A77" s="98"/>
      <c r="B77" s="114" t="s">
        <v>220</v>
      </c>
      <c r="C77" s="114">
        <f>(Q2*1900000)+(Q2*0.7*1200000)</f>
        <v>0</v>
      </c>
    </row>
    <row r="78" spans="1:21" x14ac:dyDescent="0.25">
      <c r="A78" s="98"/>
      <c r="B78" s="132" t="s">
        <v>221</v>
      </c>
      <c r="C78" s="116" t="e">
        <f>N32</f>
        <v>#VALUE!</v>
      </c>
      <c r="U78" s="101"/>
    </row>
    <row r="79" spans="1:21" x14ac:dyDescent="0.25">
      <c r="A79" s="98"/>
      <c r="B79" s="133" t="s">
        <v>222</v>
      </c>
      <c r="C79" s="114" t="e">
        <f>O32</f>
        <v>#VALUE!</v>
      </c>
    </row>
    <row r="80" spans="1:21" x14ac:dyDescent="0.25">
      <c r="A80" s="34"/>
      <c r="U80" s="40"/>
    </row>
    <row r="81" spans="1:21" x14ac:dyDescent="0.25">
      <c r="A81" s="98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T81" s="33"/>
      <c r="U81" s="40"/>
    </row>
    <row r="82" spans="1:21" x14ac:dyDescent="0.25">
      <c r="A82" s="98"/>
      <c r="B82" s="114" t="s">
        <v>223</v>
      </c>
      <c r="C82" s="114" t="e">
        <f>C67+C73</f>
        <v>#VALUE!</v>
      </c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8"/>
      <c r="R82" s="109"/>
      <c r="S82" s="109"/>
      <c r="T82" s="33"/>
      <c r="U82" s="40"/>
    </row>
    <row r="83" spans="1:21" x14ac:dyDescent="0.25">
      <c r="B83" s="132" t="s">
        <v>194</v>
      </c>
      <c r="C83" s="115" t="e">
        <f>C68</f>
        <v>#VALUE!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U83" s="40"/>
    </row>
    <row r="84" spans="1:21" x14ac:dyDescent="0.25">
      <c r="A84" s="98"/>
      <c r="B84" s="114" t="s">
        <v>195</v>
      </c>
      <c r="C84" s="114" t="e">
        <f>C69+C70+C71</f>
        <v>#VALUE!</v>
      </c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</row>
    <row r="85" spans="1:21" x14ac:dyDescent="0.25">
      <c r="A85" s="98"/>
      <c r="B85" s="132" t="s">
        <v>199</v>
      </c>
      <c r="C85" s="116" t="e">
        <f>C72</f>
        <v>#VALUE!</v>
      </c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</row>
    <row r="86" spans="1:21" x14ac:dyDescent="0.25">
      <c r="A86" s="98"/>
      <c r="B86" s="165" t="s">
        <v>217</v>
      </c>
      <c r="C86" s="116" t="e">
        <f t="shared" ref="C86:C91" si="28">C74</f>
        <v>#VALUE!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</row>
    <row r="87" spans="1:21" x14ac:dyDescent="0.25">
      <c r="A87" s="98"/>
      <c r="B87" s="114" t="s">
        <v>218</v>
      </c>
      <c r="C87" s="116" t="e">
        <f t="shared" si="28"/>
        <v>#VALUE!</v>
      </c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</row>
    <row r="88" spans="1:21" x14ac:dyDescent="0.25">
      <c r="A88" s="98"/>
      <c r="B88" s="132" t="s">
        <v>219</v>
      </c>
      <c r="C88" s="115" t="e">
        <f t="shared" si="28"/>
        <v>#VALUE!</v>
      </c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</row>
    <row r="89" spans="1:21" x14ac:dyDescent="0.25">
      <c r="B89" s="114" t="s">
        <v>220</v>
      </c>
      <c r="C89" s="114">
        <f t="shared" si="28"/>
        <v>0</v>
      </c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</row>
    <row r="90" spans="1:21" x14ac:dyDescent="0.25">
      <c r="B90" s="132" t="s">
        <v>221</v>
      </c>
      <c r="C90" s="116" t="e">
        <f t="shared" si="28"/>
        <v>#VALUE!</v>
      </c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</row>
    <row r="91" spans="1:21" x14ac:dyDescent="0.25">
      <c r="B91" s="133" t="s">
        <v>222</v>
      </c>
      <c r="C91" s="114" t="e">
        <f t="shared" si="28"/>
        <v>#VALUE!</v>
      </c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</row>
    <row r="92" spans="1:21" x14ac:dyDescent="0.25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</row>
    <row r="93" spans="1:21" x14ac:dyDescent="0.25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</row>
    <row r="94" spans="1:21" x14ac:dyDescent="0.25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</row>
    <row r="95" spans="1:21" x14ac:dyDescent="0.25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</row>
    <row r="96" spans="1:21" x14ac:dyDescent="0.25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U96" s="40"/>
    </row>
    <row r="97" spans="1:21" x14ac:dyDescent="0.25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U97" s="40"/>
    </row>
    <row r="98" spans="1:21" x14ac:dyDescent="0.25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U98" s="40"/>
    </row>
    <row r="99" spans="1:21" x14ac:dyDescent="0.25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U99" s="40"/>
    </row>
    <row r="100" spans="1:21" x14ac:dyDescent="0.25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U100" s="40"/>
    </row>
    <row r="101" spans="1:21" x14ac:dyDescent="0.25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U101" s="40"/>
    </row>
    <row r="102" spans="1:21" x14ac:dyDescent="0.25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U102" s="40"/>
    </row>
    <row r="103" spans="1:21" x14ac:dyDescent="0.25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U103" s="40"/>
    </row>
    <row r="104" spans="1:21" x14ac:dyDescent="0.25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U104" s="40"/>
    </row>
    <row r="105" spans="1:21" x14ac:dyDescent="0.25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U105" s="40"/>
    </row>
    <row r="106" spans="1:21" x14ac:dyDescent="0.25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U106" s="40"/>
    </row>
    <row r="107" spans="1:21" x14ac:dyDescent="0.25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U107" s="40"/>
    </row>
    <row r="108" spans="1:21" x14ac:dyDescent="0.25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U108" s="40"/>
    </row>
    <row r="109" spans="1:21" x14ac:dyDescent="0.25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U109" s="40"/>
    </row>
    <row r="110" spans="1:21" x14ac:dyDescent="0.25">
      <c r="A110" s="98"/>
      <c r="Q110" s="98"/>
      <c r="R110" s="98"/>
      <c r="S110" s="111"/>
    </row>
    <row r="111" spans="1:21" x14ac:dyDescent="0.25">
      <c r="A111" s="98"/>
      <c r="Q111" s="98"/>
      <c r="R111" s="98"/>
      <c r="S111" s="111"/>
    </row>
    <row r="112" spans="1:21" x14ac:dyDescent="0.25">
      <c r="A112" s="98"/>
      <c r="Q112" s="98"/>
      <c r="R112" s="98"/>
      <c r="S112" s="111"/>
    </row>
    <row r="113" spans="1:19" x14ac:dyDescent="0.25">
      <c r="A113" s="98"/>
      <c r="Q113" s="98"/>
      <c r="R113" s="98"/>
      <c r="S113" s="111"/>
    </row>
    <row r="114" spans="1:19" x14ac:dyDescent="0.25">
      <c r="A114" s="98"/>
      <c r="Q114" s="98"/>
      <c r="R114" s="98"/>
      <c r="S114" s="111"/>
    </row>
    <row r="115" spans="1:19" x14ac:dyDescent="0.25">
      <c r="A115" s="98"/>
      <c r="Q115" s="98"/>
      <c r="R115" s="98"/>
      <c r="S115" s="111"/>
    </row>
  </sheetData>
  <sheetProtection formatCells="0" formatColumns="0" formatRows="0" insertColumns="0" insertRows="0" insertHyperlinks="0" deleteColumns="0" deleteRows="0" sort="0" autoFilter="0" pivotTables="0"/>
  <mergeCells count="15">
    <mergeCell ref="S27:T27"/>
    <mergeCell ref="S28:T28"/>
    <mergeCell ref="S29:T29"/>
    <mergeCell ref="T19:T20"/>
    <mergeCell ref="S22:T22"/>
    <mergeCell ref="S23:T23"/>
    <mergeCell ref="S24:T24"/>
    <mergeCell ref="S25:T25"/>
    <mergeCell ref="S26:T26"/>
    <mergeCell ref="T17:T18"/>
    <mergeCell ref="T3:T6"/>
    <mergeCell ref="T7:T8"/>
    <mergeCell ref="T9:T11"/>
    <mergeCell ref="T12:T13"/>
    <mergeCell ref="T14:T1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97"/>
  <sheetViews>
    <sheetView rightToLeft="1" topLeftCell="A94" workbookViewId="0">
      <selection activeCell="F102" sqref="F102"/>
    </sheetView>
  </sheetViews>
  <sheetFormatPr defaultRowHeight="15" x14ac:dyDescent="0.25"/>
  <cols>
    <col min="1" max="1" width="2.85546875" customWidth="1"/>
    <col min="2" max="2" width="25.28515625" customWidth="1"/>
    <col min="3" max="5" width="11" customWidth="1"/>
    <col min="6" max="6" width="12" customWidth="1"/>
    <col min="8" max="8" width="24.140625" customWidth="1"/>
    <col min="11" max="11" width="11.42578125" customWidth="1"/>
    <col min="12" max="12" width="10.42578125" customWidth="1"/>
  </cols>
  <sheetData>
    <row r="1" spans="1:12" x14ac:dyDescent="0.25">
      <c r="A1" s="134"/>
      <c r="B1" s="134"/>
      <c r="C1" s="134"/>
      <c r="D1" s="134"/>
      <c r="E1" s="134"/>
      <c r="F1" s="134"/>
    </row>
    <row r="2" spans="1:12" ht="15" customHeight="1" x14ac:dyDescent="0.25">
      <c r="B2" s="72"/>
      <c r="C2" s="72"/>
      <c r="D2" s="72"/>
      <c r="E2" s="72"/>
      <c r="F2" s="72"/>
      <c r="H2" s="75"/>
      <c r="I2" s="72"/>
      <c r="J2" s="72"/>
      <c r="K2" s="72"/>
      <c r="L2" s="72"/>
    </row>
    <row r="3" spans="1:12" ht="15" customHeight="1" x14ac:dyDescent="0.25">
      <c r="B3" s="76" t="s">
        <v>137</v>
      </c>
      <c r="C3" s="590" t="s">
        <v>158</v>
      </c>
      <c r="D3" s="590"/>
      <c r="E3" s="590"/>
      <c r="F3" s="78"/>
      <c r="H3" s="76" t="s">
        <v>136</v>
      </c>
      <c r="I3" s="593" t="s">
        <v>157</v>
      </c>
      <c r="J3" s="594"/>
      <c r="K3" s="595"/>
      <c r="L3" s="77"/>
    </row>
    <row r="4" spans="1:12" ht="15" customHeight="1" x14ac:dyDescent="0.25">
      <c r="B4" s="229" t="s">
        <v>180</v>
      </c>
      <c r="C4" s="79" t="s">
        <v>4</v>
      </c>
      <c r="D4" s="79" t="s">
        <v>15</v>
      </c>
      <c r="E4" s="80" t="s">
        <v>16</v>
      </c>
      <c r="F4" s="78" t="s">
        <v>3</v>
      </c>
      <c r="H4" s="229" t="s">
        <v>179</v>
      </c>
      <c r="I4" s="79" t="s">
        <v>4</v>
      </c>
      <c r="J4" s="79" t="s">
        <v>15</v>
      </c>
      <c r="K4" s="80" t="s">
        <v>16</v>
      </c>
      <c r="L4" s="78"/>
    </row>
    <row r="5" spans="1:12" ht="15" customHeight="1" x14ac:dyDescent="0.25">
      <c r="B5" s="81" t="s">
        <v>17</v>
      </c>
      <c r="C5" s="82">
        <v>1</v>
      </c>
      <c r="D5" s="83" t="s">
        <v>18</v>
      </c>
      <c r="E5" s="78">
        <f>F5*C5</f>
        <v>1050000</v>
      </c>
      <c r="F5" s="117">
        <v>1050000</v>
      </c>
      <c r="H5" s="81" t="s">
        <v>17</v>
      </c>
      <c r="I5" s="82">
        <v>1</v>
      </c>
      <c r="J5" s="83" t="s">
        <v>18</v>
      </c>
      <c r="K5" s="78">
        <f>L5*I5</f>
        <v>1250000</v>
      </c>
      <c r="L5" s="117">
        <v>1250000</v>
      </c>
    </row>
    <row r="6" spans="1:12" ht="15" customHeight="1" x14ac:dyDescent="0.25">
      <c r="B6" s="81" t="s">
        <v>186</v>
      </c>
      <c r="C6" s="82">
        <v>1</v>
      </c>
      <c r="D6" s="83" t="s">
        <v>18</v>
      </c>
      <c r="E6" s="78">
        <f t="shared" ref="E6:E12" si="0">F6*C6</f>
        <v>680000</v>
      </c>
      <c r="F6" s="117">
        <v>680000</v>
      </c>
      <c r="H6" s="81" t="s">
        <v>19</v>
      </c>
      <c r="I6" s="82">
        <v>1</v>
      </c>
      <c r="J6" s="83" t="s">
        <v>18</v>
      </c>
      <c r="K6" s="78">
        <f t="shared" ref="K6:K12" si="1">L6*I6</f>
        <v>680000</v>
      </c>
      <c r="L6" s="117">
        <v>680000</v>
      </c>
    </row>
    <row r="7" spans="1:12" ht="15" customHeight="1" x14ac:dyDescent="0.25">
      <c r="B7" s="81" t="s">
        <v>20</v>
      </c>
      <c r="C7" s="82">
        <v>2</v>
      </c>
      <c r="D7" s="83" t="s">
        <v>18</v>
      </c>
      <c r="E7" s="78">
        <f t="shared" si="0"/>
        <v>120000</v>
      </c>
      <c r="F7" s="117">
        <v>60000</v>
      </c>
      <c r="H7" s="81" t="s">
        <v>20</v>
      </c>
      <c r="I7" s="82">
        <v>2</v>
      </c>
      <c r="J7" s="83" t="s">
        <v>18</v>
      </c>
      <c r="K7" s="78">
        <f t="shared" si="1"/>
        <v>120000</v>
      </c>
      <c r="L7" s="117">
        <v>60000</v>
      </c>
    </row>
    <row r="8" spans="1:12" ht="15" customHeight="1" x14ac:dyDescent="0.25">
      <c r="B8" s="81" t="s">
        <v>21</v>
      </c>
      <c r="C8" s="82">
        <v>1</v>
      </c>
      <c r="D8" s="83" t="s">
        <v>18</v>
      </c>
      <c r="E8" s="78">
        <f t="shared" si="0"/>
        <v>250000</v>
      </c>
      <c r="F8" s="117">
        <v>250000</v>
      </c>
      <c r="H8" s="81" t="s">
        <v>21</v>
      </c>
      <c r="I8" s="82">
        <v>2</v>
      </c>
      <c r="J8" s="83" t="s">
        <v>18</v>
      </c>
      <c r="K8" s="78">
        <f t="shared" si="1"/>
        <v>500000</v>
      </c>
      <c r="L8" s="117">
        <v>250000</v>
      </c>
    </row>
    <row r="9" spans="1:12" ht="15" customHeight="1" x14ac:dyDescent="0.25">
      <c r="B9" s="81" t="s">
        <v>22</v>
      </c>
      <c r="C9" s="82">
        <v>2</v>
      </c>
      <c r="D9" s="83" t="s">
        <v>18</v>
      </c>
      <c r="E9" s="78">
        <f t="shared" si="0"/>
        <v>24000</v>
      </c>
      <c r="F9" s="117">
        <v>12000</v>
      </c>
      <c r="H9" s="81" t="s">
        <v>22</v>
      </c>
      <c r="I9" s="82">
        <v>2</v>
      </c>
      <c r="J9" s="83" t="s">
        <v>18</v>
      </c>
      <c r="K9" s="78">
        <f t="shared" si="1"/>
        <v>24000</v>
      </c>
      <c r="L9" s="117">
        <v>12000</v>
      </c>
    </row>
    <row r="10" spans="1:12" ht="15" customHeight="1" x14ac:dyDescent="0.25">
      <c r="B10" s="81" t="s">
        <v>23</v>
      </c>
      <c r="C10" s="82">
        <v>8</v>
      </c>
      <c r="D10" s="83" t="s">
        <v>18</v>
      </c>
      <c r="E10" s="78">
        <f t="shared" si="0"/>
        <v>48000</v>
      </c>
      <c r="F10" s="117">
        <v>6000</v>
      </c>
      <c r="H10" s="81" t="s">
        <v>23</v>
      </c>
      <c r="I10" s="82">
        <v>8</v>
      </c>
      <c r="J10" s="83" t="s">
        <v>18</v>
      </c>
      <c r="K10" s="78">
        <f t="shared" si="1"/>
        <v>48000</v>
      </c>
      <c r="L10" s="117">
        <v>6000</v>
      </c>
    </row>
    <row r="11" spans="1:12" ht="15" customHeight="1" x14ac:dyDescent="0.25">
      <c r="B11" s="81" t="s">
        <v>159</v>
      </c>
      <c r="C11" s="82">
        <v>2</v>
      </c>
      <c r="D11" s="83" t="s">
        <v>18</v>
      </c>
      <c r="E11" s="78">
        <f t="shared" si="0"/>
        <v>20000</v>
      </c>
      <c r="F11" s="117">
        <v>10000</v>
      </c>
      <c r="H11" s="81" t="s">
        <v>159</v>
      </c>
      <c r="I11" s="82">
        <v>2</v>
      </c>
      <c r="J11" s="83" t="s">
        <v>18</v>
      </c>
      <c r="K11" s="78">
        <f t="shared" si="1"/>
        <v>20000</v>
      </c>
      <c r="L11" s="117">
        <v>10000</v>
      </c>
    </row>
    <row r="12" spans="1:12" ht="15" customHeight="1" x14ac:dyDescent="0.25">
      <c r="B12" s="81" t="s">
        <v>106</v>
      </c>
      <c r="C12" s="82">
        <v>1.8</v>
      </c>
      <c r="D12" s="85" t="s">
        <v>107</v>
      </c>
      <c r="E12" s="78">
        <f t="shared" si="0"/>
        <v>810000</v>
      </c>
      <c r="F12" s="117">
        <f>'A3'!$T$2</f>
        <v>450000</v>
      </c>
      <c r="H12" s="81" t="s">
        <v>106</v>
      </c>
      <c r="I12" s="82">
        <v>2.5</v>
      </c>
      <c r="J12" s="85" t="s">
        <v>107</v>
      </c>
      <c r="K12" s="78">
        <f t="shared" si="1"/>
        <v>1125000</v>
      </c>
      <c r="L12" s="117">
        <f>'A3'!$T$2</f>
        <v>450000</v>
      </c>
    </row>
    <row r="13" spans="1:12" ht="15" customHeight="1" x14ac:dyDescent="0.25">
      <c r="B13" s="120"/>
      <c r="C13" s="591">
        <f>SUM(E5:E13)</f>
        <v>3002000</v>
      </c>
      <c r="D13" s="592"/>
      <c r="E13" s="592"/>
      <c r="F13" s="121"/>
      <c r="H13" s="81"/>
      <c r="I13" s="591">
        <f>SUM(K5:K13)</f>
        <v>3767000</v>
      </c>
      <c r="J13" s="592"/>
      <c r="K13" s="592"/>
      <c r="L13" s="78"/>
    </row>
    <row r="14" spans="1:12" ht="15" customHeight="1" x14ac:dyDescent="0.25">
      <c r="B14" s="74"/>
      <c r="C14" s="72"/>
      <c r="D14" s="72"/>
      <c r="E14" s="72"/>
      <c r="F14" s="72"/>
      <c r="H14" s="72"/>
      <c r="I14" s="72"/>
      <c r="J14" s="72"/>
      <c r="K14" s="72"/>
      <c r="L14" s="72"/>
    </row>
    <row r="15" spans="1:12" ht="15.75" x14ac:dyDescent="0.25">
      <c r="B15" s="81"/>
      <c r="C15" s="590" t="s">
        <v>160</v>
      </c>
      <c r="D15" s="590"/>
      <c r="E15" s="590"/>
      <c r="F15" s="78"/>
    </row>
    <row r="16" spans="1:12" x14ac:dyDescent="0.25">
      <c r="B16" s="229" t="s">
        <v>5</v>
      </c>
      <c r="C16" s="79" t="s">
        <v>4</v>
      </c>
      <c r="D16" s="79" t="s">
        <v>15</v>
      </c>
      <c r="E16" s="80" t="s">
        <v>16</v>
      </c>
      <c r="F16" s="78"/>
    </row>
    <row r="17" spans="2:6" x14ac:dyDescent="0.25">
      <c r="B17" s="81" t="s">
        <v>24</v>
      </c>
      <c r="C17" s="82">
        <v>2</v>
      </c>
      <c r="D17" s="83" t="s">
        <v>18</v>
      </c>
      <c r="E17" s="78">
        <f>F17*C17</f>
        <v>260000</v>
      </c>
      <c r="F17" s="117">
        <v>130000</v>
      </c>
    </row>
    <row r="18" spans="2:6" x14ac:dyDescent="0.25">
      <c r="B18" s="81" t="s">
        <v>187</v>
      </c>
      <c r="C18" s="82">
        <v>2</v>
      </c>
      <c r="D18" s="83" t="s">
        <v>18</v>
      </c>
      <c r="E18" s="78">
        <f t="shared" ref="E18:E32" si="2">F18*C18</f>
        <v>160000</v>
      </c>
      <c r="F18" s="117">
        <v>80000</v>
      </c>
    </row>
    <row r="19" spans="2:6" x14ac:dyDescent="0.25">
      <c r="B19" s="81" t="s">
        <v>26</v>
      </c>
      <c r="C19" s="82">
        <v>2</v>
      </c>
      <c r="D19" s="83" t="s">
        <v>18</v>
      </c>
      <c r="E19" s="78">
        <f t="shared" si="2"/>
        <v>700000</v>
      </c>
      <c r="F19" s="117">
        <v>350000</v>
      </c>
    </row>
    <row r="20" spans="2:6" x14ac:dyDescent="0.25">
      <c r="B20" s="81" t="s">
        <v>27</v>
      </c>
      <c r="C20" s="82">
        <v>1</v>
      </c>
      <c r="D20" s="83" t="s">
        <v>18</v>
      </c>
      <c r="E20" s="78">
        <f t="shared" si="2"/>
        <v>110000</v>
      </c>
      <c r="F20" s="117">
        <v>110000</v>
      </c>
    </row>
    <row r="21" spans="2:6" x14ac:dyDescent="0.25">
      <c r="B21" s="81" t="s">
        <v>28</v>
      </c>
      <c r="C21" s="82">
        <v>1</v>
      </c>
      <c r="D21" s="83" t="s">
        <v>18</v>
      </c>
      <c r="E21" s="78">
        <f t="shared" si="2"/>
        <v>400000</v>
      </c>
      <c r="F21" s="117">
        <v>400000</v>
      </c>
    </row>
    <row r="22" spans="2:6" x14ac:dyDescent="0.25">
      <c r="B22" s="81" t="s">
        <v>29</v>
      </c>
      <c r="C22" s="82">
        <v>1</v>
      </c>
      <c r="D22" s="83" t="s">
        <v>18</v>
      </c>
      <c r="E22" s="78">
        <f t="shared" si="2"/>
        <v>250000</v>
      </c>
      <c r="F22" s="117">
        <v>250000</v>
      </c>
    </row>
    <row r="23" spans="2:6" x14ac:dyDescent="0.25">
      <c r="B23" s="81" t="s">
        <v>30</v>
      </c>
      <c r="C23" s="82">
        <v>2</v>
      </c>
      <c r="D23" s="83" t="s">
        <v>18</v>
      </c>
      <c r="E23" s="78">
        <f t="shared" si="2"/>
        <v>50000</v>
      </c>
      <c r="F23" s="117">
        <v>25000</v>
      </c>
    </row>
    <row r="24" spans="2:6" x14ac:dyDescent="0.25">
      <c r="B24" s="81" t="s">
        <v>31</v>
      </c>
      <c r="C24" s="82">
        <v>8</v>
      </c>
      <c r="D24" s="83" t="s">
        <v>18</v>
      </c>
      <c r="E24" s="78">
        <f t="shared" si="2"/>
        <v>40000</v>
      </c>
      <c r="F24" s="117">
        <v>5000</v>
      </c>
    </row>
    <row r="25" spans="2:6" x14ac:dyDescent="0.25">
      <c r="B25" s="81" t="s">
        <v>32</v>
      </c>
      <c r="C25" s="82">
        <v>1</v>
      </c>
      <c r="D25" s="83" t="s">
        <v>18</v>
      </c>
      <c r="E25" s="78">
        <f t="shared" si="2"/>
        <v>100000</v>
      </c>
      <c r="F25" s="117">
        <v>100000</v>
      </c>
    </row>
    <row r="26" spans="2:6" x14ac:dyDescent="0.25">
      <c r="B26" s="81" t="s">
        <v>108</v>
      </c>
      <c r="C26" s="82">
        <v>2</v>
      </c>
      <c r="D26" s="83" t="s">
        <v>18</v>
      </c>
      <c r="E26" s="78">
        <f t="shared" si="2"/>
        <v>20000</v>
      </c>
      <c r="F26" s="117">
        <v>10000</v>
      </c>
    </row>
    <row r="27" spans="2:6" ht="24" x14ac:dyDescent="0.25">
      <c r="B27" s="81" t="s">
        <v>33</v>
      </c>
      <c r="C27" s="82">
        <v>8</v>
      </c>
      <c r="D27" s="83" t="s">
        <v>18</v>
      </c>
      <c r="E27" s="78">
        <f t="shared" si="2"/>
        <v>80000</v>
      </c>
      <c r="F27" s="117">
        <v>10000</v>
      </c>
    </row>
    <row r="28" spans="2:6" ht="24" x14ac:dyDescent="0.25">
      <c r="B28" s="81" t="s">
        <v>162</v>
      </c>
      <c r="C28" s="82">
        <v>4</v>
      </c>
      <c r="D28" s="83" t="s">
        <v>18</v>
      </c>
      <c r="E28" s="78">
        <f t="shared" si="2"/>
        <v>40000</v>
      </c>
      <c r="F28" s="117">
        <v>10000</v>
      </c>
    </row>
    <row r="29" spans="2:6" x14ac:dyDescent="0.25">
      <c r="B29" s="81" t="s">
        <v>34</v>
      </c>
      <c r="C29" s="82">
        <v>2</v>
      </c>
      <c r="D29" s="83" t="s">
        <v>18</v>
      </c>
      <c r="E29" s="78">
        <f t="shared" si="2"/>
        <v>40000</v>
      </c>
      <c r="F29" s="117">
        <v>20000</v>
      </c>
    </row>
    <row r="30" spans="2:6" ht="24" x14ac:dyDescent="0.25">
      <c r="B30" s="81" t="s">
        <v>35</v>
      </c>
      <c r="C30" s="82">
        <v>8</v>
      </c>
      <c r="D30" s="83" t="s">
        <v>18</v>
      </c>
      <c r="E30" s="78">
        <f t="shared" si="2"/>
        <v>120000</v>
      </c>
      <c r="F30" s="117">
        <v>15000</v>
      </c>
    </row>
    <row r="31" spans="2:6" x14ac:dyDescent="0.25">
      <c r="B31" s="81" t="s">
        <v>36</v>
      </c>
      <c r="C31" s="82">
        <v>3</v>
      </c>
      <c r="D31" s="83" t="s">
        <v>18</v>
      </c>
      <c r="E31" s="78">
        <f t="shared" si="2"/>
        <v>30000</v>
      </c>
      <c r="F31" s="117">
        <v>10000</v>
      </c>
    </row>
    <row r="32" spans="2:6" x14ac:dyDescent="0.25">
      <c r="B32" s="81" t="s">
        <v>37</v>
      </c>
      <c r="C32" s="82">
        <v>1</v>
      </c>
      <c r="D32" s="83" t="s">
        <v>18</v>
      </c>
      <c r="E32" s="78">
        <f t="shared" si="2"/>
        <v>5000</v>
      </c>
      <c r="F32" s="117">
        <v>5000</v>
      </c>
    </row>
    <row r="33" spans="2:6" ht="21" x14ac:dyDescent="0.25">
      <c r="B33" s="81"/>
      <c r="C33" s="591">
        <f>SUM(E17:E32)</f>
        <v>2405000</v>
      </c>
      <c r="D33" s="592"/>
      <c r="E33" s="592"/>
      <c r="F33" s="78"/>
    </row>
    <row r="34" spans="2:6" x14ac:dyDescent="0.25">
      <c r="B34" s="74"/>
      <c r="C34" s="74"/>
      <c r="D34" s="74"/>
      <c r="E34" s="74"/>
      <c r="F34" s="74"/>
    </row>
    <row r="35" spans="2:6" ht="15.75" x14ac:dyDescent="0.25">
      <c r="B35" s="81"/>
      <c r="C35" s="590" t="s">
        <v>161</v>
      </c>
      <c r="D35" s="590"/>
      <c r="E35" s="590"/>
      <c r="F35" s="78"/>
    </row>
    <row r="36" spans="2:6" x14ac:dyDescent="0.25">
      <c r="B36" s="229" t="s">
        <v>6</v>
      </c>
      <c r="C36" s="79" t="s">
        <v>4</v>
      </c>
      <c r="D36" s="79" t="s">
        <v>15</v>
      </c>
      <c r="E36" s="80" t="s">
        <v>16</v>
      </c>
      <c r="F36" s="78"/>
    </row>
    <row r="37" spans="2:6" x14ac:dyDescent="0.25">
      <c r="B37" s="81" t="s">
        <v>24</v>
      </c>
      <c r="C37" s="82">
        <v>2</v>
      </c>
      <c r="D37" s="83" t="s">
        <v>18</v>
      </c>
      <c r="E37" s="78">
        <f>F37*C37</f>
        <v>260000</v>
      </c>
      <c r="F37" s="117">
        <v>130000</v>
      </c>
    </row>
    <row r="38" spans="2:6" x14ac:dyDescent="0.25">
      <c r="B38" s="81" t="s">
        <v>25</v>
      </c>
      <c r="C38" s="82">
        <v>2</v>
      </c>
      <c r="D38" s="83" t="s">
        <v>18</v>
      </c>
      <c r="E38" s="78">
        <f t="shared" ref="E38:E52" si="3">F38*C38</f>
        <v>160000</v>
      </c>
      <c r="F38" s="117">
        <v>80000</v>
      </c>
    </row>
    <row r="39" spans="2:6" x14ac:dyDescent="0.25">
      <c r="B39" s="81" t="s">
        <v>26</v>
      </c>
      <c r="C39" s="82">
        <v>2</v>
      </c>
      <c r="D39" s="83" t="s">
        <v>18</v>
      </c>
      <c r="E39" s="78">
        <f t="shared" si="3"/>
        <v>700000</v>
      </c>
      <c r="F39" s="117">
        <v>350000</v>
      </c>
    </row>
    <row r="40" spans="2:6" x14ac:dyDescent="0.25">
      <c r="B40" s="81" t="s">
        <v>38</v>
      </c>
      <c r="C40" s="82">
        <v>1</v>
      </c>
      <c r="D40" s="83" t="s">
        <v>18</v>
      </c>
      <c r="E40" s="78">
        <f t="shared" si="3"/>
        <v>150000</v>
      </c>
      <c r="F40" s="117">
        <v>150000</v>
      </c>
    </row>
    <row r="41" spans="2:6" x14ac:dyDescent="0.25">
      <c r="B41" s="81" t="s">
        <v>28</v>
      </c>
      <c r="C41" s="82">
        <v>2</v>
      </c>
      <c r="D41" s="83" t="s">
        <v>18</v>
      </c>
      <c r="E41" s="78">
        <f t="shared" si="3"/>
        <v>800000</v>
      </c>
      <c r="F41" s="117">
        <v>400000</v>
      </c>
    </row>
    <row r="42" spans="2:6" x14ac:dyDescent="0.25">
      <c r="B42" s="81" t="s">
        <v>29</v>
      </c>
      <c r="C42" s="82">
        <v>1</v>
      </c>
      <c r="D42" s="83" t="s">
        <v>18</v>
      </c>
      <c r="E42" s="78">
        <f t="shared" si="3"/>
        <v>250000</v>
      </c>
      <c r="F42" s="117">
        <v>250000</v>
      </c>
    </row>
    <row r="43" spans="2:6" x14ac:dyDescent="0.25">
      <c r="B43" s="81" t="s">
        <v>30</v>
      </c>
      <c r="C43" s="82">
        <v>2</v>
      </c>
      <c r="D43" s="83" t="s">
        <v>18</v>
      </c>
      <c r="E43" s="78">
        <f t="shared" si="3"/>
        <v>50000</v>
      </c>
      <c r="F43" s="117">
        <v>25000</v>
      </c>
    </row>
    <row r="44" spans="2:6" x14ac:dyDescent="0.25">
      <c r="B44" s="81" t="s">
        <v>31</v>
      </c>
      <c r="C44" s="82">
        <v>8</v>
      </c>
      <c r="D44" s="83" t="s">
        <v>18</v>
      </c>
      <c r="E44" s="78">
        <f t="shared" si="3"/>
        <v>40000</v>
      </c>
      <c r="F44" s="117">
        <v>5000</v>
      </c>
    </row>
    <row r="45" spans="2:6" x14ac:dyDescent="0.25">
      <c r="B45" s="81" t="s">
        <v>32</v>
      </c>
      <c r="C45" s="82">
        <v>1</v>
      </c>
      <c r="D45" s="83" t="s">
        <v>18</v>
      </c>
      <c r="E45" s="78">
        <f t="shared" si="3"/>
        <v>100000</v>
      </c>
      <c r="F45" s="117">
        <v>100000</v>
      </c>
    </row>
    <row r="46" spans="2:6" x14ac:dyDescent="0.25">
      <c r="B46" s="81" t="s">
        <v>108</v>
      </c>
      <c r="C46" s="82">
        <v>2</v>
      </c>
      <c r="D46" s="83" t="s">
        <v>18</v>
      </c>
      <c r="E46" s="78">
        <f t="shared" si="3"/>
        <v>20000</v>
      </c>
      <c r="F46" s="117">
        <v>10000</v>
      </c>
    </row>
    <row r="47" spans="2:6" ht="24" x14ac:dyDescent="0.25">
      <c r="B47" s="81" t="s">
        <v>33</v>
      </c>
      <c r="C47" s="82">
        <v>8</v>
      </c>
      <c r="D47" s="83" t="s">
        <v>18</v>
      </c>
      <c r="E47" s="78">
        <f t="shared" si="3"/>
        <v>80000</v>
      </c>
      <c r="F47" s="117">
        <v>10000</v>
      </c>
    </row>
    <row r="48" spans="2:6" ht="24" x14ac:dyDescent="0.25">
      <c r="B48" s="81" t="s">
        <v>162</v>
      </c>
      <c r="C48" s="82">
        <v>4</v>
      </c>
      <c r="D48" s="83" t="s">
        <v>18</v>
      </c>
      <c r="E48" s="78">
        <f t="shared" si="3"/>
        <v>40000</v>
      </c>
      <c r="F48" s="117">
        <v>10000</v>
      </c>
    </row>
    <row r="49" spans="2:12" x14ac:dyDescent="0.25">
      <c r="B49" s="81" t="s">
        <v>34</v>
      </c>
      <c r="C49" s="82">
        <v>2</v>
      </c>
      <c r="D49" s="83" t="s">
        <v>18</v>
      </c>
      <c r="E49" s="78">
        <f t="shared" si="3"/>
        <v>40000</v>
      </c>
      <c r="F49" s="117">
        <v>20000</v>
      </c>
    </row>
    <row r="50" spans="2:12" ht="24" x14ac:dyDescent="0.25">
      <c r="B50" s="81" t="s">
        <v>35</v>
      </c>
      <c r="C50" s="82">
        <v>8</v>
      </c>
      <c r="D50" s="83" t="s">
        <v>18</v>
      </c>
      <c r="E50" s="78">
        <f t="shared" si="3"/>
        <v>120000</v>
      </c>
      <c r="F50" s="117">
        <v>15000</v>
      </c>
    </row>
    <row r="51" spans="2:12" x14ac:dyDescent="0.25">
      <c r="B51" s="81" t="s">
        <v>36</v>
      </c>
      <c r="C51" s="82">
        <v>3</v>
      </c>
      <c r="D51" s="83" t="s">
        <v>18</v>
      </c>
      <c r="E51" s="78">
        <f t="shared" si="3"/>
        <v>30000</v>
      </c>
      <c r="F51" s="117">
        <v>10000</v>
      </c>
    </row>
    <row r="52" spans="2:12" x14ac:dyDescent="0.25">
      <c r="B52" s="81" t="s">
        <v>37</v>
      </c>
      <c r="C52" s="82">
        <v>1</v>
      </c>
      <c r="D52" s="83" t="s">
        <v>18</v>
      </c>
      <c r="E52" s="78">
        <f t="shared" si="3"/>
        <v>5000</v>
      </c>
      <c r="F52" s="117">
        <v>5000</v>
      </c>
    </row>
    <row r="53" spans="2:12" ht="21" x14ac:dyDescent="0.25">
      <c r="B53" s="81"/>
      <c r="C53" s="591">
        <f>SUM(E37:E52)</f>
        <v>2845000</v>
      </c>
      <c r="D53" s="592"/>
      <c r="E53" s="592"/>
      <c r="F53" s="78"/>
    </row>
    <row r="54" spans="2:12" x14ac:dyDescent="0.25">
      <c r="B54" s="72"/>
      <c r="C54" s="72"/>
      <c r="D54" s="72"/>
      <c r="E54" s="72"/>
      <c r="F54" s="72"/>
    </row>
    <row r="55" spans="2:12" ht="21" x14ac:dyDescent="0.25">
      <c r="B55" s="76" t="s">
        <v>137</v>
      </c>
      <c r="C55" s="596" t="s">
        <v>163</v>
      </c>
      <c r="D55" s="596"/>
      <c r="E55" s="596"/>
      <c r="F55" s="78"/>
      <c r="H55" s="76" t="s">
        <v>136</v>
      </c>
      <c r="I55" s="596" t="s">
        <v>163</v>
      </c>
      <c r="J55" s="596"/>
      <c r="K55" s="596"/>
      <c r="L55" s="78"/>
    </row>
    <row r="56" spans="2:12" x14ac:dyDescent="0.25">
      <c r="B56" s="229"/>
      <c r="C56" s="79" t="s">
        <v>4</v>
      </c>
      <c r="D56" s="79" t="s">
        <v>15</v>
      </c>
      <c r="E56" s="80" t="s">
        <v>16</v>
      </c>
      <c r="F56" s="78"/>
      <c r="H56" s="229"/>
      <c r="I56" s="79" t="s">
        <v>4</v>
      </c>
      <c r="J56" s="79" t="s">
        <v>15</v>
      </c>
      <c r="K56" s="80" t="s">
        <v>16</v>
      </c>
      <c r="L56" s="78"/>
    </row>
    <row r="57" spans="2:12" x14ac:dyDescent="0.25">
      <c r="B57" s="86" t="s">
        <v>105</v>
      </c>
      <c r="C57" s="82" t="e">
        <f>'3'!C5</f>
        <v>#VALUE!</v>
      </c>
      <c r="D57" s="87" t="s">
        <v>40</v>
      </c>
      <c r="E57" s="78" t="e">
        <f>F57*C57</f>
        <v>#VALUE!</v>
      </c>
      <c r="F57" s="88">
        <f>'3'!E9*4.7</f>
        <v>10340000</v>
      </c>
      <c r="H57" s="86" t="s">
        <v>105</v>
      </c>
      <c r="I57" s="82" t="e">
        <f>'3'!C5</f>
        <v>#VALUE!</v>
      </c>
      <c r="J57" s="87" t="s">
        <v>40</v>
      </c>
      <c r="K57" s="78" t="e">
        <f>L57*I57</f>
        <v>#VALUE!</v>
      </c>
      <c r="L57" s="88">
        <f>'3'!E9*6.7</f>
        <v>14740000</v>
      </c>
    </row>
    <row r="58" spans="2:12" x14ac:dyDescent="0.25">
      <c r="B58" s="86" t="s">
        <v>39</v>
      </c>
      <c r="C58" s="89" t="e">
        <f>((('3'!$D$8-0.25)*2)+0.52)*('3'!$E$5+'3'!$D$5)</f>
        <v>#VALUE!</v>
      </c>
      <c r="D58" s="87" t="s">
        <v>40</v>
      </c>
      <c r="E58" s="78" t="e">
        <f t="shared" ref="E58:E66" si="4">F58*C58</f>
        <v>#VALUE!</v>
      </c>
      <c r="F58" s="117">
        <v>800000</v>
      </c>
      <c r="H58" s="86" t="s">
        <v>39</v>
      </c>
      <c r="I58" s="89" t="e">
        <f>((('3'!$D$8-0.25)*2)+0.52)*('3'!$E$5+'3'!$D$5)</f>
        <v>#VALUE!</v>
      </c>
      <c r="J58" s="87" t="s">
        <v>40</v>
      </c>
      <c r="K58" s="78" t="e">
        <f t="shared" ref="K58:K66" si="5">L58*I58</f>
        <v>#VALUE!</v>
      </c>
      <c r="L58" s="117">
        <v>800000</v>
      </c>
    </row>
    <row r="59" spans="2:12" x14ac:dyDescent="0.25">
      <c r="B59" s="81" t="s">
        <v>43</v>
      </c>
      <c r="C59" s="89">
        <f>('3'!$D$8-0.25)*2</f>
        <v>-0.5</v>
      </c>
      <c r="D59" s="85" t="s">
        <v>40</v>
      </c>
      <c r="E59" s="78">
        <f>F59*C59</f>
        <v>-135000</v>
      </c>
      <c r="F59" s="117">
        <v>270000</v>
      </c>
      <c r="H59" s="81" t="s">
        <v>43</v>
      </c>
      <c r="I59" s="89">
        <f>('3'!$D$8-0.25)*2</f>
        <v>-0.5</v>
      </c>
      <c r="J59" s="85" t="s">
        <v>40</v>
      </c>
      <c r="K59" s="78">
        <f>L59*I59</f>
        <v>-135000</v>
      </c>
      <c r="L59" s="117">
        <v>270000</v>
      </c>
    </row>
    <row r="60" spans="2:12" x14ac:dyDescent="0.25">
      <c r="B60" s="81" t="s">
        <v>164</v>
      </c>
      <c r="C60" s="89" t="e">
        <f>(C57/0.6)+1</f>
        <v>#VALUE!</v>
      </c>
      <c r="D60" s="85" t="s">
        <v>18</v>
      </c>
      <c r="E60" s="78" t="e">
        <f t="shared" si="4"/>
        <v>#VALUE!</v>
      </c>
      <c r="F60" s="117">
        <v>365000</v>
      </c>
      <c r="H60" s="81" t="s">
        <v>164</v>
      </c>
      <c r="I60" s="89" t="e">
        <f>(I57/0.6)+1</f>
        <v>#VALUE!</v>
      </c>
      <c r="J60" s="85" t="s">
        <v>18</v>
      </c>
      <c r="K60" s="78" t="e">
        <f t="shared" si="5"/>
        <v>#VALUE!</v>
      </c>
      <c r="L60" s="117">
        <v>365000</v>
      </c>
    </row>
    <row r="61" spans="2:12" x14ac:dyDescent="0.25">
      <c r="B61" s="81" t="s">
        <v>165</v>
      </c>
      <c r="C61" s="82" t="e">
        <f>('3'!$D$5+'3'!$E$5)*2</f>
        <v>#VALUE!</v>
      </c>
      <c r="D61" s="85" t="s">
        <v>18</v>
      </c>
      <c r="E61" s="78" t="e">
        <f t="shared" si="4"/>
        <v>#VALUE!</v>
      </c>
      <c r="F61" s="117">
        <v>385000</v>
      </c>
      <c r="H61" s="81" t="s">
        <v>165</v>
      </c>
      <c r="I61" s="82" t="e">
        <f>('3'!$D$5+'3'!$E$5)*2</f>
        <v>#VALUE!</v>
      </c>
      <c r="J61" s="85" t="s">
        <v>18</v>
      </c>
      <c r="K61" s="78" t="e">
        <f t="shared" si="5"/>
        <v>#VALUE!</v>
      </c>
      <c r="L61" s="117">
        <v>385000</v>
      </c>
    </row>
    <row r="62" spans="2:12" x14ac:dyDescent="0.25">
      <c r="B62" s="81" t="s">
        <v>41</v>
      </c>
      <c r="C62" s="90" t="e">
        <f>('3'!$E$5+'3'!$D$5)</f>
        <v>#VALUE!</v>
      </c>
      <c r="D62" s="85" t="s">
        <v>18</v>
      </c>
      <c r="E62" s="78" t="e">
        <f>F62*C62</f>
        <v>#VALUE!</v>
      </c>
      <c r="F62" s="117">
        <v>100000</v>
      </c>
      <c r="H62" s="81" t="s">
        <v>41</v>
      </c>
      <c r="I62" s="90" t="e">
        <f>('3'!$E$5+'3'!$D$5)</f>
        <v>#VALUE!</v>
      </c>
      <c r="J62" s="85" t="s">
        <v>18</v>
      </c>
      <c r="K62" s="78" t="e">
        <f>L62*I62</f>
        <v>#VALUE!</v>
      </c>
      <c r="L62" s="117">
        <v>100000</v>
      </c>
    </row>
    <row r="63" spans="2:12" x14ac:dyDescent="0.25">
      <c r="B63" s="81" t="s">
        <v>42</v>
      </c>
      <c r="C63" s="90" t="e">
        <f>('3'!$E$5+'3'!$D$5)</f>
        <v>#VALUE!</v>
      </c>
      <c r="D63" s="85" t="s">
        <v>18</v>
      </c>
      <c r="E63" s="78" t="e">
        <f>F63*C63</f>
        <v>#VALUE!</v>
      </c>
      <c r="F63" s="117">
        <v>30000</v>
      </c>
      <c r="H63" s="81" t="s">
        <v>42</v>
      </c>
      <c r="I63" s="90" t="e">
        <f>('3'!$E$5+'3'!$D$5)</f>
        <v>#VALUE!</v>
      </c>
      <c r="J63" s="85" t="s">
        <v>18</v>
      </c>
      <c r="K63" s="78" t="e">
        <f>L63*I63</f>
        <v>#VALUE!</v>
      </c>
      <c r="L63" s="117">
        <v>30000</v>
      </c>
    </row>
    <row r="64" spans="2:12" x14ac:dyDescent="0.25">
      <c r="B64" s="81" t="s">
        <v>44</v>
      </c>
      <c r="C64" s="82" t="e">
        <f>4*('3'!$E$5+'3'!$D$5)</f>
        <v>#VALUE!</v>
      </c>
      <c r="D64" s="85" t="s">
        <v>18</v>
      </c>
      <c r="E64" s="78" t="e">
        <f t="shared" si="4"/>
        <v>#VALUE!</v>
      </c>
      <c r="F64" s="117">
        <v>10000</v>
      </c>
      <c r="H64" s="81" t="s">
        <v>44</v>
      </c>
      <c r="I64" s="82" t="e">
        <f>4*('3'!$E$5+'3'!$D$5)</f>
        <v>#VALUE!</v>
      </c>
      <c r="J64" s="85" t="s">
        <v>18</v>
      </c>
      <c r="K64" s="78" t="e">
        <f t="shared" si="5"/>
        <v>#VALUE!</v>
      </c>
      <c r="L64" s="117">
        <v>10000</v>
      </c>
    </row>
    <row r="65" spans="2:12" ht="24" x14ac:dyDescent="0.25">
      <c r="B65" s="81" t="s">
        <v>45</v>
      </c>
      <c r="C65" s="82" t="e">
        <f>4*('3'!$E$5+'3'!$D$5)</f>
        <v>#VALUE!</v>
      </c>
      <c r="D65" s="85" t="s">
        <v>18</v>
      </c>
      <c r="E65" s="78" t="e">
        <f t="shared" si="4"/>
        <v>#VALUE!</v>
      </c>
      <c r="F65" s="117">
        <v>10000</v>
      </c>
      <c r="H65" s="81" t="s">
        <v>45</v>
      </c>
      <c r="I65" s="82" t="e">
        <f>4*('3'!$E$5+'3'!$D$5)</f>
        <v>#VALUE!</v>
      </c>
      <c r="J65" s="85" t="s">
        <v>18</v>
      </c>
      <c r="K65" s="78" t="e">
        <f t="shared" si="5"/>
        <v>#VALUE!</v>
      </c>
      <c r="L65" s="117">
        <v>10000</v>
      </c>
    </row>
    <row r="66" spans="2:12" x14ac:dyDescent="0.25">
      <c r="B66" s="81" t="s">
        <v>106</v>
      </c>
      <c r="C66" s="82" t="e">
        <f>C57*4.7</f>
        <v>#VALUE!</v>
      </c>
      <c r="D66" s="83" t="s">
        <v>107</v>
      </c>
      <c r="E66" s="78" t="e">
        <f t="shared" si="4"/>
        <v>#VALUE!</v>
      </c>
      <c r="F66" s="117">
        <f>'A3'!$T$2</f>
        <v>450000</v>
      </c>
      <c r="H66" s="81" t="s">
        <v>106</v>
      </c>
      <c r="I66" s="82" t="e">
        <f>I57*6.7</f>
        <v>#VALUE!</v>
      </c>
      <c r="J66" s="83" t="s">
        <v>107</v>
      </c>
      <c r="K66" s="78" t="e">
        <f t="shared" si="5"/>
        <v>#VALUE!</v>
      </c>
      <c r="L66" s="117">
        <f>'A3'!$T$2</f>
        <v>450000</v>
      </c>
    </row>
    <row r="67" spans="2:12" ht="21" x14ac:dyDescent="0.25">
      <c r="B67" s="120" t="e">
        <f>SUM(E60:E65)</f>
        <v>#VALUE!</v>
      </c>
      <c r="C67" s="591" t="e">
        <f>SUM(E57:E66)</f>
        <v>#VALUE!</v>
      </c>
      <c r="D67" s="592"/>
      <c r="E67" s="592"/>
      <c r="F67" s="130" t="e">
        <f>SUM(E66)</f>
        <v>#VALUE!</v>
      </c>
      <c r="H67" s="81"/>
      <c r="I67" s="591" t="e">
        <f>SUM(K57:K67)</f>
        <v>#VALUE!</v>
      </c>
      <c r="J67" s="592"/>
      <c r="K67" s="592"/>
      <c r="L67" s="78"/>
    </row>
    <row r="68" spans="2:12" x14ac:dyDescent="0.25">
      <c r="B68" s="74"/>
      <c r="C68" s="74"/>
      <c r="D68" s="74"/>
      <c r="E68" s="74"/>
      <c r="F68" s="74"/>
    </row>
    <row r="69" spans="2:12" ht="15.75" x14ac:dyDescent="0.25">
      <c r="B69" s="81"/>
      <c r="C69" s="590" t="s">
        <v>166</v>
      </c>
      <c r="D69" s="590"/>
      <c r="E69" s="590"/>
      <c r="F69" s="78"/>
    </row>
    <row r="70" spans="2:12" x14ac:dyDescent="0.25">
      <c r="B70" s="229" t="s">
        <v>122</v>
      </c>
      <c r="C70" s="79" t="s">
        <v>4</v>
      </c>
      <c r="D70" s="79" t="s">
        <v>15</v>
      </c>
      <c r="E70" s="80" t="s">
        <v>16</v>
      </c>
      <c r="F70" s="78"/>
    </row>
    <row r="71" spans="2:12" x14ac:dyDescent="0.25">
      <c r="B71" s="81" t="s">
        <v>123</v>
      </c>
      <c r="C71" s="89">
        <f>(IF(AND('3'!$D$9&lt;=4),('3'!$D$9),IF(AND('3'!$D$9&gt;4,'3'!$D$9&lt;=8),('3'!$D$9/2),IF(AND('3'!$D$9&gt;8,'3'!$D$9&lt;=12),('3'!$D$9/3),0))))</f>
        <v>0</v>
      </c>
      <c r="D71" s="85" t="s">
        <v>40</v>
      </c>
      <c r="E71" s="78">
        <f>F71*C71</f>
        <v>0</v>
      </c>
      <c r="F71" s="88">
        <f>'3'!E9*3</f>
        <v>6600000</v>
      </c>
    </row>
    <row r="72" spans="2:12" x14ac:dyDescent="0.25">
      <c r="B72" s="81" t="s">
        <v>52</v>
      </c>
      <c r="C72" s="82">
        <v>2</v>
      </c>
      <c r="D72" s="85" t="s">
        <v>18</v>
      </c>
      <c r="E72" s="78">
        <f t="shared" ref="E72:E78" si="6">F72*C72</f>
        <v>300000</v>
      </c>
      <c r="F72" s="117">
        <v>150000</v>
      </c>
    </row>
    <row r="73" spans="2:12" x14ac:dyDescent="0.25">
      <c r="B73" s="81" t="s">
        <v>53</v>
      </c>
      <c r="C73" s="82">
        <v>4</v>
      </c>
      <c r="D73" s="85" t="s">
        <v>18</v>
      </c>
      <c r="E73" s="78">
        <f t="shared" si="6"/>
        <v>400000</v>
      </c>
      <c r="F73" s="117">
        <v>100000</v>
      </c>
    </row>
    <row r="74" spans="2:12" x14ac:dyDescent="0.25">
      <c r="B74" s="81" t="s">
        <v>106</v>
      </c>
      <c r="C74" s="82">
        <f>C71*3</f>
        <v>0</v>
      </c>
      <c r="D74" s="83" t="s">
        <v>107</v>
      </c>
      <c r="E74" s="78">
        <f t="shared" si="6"/>
        <v>0</v>
      </c>
      <c r="F74" s="117">
        <f>'A3'!$T$2</f>
        <v>450000</v>
      </c>
    </row>
    <row r="75" spans="2:12" x14ac:dyDescent="0.25">
      <c r="B75" s="81" t="s">
        <v>54</v>
      </c>
      <c r="C75" s="82">
        <v>4</v>
      </c>
      <c r="D75" s="85" t="s">
        <v>18</v>
      </c>
      <c r="E75" s="78">
        <f t="shared" si="6"/>
        <v>60000</v>
      </c>
      <c r="F75" s="117">
        <v>15000</v>
      </c>
    </row>
    <row r="76" spans="2:12" x14ac:dyDescent="0.25">
      <c r="B76" s="81" t="s">
        <v>44</v>
      </c>
      <c r="C76" s="82">
        <v>4</v>
      </c>
      <c r="D76" s="85" t="s">
        <v>18</v>
      </c>
      <c r="E76" s="78">
        <f t="shared" si="6"/>
        <v>40000</v>
      </c>
      <c r="F76" s="117">
        <v>10000</v>
      </c>
    </row>
    <row r="77" spans="2:12" ht="24" x14ac:dyDescent="0.25">
      <c r="B77" s="81" t="s">
        <v>45</v>
      </c>
      <c r="C77" s="82">
        <v>4</v>
      </c>
      <c r="D77" s="85" t="s">
        <v>18</v>
      </c>
      <c r="E77" s="78">
        <f t="shared" si="6"/>
        <v>40000</v>
      </c>
      <c r="F77" s="117">
        <v>10000</v>
      </c>
    </row>
    <row r="78" spans="2:12" ht="24" x14ac:dyDescent="0.25">
      <c r="B78" s="81" t="s">
        <v>55</v>
      </c>
      <c r="C78" s="82">
        <v>4</v>
      </c>
      <c r="D78" s="85" t="s">
        <v>18</v>
      </c>
      <c r="E78" s="78">
        <f t="shared" si="6"/>
        <v>24000</v>
      </c>
      <c r="F78" s="117">
        <v>6000</v>
      </c>
    </row>
    <row r="79" spans="2:12" ht="21" x14ac:dyDescent="0.25">
      <c r="B79" s="120">
        <f>SUM(E72:E73,E75:E78)</f>
        <v>864000</v>
      </c>
      <c r="C79" s="591">
        <f>SUM(E71:E78)</f>
        <v>864000</v>
      </c>
      <c r="D79" s="592"/>
      <c r="E79" s="592"/>
      <c r="F79" s="130">
        <f>SUM(E74)</f>
        <v>0</v>
      </c>
    </row>
    <row r="80" spans="2:12" x14ac:dyDescent="0.25">
      <c r="B80" s="72"/>
      <c r="C80" s="72"/>
      <c r="D80" s="72"/>
      <c r="E80" s="72"/>
      <c r="F80" s="72"/>
    </row>
    <row r="81" spans="2:6" ht="15.75" x14ac:dyDescent="0.25">
      <c r="B81" s="81"/>
      <c r="C81" s="590" t="s">
        <v>167</v>
      </c>
      <c r="D81" s="590"/>
      <c r="E81" s="590"/>
      <c r="F81" s="78"/>
    </row>
    <row r="82" spans="2:6" ht="25.5" x14ac:dyDescent="0.25">
      <c r="B82" s="230" t="s">
        <v>49</v>
      </c>
      <c r="C82" s="79" t="s">
        <v>4</v>
      </c>
      <c r="D82" s="79" t="s">
        <v>15</v>
      </c>
      <c r="E82" s="80" t="s">
        <v>16</v>
      </c>
      <c r="F82" s="78"/>
    </row>
    <row r="83" spans="2:6" x14ac:dyDescent="0.25">
      <c r="B83" s="81" t="s">
        <v>50</v>
      </c>
      <c r="C83" s="82">
        <v>1</v>
      </c>
      <c r="D83" s="83" t="s">
        <v>18</v>
      </c>
      <c r="E83" s="78">
        <f>F83*C83</f>
        <v>750000</v>
      </c>
      <c r="F83" s="117">
        <v>750000</v>
      </c>
    </row>
    <row r="84" spans="2:6" x14ac:dyDescent="0.25">
      <c r="B84" s="81" t="s">
        <v>51</v>
      </c>
      <c r="C84" s="82">
        <v>2</v>
      </c>
      <c r="D84" s="83" t="s">
        <v>18</v>
      </c>
      <c r="E84" s="78">
        <f t="shared" ref="E84:E88" si="7">F84*C84</f>
        <v>850000</v>
      </c>
      <c r="F84" s="117">
        <v>425000</v>
      </c>
    </row>
    <row r="85" spans="2:6" x14ac:dyDescent="0.25">
      <c r="B85" s="81" t="s">
        <v>46</v>
      </c>
      <c r="C85" s="82">
        <v>2</v>
      </c>
      <c r="D85" s="83" t="s">
        <v>18</v>
      </c>
      <c r="E85" s="78">
        <f t="shared" si="7"/>
        <v>1500000</v>
      </c>
      <c r="F85" s="117">
        <v>750000</v>
      </c>
    </row>
    <row r="86" spans="2:6" x14ac:dyDescent="0.25">
      <c r="B86" s="81" t="s">
        <v>106</v>
      </c>
      <c r="C86" s="82">
        <v>3.5</v>
      </c>
      <c r="D86" s="83" t="s">
        <v>107</v>
      </c>
      <c r="E86" s="78">
        <f t="shared" si="7"/>
        <v>1575000</v>
      </c>
      <c r="F86" s="117">
        <f>'A3'!$T$2</f>
        <v>450000</v>
      </c>
    </row>
    <row r="87" spans="2:6" ht="24" x14ac:dyDescent="0.25">
      <c r="B87" s="81" t="s">
        <v>47</v>
      </c>
      <c r="C87" s="82">
        <v>12</v>
      </c>
      <c r="D87" s="83" t="s">
        <v>18</v>
      </c>
      <c r="E87" s="78">
        <f t="shared" si="7"/>
        <v>120000</v>
      </c>
      <c r="F87" s="117">
        <v>10000</v>
      </c>
    </row>
    <row r="88" spans="2:6" ht="24" x14ac:dyDescent="0.25">
      <c r="B88" s="81" t="s">
        <v>48</v>
      </c>
      <c r="C88" s="82">
        <v>12</v>
      </c>
      <c r="D88" s="83" t="s">
        <v>18</v>
      </c>
      <c r="E88" s="78">
        <f t="shared" si="7"/>
        <v>240000</v>
      </c>
      <c r="F88" s="117">
        <v>20000</v>
      </c>
    </row>
    <row r="89" spans="2:6" ht="21" x14ac:dyDescent="0.25">
      <c r="B89" s="120">
        <f>SUM(E83:E85,E87:E88)</f>
        <v>3460000</v>
      </c>
      <c r="C89" s="591">
        <f>SUM(E83:E88)</f>
        <v>5035000</v>
      </c>
      <c r="D89" s="591"/>
      <c r="E89" s="591"/>
      <c r="F89" s="130">
        <f>E86</f>
        <v>1575000</v>
      </c>
    </row>
    <row r="90" spans="2:6" x14ac:dyDescent="0.25">
      <c r="B90" s="74"/>
      <c r="C90" s="74"/>
      <c r="D90" s="74"/>
      <c r="E90" s="74"/>
      <c r="F90" s="74"/>
    </row>
    <row r="91" spans="2:6" x14ac:dyDescent="0.25">
      <c r="B91" s="229" t="s">
        <v>56</v>
      </c>
      <c r="C91" s="79" t="s">
        <v>4</v>
      </c>
      <c r="D91" s="79" t="s">
        <v>15</v>
      </c>
      <c r="E91" s="80" t="s">
        <v>16</v>
      </c>
      <c r="F91" s="78"/>
    </row>
    <row r="92" spans="2:6" x14ac:dyDescent="0.25">
      <c r="B92" s="81" t="s">
        <v>57</v>
      </c>
      <c r="C92" s="89">
        <f>C71</f>
        <v>0</v>
      </c>
      <c r="D92" s="85" t="s">
        <v>40</v>
      </c>
      <c r="E92" s="78">
        <f>F92*C92</f>
        <v>0</v>
      </c>
      <c r="F92" s="117">
        <v>870000</v>
      </c>
    </row>
    <row r="93" spans="2:6" ht="24" x14ac:dyDescent="0.25">
      <c r="B93" s="81" t="s">
        <v>191</v>
      </c>
      <c r="C93" s="82">
        <v>2</v>
      </c>
      <c r="D93" s="85" t="s">
        <v>18</v>
      </c>
      <c r="E93" s="78">
        <f t="shared" ref="E93:E96" si="8">F93*C93</f>
        <v>200000</v>
      </c>
      <c r="F93" s="117">
        <v>100000</v>
      </c>
    </row>
    <row r="94" spans="2:6" ht="24" x14ac:dyDescent="0.25">
      <c r="B94" s="81" t="s">
        <v>190</v>
      </c>
      <c r="C94" s="82">
        <v>2</v>
      </c>
      <c r="D94" s="85" t="s">
        <v>18</v>
      </c>
      <c r="E94" s="78">
        <f t="shared" si="8"/>
        <v>30000</v>
      </c>
      <c r="F94" s="117">
        <v>15000</v>
      </c>
    </row>
    <row r="95" spans="2:6" ht="24" x14ac:dyDescent="0.25">
      <c r="B95" s="81" t="s">
        <v>192</v>
      </c>
      <c r="C95" s="82">
        <v>4</v>
      </c>
      <c r="D95" s="85" t="s">
        <v>18</v>
      </c>
      <c r="E95" s="78">
        <f t="shared" si="8"/>
        <v>72000</v>
      </c>
      <c r="F95" s="117">
        <v>18000</v>
      </c>
    </row>
    <row r="96" spans="2:6" x14ac:dyDescent="0.25">
      <c r="B96" s="81" t="s">
        <v>109</v>
      </c>
      <c r="C96" s="82">
        <f>C92*2.82</f>
        <v>0</v>
      </c>
      <c r="D96" s="85" t="s">
        <v>107</v>
      </c>
      <c r="E96" s="78">
        <f t="shared" si="8"/>
        <v>0</v>
      </c>
      <c r="F96" s="117">
        <v>75000</v>
      </c>
    </row>
    <row r="97" spans="2:12" ht="21" x14ac:dyDescent="0.25">
      <c r="B97" s="81"/>
      <c r="C97" s="597">
        <f>SUM(E92:E96)</f>
        <v>302000</v>
      </c>
      <c r="D97" s="597"/>
      <c r="E97" s="597"/>
      <c r="F97" s="78"/>
    </row>
    <row r="98" spans="2:12" x14ac:dyDescent="0.25">
      <c r="B98" s="72"/>
      <c r="C98" s="72"/>
      <c r="D98" s="72"/>
      <c r="E98" s="72"/>
      <c r="F98" s="72"/>
      <c r="H98" s="74"/>
      <c r="I98" s="74"/>
      <c r="J98" s="74"/>
      <c r="K98" s="74"/>
      <c r="L98" s="74"/>
    </row>
    <row r="99" spans="2:12" ht="21" x14ac:dyDescent="0.25">
      <c r="B99" s="76" t="s">
        <v>137</v>
      </c>
      <c r="C99" s="590" t="s">
        <v>169</v>
      </c>
      <c r="D99" s="590"/>
      <c r="E99" s="590"/>
      <c r="F99" s="78"/>
      <c r="H99" s="76" t="s">
        <v>136</v>
      </c>
      <c r="I99" s="590" t="s">
        <v>168</v>
      </c>
      <c r="J99" s="590"/>
      <c r="K99" s="590"/>
      <c r="L99" s="78"/>
    </row>
    <row r="100" spans="2:12" x14ac:dyDescent="0.25">
      <c r="B100" s="81"/>
      <c r="C100" s="79" t="s">
        <v>4</v>
      </c>
      <c r="D100" s="79" t="s">
        <v>15</v>
      </c>
      <c r="E100" s="80" t="s">
        <v>16</v>
      </c>
      <c r="F100" s="78"/>
      <c r="H100" s="81"/>
      <c r="I100" s="79" t="s">
        <v>4</v>
      </c>
      <c r="J100" s="79" t="s">
        <v>15</v>
      </c>
      <c r="K100" s="80" t="s">
        <v>16</v>
      </c>
      <c r="L100" s="78"/>
    </row>
    <row r="101" spans="2:12" x14ac:dyDescent="0.25">
      <c r="B101" s="81" t="s">
        <v>170</v>
      </c>
      <c r="C101" s="82">
        <v>1</v>
      </c>
      <c r="D101" s="83" t="s">
        <v>18</v>
      </c>
      <c r="E101" s="78">
        <f>F101*C101</f>
        <v>0</v>
      </c>
      <c r="F101" s="117">
        <f>IF(AND('پیش فاکتور سقف متحرک'!G14="120Nm بکر آلمان "),(400*'پیش فاکتور سقف متحرک'!C25),IF(AND('پیش فاکتور سقف متحرک'!G14="120Nm  سامفی فرانسه "),(450*'پیش فاکتور سقف متحرک'!C25),IF(AND('پیش فاکتور سقف متحرک'!G14="اختصاصی سایه روشن 120Nm"),(150*'پیش فاکتور سقف متحرک'!C25),0)))</f>
        <v>0</v>
      </c>
      <c r="H101" s="81" t="s">
        <v>58</v>
      </c>
      <c r="I101" s="82">
        <v>1</v>
      </c>
      <c r="J101" s="83" t="s">
        <v>18</v>
      </c>
      <c r="K101" s="78">
        <f>L101*I101</f>
        <v>60000000</v>
      </c>
      <c r="L101" s="117">
        <v>60000000</v>
      </c>
    </row>
    <row r="102" spans="2:12" x14ac:dyDescent="0.25">
      <c r="B102" s="81" t="s">
        <v>59</v>
      </c>
      <c r="C102" s="82">
        <v>1</v>
      </c>
      <c r="D102" s="83" t="s">
        <v>18</v>
      </c>
      <c r="E102" s="78">
        <f t="shared" ref="E102:E117" si="9">F102*C102</f>
        <v>350000</v>
      </c>
      <c r="F102" s="117">
        <v>350000</v>
      </c>
      <c r="H102" s="81" t="s">
        <v>59</v>
      </c>
      <c r="I102" s="82">
        <v>1</v>
      </c>
      <c r="J102" s="83" t="s">
        <v>18</v>
      </c>
      <c r="K102" s="78">
        <f t="shared" ref="K102:K117" si="10">L102*I102</f>
        <v>350000</v>
      </c>
      <c r="L102" s="117">
        <v>350000</v>
      </c>
    </row>
    <row r="103" spans="2:12" x14ac:dyDescent="0.25">
      <c r="B103" s="81" t="s">
        <v>171</v>
      </c>
      <c r="C103" s="82">
        <v>1</v>
      </c>
      <c r="D103" s="83" t="s">
        <v>18</v>
      </c>
      <c r="E103" s="78">
        <f t="shared" si="9"/>
        <v>350000</v>
      </c>
      <c r="F103" s="117">
        <v>350000</v>
      </c>
      <c r="H103" s="81" t="s">
        <v>60</v>
      </c>
      <c r="I103" s="82">
        <v>1</v>
      </c>
      <c r="J103" s="83" t="s">
        <v>18</v>
      </c>
      <c r="K103" s="78">
        <f t="shared" si="10"/>
        <v>350000</v>
      </c>
      <c r="L103" s="117">
        <v>350000</v>
      </c>
    </row>
    <row r="104" spans="2:12" x14ac:dyDescent="0.25">
      <c r="B104" s="81" t="s">
        <v>172</v>
      </c>
      <c r="C104" s="82">
        <v>1</v>
      </c>
      <c r="D104" s="83" t="s">
        <v>18</v>
      </c>
      <c r="E104" s="78">
        <f>F104*C104</f>
        <v>80000</v>
      </c>
      <c r="F104" s="117">
        <v>80000</v>
      </c>
      <c r="H104" s="81" t="s">
        <v>172</v>
      </c>
      <c r="I104" s="82">
        <v>1</v>
      </c>
      <c r="J104" s="83" t="s">
        <v>18</v>
      </c>
      <c r="K104" s="78">
        <f>L104*I104</f>
        <v>80000</v>
      </c>
      <c r="L104" s="117">
        <v>80000</v>
      </c>
    </row>
    <row r="105" spans="2:12" x14ac:dyDescent="0.25">
      <c r="B105" s="81" t="s">
        <v>173</v>
      </c>
      <c r="C105" s="82">
        <v>2</v>
      </c>
      <c r="D105" s="83" t="s">
        <v>18</v>
      </c>
      <c r="E105" s="78">
        <f>F105*C105</f>
        <v>160000</v>
      </c>
      <c r="F105" s="117">
        <v>80000</v>
      </c>
      <c r="H105" s="81" t="s">
        <v>173</v>
      </c>
      <c r="I105" s="82">
        <v>2</v>
      </c>
      <c r="J105" s="83" t="s">
        <v>18</v>
      </c>
      <c r="K105" s="78">
        <f>L105*I105</f>
        <v>160000</v>
      </c>
      <c r="L105" s="117">
        <v>80000</v>
      </c>
    </row>
    <row r="106" spans="2:12" x14ac:dyDescent="0.25">
      <c r="B106" s="81" t="s">
        <v>63</v>
      </c>
      <c r="C106" s="82">
        <v>4</v>
      </c>
      <c r="D106" s="83" t="s">
        <v>40</v>
      </c>
      <c r="E106" s="78">
        <f>F106*C106</f>
        <v>720000</v>
      </c>
      <c r="F106" s="117">
        <v>180000</v>
      </c>
      <c r="H106" s="81" t="s">
        <v>63</v>
      </c>
      <c r="I106" s="82">
        <v>4</v>
      </c>
      <c r="J106" s="83" t="s">
        <v>40</v>
      </c>
      <c r="K106" s="78">
        <f>L106*I106</f>
        <v>720000</v>
      </c>
      <c r="L106" s="117">
        <v>180000</v>
      </c>
    </row>
    <row r="107" spans="2:12" x14ac:dyDescent="0.25">
      <c r="B107" s="81" t="s">
        <v>189</v>
      </c>
      <c r="C107" s="82">
        <v>1</v>
      </c>
      <c r="D107" s="83" t="s">
        <v>18</v>
      </c>
      <c r="E107" s="78">
        <f>F107*C107</f>
        <v>750000</v>
      </c>
      <c r="F107" s="117">
        <v>750000</v>
      </c>
      <c r="H107" s="81" t="s">
        <v>189</v>
      </c>
      <c r="I107" s="82">
        <v>1</v>
      </c>
      <c r="J107" s="83" t="s">
        <v>18</v>
      </c>
      <c r="K107" s="78">
        <f>L107*I107</f>
        <v>750000</v>
      </c>
      <c r="L107" s="117">
        <v>750000</v>
      </c>
    </row>
    <row r="108" spans="2:12" x14ac:dyDescent="0.25">
      <c r="B108" s="81" t="s">
        <v>26</v>
      </c>
      <c r="C108" s="82">
        <v>1</v>
      </c>
      <c r="D108" s="83" t="s">
        <v>18</v>
      </c>
      <c r="E108" s="78">
        <f t="shared" si="9"/>
        <v>350000</v>
      </c>
      <c r="F108" s="117">
        <v>350000</v>
      </c>
      <c r="H108" s="81" t="s">
        <v>26</v>
      </c>
      <c r="I108" s="82">
        <v>1</v>
      </c>
      <c r="J108" s="83" t="s">
        <v>18</v>
      </c>
      <c r="K108" s="78">
        <f t="shared" si="10"/>
        <v>350000</v>
      </c>
      <c r="L108" s="117">
        <v>350000</v>
      </c>
    </row>
    <row r="109" spans="2:12" x14ac:dyDescent="0.25">
      <c r="B109" s="81" t="s">
        <v>174</v>
      </c>
      <c r="C109" s="82">
        <v>2</v>
      </c>
      <c r="D109" s="83" t="s">
        <v>18</v>
      </c>
      <c r="E109" s="78">
        <f t="shared" si="9"/>
        <v>700000</v>
      </c>
      <c r="F109" s="117">
        <v>350000</v>
      </c>
      <c r="H109" s="81" t="s">
        <v>174</v>
      </c>
      <c r="I109" s="82">
        <v>2</v>
      </c>
      <c r="J109" s="83" t="s">
        <v>18</v>
      </c>
      <c r="K109" s="78">
        <f t="shared" si="10"/>
        <v>700000</v>
      </c>
      <c r="L109" s="117">
        <v>350000</v>
      </c>
    </row>
    <row r="110" spans="2:12" x14ac:dyDescent="0.25">
      <c r="B110" s="81" t="s">
        <v>64</v>
      </c>
      <c r="C110" s="82">
        <v>2</v>
      </c>
      <c r="D110" s="83" t="s">
        <v>18</v>
      </c>
      <c r="E110" s="78">
        <f t="shared" si="9"/>
        <v>800000</v>
      </c>
      <c r="F110" s="117">
        <v>400000</v>
      </c>
      <c r="H110" s="81" t="s">
        <v>64</v>
      </c>
      <c r="I110" s="82">
        <v>2</v>
      </c>
      <c r="J110" s="83" t="s">
        <v>18</v>
      </c>
      <c r="K110" s="78">
        <f t="shared" si="10"/>
        <v>800000</v>
      </c>
      <c r="L110" s="117">
        <v>400000</v>
      </c>
    </row>
    <row r="111" spans="2:12" x14ac:dyDescent="0.25">
      <c r="B111" s="81" t="s">
        <v>61</v>
      </c>
      <c r="C111" s="82">
        <v>1</v>
      </c>
      <c r="D111" s="83" t="s">
        <v>18</v>
      </c>
      <c r="E111" s="78">
        <f>F111*C111</f>
        <v>850000</v>
      </c>
      <c r="F111" s="117">
        <v>850000</v>
      </c>
      <c r="H111" s="81" t="s">
        <v>61</v>
      </c>
      <c r="I111" s="82">
        <v>1</v>
      </c>
      <c r="J111" s="83" t="s">
        <v>18</v>
      </c>
      <c r="K111" s="78">
        <f>L111*I111</f>
        <v>850000</v>
      </c>
      <c r="L111" s="117">
        <v>850000</v>
      </c>
    </row>
    <row r="112" spans="2:12" x14ac:dyDescent="0.25">
      <c r="B112" s="81" t="s">
        <v>62</v>
      </c>
      <c r="C112" s="82">
        <v>1</v>
      </c>
      <c r="D112" s="83" t="s">
        <v>18</v>
      </c>
      <c r="E112" s="78">
        <f>F112*C112</f>
        <v>400000</v>
      </c>
      <c r="F112" s="117">
        <v>400000</v>
      </c>
      <c r="H112" s="81" t="s">
        <v>62</v>
      </c>
      <c r="I112" s="82">
        <v>1</v>
      </c>
      <c r="J112" s="83" t="s">
        <v>18</v>
      </c>
      <c r="K112" s="78">
        <f>L112*I112</f>
        <v>400000</v>
      </c>
      <c r="L112" s="117">
        <v>400000</v>
      </c>
    </row>
    <row r="113" spans="2:12" x14ac:dyDescent="0.25">
      <c r="B113" s="81"/>
      <c r="C113" s="82"/>
      <c r="D113" s="83"/>
      <c r="E113" s="78">
        <f t="shared" si="9"/>
        <v>0</v>
      </c>
      <c r="F113" s="78"/>
      <c r="H113" s="81" t="s">
        <v>65</v>
      </c>
      <c r="I113" s="82">
        <v>1</v>
      </c>
      <c r="J113" s="83" t="s">
        <v>18</v>
      </c>
      <c r="K113" s="78">
        <f t="shared" si="10"/>
        <v>250000</v>
      </c>
      <c r="L113" s="117">
        <v>250000</v>
      </c>
    </row>
    <row r="114" spans="2:12" x14ac:dyDescent="0.25">
      <c r="B114" s="81"/>
      <c r="C114" s="82"/>
      <c r="D114" s="83"/>
      <c r="E114" s="78">
        <f t="shared" si="9"/>
        <v>0</v>
      </c>
      <c r="F114" s="78"/>
      <c r="H114" s="81" t="s">
        <v>66</v>
      </c>
      <c r="I114" s="82">
        <v>1</v>
      </c>
      <c r="J114" s="83" t="s">
        <v>18</v>
      </c>
      <c r="K114" s="78">
        <f t="shared" si="10"/>
        <v>350000</v>
      </c>
      <c r="L114" s="117">
        <v>350000</v>
      </c>
    </row>
    <row r="115" spans="2:12" x14ac:dyDescent="0.25">
      <c r="B115" s="81" t="s">
        <v>188</v>
      </c>
      <c r="C115" s="82">
        <v>6</v>
      </c>
      <c r="D115" s="83" t="s">
        <v>18</v>
      </c>
      <c r="E115" s="78">
        <f t="shared" si="9"/>
        <v>90000</v>
      </c>
      <c r="F115" s="117">
        <v>15000</v>
      </c>
      <c r="H115" s="81" t="s">
        <v>188</v>
      </c>
      <c r="I115" s="82">
        <v>6</v>
      </c>
      <c r="J115" s="83" t="s">
        <v>18</v>
      </c>
      <c r="K115" s="78">
        <f t="shared" si="10"/>
        <v>90000</v>
      </c>
      <c r="L115" s="117">
        <v>15000</v>
      </c>
    </row>
    <row r="116" spans="2:12" ht="24" x14ac:dyDescent="0.25">
      <c r="B116" s="81" t="s">
        <v>67</v>
      </c>
      <c r="C116" s="82">
        <v>1</v>
      </c>
      <c r="D116" s="83" t="s">
        <v>18</v>
      </c>
      <c r="E116" s="78">
        <f t="shared" si="9"/>
        <v>12000</v>
      </c>
      <c r="F116" s="117">
        <v>12000</v>
      </c>
      <c r="H116" s="81" t="s">
        <v>67</v>
      </c>
      <c r="I116" s="82">
        <v>1</v>
      </c>
      <c r="J116" s="83" t="s">
        <v>18</v>
      </c>
      <c r="K116" s="78">
        <f t="shared" si="10"/>
        <v>12000</v>
      </c>
      <c r="L116" s="117">
        <v>12000</v>
      </c>
    </row>
    <row r="117" spans="2:12" x14ac:dyDescent="0.25">
      <c r="B117" s="81" t="s">
        <v>109</v>
      </c>
      <c r="C117" s="82">
        <v>5</v>
      </c>
      <c r="D117" s="85" t="s">
        <v>107</v>
      </c>
      <c r="E117" s="78">
        <f t="shared" si="9"/>
        <v>375000</v>
      </c>
      <c r="F117" s="117">
        <v>75000</v>
      </c>
      <c r="H117" s="81" t="s">
        <v>109</v>
      </c>
      <c r="I117" s="82">
        <v>5</v>
      </c>
      <c r="J117" s="85" t="s">
        <v>107</v>
      </c>
      <c r="K117" s="78">
        <f t="shared" si="10"/>
        <v>375000</v>
      </c>
      <c r="L117" s="117">
        <v>75000</v>
      </c>
    </row>
    <row r="118" spans="2:12" ht="21" x14ac:dyDescent="0.25">
      <c r="B118" s="120">
        <f>SUM(E102:E117)</f>
        <v>5987000</v>
      </c>
      <c r="C118" s="591">
        <f>SUM(E101:E117)</f>
        <v>5987000</v>
      </c>
      <c r="D118" s="592"/>
      <c r="E118" s="592"/>
      <c r="F118" s="131">
        <f>E101</f>
        <v>0</v>
      </c>
      <c r="H118" s="81"/>
      <c r="I118" s="591">
        <f>SUM(K101:K117)</f>
        <v>66587000</v>
      </c>
      <c r="J118" s="592"/>
      <c r="K118" s="592"/>
      <c r="L118" s="78"/>
    </row>
    <row r="119" spans="2:12" x14ac:dyDescent="0.25">
      <c r="B119" s="74"/>
      <c r="C119" s="74"/>
      <c r="D119" s="74"/>
      <c r="E119" s="74"/>
      <c r="F119" s="74"/>
      <c r="H119" s="74"/>
      <c r="I119" s="74"/>
      <c r="J119" s="74"/>
      <c r="K119" s="74"/>
      <c r="L119" s="74"/>
    </row>
    <row r="120" spans="2:12" ht="21" x14ac:dyDescent="0.25">
      <c r="B120" s="92" t="s">
        <v>137</v>
      </c>
      <c r="C120" s="598" t="s">
        <v>116</v>
      </c>
      <c r="D120" s="598"/>
      <c r="E120" s="598"/>
      <c r="F120" s="82"/>
      <c r="H120" s="91" t="s">
        <v>136</v>
      </c>
      <c r="I120" s="598" t="s">
        <v>116</v>
      </c>
      <c r="J120" s="598"/>
      <c r="K120" s="598"/>
      <c r="L120" s="78"/>
    </row>
    <row r="121" spans="2:12" ht="15.75" x14ac:dyDescent="0.25">
      <c r="B121" s="94"/>
      <c r="C121" s="79" t="s">
        <v>4</v>
      </c>
      <c r="D121" s="79" t="s">
        <v>15</v>
      </c>
      <c r="E121" s="80" t="s">
        <v>16</v>
      </c>
      <c r="F121" s="93"/>
      <c r="H121" s="81"/>
      <c r="I121" s="79" t="s">
        <v>4</v>
      </c>
      <c r="J121" s="79" t="s">
        <v>15</v>
      </c>
      <c r="K121" s="80" t="s">
        <v>16</v>
      </c>
      <c r="L121" s="93"/>
    </row>
    <row r="122" spans="2:12" x14ac:dyDescent="0.25">
      <c r="B122" s="81" t="s">
        <v>97</v>
      </c>
      <c r="C122" s="82">
        <f>('3'!$D$8*'3'!$D$9)</f>
        <v>0</v>
      </c>
      <c r="D122" s="85" t="s">
        <v>96</v>
      </c>
      <c r="E122" s="78">
        <f>F122*C122</f>
        <v>0</v>
      </c>
      <c r="F122" s="88">
        <f>8*'3'!E15</f>
        <v>5600000</v>
      </c>
      <c r="H122" s="81" t="s">
        <v>97</v>
      </c>
      <c r="I122" s="82">
        <f>('3'!$D$8*'3'!$D$9)</f>
        <v>0</v>
      </c>
      <c r="J122" s="85" t="s">
        <v>96</v>
      </c>
      <c r="K122" s="78">
        <f>L122*I122</f>
        <v>0</v>
      </c>
      <c r="L122" s="88">
        <f>8*'3'!E15</f>
        <v>5600000</v>
      </c>
    </row>
    <row r="123" spans="2:12" x14ac:dyDescent="0.25">
      <c r="B123" s="81" t="s">
        <v>125</v>
      </c>
      <c r="C123" s="82">
        <f>((('3'!$D$8-0.25)/0.6)-1)*('3'!$D$9)</f>
        <v>0</v>
      </c>
      <c r="D123" s="85" t="s">
        <v>40</v>
      </c>
      <c r="E123" s="78">
        <f t="shared" ref="E123:E134" si="11">F123*C123</f>
        <v>0</v>
      </c>
      <c r="F123" s="88">
        <f>1*'3'!E9</f>
        <v>2200000</v>
      </c>
      <c r="H123" s="81" t="s">
        <v>125</v>
      </c>
      <c r="I123" s="82">
        <f>((('3'!$D$8-0.25)/0.6)-1)*('3'!$D$9)</f>
        <v>0</v>
      </c>
      <c r="J123" s="85" t="s">
        <v>40</v>
      </c>
      <c r="K123" s="78">
        <f t="shared" ref="K123:K134" si="12">L123*I123</f>
        <v>0</v>
      </c>
      <c r="L123" s="88">
        <f>1.5*'3'!E9</f>
        <v>3300000</v>
      </c>
    </row>
    <row r="124" spans="2:12" x14ac:dyDescent="0.25">
      <c r="B124" s="81" t="s">
        <v>124</v>
      </c>
      <c r="C124" s="89">
        <f>'3'!$D$9*2</f>
        <v>0</v>
      </c>
      <c r="D124" s="85" t="s">
        <v>40</v>
      </c>
      <c r="E124" s="78">
        <f t="shared" si="11"/>
        <v>0</v>
      </c>
      <c r="F124" s="88">
        <f>1.9*'3'!E9</f>
        <v>4180000</v>
      </c>
      <c r="H124" s="81" t="s">
        <v>124</v>
      </c>
      <c r="I124" s="89">
        <f>'3'!$D$9*2</f>
        <v>0</v>
      </c>
      <c r="J124" s="85" t="s">
        <v>40</v>
      </c>
      <c r="K124" s="78">
        <f t="shared" si="12"/>
        <v>0</v>
      </c>
      <c r="L124" s="88">
        <f>1.9*'3'!E9</f>
        <v>4180000</v>
      </c>
    </row>
    <row r="125" spans="2:12" x14ac:dyDescent="0.25">
      <c r="B125" s="81" t="s">
        <v>68</v>
      </c>
      <c r="C125" s="89">
        <f>C124+C123</f>
        <v>0</v>
      </c>
      <c r="D125" s="85" t="s">
        <v>40</v>
      </c>
      <c r="E125" s="78">
        <f t="shared" si="11"/>
        <v>0</v>
      </c>
      <c r="F125" s="117">
        <v>50000</v>
      </c>
      <c r="H125" s="81" t="s">
        <v>68</v>
      </c>
      <c r="I125" s="89">
        <f>I124+I123</f>
        <v>0</v>
      </c>
      <c r="J125" s="85" t="s">
        <v>40</v>
      </c>
      <c r="K125" s="78">
        <f t="shared" si="12"/>
        <v>0</v>
      </c>
      <c r="L125" s="117">
        <v>50000</v>
      </c>
    </row>
    <row r="126" spans="2:12" x14ac:dyDescent="0.25">
      <c r="B126" s="81" t="s">
        <v>69</v>
      </c>
      <c r="C126" s="89">
        <f>'3'!$D$9</f>
        <v>0</v>
      </c>
      <c r="D126" s="85" t="s">
        <v>40</v>
      </c>
      <c r="E126" s="78">
        <f t="shared" si="11"/>
        <v>0</v>
      </c>
      <c r="F126" s="117">
        <v>30000</v>
      </c>
      <c r="H126" s="81" t="s">
        <v>69</v>
      </c>
      <c r="I126" s="89">
        <f>'3'!$D$9</f>
        <v>0</v>
      </c>
      <c r="J126" s="85" t="s">
        <v>40</v>
      </c>
      <c r="K126" s="78">
        <f t="shared" si="12"/>
        <v>0</v>
      </c>
      <c r="L126" s="117">
        <v>30000</v>
      </c>
    </row>
    <row r="127" spans="2:12" x14ac:dyDescent="0.25">
      <c r="B127" s="81" t="s">
        <v>71</v>
      </c>
      <c r="C127" s="89">
        <f>'3'!$D$8</f>
        <v>0</v>
      </c>
      <c r="D127" s="85" t="s">
        <v>40</v>
      </c>
      <c r="E127" s="78">
        <f t="shared" si="11"/>
        <v>0</v>
      </c>
      <c r="F127" s="117">
        <v>30000</v>
      </c>
      <c r="H127" s="81" t="s">
        <v>71</v>
      </c>
      <c r="I127" s="89">
        <f>'3'!$D$8</f>
        <v>0</v>
      </c>
      <c r="J127" s="85" t="s">
        <v>40</v>
      </c>
      <c r="K127" s="78">
        <f t="shared" si="12"/>
        <v>0</v>
      </c>
      <c r="L127" s="117">
        <v>30000</v>
      </c>
    </row>
    <row r="128" spans="2:12" x14ac:dyDescent="0.25">
      <c r="B128" s="81" t="s">
        <v>70</v>
      </c>
      <c r="C128" s="82">
        <f>((INT((C123+C124)/10))+1)</f>
        <v>1</v>
      </c>
      <c r="D128" s="85" t="s">
        <v>18</v>
      </c>
      <c r="E128" s="78">
        <f t="shared" si="11"/>
        <v>500000</v>
      </c>
      <c r="F128" s="117">
        <v>500000</v>
      </c>
      <c r="H128" s="81" t="s">
        <v>70</v>
      </c>
      <c r="I128" s="82">
        <f>((INT((I123+I124)/10))+1)</f>
        <v>1</v>
      </c>
      <c r="J128" s="85" t="s">
        <v>18</v>
      </c>
      <c r="K128" s="78">
        <f t="shared" si="12"/>
        <v>500000</v>
      </c>
      <c r="L128" s="117">
        <v>500000</v>
      </c>
    </row>
    <row r="129" spans="2:12" x14ac:dyDescent="0.25">
      <c r="B129" s="81" t="s">
        <v>126</v>
      </c>
      <c r="C129" s="82">
        <f>((INT(('3'!$D$8-0.25)/0.6)))*2</f>
        <v>-2</v>
      </c>
      <c r="D129" s="85" t="s">
        <v>18</v>
      </c>
      <c r="E129" s="78">
        <f t="shared" si="11"/>
        <v>-138000</v>
      </c>
      <c r="F129" s="117">
        <v>69000</v>
      </c>
      <c r="H129" s="81" t="s">
        <v>126</v>
      </c>
      <c r="I129" s="82">
        <f>((INT(('3'!$D$8-0.25)/0.6)))*2</f>
        <v>-2</v>
      </c>
      <c r="J129" s="85" t="s">
        <v>18</v>
      </c>
      <c r="K129" s="78">
        <f t="shared" si="12"/>
        <v>-138000</v>
      </c>
      <c r="L129" s="117">
        <v>69000</v>
      </c>
    </row>
    <row r="130" spans="2:12" x14ac:dyDescent="0.25">
      <c r="B130" s="81" t="s">
        <v>73</v>
      </c>
      <c r="C130" s="82">
        <v>4</v>
      </c>
      <c r="D130" s="85" t="s">
        <v>18</v>
      </c>
      <c r="E130" s="78">
        <f t="shared" si="11"/>
        <v>330000</v>
      </c>
      <c r="F130" s="117">
        <v>82500</v>
      </c>
      <c r="H130" s="81" t="s">
        <v>73</v>
      </c>
      <c r="I130" s="82">
        <v>4</v>
      </c>
      <c r="J130" s="85" t="s">
        <v>18</v>
      </c>
      <c r="K130" s="78">
        <f t="shared" si="12"/>
        <v>330000</v>
      </c>
      <c r="L130" s="117">
        <v>82500</v>
      </c>
    </row>
    <row r="131" spans="2:12" x14ac:dyDescent="0.25">
      <c r="B131" s="81" t="s">
        <v>72</v>
      </c>
      <c r="C131" s="82">
        <f>C129+C130</f>
        <v>2</v>
      </c>
      <c r="D131" s="85" t="s">
        <v>18</v>
      </c>
      <c r="E131" s="78">
        <f t="shared" si="11"/>
        <v>3000</v>
      </c>
      <c r="F131" s="117">
        <v>1500</v>
      </c>
      <c r="H131" s="81" t="s">
        <v>72</v>
      </c>
      <c r="I131" s="82">
        <f>I129+I130</f>
        <v>2</v>
      </c>
      <c r="J131" s="85" t="s">
        <v>18</v>
      </c>
      <c r="K131" s="78">
        <f t="shared" si="12"/>
        <v>3000</v>
      </c>
      <c r="L131" s="117">
        <v>1500</v>
      </c>
    </row>
    <row r="132" spans="2:12" ht="24" x14ac:dyDescent="0.25">
      <c r="B132" s="81" t="s">
        <v>74</v>
      </c>
      <c r="C132" s="82">
        <f>C131</f>
        <v>2</v>
      </c>
      <c r="D132" s="85" t="s">
        <v>18</v>
      </c>
      <c r="E132" s="78">
        <f t="shared" si="11"/>
        <v>20000</v>
      </c>
      <c r="F132" s="117">
        <v>10000</v>
      </c>
      <c r="H132" s="81" t="s">
        <v>74</v>
      </c>
      <c r="I132" s="82">
        <f>I129+I130</f>
        <v>2</v>
      </c>
      <c r="J132" s="85" t="s">
        <v>18</v>
      </c>
      <c r="K132" s="78">
        <f t="shared" si="12"/>
        <v>20000</v>
      </c>
      <c r="L132" s="117">
        <v>10000</v>
      </c>
    </row>
    <row r="133" spans="2:12" x14ac:dyDescent="0.25">
      <c r="B133" s="81" t="s">
        <v>75</v>
      </c>
      <c r="C133" s="82">
        <f>C131</f>
        <v>2</v>
      </c>
      <c r="D133" s="85" t="s">
        <v>18</v>
      </c>
      <c r="E133" s="78">
        <f t="shared" si="11"/>
        <v>12000</v>
      </c>
      <c r="F133" s="117">
        <v>6000</v>
      </c>
      <c r="H133" s="81" t="s">
        <v>75</v>
      </c>
      <c r="I133" s="82">
        <f>I129+I130</f>
        <v>2</v>
      </c>
      <c r="J133" s="85" t="s">
        <v>18</v>
      </c>
      <c r="K133" s="78">
        <f t="shared" si="12"/>
        <v>12000</v>
      </c>
      <c r="L133" s="117">
        <v>6000</v>
      </c>
    </row>
    <row r="134" spans="2:12" x14ac:dyDescent="0.25">
      <c r="B134" s="81" t="s">
        <v>106</v>
      </c>
      <c r="C134" s="82">
        <f>(C123*1)+(C124*1.9)</f>
        <v>0</v>
      </c>
      <c r="D134" s="83" t="s">
        <v>107</v>
      </c>
      <c r="E134" s="78">
        <f t="shared" si="11"/>
        <v>0</v>
      </c>
      <c r="F134" s="117">
        <f>'A3'!$T$2</f>
        <v>450000</v>
      </c>
      <c r="H134" s="81" t="s">
        <v>106</v>
      </c>
      <c r="I134" s="82">
        <f>(I123*1.5)+(I124*1.9)</f>
        <v>0</v>
      </c>
      <c r="J134" s="83" t="s">
        <v>107</v>
      </c>
      <c r="K134" s="78">
        <f t="shared" si="12"/>
        <v>0</v>
      </c>
      <c r="L134" s="117">
        <f>'A3'!$T$2</f>
        <v>450000</v>
      </c>
    </row>
    <row r="135" spans="2:12" ht="21" x14ac:dyDescent="0.25">
      <c r="B135" s="120">
        <f>SUM(E125:E133)</f>
        <v>727000</v>
      </c>
      <c r="C135" s="591">
        <f>SUM(E122:E134)</f>
        <v>727000</v>
      </c>
      <c r="D135" s="592"/>
      <c r="E135" s="592"/>
      <c r="F135" s="130">
        <f>E134</f>
        <v>0</v>
      </c>
      <c r="H135" s="81"/>
      <c r="I135" s="591">
        <f>SUM(K122:K134)</f>
        <v>727000</v>
      </c>
      <c r="J135" s="592"/>
      <c r="K135" s="592"/>
      <c r="L135" s="78"/>
    </row>
    <row r="136" spans="2:12" x14ac:dyDescent="0.25">
      <c r="B136" s="74"/>
      <c r="C136" s="74"/>
      <c r="D136" s="74"/>
      <c r="E136" s="74"/>
      <c r="F136" s="74"/>
    </row>
    <row r="137" spans="2:12" x14ac:dyDescent="0.25">
      <c r="B137" s="81"/>
      <c r="C137" s="598" t="s">
        <v>76</v>
      </c>
      <c r="D137" s="598"/>
      <c r="E137" s="598"/>
      <c r="F137" s="78"/>
    </row>
    <row r="138" spans="2:12" x14ac:dyDescent="0.25">
      <c r="B138" s="81"/>
      <c r="C138" s="79" t="s">
        <v>4</v>
      </c>
      <c r="D138" s="79" t="s">
        <v>15</v>
      </c>
      <c r="E138" s="80" t="s">
        <v>16</v>
      </c>
      <c r="F138" s="78"/>
    </row>
    <row r="139" spans="2:12" x14ac:dyDescent="0.25">
      <c r="B139" s="81" t="s">
        <v>127</v>
      </c>
      <c r="C139" s="82">
        <f>('3'!$D$9*((((INT('3'!$D$8/0.6))+1)*0.07)+0.25))</f>
        <v>0</v>
      </c>
      <c r="D139" s="85" t="s">
        <v>96</v>
      </c>
      <c r="E139" s="78">
        <f>F139*C139</f>
        <v>0</v>
      </c>
      <c r="F139" s="78">
        <f>8*0.5*'3'!E15</f>
        <v>2800000</v>
      </c>
    </row>
    <row r="140" spans="2:12" x14ac:dyDescent="0.25">
      <c r="B140" s="81" t="s">
        <v>78</v>
      </c>
      <c r="C140" s="82" t="e">
        <f>('3'!$E$5+'3'!$D$5)*2</f>
        <v>#VALUE!</v>
      </c>
      <c r="D140" s="85" t="s">
        <v>18</v>
      </c>
      <c r="E140" s="78" t="e">
        <f>F140*C140</f>
        <v>#VALUE!</v>
      </c>
      <c r="F140" s="117">
        <v>150000</v>
      </c>
    </row>
    <row r="141" spans="2:12" x14ac:dyDescent="0.25">
      <c r="B141" s="81" t="s">
        <v>79</v>
      </c>
      <c r="C141" s="82">
        <v>2</v>
      </c>
      <c r="D141" s="85" t="s">
        <v>18</v>
      </c>
      <c r="E141" s="78">
        <f>F141*C141</f>
        <v>300000</v>
      </c>
      <c r="F141" s="117">
        <v>150000</v>
      </c>
    </row>
    <row r="142" spans="2:12" x14ac:dyDescent="0.25">
      <c r="B142" s="81" t="s">
        <v>80</v>
      </c>
      <c r="C142" s="89">
        <f>'3'!$D$9</f>
        <v>0</v>
      </c>
      <c r="D142" s="85" t="s">
        <v>40</v>
      </c>
      <c r="E142" s="78">
        <f>F142*C142</f>
        <v>0</v>
      </c>
      <c r="F142" s="117">
        <v>220000</v>
      </c>
    </row>
    <row r="143" spans="2:12" x14ac:dyDescent="0.25">
      <c r="B143" s="81" t="s">
        <v>82</v>
      </c>
      <c r="C143" s="82">
        <v>2</v>
      </c>
      <c r="D143" s="85" t="s">
        <v>18</v>
      </c>
      <c r="E143" s="78">
        <f>F143*C143</f>
        <v>3700000</v>
      </c>
      <c r="F143" s="117">
        <v>1850000</v>
      </c>
    </row>
    <row r="144" spans="2:12" x14ac:dyDescent="0.25">
      <c r="B144" s="81" t="s">
        <v>81</v>
      </c>
      <c r="C144" s="89">
        <f>'3'!$D$9</f>
        <v>0</v>
      </c>
      <c r="D144" s="85" t="s">
        <v>40</v>
      </c>
      <c r="E144" s="78">
        <f t="shared" ref="E144:E150" si="13">F144*C144</f>
        <v>0</v>
      </c>
      <c r="F144" s="117">
        <v>430000</v>
      </c>
    </row>
    <row r="145" spans="2:12" x14ac:dyDescent="0.25">
      <c r="B145" s="81" t="s">
        <v>77</v>
      </c>
      <c r="C145" s="82">
        <f>C139/1.5</f>
        <v>0</v>
      </c>
      <c r="D145" s="85" t="s">
        <v>18</v>
      </c>
      <c r="E145" s="78">
        <f>F145*C145</f>
        <v>0</v>
      </c>
      <c r="F145" s="88">
        <v>500000</v>
      </c>
    </row>
    <row r="146" spans="2:12" ht="24" x14ac:dyDescent="0.25">
      <c r="B146" s="81" t="s">
        <v>83</v>
      </c>
      <c r="C146" s="82">
        <v>2</v>
      </c>
      <c r="D146" s="85" t="s">
        <v>18</v>
      </c>
      <c r="E146" s="78">
        <f t="shared" si="13"/>
        <v>160000</v>
      </c>
      <c r="F146" s="117">
        <v>80000</v>
      </c>
    </row>
    <row r="147" spans="2:12" x14ac:dyDescent="0.25">
      <c r="B147" s="81" t="s">
        <v>84</v>
      </c>
      <c r="C147" s="82" t="e">
        <f>C140/2</f>
        <v>#VALUE!</v>
      </c>
      <c r="D147" s="85" t="s">
        <v>18</v>
      </c>
      <c r="E147" s="78" t="e">
        <f t="shared" si="13"/>
        <v>#VALUE!</v>
      </c>
      <c r="F147" s="117">
        <v>200000</v>
      </c>
    </row>
    <row r="148" spans="2:12" ht="24" x14ac:dyDescent="0.25">
      <c r="B148" s="81" t="s">
        <v>85</v>
      </c>
      <c r="C148" s="82">
        <v>2</v>
      </c>
      <c r="D148" s="85" t="s">
        <v>18</v>
      </c>
      <c r="E148" s="78">
        <f t="shared" si="13"/>
        <v>50000</v>
      </c>
      <c r="F148" s="117">
        <v>25000</v>
      </c>
    </row>
    <row r="149" spans="2:12" x14ac:dyDescent="0.25">
      <c r="B149" s="81" t="s">
        <v>86</v>
      </c>
      <c r="C149" s="82">
        <f>C139*5</f>
        <v>0</v>
      </c>
      <c r="D149" s="85" t="s">
        <v>18</v>
      </c>
      <c r="E149" s="78">
        <f t="shared" si="13"/>
        <v>0</v>
      </c>
      <c r="F149" s="117">
        <v>10000</v>
      </c>
    </row>
    <row r="150" spans="2:12" x14ac:dyDescent="0.25">
      <c r="B150" s="81" t="s">
        <v>106</v>
      </c>
      <c r="C150" s="82">
        <f>C139*3.2</f>
        <v>0</v>
      </c>
      <c r="D150" s="83" t="s">
        <v>107</v>
      </c>
      <c r="E150" s="78">
        <f t="shared" si="13"/>
        <v>0</v>
      </c>
      <c r="F150" s="117">
        <f>'A3'!$T$2</f>
        <v>450000</v>
      </c>
    </row>
    <row r="151" spans="2:12" ht="21" x14ac:dyDescent="0.25">
      <c r="B151" s="120" t="e">
        <f>SUM(E140:E149)</f>
        <v>#VALUE!</v>
      </c>
      <c r="C151" s="591" t="e">
        <f>SUM(E139:E150)</f>
        <v>#VALUE!</v>
      </c>
      <c r="D151" s="592"/>
      <c r="E151" s="592"/>
      <c r="F151" s="130">
        <f>SUM(E150)</f>
        <v>0</v>
      </c>
    </row>
    <row r="152" spans="2:12" x14ac:dyDescent="0.25">
      <c r="B152" s="74"/>
      <c r="C152" s="74"/>
      <c r="D152" s="74"/>
      <c r="E152" s="74"/>
      <c r="F152" s="74"/>
      <c r="H152" s="74"/>
      <c r="I152" s="74"/>
      <c r="J152" s="74"/>
      <c r="K152" s="74"/>
      <c r="L152" s="74"/>
    </row>
    <row r="153" spans="2:12" ht="21" x14ac:dyDescent="0.25">
      <c r="B153" s="92" t="s">
        <v>137</v>
      </c>
      <c r="C153" s="598" t="s">
        <v>87</v>
      </c>
      <c r="D153" s="598"/>
      <c r="E153" s="598"/>
      <c r="F153" s="78"/>
      <c r="H153" s="91" t="s">
        <v>136</v>
      </c>
      <c r="I153" s="598" t="s">
        <v>87</v>
      </c>
      <c r="J153" s="598"/>
      <c r="K153" s="598"/>
      <c r="L153" s="78"/>
    </row>
    <row r="154" spans="2:12" ht="15.75" x14ac:dyDescent="0.25">
      <c r="B154" s="229"/>
      <c r="C154" s="79" t="s">
        <v>4</v>
      </c>
      <c r="D154" s="79" t="s">
        <v>15</v>
      </c>
      <c r="E154" s="80" t="s">
        <v>16</v>
      </c>
      <c r="F154" s="93"/>
      <c r="H154" s="229"/>
      <c r="I154" s="79" t="s">
        <v>4</v>
      </c>
      <c r="J154" s="79" t="s">
        <v>15</v>
      </c>
      <c r="K154" s="80" t="s">
        <v>16</v>
      </c>
      <c r="L154" s="93"/>
    </row>
    <row r="155" spans="2:12" x14ac:dyDescent="0.25">
      <c r="B155" s="95" t="s">
        <v>110</v>
      </c>
      <c r="C155" s="89">
        <f>'3'!$D$9</f>
        <v>0</v>
      </c>
      <c r="D155" s="85" t="s">
        <v>40</v>
      </c>
      <c r="E155" s="78">
        <f>F155*C155</f>
        <v>0</v>
      </c>
      <c r="F155" s="78">
        <v>0</v>
      </c>
      <c r="H155" s="95" t="s">
        <v>110</v>
      </c>
      <c r="I155" s="89">
        <f>'3'!$D$9</f>
        <v>0</v>
      </c>
      <c r="J155" s="85" t="s">
        <v>40</v>
      </c>
      <c r="K155" s="78">
        <f>L155*I155</f>
        <v>0</v>
      </c>
      <c r="L155" s="88">
        <f>'3'!E9*2.9</f>
        <v>6380000</v>
      </c>
    </row>
    <row r="156" spans="2:12" x14ac:dyDescent="0.25">
      <c r="B156" s="95" t="s">
        <v>111</v>
      </c>
      <c r="C156" s="89">
        <f>'3'!$D$9</f>
        <v>0</v>
      </c>
      <c r="D156" s="85" t="s">
        <v>40</v>
      </c>
      <c r="E156" s="78">
        <f t="shared" ref="E156:E166" si="14">F156*C156</f>
        <v>0</v>
      </c>
      <c r="F156" s="78">
        <v>0</v>
      </c>
      <c r="H156" s="95" t="s">
        <v>111</v>
      </c>
      <c r="I156" s="89">
        <f>'3'!$D$9</f>
        <v>0</v>
      </c>
      <c r="J156" s="85" t="s">
        <v>40</v>
      </c>
      <c r="K156" s="78">
        <f t="shared" ref="K156:K166" si="15">L156*I156</f>
        <v>0</v>
      </c>
      <c r="L156" s="88">
        <f>'3'!E9*1.5</f>
        <v>3300000</v>
      </c>
    </row>
    <row r="157" spans="2:12" x14ac:dyDescent="0.25">
      <c r="B157" s="95" t="s">
        <v>154</v>
      </c>
      <c r="C157" s="89">
        <f>'3'!$D$9</f>
        <v>0</v>
      </c>
      <c r="D157" s="85" t="s">
        <v>40</v>
      </c>
      <c r="E157" s="78">
        <f t="shared" si="14"/>
        <v>0</v>
      </c>
      <c r="F157" s="88">
        <f>'3'!E9*3.7</f>
        <v>8140000</v>
      </c>
      <c r="H157" s="95" t="s">
        <v>154</v>
      </c>
      <c r="I157" s="89">
        <f>'3'!$D$9</f>
        <v>0</v>
      </c>
      <c r="J157" s="85" t="s">
        <v>40</v>
      </c>
      <c r="K157" s="78">
        <f t="shared" si="15"/>
        <v>0</v>
      </c>
      <c r="L157" s="88">
        <f>'3'!E9*3.7</f>
        <v>8140000</v>
      </c>
    </row>
    <row r="158" spans="2:12" x14ac:dyDescent="0.25">
      <c r="B158" s="95" t="s">
        <v>90</v>
      </c>
      <c r="C158" s="89">
        <f>'3'!$D$9</f>
        <v>0</v>
      </c>
      <c r="D158" s="85" t="s">
        <v>40</v>
      </c>
      <c r="E158" s="78">
        <f>F158*C158</f>
        <v>0</v>
      </c>
      <c r="F158" s="117">
        <v>120000</v>
      </c>
      <c r="H158" s="95" t="s">
        <v>90</v>
      </c>
      <c r="I158" s="89">
        <f>'3'!$D$9</f>
        <v>0</v>
      </c>
      <c r="J158" s="85" t="s">
        <v>40</v>
      </c>
      <c r="K158" s="78">
        <f>L158*I158</f>
        <v>0</v>
      </c>
      <c r="L158" s="84">
        <v>110000</v>
      </c>
    </row>
    <row r="159" spans="2:12" x14ac:dyDescent="0.25">
      <c r="B159" s="95" t="s">
        <v>88</v>
      </c>
      <c r="C159" s="82">
        <v>6</v>
      </c>
      <c r="D159" s="85" t="s">
        <v>18</v>
      </c>
      <c r="E159" s="78">
        <f t="shared" si="14"/>
        <v>7200000</v>
      </c>
      <c r="F159" s="117">
        <v>1200000</v>
      </c>
      <c r="H159" s="95" t="s">
        <v>88</v>
      </c>
      <c r="I159" s="82">
        <v>6</v>
      </c>
      <c r="J159" s="85" t="s">
        <v>18</v>
      </c>
      <c r="K159" s="78">
        <f t="shared" si="15"/>
        <v>0</v>
      </c>
      <c r="L159" s="78">
        <v>0</v>
      </c>
    </row>
    <row r="160" spans="2:12" x14ac:dyDescent="0.25">
      <c r="B160" s="95" t="s">
        <v>89</v>
      </c>
      <c r="C160" s="82">
        <v>2</v>
      </c>
      <c r="D160" s="85" t="s">
        <v>18</v>
      </c>
      <c r="E160" s="78">
        <f t="shared" si="14"/>
        <v>210000</v>
      </c>
      <c r="F160" s="117">
        <v>105000</v>
      </c>
      <c r="H160" s="95" t="s">
        <v>89</v>
      </c>
      <c r="I160" s="82">
        <v>2</v>
      </c>
      <c r="J160" s="85" t="s">
        <v>18</v>
      </c>
      <c r="K160" s="78">
        <f t="shared" si="15"/>
        <v>210000</v>
      </c>
      <c r="L160" s="84">
        <v>105000</v>
      </c>
    </row>
    <row r="161" spans="2:12" x14ac:dyDescent="0.25">
      <c r="B161" s="95" t="s">
        <v>91</v>
      </c>
      <c r="C161" s="82">
        <v>1</v>
      </c>
      <c r="D161" s="85" t="s">
        <v>18</v>
      </c>
      <c r="E161" s="78">
        <f t="shared" si="14"/>
        <v>160000</v>
      </c>
      <c r="F161" s="117">
        <v>160000</v>
      </c>
      <c r="H161" s="95" t="s">
        <v>91</v>
      </c>
      <c r="I161" s="82">
        <v>1</v>
      </c>
      <c r="J161" s="85" t="s">
        <v>18</v>
      </c>
      <c r="K161" s="78">
        <f t="shared" si="15"/>
        <v>121000</v>
      </c>
      <c r="L161" s="84">
        <v>121000</v>
      </c>
    </row>
    <row r="162" spans="2:12" ht="24" x14ac:dyDescent="0.25">
      <c r="B162" s="95" t="s">
        <v>92</v>
      </c>
      <c r="C162" s="90" t="e">
        <f>'3'!$E$5+'3'!$D$5</f>
        <v>#VALUE!</v>
      </c>
      <c r="D162" s="85" t="s">
        <v>18</v>
      </c>
      <c r="E162" s="78" t="e">
        <f t="shared" si="14"/>
        <v>#VALUE!</v>
      </c>
      <c r="F162" s="84">
        <v>0</v>
      </c>
      <c r="H162" s="95" t="s">
        <v>92</v>
      </c>
      <c r="I162" s="90" t="e">
        <f>'3'!$E$5+'3'!$D$5</f>
        <v>#VALUE!</v>
      </c>
      <c r="J162" s="85" t="s">
        <v>18</v>
      </c>
      <c r="K162" s="78" t="e">
        <f t="shared" si="15"/>
        <v>#VALUE!</v>
      </c>
      <c r="L162" s="84">
        <v>58000</v>
      </c>
    </row>
    <row r="163" spans="2:12" x14ac:dyDescent="0.25">
      <c r="B163" s="81" t="s">
        <v>95</v>
      </c>
      <c r="C163" s="82">
        <v>1</v>
      </c>
      <c r="D163" s="85" t="s">
        <v>40</v>
      </c>
      <c r="E163" s="78">
        <f t="shared" si="14"/>
        <v>500000</v>
      </c>
      <c r="F163" s="117">
        <v>500000</v>
      </c>
      <c r="H163" s="81" t="s">
        <v>95</v>
      </c>
      <c r="I163" s="82">
        <v>6</v>
      </c>
      <c r="J163" s="85" t="s">
        <v>40</v>
      </c>
      <c r="K163" s="78">
        <f t="shared" si="15"/>
        <v>1500000</v>
      </c>
      <c r="L163" s="84">
        <v>250000</v>
      </c>
    </row>
    <row r="164" spans="2:12" ht="24" x14ac:dyDescent="0.25">
      <c r="B164" s="95" t="s">
        <v>93</v>
      </c>
      <c r="C164" s="82">
        <v>20</v>
      </c>
      <c r="D164" s="85" t="s">
        <v>18</v>
      </c>
      <c r="E164" s="78">
        <f t="shared" si="14"/>
        <v>300000</v>
      </c>
      <c r="F164" s="117">
        <v>15000</v>
      </c>
      <c r="H164" s="95" t="s">
        <v>93</v>
      </c>
      <c r="I164" s="82">
        <v>20</v>
      </c>
      <c r="J164" s="85" t="s">
        <v>18</v>
      </c>
      <c r="K164" s="78">
        <f t="shared" si="15"/>
        <v>96000</v>
      </c>
      <c r="L164" s="84">
        <v>4800</v>
      </c>
    </row>
    <row r="165" spans="2:12" ht="24" x14ac:dyDescent="0.25">
      <c r="B165" s="95" t="s">
        <v>94</v>
      </c>
      <c r="C165" s="82" t="e">
        <f>C162*4</f>
        <v>#VALUE!</v>
      </c>
      <c r="D165" s="85" t="s">
        <v>18</v>
      </c>
      <c r="E165" s="78" t="e">
        <f t="shared" si="14"/>
        <v>#VALUE!</v>
      </c>
      <c r="F165" s="117">
        <v>15000</v>
      </c>
      <c r="H165" s="95" t="s">
        <v>94</v>
      </c>
      <c r="I165" s="82" t="e">
        <f>I162*4</f>
        <v>#VALUE!</v>
      </c>
      <c r="J165" s="85" t="s">
        <v>18</v>
      </c>
      <c r="K165" s="78" t="e">
        <f t="shared" si="15"/>
        <v>#VALUE!</v>
      </c>
      <c r="L165" s="84">
        <v>5500</v>
      </c>
    </row>
    <row r="166" spans="2:12" x14ac:dyDescent="0.25">
      <c r="B166" s="81" t="s">
        <v>106</v>
      </c>
      <c r="C166" s="82">
        <f>(C155*3.7)+(C159*2)</f>
        <v>12</v>
      </c>
      <c r="D166" s="85" t="s">
        <v>107</v>
      </c>
      <c r="E166" s="78">
        <f t="shared" si="14"/>
        <v>5400000</v>
      </c>
      <c r="F166" s="117">
        <f>'A3'!$T$2</f>
        <v>450000</v>
      </c>
      <c r="H166" s="81" t="s">
        <v>106</v>
      </c>
      <c r="I166" s="82">
        <f>(I155*8.2)+(I159*2)</f>
        <v>12</v>
      </c>
      <c r="J166" s="85" t="s">
        <v>107</v>
      </c>
      <c r="K166" s="78">
        <f t="shared" si="15"/>
        <v>5400000</v>
      </c>
      <c r="L166" s="117">
        <f>'A3'!$T$2</f>
        <v>450000</v>
      </c>
    </row>
    <row r="167" spans="2:12" ht="21" x14ac:dyDescent="0.25">
      <c r="B167" s="120" t="e">
        <f>SUM(E159:E165)</f>
        <v>#VALUE!</v>
      </c>
      <c r="C167" s="591" t="e">
        <f>SUM(E155:E166)</f>
        <v>#VALUE!</v>
      </c>
      <c r="D167" s="592"/>
      <c r="E167" s="592"/>
      <c r="F167" s="130">
        <f>E166</f>
        <v>5400000</v>
      </c>
      <c r="H167" s="81"/>
      <c r="I167" s="591" t="e">
        <f>SUM(K155:K166)</f>
        <v>#VALUE!</v>
      </c>
      <c r="J167" s="592"/>
      <c r="K167" s="592"/>
      <c r="L167" s="78"/>
    </row>
    <row r="168" spans="2:12" x14ac:dyDescent="0.25">
      <c r="B168" s="74"/>
      <c r="C168" s="74"/>
      <c r="D168" s="74"/>
      <c r="E168" s="74"/>
      <c r="F168" s="74"/>
    </row>
    <row r="169" spans="2:12" ht="21" x14ac:dyDescent="0.25">
      <c r="B169" s="92" t="s">
        <v>137</v>
      </c>
      <c r="C169" s="600" t="s">
        <v>175</v>
      </c>
      <c r="D169" s="600"/>
      <c r="E169" s="600"/>
      <c r="F169" s="96"/>
    </row>
    <row r="170" spans="2:12" x14ac:dyDescent="0.25">
      <c r="B170" s="230" t="s">
        <v>128</v>
      </c>
      <c r="C170" s="79" t="s">
        <v>4</v>
      </c>
      <c r="D170" s="79" t="s">
        <v>15</v>
      </c>
      <c r="E170" s="80" t="s">
        <v>16</v>
      </c>
      <c r="F170" s="78"/>
    </row>
    <row r="171" spans="2:12" x14ac:dyDescent="0.25">
      <c r="B171" s="81" t="s">
        <v>130</v>
      </c>
      <c r="C171" s="82" t="e">
        <f>3*('3'!$E$5+'3'!$D$5)</f>
        <v>#VALUE!</v>
      </c>
      <c r="D171" s="85" t="s">
        <v>40</v>
      </c>
      <c r="E171" s="78" t="e">
        <f>F171*C171</f>
        <v>#VALUE!</v>
      </c>
      <c r="F171" s="88">
        <f>'3'!E9*4.2</f>
        <v>9240000</v>
      </c>
    </row>
    <row r="172" spans="2:12" x14ac:dyDescent="0.25">
      <c r="B172" s="81" t="s">
        <v>131</v>
      </c>
      <c r="C172" s="89">
        <f>'3'!D9</f>
        <v>0</v>
      </c>
      <c r="D172" s="85" t="s">
        <v>40</v>
      </c>
      <c r="E172" s="78">
        <f>F172*C172</f>
        <v>0</v>
      </c>
      <c r="F172" s="88">
        <f>F171</f>
        <v>9240000</v>
      </c>
    </row>
    <row r="173" spans="2:12" x14ac:dyDescent="0.25">
      <c r="B173" s="81" t="s">
        <v>106</v>
      </c>
      <c r="C173" s="82" t="e">
        <f>(C171*4.2)+(C172*4.2)</f>
        <v>#VALUE!</v>
      </c>
      <c r="D173" s="85" t="s">
        <v>107</v>
      </c>
      <c r="E173" s="78" t="e">
        <f>F173*C173</f>
        <v>#VALUE!</v>
      </c>
      <c r="F173" s="117">
        <f>'A3'!$T$2</f>
        <v>450000</v>
      </c>
    </row>
    <row r="174" spans="2:12" x14ac:dyDescent="0.25">
      <c r="B174" s="81" t="s">
        <v>129</v>
      </c>
      <c r="C174" s="90" t="e">
        <f>('3'!$E$5+'3'!$D$5)*1</f>
        <v>#VALUE!</v>
      </c>
      <c r="D174" s="85" t="s">
        <v>40</v>
      </c>
      <c r="E174" s="78" t="e">
        <f>F174*C174</f>
        <v>#VALUE!</v>
      </c>
      <c r="F174" s="117">
        <v>1600000</v>
      </c>
    </row>
    <row r="175" spans="2:12" x14ac:dyDescent="0.25">
      <c r="B175" s="81" t="s">
        <v>112</v>
      </c>
      <c r="C175" s="82" t="e">
        <f>C174*6.2</f>
        <v>#VALUE!</v>
      </c>
      <c r="D175" s="85" t="s">
        <v>107</v>
      </c>
      <c r="E175" s="78" t="e">
        <f t="shared" ref="E175:E177" si="16">F175*C175</f>
        <v>#VALUE!</v>
      </c>
      <c r="F175" s="117">
        <v>75000</v>
      </c>
    </row>
    <row r="176" spans="2:12" x14ac:dyDescent="0.25">
      <c r="B176" s="81" t="s">
        <v>132</v>
      </c>
      <c r="C176" s="82" t="e">
        <f>('3'!$E$5+'3'!$D$5)*2</f>
        <v>#VALUE!</v>
      </c>
      <c r="D176" s="85" t="s">
        <v>18</v>
      </c>
      <c r="E176" s="78" t="e">
        <f t="shared" si="16"/>
        <v>#VALUE!</v>
      </c>
      <c r="F176" s="117">
        <v>1600000</v>
      </c>
    </row>
    <row r="177" spans="2:6" x14ac:dyDescent="0.25">
      <c r="B177" s="81" t="s">
        <v>133</v>
      </c>
      <c r="C177" s="82" t="e">
        <f>C176*8</f>
        <v>#VALUE!</v>
      </c>
      <c r="D177" s="85" t="s">
        <v>18</v>
      </c>
      <c r="E177" s="78" t="e">
        <f t="shared" si="16"/>
        <v>#VALUE!</v>
      </c>
      <c r="F177" s="117">
        <v>25000</v>
      </c>
    </row>
    <row r="178" spans="2:6" ht="21" x14ac:dyDescent="0.25">
      <c r="B178" s="120" t="e">
        <f>SUM(E174,E175:E177)</f>
        <v>#VALUE!</v>
      </c>
      <c r="C178" s="591" t="e">
        <f>SUM(E171:E177)</f>
        <v>#VALUE!</v>
      </c>
      <c r="D178" s="592"/>
      <c r="E178" s="592"/>
      <c r="F178" s="130" t="e">
        <f>SUM(E173)</f>
        <v>#VALUE!</v>
      </c>
    </row>
    <row r="179" spans="2:6" x14ac:dyDescent="0.25">
      <c r="B179" s="74"/>
      <c r="C179" s="74"/>
      <c r="D179" s="74"/>
      <c r="E179" s="74"/>
      <c r="F179" s="74"/>
    </row>
    <row r="180" spans="2:6" ht="21" x14ac:dyDescent="0.25">
      <c r="B180" s="92" t="s">
        <v>137</v>
      </c>
      <c r="C180" s="600" t="s">
        <v>176</v>
      </c>
      <c r="D180" s="600"/>
      <c r="E180" s="600"/>
      <c r="F180" s="97"/>
    </row>
    <row r="181" spans="2:6" x14ac:dyDescent="0.25">
      <c r="B181" s="230" t="s">
        <v>128</v>
      </c>
      <c r="C181" s="79" t="s">
        <v>4</v>
      </c>
      <c r="D181" s="79" t="s">
        <v>15</v>
      </c>
      <c r="E181" s="80" t="s">
        <v>16</v>
      </c>
      <c r="F181" s="78"/>
    </row>
    <row r="182" spans="2:6" x14ac:dyDescent="0.25">
      <c r="B182" s="81" t="s">
        <v>130</v>
      </c>
      <c r="C182" s="82" t="e">
        <f>(2.5*('3'!$E$5+'3'!$D$5))+(3.5*('3'!$E$5+'3'!$D$5))+(IF(AND('3'!$D$9&gt;4,'3'!$D$9&lt;=8),1,IF(AND('3'!$D$9&gt;8,'3'!$D$9&lt;=10),2,0)))*2*2.5</f>
        <v>#VALUE!</v>
      </c>
      <c r="D182" s="85" t="s">
        <v>40</v>
      </c>
      <c r="E182" s="78" t="e">
        <f>F182*C182</f>
        <v>#VALUE!</v>
      </c>
      <c r="F182" s="88">
        <f>F171</f>
        <v>9240000</v>
      </c>
    </row>
    <row r="183" spans="2:6" x14ac:dyDescent="0.25">
      <c r="B183" s="81" t="s">
        <v>131</v>
      </c>
      <c r="C183" s="82">
        <f>('3'!$D$8*2)+('3'!$D$9)</f>
        <v>0</v>
      </c>
      <c r="D183" s="85" t="s">
        <v>40</v>
      </c>
      <c r="E183" s="78">
        <f>F183*C183</f>
        <v>0</v>
      </c>
      <c r="F183" s="88">
        <f>F171</f>
        <v>9240000</v>
      </c>
    </row>
    <row r="184" spans="2:6" x14ac:dyDescent="0.25">
      <c r="B184" s="81" t="s">
        <v>106</v>
      </c>
      <c r="C184" s="82" t="e">
        <f>(C182*4.1)+(C183*4.1)</f>
        <v>#VALUE!</v>
      </c>
      <c r="D184" s="85" t="s">
        <v>107</v>
      </c>
      <c r="E184" s="78" t="e">
        <f>F184*C184</f>
        <v>#VALUE!</v>
      </c>
      <c r="F184" s="117">
        <f>'A3'!$T$2</f>
        <v>450000</v>
      </c>
    </row>
    <row r="185" spans="2:6" x14ac:dyDescent="0.25">
      <c r="B185" s="81" t="s">
        <v>129</v>
      </c>
      <c r="C185" s="82" t="e">
        <f>(0.5*('3'!$E$5+'3'!$D$5))+(0.5*('3'!$E$5+'3'!$D$5))+(IF(AND('3'!$D$9&gt;4,'3'!$D$9&lt;=8),1,IF(AND('3'!$D$9&gt;8,'3'!$D$9&lt;=10),2,0)))*2*0.5</f>
        <v>#VALUE!</v>
      </c>
      <c r="D185" s="85" t="s">
        <v>40</v>
      </c>
      <c r="E185" s="78" t="e">
        <f>F185*C185</f>
        <v>#VALUE!</v>
      </c>
      <c r="F185" s="117">
        <v>1600000</v>
      </c>
    </row>
    <row r="186" spans="2:6" x14ac:dyDescent="0.25">
      <c r="B186" s="81" t="s">
        <v>112</v>
      </c>
      <c r="C186" s="82" t="e">
        <f>C185*6.2</f>
        <v>#VALUE!</v>
      </c>
      <c r="D186" s="85" t="s">
        <v>107</v>
      </c>
      <c r="E186" s="78" t="e">
        <f t="shared" ref="E186:E188" si="17">F186*C186</f>
        <v>#VALUE!</v>
      </c>
      <c r="F186" s="117">
        <v>60000</v>
      </c>
    </row>
    <row r="187" spans="2:6" x14ac:dyDescent="0.25">
      <c r="B187" s="81" t="s">
        <v>132</v>
      </c>
      <c r="C187" s="82" t="e">
        <f>('3'!$E$5+'3'!$D$5)*3</f>
        <v>#VALUE!</v>
      </c>
      <c r="D187" s="85" t="s">
        <v>18</v>
      </c>
      <c r="E187" s="78" t="e">
        <f t="shared" si="17"/>
        <v>#VALUE!</v>
      </c>
      <c r="F187" s="117">
        <v>1600000</v>
      </c>
    </row>
    <row r="188" spans="2:6" x14ac:dyDescent="0.25">
      <c r="B188" s="81" t="s">
        <v>133</v>
      </c>
      <c r="C188" s="82" t="e">
        <f>C187*8</f>
        <v>#VALUE!</v>
      </c>
      <c r="D188" s="85" t="s">
        <v>18</v>
      </c>
      <c r="E188" s="78" t="e">
        <f t="shared" si="17"/>
        <v>#VALUE!</v>
      </c>
      <c r="F188" s="117">
        <v>25000</v>
      </c>
    </row>
    <row r="189" spans="2:6" ht="21" x14ac:dyDescent="0.25">
      <c r="B189" s="120" t="e">
        <f>SUM(E185,E186:E188)</f>
        <v>#VALUE!</v>
      </c>
      <c r="C189" s="591" t="e">
        <f>SUM(E182:E188)</f>
        <v>#VALUE!</v>
      </c>
      <c r="D189" s="592"/>
      <c r="E189" s="592"/>
      <c r="F189" s="130" t="e">
        <f>SUM(E184)</f>
        <v>#VALUE!</v>
      </c>
    </row>
    <row r="190" spans="2:6" x14ac:dyDescent="0.25">
      <c r="B190" s="74"/>
      <c r="C190" s="74"/>
      <c r="D190" s="74"/>
      <c r="E190" s="74"/>
      <c r="F190" s="74"/>
    </row>
    <row r="191" spans="2:6" x14ac:dyDescent="0.25">
      <c r="B191" s="81"/>
      <c r="C191" s="599" t="s">
        <v>113</v>
      </c>
      <c r="D191" s="599"/>
      <c r="E191" s="599"/>
      <c r="F191" s="82"/>
    </row>
    <row r="192" spans="2:6" x14ac:dyDescent="0.25">
      <c r="B192" s="229" t="s">
        <v>178</v>
      </c>
      <c r="C192" s="79" t="s">
        <v>4</v>
      </c>
      <c r="D192" s="79" t="s">
        <v>15</v>
      </c>
      <c r="E192" s="80" t="s">
        <v>16</v>
      </c>
      <c r="F192" s="78"/>
    </row>
    <row r="193" spans="2:6" x14ac:dyDescent="0.25">
      <c r="B193" s="81" t="s">
        <v>177</v>
      </c>
      <c r="C193" s="82">
        <v>2.5</v>
      </c>
      <c r="D193" s="85" t="s">
        <v>40</v>
      </c>
      <c r="E193" s="78">
        <f>F193*C193</f>
        <v>3750000</v>
      </c>
      <c r="F193" s="117">
        <v>1500000</v>
      </c>
    </row>
    <row r="194" spans="2:6" x14ac:dyDescent="0.25">
      <c r="B194" s="81" t="s">
        <v>115</v>
      </c>
      <c r="C194" s="82">
        <v>2.5</v>
      </c>
      <c r="D194" s="85" t="s">
        <v>40</v>
      </c>
      <c r="E194" s="78">
        <f t="shared" ref="E194:E195" si="18">F194*C194</f>
        <v>7500000</v>
      </c>
      <c r="F194" s="117">
        <v>3000000</v>
      </c>
    </row>
    <row r="195" spans="2:6" x14ac:dyDescent="0.25">
      <c r="B195" s="81" t="s">
        <v>106</v>
      </c>
      <c r="C195" s="82">
        <v>20</v>
      </c>
      <c r="D195" s="85" t="s">
        <v>107</v>
      </c>
      <c r="E195" s="78">
        <f t="shared" si="18"/>
        <v>9000000</v>
      </c>
      <c r="F195" s="117">
        <f>'A3'!$T$2</f>
        <v>450000</v>
      </c>
    </row>
    <row r="196" spans="2:6" ht="21" x14ac:dyDescent="0.25">
      <c r="B196" s="120">
        <f>SUM(E193:E194)</f>
        <v>11250000</v>
      </c>
      <c r="C196" s="591">
        <f>SUM(E193:E195)</f>
        <v>20250000</v>
      </c>
      <c r="D196" s="592"/>
      <c r="E196" s="592"/>
      <c r="F196" s="130">
        <f>SUM(E195)</f>
        <v>9000000</v>
      </c>
    </row>
    <row r="197" spans="2:6" x14ac:dyDescent="0.25">
      <c r="B197" s="74"/>
      <c r="C197" s="74"/>
      <c r="D197" s="74"/>
      <c r="E197" s="74"/>
      <c r="F197" s="74"/>
    </row>
  </sheetData>
  <sheetProtection formatCells="0" formatColumns="0" formatRows="0" insertColumns="0" insertRows="0" insertHyperlinks="0" deleteColumns="0" deleteRows="0" sort="0" autoFilter="0" pivotTables="0"/>
  <mergeCells count="37">
    <mergeCell ref="C196:E196"/>
    <mergeCell ref="C137:E137"/>
    <mergeCell ref="C151:E151"/>
    <mergeCell ref="C153:E153"/>
    <mergeCell ref="I153:K153"/>
    <mergeCell ref="C167:E167"/>
    <mergeCell ref="I167:K167"/>
    <mergeCell ref="C169:E169"/>
    <mergeCell ref="C178:E178"/>
    <mergeCell ref="C180:E180"/>
    <mergeCell ref="C189:E189"/>
    <mergeCell ref="C191:E191"/>
    <mergeCell ref="C135:E135"/>
    <mergeCell ref="I135:K135"/>
    <mergeCell ref="C69:E69"/>
    <mergeCell ref="C79:E79"/>
    <mergeCell ref="C81:E81"/>
    <mergeCell ref="C89:E89"/>
    <mergeCell ref="C97:E97"/>
    <mergeCell ref="C99:E99"/>
    <mergeCell ref="I99:K99"/>
    <mergeCell ref="C118:E118"/>
    <mergeCell ref="I118:K118"/>
    <mergeCell ref="C120:E120"/>
    <mergeCell ref="I120:K120"/>
    <mergeCell ref="C35:E35"/>
    <mergeCell ref="C53:E53"/>
    <mergeCell ref="C55:E55"/>
    <mergeCell ref="I55:K55"/>
    <mergeCell ref="C67:E67"/>
    <mergeCell ref="I67:K67"/>
    <mergeCell ref="C33:E33"/>
    <mergeCell ref="C3:E3"/>
    <mergeCell ref="I3:K3"/>
    <mergeCell ref="C13:E13"/>
    <mergeCell ref="I13:K13"/>
    <mergeCell ref="C15:E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115"/>
  <sheetViews>
    <sheetView rightToLeft="1" topLeftCell="F13" workbookViewId="0">
      <selection activeCell="S22" sqref="S22:T22"/>
    </sheetView>
  </sheetViews>
  <sheetFormatPr defaultRowHeight="15" x14ac:dyDescent="0.25"/>
  <cols>
    <col min="1" max="1" width="4.7109375" style="33" customWidth="1"/>
    <col min="2" max="2" width="25.7109375" style="34" customWidth="1"/>
    <col min="3" max="16" width="10.5703125" style="34" customWidth="1"/>
    <col min="17" max="17" width="13.7109375" style="35" customWidth="1"/>
    <col min="18" max="18" width="5.7109375" style="35" customWidth="1"/>
    <col min="19" max="19" width="13.7109375" style="36" customWidth="1"/>
    <col min="20" max="20" width="13.7109375" style="40" customWidth="1"/>
    <col min="21" max="21" width="2.7109375" style="38" customWidth="1"/>
    <col min="22" max="22" width="25.7109375" style="39" customWidth="1"/>
    <col min="23" max="23" width="13.7109375" style="33" customWidth="1"/>
    <col min="24" max="24" width="5.7109375" style="33" customWidth="1"/>
    <col min="25" max="25" width="13.7109375" style="40" customWidth="1"/>
    <col min="26" max="26" width="13.7109375" style="33" customWidth="1"/>
    <col min="27" max="27" width="10.85546875" style="41" bestFit="1" customWidth="1"/>
  </cols>
  <sheetData>
    <row r="1" spans="1:23" x14ac:dyDescent="0.25">
      <c r="T1" s="37" t="s">
        <v>14</v>
      </c>
    </row>
    <row r="2" spans="1:23" ht="29.45" customHeight="1" x14ac:dyDescent="0.25">
      <c r="A2" s="42"/>
      <c r="B2" s="43" t="s">
        <v>2</v>
      </c>
      <c r="C2" s="72" t="s">
        <v>193</v>
      </c>
      <c r="D2" s="72" t="s">
        <v>194</v>
      </c>
      <c r="E2" s="72" t="s">
        <v>195</v>
      </c>
      <c r="F2" s="72" t="s">
        <v>197</v>
      </c>
      <c r="G2" s="72" t="s">
        <v>199</v>
      </c>
      <c r="H2" s="72" t="s">
        <v>196</v>
      </c>
      <c r="I2" s="137" t="s">
        <v>200</v>
      </c>
      <c r="J2" s="137" t="s">
        <v>217</v>
      </c>
      <c r="K2" s="137" t="s">
        <v>218</v>
      </c>
      <c r="L2" s="137" t="s">
        <v>219</v>
      </c>
      <c r="M2" s="137" t="s">
        <v>220</v>
      </c>
      <c r="N2" s="137" t="s">
        <v>221</v>
      </c>
      <c r="O2" s="137" t="s">
        <v>222</v>
      </c>
      <c r="P2" s="137"/>
      <c r="Q2" s="44">
        <f>'4'!D8*'4'!D9*'4'!D10</f>
        <v>0</v>
      </c>
      <c r="R2" s="44"/>
      <c r="S2" s="227" t="s">
        <v>198</v>
      </c>
      <c r="T2" s="164">
        <f>'4'!E17</f>
        <v>450000</v>
      </c>
      <c r="V2" s="113" t="e">
        <f>W2/Q2</f>
        <v>#DIV/0!</v>
      </c>
      <c r="W2" s="112">
        <f>SUM(W3:W24)</f>
        <v>0</v>
      </c>
    </row>
    <row r="3" spans="1:23" x14ac:dyDescent="0.25">
      <c r="A3" s="46">
        <v>1</v>
      </c>
      <c r="B3" s="47" t="s">
        <v>156</v>
      </c>
      <c r="C3" s="138"/>
      <c r="D3" s="47"/>
      <c r="E3" s="138"/>
      <c r="F3" s="138">
        <f>SUM('D4'!K5:K11)</f>
        <v>2642000</v>
      </c>
      <c r="G3" s="47"/>
      <c r="H3" s="47"/>
      <c r="I3" s="138">
        <f>SUM('D4'!K12)</f>
        <v>1125000</v>
      </c>
      <c r="J3" s="138"/>
      <c r="K3" s="138"/>
      <c r="L3" s="138"/>
      <c r="M3" s="138"/>
      <c r="N3" s="138"/>
      <c r="O3" s="138"/>
      <c r="P3" s="140">
        <f>SUM(C3:O3)</f>
        <v>3767000</v>
      </c>
      <c r="Q3" s="225">
        <f>'D4'!I13</f>
        <v>3767000</v>
      </c>
      <c r="R3" s="49">
        <f>(IF('4'!D13="VIP",('4'!D5+'4'!E5),0))*'4'!D10</f>
        <v>0</v>
      </c>
      <c r="S3" s="225">
        <f>R3*Q3</f>
        <v>0</v>
      </c>
      <c r="T3" s="584" t="s">
        <v>151</v>
      </c>
    </row>
    <row r="4" spans="1:23" x14ac:dyDescent="0.25">
      <c r="A4" s="46">
        <f t="shared" ref="A4:A21" si="0">A3+1</f>
        <v>2</v>
      </c>
      <c r="B4" s="47" t="s">
        <v>205</v>
      </c>
      <c r="C4" s="138"/>
      <c r="D4" s="47"/>
      <c r="E4" s="138"/>
      <c r="F4" s="138">
        <f>SUM('D4'!E5:E11)</f>
        <v>2192000</v>
      </c>
      <c r="G4" s="47"/>
      <c r="H4" s="47"/>
      <c r="I4" s="138">
        <f>SUM('D4'!E12)</f>
        <v>810000</v>
      </c>
      <c r="J4" s="138"/>
      <c r="K4" s="138"/>
      <c r="L4" s="138"/>
      <c r="M4" s="138"/>
      <c r="N4" s="138"/>
      <c r="O4" s="138"/>
      <c r="P4" s="140">
        <f t="shared" ref="P4:P6" si="1">SUM(C4:O4)</f>
        <v>3002000</v>
      </c>
      <c r="Q4" s="225">
        <f>'D4'!C13</f>
        <v>3002000</v>
      </c>
      <c r="R4" s="49" t="e">
        <f>(IF('4'!D13="REGULAR",('4'!D5+'4'!E5),0))*'4'!D10</f>
        <v>#VALUE!</v>
      </c>
      <c r="S4" s="225" t="e">
        <f>R4*Q4</f>
        <v>#VALUE!</v>
      </c>
      <c r="T4" s="585"/>
    </row>
    <row r="5" spans="1:23" x14ac:dyDescent="0.25">
      <c r="A5" s="46">
        <f t="shared" si="0"/>
        <v>3</v>
      </c>
      <c r="B5" s="47" t="s">
        <v>5</v>
      </c>
      <c r="C5" s="47"/>
      <c r="D5" s="47"/>
      <c r="E5" s="47"/>
      <c r="F5" s="138">
        <f>SUM('D4'!C33)</f>
        <v>2405000</v>
      </c>
      <c r="G5" s="47"/>
      <c r="H5" s="47"/>
      <c r="I5" s="47"/>
      <c r="J5" s="47"/>
      <c r="K5" s="47"/>
      <c r="L5" s="47"/>
      <c r="M5" s="47"/>
      <c r="N5" s="47"/>
      <c r="O5" s="47"/>
      <c r="P5" s="140">
        <f t="shared" si="1"/>
        <v>2405000</v>
      </c>
      <c r="Q5" s="225">
        <f>'D4'!C33</f>
        <v>2405000</v>
      </c>
      <c r="R5" s="50">
        <f>('4'!D5*'4'!D10)</f>
        <v>0</v>
      </c>
      <c r="S5" s="225">
        <f>R5*Q5</f>
        <v>0</v>
      </c>
      <c r="T5" s="585"/>
    </row>
    <row r="6" spans="1:23" x14ac:dyDescent="0.25">
      <c r="A6" s="51">
        <f t="shared" si="0"/>
        <v>4</v>
      </c>
      <c r="B6" s="52" t="s">
        <v>6</v>
      </c>
      <c r="C6" s="52"/>
      <c r="D6" s="52"/>
      <c r="E6" s="52"/>
      <c r="F6" s="139">
        <f>SUM('D4'!C53)</f>
        <v>2845000</v>
      </c>
      <c r="G6" s="52"/>
      <c r="H6" s="52"/>
      <c r="I6" s="52"/>
      <c r="J6" s="52"/>
      <c r="K6" s="52"/>
      <c r="L6" s="52"/>
      <c r="M6" s="52"/>
      <c r="N6" s="52"/>
      <c r="O6" s="52"/>
      <c r="P6" s="140">
        <f t="shared" si="1"/>
        <v>2845000</v>
      </c>
      <c r="Q6" s="226">
        <f>'D4'!C53</f>
        <v>2845000</v>
      </c>
      <c r="R6" s="54" t="e">
        <f>'4'!E5*'4'!D10</f>
        <v>#VALUE!</v>
      </c>
      <c r="S6" s="226" t="e">
        <f>R6*Q6</f>
        <v>#VALUE!</v>
      </c>
      <c r="T6" s="586"/>
    </row>
    <row r="7" spans="1:23" x14ac:dyDescent="0.25">
      <c r="A7" s="55">
        <f t="shared" si="0"/>
        <v>5</v>
      </c>
      <c r="B7" s="56" t="s">
        <v>134</v>
      </c>
      <c r="C7" s="141" t="e">
        <f>'D4'!K57</f>
        <v>#VALUE!</v>
      </c>
      <c r="D7" s="56"/>
      <c r="E7" s="141" t="e">
        <f>SUM('D4'!K60:K65)</f>
        <v>#VALUE!</v>
      </c>
      <c r="F7" s="56"/>
      <c r="G7" s="56"/>
      <c r="H7" s="141" t="e">
        <f>'D4'!K58</f>
        <v>#VALUE!</v>
      </c>
      <c r="I7" s="141" t="e">
        <f>SUM('D4'!K66)</f>
        <v>#VALUE!</v>
      </c>
      <c r="J7" s="141"/>
      <c r="K7" s="141"/>
      <c r="L7" s="141"/>
      <c r="M7" s="141"/>
      <c r="N7" s="141">
        <f>'D4'!K59</f>
        <v>-135000</v>
      </c>
      <c r="O7" s="141"/>
      <c r="P7" s="143" t="e">
        <f>SUM(C7:O7)</f>
        <v>#VALUE!</v>
      </c>
      <c r="Q7" s="228" t="e">
        <f>'D4'!I67</f>
        <v>#VALUE!</v>
      </c>
      <c r="R7" s="58">
        <f>(IF('4'!$D$17="VIP",('4'!$D$10),0))</f>
        <v>0</v>
      </c>
      <c r="S7" s="228" t="e">
        <f>Q7*R7</f>
        <v>#VALUE!</v>
      </c>
      <c r="T7" s="587" t="s">
        <v>148</v>
      </c>
    </row>
    <row r="8" spans="1:23" x14ac:dyDescent="0.25">
      <c r="A8" s="59">
        <f t="shared" si="0"/>
        <v>6</v>
      </c>
      <c r="B8" s="60" t="s">
        <v>135</v>
      </c>
      <c r="C8" s="142" t="e">
        <f>'D4'!E57</f>
        <v>#VALUE!</v>
      </c>
      <c r="D8" s="60"/>
      <c r="E8" s="142" t="e">
        <f>SUM('D4'!E60:E65)</f>
        <v>#VALUE!</v>
      </c>
      <c r="F8" s="60"/>
      <c r="G8" s="60"/>
      <c r="H8" s="142" t="e">
        <f>'D4'!E58</f>
        <v>#VALUE!</v>
      </c>
      <c r="I8" s="142" t="e">
        <f>SUM('D4'!E66)</f>
        <v>#VALUE!</v>
      </c>
      <c r="J8" s="141"/>
      <c r="K8" s="141"/>
      <c r="L8" s="141"/>
      <c r="M8" s="141"/>
      <c r="N8" s="141">
        <f>'D4'!E59</f>
        <v>-135000</v>
      </c>
      <c r="O8" s="141"/>
      <c r="P8" s="143" t="e">
        <f>SUM(C8:O8)</f>
        <v>#VALUE!</v>
      </c>
      <c r="Q8" s="227" t="e">
        <f>'D4'!C67</f>
        <v>#VALUE!</v>
      </c>
      <c r="R8" s="44">
        <f>(IF('4'!$D$13="REGULAR",('4'!$D$10),0))</f>
        <v>0</v>
      </c>
      <c r="S8" s="227" t="e">
        <f>Q8*R8</f>
        <v>#VALUE!</v>
      </c>
      <c r="T8" s="582"/>
    </row>
    <row r="9" spans="1:23" x14ac:dyDescent="0.25">
      <c r="A9" s="46">
        <f t="shared" si="0"/>
        <v>7</v>
      </c>
      <c r="B9" s="47" t="s">
        <v>49</v>
      </c>
      <c r="C9" s="47"/>
      <c r="D9" s="47"/>
      <c r="E9" s="138"/>
      <c r="F9" s="47"/>
      <c r="G9" s="47"/>
      <c r="H9" s="47"/>
      <c r="I9" s="138">
        <f>SUM('D4'!E86)</f>
        <v>1575000</v>
      </c>
      <c r="J9" s="47"/>
      <c r="K9" s="138">
        <f>SUM('D4'!E83:E85,'D4'!E87:E88)</f>
        <v>3460000</v>
      </c>
      <c r="L9" s="47"/>
      <c r="M9" s="47"/>
      <c r="N9" s="47"/>
      <c r="O9" s="47"/>
      <c r="P9" s="140">
        <f t="shared" ref="P9:P11" si="2">SUM(C9:O9)</f>
        <v>5035000</v>
      </c>
      <c r="Q9" s="225">
        <f>'D4'!C89</f>
        <v>5035000</v>
      </c>
      <c r="R9" s="49" t="e">
        <f>(IF(AND('4'!D8&gt;6,'4'!D8&lt;=8),1,IF(AND('4'!D8&gt;8,'4'!D8&lt;=10),2,0)))*('4'!D5+'4'!E5)*'4'!D10</f>
        <v>#VALUE!</v>
      </c>
      <c r="S9" s="225" t="e">
        <f>R9*Q9</f>
        <v>#VALUE!</v>
      </c>
      <c r="T9" s="584" t="s">
        <v>184</v>
      </c>
    </row>
    <row r="10" spans="1:23" x14ac:dyDescent="0.25">
      <c r="A10" s="46">
        <f t="shared" si="0"/>
        <v>8</v>
      </c>
      <c r="B10" s="47" t="s">
        <v>122</v>
      </c>
      <c r="C10" s="138">
        <f>SUM('D4'!E71)</f>
        <v>0</v>
      </c>
      <c r="D10" s="47"/>
      <c r="E10" s="138">
        <f>SUM('D4'!E75:E78)</f>
        <v>164000</v>
      </c>
      <c r="F10" s="47"/>
      <c r="G10" s="47"/>
      <c r="H10" s="47"/>
      <c r="I10" s="138">
        <f>SUM('D4'!E74)</f>
        <v>0</v>
      </c>
      <c r="J10" s="138"/>
      <c r="K10" s="138">
        <f>SUM('D4'!E72:E73)</f>
        <v>700000</v>
      </c>
      <c r="L10" s="138"/>
      <c r="M10" s="138"/>
      <c r="N10" s="138"/>
      <c r="O10" s="138"/>
      <c r="P10" s="140">
        <f t="shared" si="2"/>
        <v>864000</v>
      </c>
      <c r="Q10" s="225">
        <f>'D4'!C79</f>
        <v>864000</v>
      </c>
      <c r="R10" s="49" t="e">
        <f>(IF(AND('4'!D8&lt;=6),1,IF(AND('4'!D8&gt;6,'4'!D8&lt;=8),2,IF(AND('4'!D8&gt;8,'4'!D8&lt;=10),3,0))))*('4'!D5+'4'!E5-1)*'4'!D10</f>
        <v>#VALUE!</v>
      </c>
      <c r="S10" s="225" t="e">
        <f>R10*Q10</f>
        <v>#VALUE!</v>
      </c>
      <c r="T10" s="585"/>
      <c r="W10" s="39"/>
    </row>
    <row r="11" spans="1:23" x14ac:dyDescent="0.25">
      <c r="A11" s="51">
        <f t="shared" si="0"/>
        <v>9</v>
      </c>
      <c r="B11" s="52" t="s">
        <v>56</v>
      </c>
      <c r="C11" s="52"/>
      <c r="D11" s="52"/>
      <c r="E11" s="139"/>
      <c r="F11" s="52"/>
      <c r="G11" s="52"/>
      <c r="H11" s="52"/>
      <c r="I11" s="52"/>
      <c r="J11" s="138">
        <f>SUM('D4'!C97)</f>
        <v>302000</v>
      </c>
      <c r="K11" s="47"/>
      <c r="L11" s="47"/>
      <c r="M11" s="47"/>
      <c r="N11" s="47"/>
      <c r="O11" s="47"/>
      <c r="P11" s="140">
        <f t="shared" si="2"/>
        <v>302000</v>
      </c>
      <c r="Q11" s="226">
        <f>'D4'!C97</f>
        <v>302000</v>
      </c>
      <c r="R11" s="54">
        <f>('4'!D10)</f>
        <v>0</v>
      </c>
      <c r="S11" s="226">
        <f>R11*Q11</f>
        <v>0</v>
      </c>
      <c r="T11" s="586"/>
      <c r="V11" s="33"/>
    </row>
    <row r="12" spans="1:23" x14ac:dyDescent="0.25">
      <c r="A12" s="55">
        <f t="shared" si="0"/>
        <v>10</v>
      </c>
      <c r="B12" s="56" t="s">
        <v>140</v>
      </c>
      <c r="C12" s="56"/>
      <c r="D12" s="56"/>
      <c r="E12" s="141">
        <f>SUM('D4'!K107:K117)</f>
        <v>4927000</v>
      </c>
      <c r="F12" s="56"/>
      <c r="G12" s="141">
        <f>SUM('D4'!K101)</f>
        <v>60000000</v>
      </c>
      <c r="H12" s="56"/>
      <c r="I12" s="56"/>
      <c r="J12" s="141">
        <f>SUM('D4'!K102:K106)</f>
        <v>1660000</v>
      </c>
      <c r="K12" s="56"/>
      <c r="L12" s="56"/>
      <c r="M12" s="56"/>
      <c r="N12" s="56"/>
      <c r="O12" s="56"/>
      <c r="P12" s="143">
        <f>SUM(C12:O12)</f>
        <v>66587000</v>
      </c>
      <c r="Q12" s="228">
        <f>'D4'!I118</f>
        <v>66587000</v>
      </c>
      <c r="R12" s="58">
        <f>(IF('4'!$D$17="VIP",('4'!$D$10),0))</f>
        <v>0</v>
      </c>
      <c r="S12" s="228">
        <f>Q12*R12</f>
        <v>0</v>
      </c>
      <c r="T12" s="587" t="s">
        <v>149</v>
      </c>
      <c r="V12" s="33"/>
    </row>
    <row r="13" spans="1:23" ht="24" x14ac:dyDescent="0.25">
      <c r="A13" s="59">
        <f t="shared" si="0"/>
        <v>11</v>
      </c>
      <c r="B13" s="60" t="s">
        <v>141</v>
      </c>
      <c r="C13" s="60"/>
      <c r="D13" s="60"/>
      <c r="E13" s="142">
        <f>SUM('D4'!E107:E117)</f>
        <v>4327000</v>
      </c>
      <c r="F13" s="60"/>
      <c r="G13" s="142">
        <f>SUM('D4'!E101)</f>
        <v>0</v>
      </c>
      <c r="H13" s="60"/>
      <c r="I13" s="60"/>
      <c r="J13" s="141">
        <f>SUM('D4'!E102:E106)</f>
        <v>1660000</v>
      </c>
      <c r="K13" s="56"/>
      <c r="L13" s="56"/>
      <c r="M13" s="56"/>
      <c r="N13" s="56"/>
      <c r="O13" s="56"/>
      <c r="P13" s="143">
        <f>SUM(C13:O13)</f>
        <v>5987000</v>
      </c>
      <c r="Q13" s="227">
        <f>'D4'!C118</f>
        <v>5987000</v>
      </c>
      <c r="R13" s="44">
        <f>(IF('4'!$D$13="REGULAR",('4'!$D$10),0))</f>
        <v>0</v>
      </c>
      <c r="S13" s="227">
        <f>Q13*R13</f>
        <v>0</v>
      </c>
      <c r="T13" s="582"/>
      <c r="V13" s="33"/>
    </row>
    <row r="14" spans="1:23" ht="24" x14ac:dyDescent="0.25">
      <c r="A14" s="46">
        <f t="shared" si="0"/>
        <v>12</v>
      </c>
      <c r="B14" s="47" t="s">
        <v>143</v>
      </c>
      <c r="C14" s="138">
        <f>SUM('D4'!K123:K124)</f>
        <v>0</v>
      </c>
      <c r="D14" s="138">
        <f>SUM('D4'!K122)</f>
        <v>0</v>
      </c>
      <c r="E14" s="138">
        <f>SUM('D4'!K126:K133)</f>
        <v>727000</v>
      </c>
      <c r="F14" s="47"/>
      <c r="G14" s="47"/>
      <c r="H14" s="47"/>
      <c r="I14" s="138">
        <f>SUM('D4'!K134)</f>
        <v>0</v>
      </c>
      <c r="J14" s="138"/>
      <c r="K14" s="138"/>
      <c r="L14" s="138">
        <f>'D4'!K125</f>
        <v>0</v>
      </c>
      <c r="M14" s="138"/>
      <c r="N14" s="138"/>
      <c r="O14" s="138"/>
      <c r="P14" s="140">
        <f t="shared" ref="P14:P18" si="3">SUM(C14:O14)</f>
        <v>727000</v>
      </c>
      <c r="Q14" s="225">
        <f>'D4'!I135</f>
        <v>727000</v>
      </c>
      <c r="R14" s="49">
        <f>(IF('4'!$D$17="VIP",('4'!$D$10),0))</f>
        <v>0</v>
      </c>
      <c r="S14" s="225">
        <f>Q14*R14</f>
        <v>0</v>
      </c>
      <c r="T14" s="588" t="s">
        <v>185</v>
      </c>
      <c r="V14" s="33"/>
    </row>
    <row r="15" spans="1:23" ht="24" x14ac:dyDescent="0.25">
      <c r="A15" s="51">
        <f t="shared" si="0"/>
        <v>13</v>
      </c>
      <c r="B15" s="52" t="s">
        <v>142</v>
      </c>
      <c r="C15" s="139">
        <f>SUM('D4'!E123:E124)</f>
        <v>0</v>
      </c>
      <c r="D15" s="139">
        <f>SUM('D4'!E122)</f>
        <v>0</v>
      </c>
      <c r="E15" s="139">
        <f>SUM('D4'!E126:E133)</f>
        <v>727000</v>
      </c>
      <c r="F15" s="52"/>
      <c r="G15" s="52"/>
      <c r="H15" s="52"/>
      <c r="I15" s="139">
        <f>SUM('D4'!E134)</f>
        <v>0</v>
      </c>
      <c r="J15" s="138"/>
      <c r="K15" s="138"/>
      <c r="L15" s="138">
        <f>'D4'!E125</f>
        <v>0</v>
      </c>
      <c r="M15" s="138"/>
      <c r="N15" s="138"/>
      <c r="O15" s="138"/>
      <c r="P15" s="140">
        <f t="shared" si="3"/>
        <v>727000</v>
      </c>
      <c r="Q15" s="226">
        <f>'D4'!C135</f>
        <v>727000</v>
      </c>
      <c r="R15" s="61">
        <f>(IF('4'!$D$13="REGULAR",('4'!$D$10),0))</f>
        <v>0</v>
      </c>
      <c r="S15" s="226">
        <f>Q15*R15</f>
        <v>0</v>
      </c>
      <c r="T15" s="589"/>
      <c r="V15" s="33"/>
    </row>
    <row r="16" spans="1:23" ht="18.75" customHeight="1" x14ac:dyDescent="0.25">
      <c r="A16" s="62">
        <f t="shared" si="0"/>
        <v>14</v>
      </c>
      <c r="B16" s="63" t="s">
        <v>76</v>
      </c>
      <c r="C16" s="63"/>
      <c r="D16" s="144">
        <f>'D4'!E139</f>
        <v>0</v>
      </c>
      <c r="E16" s="144" t="e">
        <f>SUM('D4'!E144:E149)</f>
        <v>#VALUE!</v>
      </c>
      <c r="F16" s="63"/>
      <c r="G16" s="63"/>
      <c r="H16" s="63"/>
      <c r="I16" s="144">
        <f>SUM('D4'!E150)</f>
        <v>0</v>
      </c>
      <c r="J16" s="141" t="e">
        <f>SUM('D4'!E140:E142)</f>
        <v>#VALUE!</v>
      </c>
      <c r="K16" s="141">
        <f>'D4'!E143</f>
        <v>3700000</v>
      </c>
      <c r="L16" s="141"/>
      <c r="M16" s="141"/>
      <c r="N16" s="141"/>
      <c r="O16" s="141"/>
      <c r="P16" s="143" t="e">
        <f>SUM(C16:O16)</f>
        <v>#VALUE!</v>
      </c>
      <c r="Q16" s="64" t="e">
        <f>'D4'!C151</f>
        <v>#VALUE!</v>
      </c>
      <c r="R16" s="65">
        <f>'4'!D10</f>
        <v>0</v>
      </c>
      <c r="S16" s="64" t="e">
        <f>R16*Q16</f>
        <v>#VALUE!</v>
      </c>
      <c r="T16" s="135" t="s">
        <v>76</v>
      </c>
      <c r="V16" s="33"/>
    </row>
    <row r="17" spans="1:30" x14ac:dyDescent="0.25">
      <c r="A17" s="46">
        <f t="shared" si="0"/>
        <v>15</v>
      </c>
      <c r="B17" s="47" t="s">
        <v>144</v>
      </c>
      <c r="C17" s="138">
        <f>SUM('D4'!K155:K157)</f>
        <v>0</v>
      </c>
      <c r="D17" s="47"/>
      <c r="E17" s="138"/>
      <c r="F17" s="47"/>
      <c r="G17" s="47"/>
      <c r="H17" s="47"/>
      <c r="I17" s="138">
        <f>SUM('D4'!K166)</f>
        <v>5400000</v>
      </c>
      <c r="J17" s="138"/>
      <c r="K17" s="138"/>
      <c r="L17" s="138"/>
      <c r="M17" s="138"/>
      <c r="N17" s="138">
        <f>'D4'!K158</f>
        <v>0</v>
      </c>
      <c r="O17" s="138" t="e">
        <f>SUM('D4'!K159:K165)</f>
        <v>#VALUE!</v>
      </c>
      <c r="P17" s="140" t="e">
        <f t="shared" si="3"/>
        <v>#VALUE!</v>
      </c>
      <c r="Q17" s="225" t="e">
        <f>'D4'!I167</f>
        <v>#VALUE!</v>
      </c>
      <c r="R17" s="49">
        <f>(IF('4'!$D$17="vip",('4'!$D$10),0))</f>
        <v>0</v>
      </c>
      <c r="S17" s="225" t="e">
        <f>Q17*R17</f>
        <v>#VALUE!</v>
      </c>
      <c r="T17" s="585" t="s">
        <v>150</v>
      </c>
      <c r="V17" s="33"/>
    </row>
    <row r="18" spans="1:30" ht="24" x14ac:dyDescent="0.25">
      <c r="A18" s="51">
        <f t="shared" si="0"/>
        <v>16</v>
      </c>
      <c r="B18" s="52" t="s">
        <v>145</v>
      </c>
      <c r="C18" s="139">
        <f>SUM('D4'!E157)</f>
        <v>0</v>
      </c>
      <c r="D18" s="52"/>
      <c r="E18" s="139"/>
      <c r="F18" s="52"/>
      <c r="G18" s="52"/>
      <c r="H18" s="52"/>
      <c r="I18" s="139">
        <f>SUM('D4'!E166)</f>
        <v>5400000</v>
      </c>
      <c r="J18" s="138"/>
      <c r="K18" s="138"/>
      <c r="L18" s="138"/>
      <c r="M18" s="138"/>
      <c r="N18" s="138">
        <f>'D4'!E158</f>
        <v>0</v>
      </c>
      <c r="O18" s="138" t="e">
        <f>SUM('D4'!E159:E165)</f>
        <v>#VALUE!</v>
      </c>
      <c r="P18" s="140" t="e">
        <f t="shared" si="3"/>
        <v>#VALUE!</v>
      </c>
      <c r="Q18" s="226" t="e">
        <f>'D4'!C167</f>
        <v>#VALUE!</v>
      </c>
      <c r="R18" s="61">
        <f>(IF('4'!$D$13="REGULAR",('4'!$D$10),0))</f>
        <v>0</v>
      </c>
      <c r="S18" s="226" t="e">
        <f>Q18*R18</f>
        <v>#VALUE!</v>
      </c>
      <c r="T18" s="586"/>
      <c r="V18" s="33"/>
    </row>
    <row r="19" spans="1:30" ht="24" x14ac:dyDescent="0.25">
      <c r="A19" s="55">
        <f>A18+1</f>
        <v>17</v>
      </c>
      <c r="B19" s="56" t="s">
        <v>146</v>
      </c>
      <c r="C19" s="141" t="e">
        <f>SUM('D4'!E171:E172)</f>
        <v>#VALUE!</v>
      </c>
      <c r="D19" s="56"/>
      <c r="E19" s="141" t="e">
        <f>'D4'!E177</f>
        <v>#VALUE!</v>
      </c>
      <c r="F19" s="56"/>
      <c r="G19" s="56"/>
      <c r="H19" s="56"/>
      <c r="I19" s="141" t="e">
        <f>SUM('D4'!E173)</f>
        <v>#VALUE!</v>
      </c>
      <c r="J19" s="141" t="e">
        <f>SUM('D4'!E174:E175)</f>
        <v>#VALUE!</v>
      </c>
      <c r="K19" s="141" t="e">
        <f>'D4'!E176</f>
        <v>#VALUE!</v>
      </c>
      <c r="L19" s="141"/>
      <c r="M19" s="141"/>
      <c r="N19" s="141"/>
      <c r="O19" s="141"/>
      <c r="P19" s="143" t="e">
        <f>SUM(C19:O19)</f>
        <v>#VALUE!</v>
      </c>
      <c r="Q19" s="228" t="e">
        <f>'D4'!C178</f>
        <v>#VALUE!</v>
      </c>
      <c r="R19" s="58">
        <f>(IF(AND('4'!$D$13="REGULAR",'4'!$D$15="SAYANEH"),('4'!$D$10),0))</f>
        <v>0</v>
      </c>
      <c r="S19" s="228" t="e">
        <f>R19*Q19</f>
        <v>#VALUE!</v>
      </c>
      <c r="T19" s="581"/>
      <c r="V19" s="33"/>
    </row>
    <row r="20" spans="1:30" ht="24" x14ac:dyDescent="0.25">
      <c r="A20" s="55">
        <f>A19+1</f>
        <v>18</v>
      </c>
      <c r="B20" s="60" t="s">
        <v>147</v>
      </c>
      <c r="C20" s="142" t="e">
        <f>SUM('D4'!E182:E183)</f>
        <v>#VALUE!</v>
      </c>
      <c r="D20" s="60"/>
      <c r="E20" s="142" t="e">
        <f>'D4'!E188</f>
        <v>#VALUE!</v>
      </c>
      <c r="F20" s="60"/>
      <c r="G20" s="60"/>
      <c r="H20" s="60"/>
      <c r="I20" s="142" t="e">
        <f>'D4'!E184</f>
        <v>#VALUE!</v>
      </c>
      <c r="J20" s="141" t="e">
        <f>SUM('D4'!E185:E186)</f>
        <v>#VALUE!</v>
      </c>
      <c r="K20" s="141" t="e">
        <f>'D4'!E187</f>
        <v>#VALUE!</v>
      </c>
      <c r="L20" s="141"/>
      <c r="M20" s="141"/>
      <c r="N20" s="141"/>
      <c r="O20" s="141"/>
      <c r="P20" s="143" t="e">
        <f>SUM(C20:O20)</f>
        <v>#VALUE!</v>
      </c>
      <c r="Q20" s="227" t="e">
        <f>'D4'!C189</f>
        <v>#VALUE!</v>
      </c>
      <c r="R20" s="44">
        <f>(IF(AND('4'!$D$13="REGULAR",'4'!$D$15="PAVLION"),('4'!$D$10),0))</f>
        <v>0</v>
      </c>
      <c r="S20" s="227" t="e">
        <f>R20*Q20</f>
        <v>#VALUE!</v>
      </c>
      <c r="T20" s="582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x14ac:dyDescent="0.25">
      <c r="A21" s="66">
        <f t="shared" si="0"/>
        <v>19</v>
      </c>
      <c r="B21" s="67" t="s">
        <v>114</v>
      </c>
      <c r="C21" s="67"/>
      <c r="D21" s="67"/>
      <c r="E21" s="145"/>
      <c r="F21" s="67"/>
      <c r="G21" s="67"/>
      <c r="H21" s="67"/>
      <c r="I21" s="145">
        <f>SUM('D4'!E195)</f>
        <v>9000000</v>
      </c>
      <c r="J21" s="138">
        <f>'D4'!E193</f>
        <v>3750000</v>
      </c>
      <c r="K21" s="138">
        <f>'D4'!E194</f>
        <v>7500000</v>
      </c>
      <c r="L21" s="138"/>
      <c r="M21" s="138"/>
      <c r="N21" s="138"/>
      <c r="O21" s="138"/>
      <c r="P21" s="140">
        <f t="shared" ref="P21" si="4">SUM(C21:O21)</f>
        <v>20250000</v>
      </c>
      <c r="Q21" s="68">
        <f>'D4'!C196</f>
        <v>20250000</v>
      </c>
      <c r="R21" s="69" t="e">
        <f>(IF(AND('4'!D8&gt;6,'4'!D8&lt;=8),1,IF(AND('4'!D8&gt;8,'4'!D8&lt;=10),2,0)))*('4'!D5+'4'!E5)*('4'!D10)</f>
        <v>#VALUE!</v>
      </c>
      <c r="S21" s="68" t="e">
        <f>R21*Q21</f>
        <v>#VALUE!</v>
      </c>
      <c r="T21" s="68"/>
      <c r="V21" s="38"/>
      <c r="W21" s="38"/>
      <c r="X21" s="38"/>
      <c r="Y21" s="38"/>
      <c r="Z21" s="38"/>
      <c r="AA21" s="38"/>
      <c r="AB21" s="38"/>
      <c r="AC21" s="38"/>
      <c r="AD21" s="38"/>
    </row>
    <row r="22" spans="1:30" ht="15" customHeight="1" x14ac:dyDescent="0.25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  <c r="R22" s="72"/>
      <c r="S22" s="583" t="e">
        <f>S23*'پیش فاکتور سقف متحرک'!G20</f>
        <v>#VALUE!</v>
      </c>
      <c r="T22" s="583"/>
      <c r="V22" s="38"/>
      <c r="W22" s="38"/>
      <c r="X22" s="38"/>
      <c r="Y22" s="38"/>
      <c r="Z22" s="38"/>
      <c r="AA22" s="38"/>
      <c r="AB22" s="38"/>
      <c r="AC22" s="38"/>
      <c r="AD22" s="38"/>
    </row>
    <row r="23" spans="1:30" ht="15.75" x14ac:dyDescent="0.25">
      <c r="A23" s="46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6" t="s">
        <v>7</v>
      </c>
      <c r="S23" s="579" t="e">
        <f>((SUM(S3:S21))/Q2)</f>
        <v>#VALUE!</v>
      </c>
      <c r="T23" s="579"/>
      <c r="V23" s="38"/>
      <c r="W23" s="38"/>
      <c r="X23" s="38"/>
      <c r="Y23" s="38"/>
      <c r="Z23" s="38"/>
      <c r="AA23" s="38"/>
      <c r="AB23" s="38"/>
      <c r="AC23" s="38"/>
      <c r="AD23" s="38"/>
    </row>
    <row r="24" spans="1:30" ht="15.75" x14ac:dyDescent="0.25">
      <c r="A24" s="55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7" t="s">
        <v>8</v>
      </c>
      <c r="S24" s="580">
        <v>3000000</v>
      </c>
      <c r="T24" s="580"/>
      <c r="V24" s="38"/>
      <c r="W24" s="38"/>
      <c r="X24" s="38"/>
      <c r="Y24" s="38"/>
      <c r="Z24" s="38"/>
      <c r="AA24" s="38"/>
      <c r="AB24" s="38"/>
      <c r="AC24" s="38"/>
      <c r="AD24" s="38"/>
    </row>
    <row r="25" spans="1:30" ht="15.75" x14ac:dyDescent="0.25">
      <c r="A25" s="46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8" t="s">
        <v>9</v>
      </c>
      <c r="S25" s="579" t="e">
        <f>(S23+S24)*('4'!G4*0.01)</f>
        <v>#VALUE!</v>
      </c>
      <c r="T25" s="579"/>
      <c r="V25" s="38"/>
      <c r="W25" s="38"/>
      <c r="X25" s="38"/>
      <c r="Y25" s="38"/>
      <c r="Z25" s="38"/>
      <c r="AA25" s="38"/>
      <c r="AB25" s="38"/>
      <c r="AC25" s="38"/>
      <c r="AD25" s="38"/>
    </row>
    <row r="26" spans="1:30" ht="15.75" x14ac:dyDescent="0.25">
      <c r="A26" s="5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9" t="s">
        <v>10</v>
      </c>
      <c r="S26" s="580" t="e">
        <f>(S23+S24)*('4'!G5*0.01)</f>
        <v>#VALUE!</v>
      </c>
      <c r="T26" s="580"/>
      <c r="V26" s="38"/>
      <c r="W26" s="38"/>
      <c r="X26" s="38"/>
      <c r="Y26" s="38"/>
      <c r="Z26" s="38"/>
      <c r="AA26" s="38"/>
      <c r="AB26" s="38"/>
      <c r="AC26" s="38"/>
      <c r="AD26" s="38"/>
    </row>
    <row r="27" spans="1:30" ht="15.75" x14ac:dyDescent="0.25">
      <c r="A27" s="46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8" t="s">
        <v>11</v>
      </c>
      <c r="S27" s="579" t="e">
        <f>(S23+S24)*('4'!G6*0.01)</f>
        <v>#VALUE!</v>
      </c>
      <c r="T27" s="579"/>
      <c r="V27" s="38"/>
      <c r="W27" s="38"/>
      <c r="X27" s="38"/>
      <c r="Y27" s="38"/>
      <c r="Z27" s="38"/>
      <c r="AA27" s="38"/>
      <c r="AB27" s="38"/>
      <c r="AC27" s="38"/>
      <c r="AD27" s="38"/>
    </row>
    <row r="28" spans="1:30" ht="15.75" x14ac:dyDescent="0.25">
      <c r="A28" s="5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9" t="s">
        <v>12</v>
      </c>
      <c r="S28" s="580" t="e">
        <f>(S23+S24)*('4'!G7*0.01)</f>
        <v>#VALUE!</v>
      </c>
      <c r="T28" s="580"/>
      <c r="V28" s="38"/>
      <c r="W28" s="38"/>
      <c r="X28" s="38"/>
      <c r="Y28" s="38"/>
      <c r="Z28" s="38"/>
      <c r="AA28" s="38"/>
      <c r="AB28" s="38"/>
      <c r="AC28" s="38"/>
      <c r="AD28" s="38"/>
    </row>
    <row r="29" spans="1:30" ht="15.75" x14ac:dyDescent="0.25">
      <c r="A29" s="46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8" t="s">
        <v>13</v>
      </c>
      <c r="S29" s="579" t="e">
        <f>(S23+S24+S25+S26+S27+S28)*('4'!G8*0.01)</f>
        <v>#VALUE!</v>
      </c>
      <c r="T29" s="579"/>
    </row>
    <row r="30" spans="1:30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30" ht="15" customHeight="1" x14ac:dyDescent="0.25">
      <c r="A31" s="9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3"/>
      <c r="R31" s="33"/>
      <c r="S31" s="40"/>
      <c r="T31" s="33"/>
      <c r="U31" s="39"/>
    </row>
    <row r="32" spans="1:30" ht="15" customHeight="1" x14ac:dyDescent="0.25">
      <c r="A32" s="98"/>
      <c r="B32" s="73" t="e">
        <f>SUM(C32:O32)</f>
        <v>#VALUE!</v>
      </c>
      <c r="C32" s="138" t="e">
        <f>SUM(C34:C52)</f>
        <v>#VALUE!</v>
      </c>
      <c r="D32" s="138" t="e">
        <f t="shared" ref="D32:O32" si="5">SUM(D34:D52)</f>
        <v>#VALUE!</v>
      </c>
      <c r="E32" s="138" t="e">
        <f t="shared" si="5"/>
        <v>#VALUE!</v>
      </c>
      <c r="F32" s="138" t="e">
        <f t="shared" si="5"/>
        <v>#VALUE!</v>
      </c>
      <c r="G32" s="138" t="e">
        <f t="shared" si="5"/>
        <v>#VALUE!</v>
      </c>
      <c r="H32" s="138" t="e">
        <f t="shared" si="5"/>
        <v>#VALUE!</v>
      </c>
      <c r="I32" s="138" t="e">
        <f t="shared" si="5"/>
        <v>#VALUE!</v>
      </c>
      <c r="J32" s="138" t="e">
        <f t="shared" si="5"/>
        <v>#VALUE!</v>
      </c>
      <c r="K32" s="138" t="e">
        <f t="shared" si="5"/>
        <v>#VALUE!</v>
      </c>
      <c r="L32" s="138" t="e">
        <f t="shared" si="5"/>
        <v>#VALUE!</v>
      </c>
      <c r="M32" s="138" t="e">
        <f t="shared" si="5"/>
        <v>#VALUE!</v>
      </c>
      <c r="N32" s="138" t="e">
        <f t="shared" si="5"/>
        <v>#VALUE!</v>
      </c>
      <c r="O32" s="138" t="e">
        <f t="shared" si="5"/>
        <v>#VALUE!</v>
      </c>
      <c r="P32" s="39"/>
      <c r="Q32" s="33"/>
      <c r="R32" s="33"/>
      <c r="S32" s="40"/>
      <c r="T32" s="33"/>
      <c r="U32" s="39"/>
    </row>
    <row r="33" spans="1:21" ht="24.6" customHeight="1" x14ac:dyDescent="0.25">
      <c r="A33" s="42"/>
      <c r="B33" s="43" t="s">
        <v>2</v>
      </c>
      <c r="C33" s="146" t="s">
        <v>193</v>
      </c>
      <c r="D33" s="146" t="s">
        <v>194</v>
      </c>
      <c r="E33" s="146" t="s">
        <v>195</v>
      </c>
      <c r="F33" s="146" t="s">
        <v>197</v>
      </c>
      <c r="G33" s="146" t="s">
        <v>199</v>
      </c>
      <c r="H33" s="146" t="s">
        <v>196</v>
      </c>
      <c r="I33" s="147" t="s">
        <v>200</v>
      </c>
      <c r="J33" s="137" t="s">
        <v>217</v>
      </c>
      <c r="K33" s="137" t="s">
        <v>218</v>
      </c>
      <c r="L33" s="137" t="s">
        <v>219</v>
      </c>
      <c r="M33" s="137" t="s">
        <v>220</v>
      </c>
      <c r="N33" s="137" t="s">
        <v>221</v>
      </c>
      <c r="O33" s="137" t="s">
        <v>222</v>
      </c>
      <c r="P33" s="39"/>
      <c r="Q33" s="33"/>
      <c r="R33" s="33"/>
      <c r="U33" s="39"/>
    </row>
    <row r="34" spans="1:21" ht="15" customHeight="1" x14ac:dyDescent="0.25">
      <c r="A34" s="46">
        <v>1</v>
      </c>
      <c r="B34" s="47" t="s">
        <v>156</v>
      </c>
      <c r="C34" s="138"/>
      <c r="D34" s="138"/>
      <c r="E34" s="138"/>
      <c r="F34" s="138">
        <f>F3*$R$3</f>
        <v>0</v>
      </c>
      <c r="G34" s="138"/>
      <c r="H34" s="138"/>
      <c r="I34" s="138">
        <f>I3*$R$3</f>
        <v>0</v>
      </c>
      <c r="J34" s="138"/>
      <c r="K34" s="138"/>
      <c r="L34" s="138"/>
      <c r="M34" s="138"/>
      <c r="N34" s="138"/>
      <c r="O34" s="138"/>
      <c r="P34" s="39"/>
      <c r="Q34" s="33"/>
      <c r="R34" s="33"/>
      <c r="U34" s="39"/>
    </row>
    <row r="35" spans="1:21" ht="15" customHeight="1" x14ac:dyDescent="0.25">
      <c r="A35" s="46">
        <f t="shared" ref="A35:A52" si="6">A34+1</f>
        <v>2</v>
      </c>
      <c r="B35" s="47" t="s">
        <v>205</v>
      </c>
      <c r="C35" s="138"/>
      <c r="D35" s="138"/>
      <c r="E35" s="138"/>
      <c r="F35" s="138" t="e">
        <f>F4*$R$4</f>
        <v>#VALUE!</v>
      </c>
      <c r="G35" s="138"/>
      <c r="H35" s="138"/>
      <c r="I35" s="138" t="e">
        <f>I4*$R$4</f>
        <v>#VALUE!</v>
      </c>
      <c r="J35" s="138"/>
      <c r="K35" s="138"/>
      <c r="L35" s="138"/>
      <c r="M35" s="138"/>
      <c r="N35" s="138"/>
      <c r="O35" s="138"/>
      <c r="P35" s="39"/>
      <c r="Q35" s="33"/>
      <c r="R35" s="33"/>
      <c r="U35" s="39"/>
    </row>
    <row r="36" spans="1:21" ht="15" customHeight="1" x14ac:dyDescent="0.25">
      <c r="A36" s="46">
        <f t="shared" si="6"/>
        <v>3</v>
      </c>
      <c r="B36" s="47" t="s">
        <v>5</v>
      </c>
      <c r="C36" s="138"/>
      <c r="D36" s="138"/>
      <c r="E36" s="138"/>
      <c r="F36" s="138">
        <f>F5*$R$5</f>
        <v>0</v>
      </c>
      <c r="G36" s="138"/>
      <c r="H36" s="138"/>
      <c r="I36" s="138">
        <f>I5*$R$5</f>
        <v>0</v>
      </c>
      <c r="J36" s="138"/>
      <c r="K36" s="138"/>
      <c r="L36" s="138"/>
      <c r="M36" s="138"/>
      <c r="N36" s="138"/>
      <c r="O36" s="138"/>
      <c r="P36" s="39"/>
      <c r="Q36" s="33"/>
      <c r="R36" s="33"/>
      <c r="U36" s="39"/>
    </row>
    <row r="37" spans="1:21" ht="15" customHeight="1" x14ac:dyDescent="0.25">
      <c r="A37" s="51">
        <f t="shared" si="6"/>
        <v>4</v>
      </c>
      <c r="B37" s="52" t="s">
        <v>6</v>
      </c>
      <c r="C37" s="139"/>
      <c r="D37" s="139"/>
      <c r="E37" s="139"/>
      <c r="F37" s="139" t="e">
        <f>F6*$R$6</f>
        <v>#VALUE!</v>
      </c>
      <c r="G37" s="139"/>
      <c r="H37" s="139"/>
      <c r="I37" s="138" t="e">
        <f>I6*$R$6</f>
        <v>#VALUE!</v>
      </c>
      <c r="J37" s="138"/>
      <c r="K37" s="138"/>
      <c r="L37" s="138"/>
      <c r="M37" s="138"/>
      <c r="N37" s="138"/>
      <c r="O37" s="138"/>
      <c r="P37" s="39"/>
      <c r="Q37" s="33"/>
      <c r="R37" s="33"/>
      <c r="U37" s="39"/>
    </row>
    <row r="38" spans="1:21" ht="15" customHeight="1" x14ac:dyDescent="0.25">
      <c r="A38" s="55">
        <f t="shared" si="6"/>
        <v>5</v>
      </c>
      <c r="B38" s="56" t="s">
        <v>134</v>
      </c>
      <c r="C38" s="148" t="e">
        <f>C7*$R$7</f>
        <v>#VALUE!</v>
      </c>
      <c r="D38" s="148"/>
      <c r="E38" s="148" t="e">
        <f>E7*$R$7</f>
        <v>#VALUE!</v>
      </c>
      <c r="F38" s="148"/>
      <c r="G38" s="148"/>
      <c r="H38" s="148" t="e">
        <f>H7*$R$7</f>
        <v>#VALUE!</v>
      </c>
      <c r="I38" s="151" t="e">
        <f>I7*$R$7</f>
        <v>#VALUE!</v>
      </c>
      <c r="J38" s="151">
        <f t="shared" ref="J38:O38" si="7">J7*$R$7</f>
        <v>0</v>
      </c>
      <c r="K38" s="151">
        <f t="shared" si="7"/>
        <v>0</v>
      </c>
      <c r="L38" s="151">
        <f t="shared" si="7"/>
        <v>0</v>
      </c>
      <c r="M38" s="151">
        <f t="shared" si="7"/>
        <v>0</v>
      </c>
      <c r="N38" s="151">
        <f t="shared" si="7"/>
        <v>0</v>
      </c>
      <c r="O38" s="151">
        <f t="shared" si="7"/>
        <v>0</v>
      </c>
      <c r="P38" s="39"/>
      <c r="Q38" s="33"/>
      <c r="R38" s="33"/>
      <c r="U38" s="39"/>
    </row>
    <row r="39" spans="1:21" ht="15" customHeight="1" x14ac:dyDescent="0.25">
      <c r="A39" s="59">
        <f t="shared" si="6"/>
        <v>6</v>
      </c>
      <c r="B39" s="60" t="s">
        <v>135</v>
      </c>
      <c r="C39" s="149" t="e">
        <f>C8*$R$8</f>
        <v>#VALUE!</v>
      </c>
      <c r="D39" s="149"/>
      <c r="E39" s="149" t="e">
        <f>E8*$R$8</f>
        <v>#VALUE!</v>
      </c>
      <c r="F39" s="149"/>
      <c r="G39" s="149"/>
      <c r="H39" s="149" t="e">
        <f>H8*$R$8</f>
        <v>#VALUE!</v>
      </c>
      <c r="I39" s="149" t="e">
        <f>I8*$R$8</f>
        <v>#VALUE!</v>
      </c>
      <c r="J39" s="149">
        <f t="shared" ref="J39:O39" si="8">J8*$R$8</f>
        <v>0</v>
      </c>
      <c r="K39" s="149">
        <f t="shared" si="8"/>
        <v>0</v>
      </c>
      <c r="L39" s="149">
        <f t="shared" si="8"/>
        <v>0</v>
      </c>
      <c r="M39" s="149">
        <f t="shared" si="8"/>
        <v>0</v>
      </c>
      <c r="N39" s="149">
        <f t="shared" si="8"/>
        <v>0</v>
      </c>
      <c r="O39" s="149">
        <f t="shared" si="8"/>
        <v>0</v>
      </c>
      <c r="P39" s="39"/>
      <c r="Q39" s="33"/>
      <c r="R39" s="33"/>
      <c r="U39" s="39"/>
    </row>
    <row r="40" spans="1:21" ht="15" customHeight="1" x14ac:dyDescent="0.25">
      <c r="A40" s="46">
        <f t="shared" si="6"/>
        <v>7</v>
      </c>
      <c r="B40" s="47" t="s">
        <v>49</v>
      </c>
      <c r="C40" s="138" t="e">
        <f>C9*$R$9</f>
        <v>#VALUE!</v>
      </c>
      <c r="D40" s="138"/>
      <c r="E40" s="138" t="e">
        <f>E9*$R$9</f>
        <v>#VALUE!</v>
      </c>
      <c r="F40" s="138"/>
      <c r="G40" s="138"/>
      <c r="H40" s="138"/>
      <c r="I40" s="138" t="e">
        <f>I9*$R$9</f>
        <v>#VALUE!</v>
      </c>
      <c r="J40" s="138" t="e">
        <f t="shared" ref="J40:O40" si="9">J9*$R$9</f>
        <v>#VALUE!</v>
      </c>
      <c r="K40" s="138" t="e">
        <f t="shared" si="9"/>
        <v>#VALUE!</v>
      </c>
      <c r="L40" s="138" t="e">
        <f t="shared" si="9"/>
        <v>#VALUE!</v>
      </c>
      <c r="M40" s="138" t="e">
        <f t="shared" si="9"/>
        <v>#VALUE!</v>
      </c>
      <c r="N40" s="138" t="e">
        <f t="shared" si="9"/>
        <v>#VALUE!</v>
      </c>
      <c r="O40" s="138" t="e">
        <f t="shared" si="9"/>
        <v>#VALUE!</v>
      </c>
      <c r="P40" s="39"/>
      <c r="Q40" s="33"/>
      <c r="R40" s="33"/>
      <c r="S40" s="40"/>
      <c r="T40" s="33"/>
      <c r="U40" s="39"/>
    </row>
    <row r="41" spans="1:21" ht="15" customHeight="1" x14ac:dyDescent="0.25">
      <c r="A41" s="46">
        <f t="shared" si="6"/>
        <v>8</v>
      </c>
      <c r="B41" s="47" t="s">
        <v>122</v>
      </c>
      <c r="C41" s="138" t="e">
        <f>C10*$R$10</f>
        <v>#VALUE!</v>
      </c>
      <c r="D41" s="138"/>
      <c r="E41" s="138" t="e">
        <f>E10*$R$10</f>
        <v>#VALUE!</v>
      </c>
      <c r="F41" s="138"/>
      <c r="G41" s="138"/>
      <c r="H41" s="138"/>
      <c r="I41" s="138" t="e">
        <f>I10*$R$10</f>
        <v>#VALUE!</v>
      </c>
      <c r="J41" s="138" t="e">
        <f t="shared" ref="J41:O41" si="10">J10*$R$10</f>
        <v>#VALUE!</v>
      </c>
      <c r="K41" s="138" t="e">
        <f t="shared" si="10"/>
        <v>#VALUE!</v>
      </c>
      <c r="L41" s="138" t="e">
        <f t="shared" si="10"/>
        <v>#VALUE!</v>
      </c>
      <c r="M41" s="138" t="e">
        <f t="shared" si="10"/>
        <v>#VALUE!</v>
      </c>
      <c r="N41" s="138" t="e">
        <f t="shared" si="10"/>
        <v>#VALUE!</v>
      </c>
      <c r="O41" s="138" t="e">
        <f t="shared" si="10"/>
        <v>#VALUE!</v>
      </c>
      <c r="P41" s="39"/>
      <c r="Q41" s="33"/>
      <c r="R41" s="33"/>
      <c r="S41" s="40"/>
      <c r="T41" s="33"/>
      <c r="U41" s="39"/>
    </row>
    <row r="42" spans="1:21" ht="15" customHeight="1" x14ac:dyDescent="0.25">
      <c r="A42" s="51">
        <f t="shared" si="6"/>
        <v>9</v>
      </c>
      <c r="B42" s="52" t="s">
        <v>56</v>
      </c>
      <c r="C42" s="139">
        <f>C11*$R$11</f>
        <v>0</v>
      </c>
      <c r="D42" s="139"/>
      <c r="E42" s="139">
        <f>E11*$R$11</f>
        <v>0</v>
      </c>
      <c r="F42" s="139"/>
      <c r="G42" s="139"/>
      <c r="H42" s="139"/>
      <c r="I42" s="139">
        <f>I11*$R$11</f>
        <v>0</v>
      </c>
      <c r="J42" s="139">
        <f t="shared" ref="J42:O42" si="11">J11*$R$11</f>
        <v>0</v>
      </c>
      <c r="K42" s="139">
        <f t="shared" si="11"/>
        <v>0</v>
      </c>
      <c r="L42" s="139">
        <f t="shared" si="11"/>
        <v>0</v>
      </c>
      <c r="M42" s="139">
        <f t="shared" si="11"/>
        <v>0</v>
      </c>
      <c r="N42" s="139">
        <f t="shared" si="11"/>
        <v>0</v>
      </c>
      <c r="O42" s="139">
        <f t="shared" si="11"/>
        <v>0</v>
      </c>
      <c r="P42" s="39"/>
      <c r="Q42" s="33"/>
      <c r="R42" s="33"/>
      <c r="S42" s="40"/>
      <c r="T42" s="33"/>
      <c r="U42" s="39"/>
    </row>
    <row r="43" spans="1:21" ht="15" customHeight="1" x14ac:dyDescent="0.25">
      <c r="A43" s="55">
        <f t="shared" si="6"/>
        <v>10</v>
      </c>
      <c r="B43" s="56" t="s">
        <v>140</v>
      </c>
      <c r="C43" s="148"/>
      <c r="D43" s="148"/>
      <c r="E43" s="148">
        <f>E12*$R$12</f>
        <v>0</v>
      </c>
      <c r="F43" s="148"/>
      <c r="G43" s="148">
        <f>G12*$R$12</f>
        <v>0</v>
      </c>
      <c r="H43" s="148">
        <f t="shared" ref="H43:I43" si="12">H12*$R$12</f>
        <v>0</v>
      </c>
      <c r="I43" s="148">
        <f t="shared" si="12"/>
        <v>0</v>
      </c>
      <c r="J43" s="148">
        <f>J12*$R$12</f>
        <v>0</v>
      </c>
      <c r="K43" s="148"/>
      <c r="L43" s="148"/>
      <c r="M43" s="148"/>
      <c r="N43" s="148"/>
      <c r="O43" s="148"/>
      <c r="P43" s="39"/>
      <c r="Q43" s="33"/>
      <c r="R43" s="33"/>
      <c r="S43" s="40"/>
      <c r="T43" s="33"/>
      <c r="U43" s="39"/>
    </row>
    <row r="44" spans="1:21" ht="15" customHeight="1" x14ac:dyDescent="0.25">
      <c r="A44" s="59">
        <f t="shared" si="6"/>
        <v>11</v>
      </c>
      <c r="B44" s="60" t="s">
        <v>141</v>
      </c>
      <c r="C44" s="149"/>
      <c r="D44" s="149"/>
      <c r="E44" s="149">
        <f>E13*$R$13</f>
        <v>0</v>
      </c>
      <c r="F44" s="149"/>
      <c r="G44" s="148">
        <f>G13*$R$13</f>
        <v>0</v>
      </c>
      <c r="H44" s="148">
        <f t="shared" ref="H44:I44" si="13">H13*$R$13</f>
        <v>0</v>
      </c>
      <c r="I44" s="148">
        <f t="shared" si="13"/>
        <v>0</v>
      </c>
      <c r="J44" s="148">
        <f>J13*$R$13</f>
        <v>0</v>
      </c>
      <c r="K44" s="149"/>
      <c r="L44" s="149"/>
      <c r="M44" s="149"/>
      <c r="N44" s="149"/>
      <c r="O44" s="149"/>
      <c r="P44" s="39"/>
      <c r="Q44" s="33"/>
      <c r="R44" s="33"/>
      <c r="S44" s="40"/>
      <c r="T44" s="33"/>
      <c r="U44" s="39"/>
    </row>
    <row r="45" spans="1:21" ht="15" customHeight="1" x14ac:dyDescent="0.25">
      <c r="A45" s="46">
        <f t="shared" si="6"/>
        <v>12</v>
      </c>
      <c r="B45" s="47" t="s">
        <v>143</v>
      </c>
      <c r="C45" s="138">
        <f>C14*$R$14</f>
        <v>0</v>
      </c>
      <c r="D45" s="138">
        <f>D14*$R$14</f>
        <v>0</v>
      </c>
      <c r="E45" s="138">
        <f>E14*$R$14</f>
        <v>0</v>
      </c>
      <c r="F45" s="138">
        <f t="shared" ref="F45:O45" si="14">F14*$R$14</f>
        <v>0</v>
      </c>
      <c r="G45" s="138">
        <f t="shared" si="14"/>
        <v>0</v>
      </c>
      <c r="H45" s="138">
        <f t="shared" si="14"/>
        <v>0</v>
      </c>
      <c r="I45" s="138">
        <f t="shared" si="14"/>
        <v>0</v>
      </c>
      <c r="J45" s="138">
        <f t="shared" si="14"/>
        <v>0</v>
      </c>
      <c r="K45" s="138">
        <f t="shared" si="14"/>
        <v>0</v>
      </c>
      <c r="L45" s="138">
        <f t="shared" si="14"/>
        <v>0</v>
      </c>
      <c r="M45" s="138">
        <f t="shared" si="14"/>
        <v>0</v>
      </c>
      <c r="N45" s="138">
        <f t="shared" si="14"/>
        <v>0</v>
      </c>
      <c r="O45" s="138">
        <f t="shared" si="14"/>
        <v>0</v>
      </c>
      <c r="P45" s="39"/>
      <c r="Q45" s="33"/>
      <c r="R45" s="33"/>
      <c r="S45" s="40"/>
      <c r="T45" s="33"/>
      <c r="U45" s="39"/>
    </row>
    <row r="46" spans="1:21" ht="15" customHeight="1" x14ac:dyDescent="0.25">
      <c r="A46" s="51">
        <f t="shared" si="6"/>
        <v>13</v>
      </c>
      <c r="B46" s="52" t="s">
        <v>142</v>
      </c>
      <c r="C46" s="138">
        <f>C15*$R$15</f>
        <v>0</v>
      </c>
      <c r="D46" s="138">
        <f>D15*$R$15</f>
        <v>0</v>
      </c>
      <c r="E46" s="138">
        <f>E15*$R$15</f>
        <v>0</v>
      </c>
      <c r="F46" s="138">
        <f t="shared" ref="F46:O46" si="15">F15*$R$15</f>
        <v>0</v>
      </c>
      <c r="G46" s="138">
        <f t="shared" si="15"/>
        <v>0</v>
      </c>
      <c r="H46" s="138">
        <f t="shared" si="15"/>
        <v>0</v>
      </c>
      <c r="I46" s="138">
        <f t="shared" si="15"/>
        <v>0</v>
      </c>
      <c r="J46" s="138">
        <f t="shared" si="15"/>
        <v>0</v>
      </c>
      <c r="K46" s="138">
        <f t="shared" si="15"/>
        <v>0</v>
      </c>
      <c r="L46" s="138">
        <f t="shared" si="15"/>
        <v>0</v>
      </c>
      <c r="M46" s="138">
        <f t="shared" si="15"/>
        <v>0</v>
      </c>
      <c r="N46" s="138">
        <f t="shared" si="15"/>
        <v>0</v>
      </c>
      <c r="O46" s="138">
        <f t="shared" si="15"/>
        <v>0</v>
      </c>
      <c r="P46" s="39"/>
      <c r="Q46" s="33"/>
      <c r="R46" s="33"/>
      <c r="S46" s="40"/>
      <c r="T46" s="33"/>
      <c r="U46" s="39"/>
    </row>
    <row r="47" spans="1:21" ht="15" customHeight="1" x14ac:dyDescent="0.25">
      <c r="A47" s="62">
        <f t="shared" si="6"/>
        <v>14</v>
      </c>
      <c r="B47" s="63" t="s">
        <v>76</v>
      </c>
      <c r="C47" s="150">
        <f t="shared" ref="C47:D47" si="16">C16*$R$16</f>
        <v>0</v>
      </c>
      <c r="D47" s="150">
        <f t="shared" si="16"/>
        <v>0</v>
      </c>
      <c r="E47" s="150" t="e">
        <f>E16*$R$16</f>
        <v>#VALUE!</v>
      </c>
      <c r="F47" s="150">
        <f t="shared" ref="F47:H47" si="17">F16*$R$16</f>
        <v>0</v>
      </c>
      <c r="G47" s="150">
        <f t="shared" si="17"/>
        <v>0</v>
      </c>
      <c r="H47" s="150">
        <f t="shared" si="17"/>
        <v>0</v>
      </c>
      <c r="I47" s="150">
        <f>I16*$R$16</f>
        <v>0</v>
      </c>
      <c r="J47" s="150" t="e">
        <f t="shared" ref="J47:O47" si="18">J16*$R$16</f>
        <v>#VALUE!</v>
      </c>
      <c r="K47" s="150">
        <f t="shared" si="18"/>
        <v>0</v>
      </c>
      <c r="L47" s="150">
        <f t="shared" si="18"/>
        <v>0</v>
      </c>
      <c r="M47" s="150">
        <f t="shared" si="18"/>
        <v>0</v>
      </c>
      <c r="N47" s="150">
        <f t="shared" si="18"/>
        <v>0</v>
      </c>
      <c r="O47" s="150">
        <f t="shared" si="18"/>
        <v>0</v>
      </c>
      <c r="P47" s="39"/>
      <c r="Q47" s="33"/>
      <c r="R47" s="33"/>
      <c r="S47" s="40"/>
      <c r="T47" s="33"/>
      <c r="U47" s="39"/>
    </row>
    <row r="48" spans="1:21" ht="15" customHeight="1" x14ac:dyDescent="0.25">
      <c r="A48" s="46">
        <f t="shared" si="6"/>
        <v>15</v>
      </c>
      <c r="B48" s="47" t="s">
        <v>144</v>
      </c>
      <c r="C48" s="138">
        <f>C17*$R$17</f>
        <v>0</v>
      </c>
      <c r="D48" s="138">
        <f t="shared" ref="D48:H48" si="19">D17*$R$17</f>
        <v>0</v>
      </c>
      <c r="E48" s="138">
        <f t="shared" si="19"/>
        <v>0</v>
      </c>
      <c r="F48" s="138">
        <f t="shared" si="19"/>
        <v>0</v>
      </c>
      <c r="G48" s="138">
        <f t="shared" si="19"/>
        <v>0</v>
      </c>
      <c r="H48" s="138">
        <f t="shared" si="19"/>
        <v>0</v>
      </c>
      <c r="I48" s="138">
        <f>I17*$R$17</f>
        <v>0</v>
      </c>
      <c r="J48" s="138">
        <f t="shared" ref="J48:O48" si="20">J17*$R$17</f>
        <v>0</v>
      </c>
      <c r="K48" s="138">
        <f t="shared" si="20"/>
        <v>0</v>
      </c>
      <c r="L48" s="138">
        <f t="shared" si="20"/>
        <v>0</v>
      </c>
      <c r="M48" s="138">
        <f t="shared" si="20"/>
        <v>0</v>
      </c>
      <c r="N48" s="138">
        <f t="shared" si="20"/>
        <v>0</v>
      </c>
      <c r="O48" s="138" t="e">
        <f t="shared" si="20"/>
        <v>#VALUE!</v>
      </c>
      <c r="P48" s="39"/>
      <c r="Q48" s="33"/>
      <c r="R48" s="33"/>
      <c r="S48" s="40"/>
      <c r="T48" s="33"/>
      <c r="U48" s="39"/>
    </row>
    <row r="49" spans="1:21" ht="15" customHeight="1" x14ac:dyDescent="0.25">
      <c r="A49" s="51">
        <f t="shared" si="6"/>
        <v>16</v>
      </c>
      <c r="B49" s="52" t="s">
        <v>145</v>
      </c>
      <c r="C49" s="139">
        <f>C18*$R$18</f>
        <v>0</v>
      </c>
      <c r="D49" s="139">
        <f t="shared" ref="D49:H49" si="21">D18*$R$18</f>
        <v>0</v>
      </c>
      <c r="E49" s="139">
        <f t="shared" si="21"/>
        <v>0</v>
      </c>
      <c r="F49" s="139">
        <f t="shared" si="21"/>
        <v>0</v>
      </c>
      <c r="G49" s="139">
        <f t="shared" si="21"/>
        <v>0</v>
      </c>
      <c r="H49" s="139">
        <f t="shared" si="21"/>
        <v>0</v>
      </c>
      <c r="I49" s="139">
        <f>I18*$R$18</f>
        <v>0</v>
      </c>
      <c r="J49" s="139">
        <f t="shared" ref="J49:O49" si="22">J18*$R$18</f>
        <v>0</v>
      </c>
      <c r="K49" s="139">
        <f t="shared" si="22"/>
        <v>0</v>
      </c>
      <c r="L49" s="139">
        <f t="shared" si="22"/>
        <v>0</v>
      </c>
      <c r="M49" s="139">
        <f t="shared" si="22"/>
        <v>0</v>
      </c>
      <c r="N49" s="139">
        <f t="shared" si="22"/>
        <v>0</v>
      </c>
      <c r="O49" s="139" t="e">
        <f t="shared" si="22"/>
        <v>#VALUE!</v>
      </c>
      <c r="P49" s="39"/>
      <c r="Q49" s="33"/>
      <c r="R49" s="33"/>
      <c r="S49" s="40"/>
      <c r="T49" s="33"/>
      <c r="U49" s="39"/>
    </row>
    <row r="50" spans="1:21" ht="15" customHeight="1" x14ac:dyDescent="0.25">
      <c r="A50" s="55">
        <f>A49+1</f>
        <v>17</v>
      </c>
      <c r="B50" s="56" t="s">
        <v>146</v>
      </c>
      <c r="C50" s="148" t="e">
        <f>C19*$R$19</f>
        <v>#VALUE!</v>
      </c>
      <c r="D50" s="148">
        <f t="shared" ref="D50:O50" si="23">D19*$R$19</f>
        <v>0</v>
      </c>
      <c r="E50" s="148" t="e">
        <f t="shared" si="23"/>
        <v>#VALUE!</v>
      </c>
      <c r="F50" s="148">
        <f t="shared" si="23"/>
        <v>0</v>
      </c>
      <c r="G50" s="148">
        <f t="shared" si="23"/>
        <v>0</v>
      </c>
      <c r="H50" s="148">
        <f t="shared" si="23"/>
        <v>0</v>
      </c>
      <c r="I50" s="148" t="e">
        <f t="shared" si="23"/>
        <v>#VALUE!</v>
      </c>
      <c r="J50" s="148" t="e">
        <f t="shared" si="23"/>
        <v>#VALUE!</v>
      </c>
      <c r="K50" s="148" t="e">
        <f t="shared" si="23"/>
        <v>#VALUE!</v>
      </c>
      <c r="L50" s="148">
        <f t="shared" si="23"/>
        <v>0</v>
      </c>
      <c r="M50" s="148">
        <f t="shared" si="23"/>
        <v>0</v>
      </c>
      <c r="N50" s="148">
        <f t="shared" si="23"/>
        <v>0</v>
      </c>
      <c r="O50" s="148">
        <f t="shared" si="23"/>
        <v>0</v>
      </c>
      <c r="P50" s="39"/>
      <c r="Q50" s="33"/>
      <c r="R50" s="33"/>
      <c r="S50" s="40"/>
      <c r="T50" s="33"/>
      <c r="U50" s="39"/>
    </row>
    <row r="51" spans="1:21" ht="15" customHeight="1" x14ac:dyDescent="0.25">
      <c r="A51" s="55">
        <f>A50+1</f>
        <v>18</v>
      </c>
      <c r="B51" s="60" t="s">
        <v>147</v>
      </c>
      <c r="C51" s="149" t="e">
        <f>C20*$R$20</f>
        <v>#VALUE!</v>
      </c>
      <c r="D51" s="149">
        <f t="shared" ref="D51:O51" si="24">D20*$R$20</f>
        <v>0</v>
      </c>
      <c r="E51" s="149" t="e">
        <f t="shared" si="24"/>
        <v>#VALUE!</v>
      </c>
      <c r="F51" s="149">
        <f t="shared" si="24"/>
        <v>0</v>
      </c>
      <c r="G51" s="149">
        <f t="shared" si="24"/>
        <v>0</v>
      </c>
      <c r="H51" s="149">
        <f t="shared" si="24"/>
        <v>0</v>
      </c>
      <c r="I51" s="149" t="e">
        <f t="shared" si="24"/>
        <v>#VALUE!</v>
      </c>
      <c r="J51" s="149" t="e">
        <f t="shared" si="24"/>
        <v>#VALUE!</v>
      </c>
      <c r="K51" s="149" t="e">
        <f t="shared" si="24"/>
        <v>#VALUE!</v>
      </c>
      <c r="L51" s="149">
        <f t="shared" si="24"/>
        <v>0</v>
      </c>
      <c r="M51" s="149">
        <f t="shared" si="24"/>
        <v>0</v>
      </c>
      <c r="N51" s="149">
        <f t="shared" si="24"/>
        <v>0</v>
      </c>
      <c r="O51" s="149">
        <f t="shared" si="24"/>
        <v>0</v>
      </c>
      <c r="P51" s="39"/>
      <c r="Q51" s="33"/>
      <c r="R51" s="33"/>
      <c r="S51" s="40"/>
      <c r="T51" s="33"/>
      <c r="U51" s="39"/>
    </row>
    <row r="52" spans="1:21" ht="15" customHeight="1" x14ac:dyDescent="0.25">
      <c r="A52" s="66">
        <f t="shared" si="6"/>
        <v>19</v>
      </c>
      <c r="B52" s="67" t="s">
        <v>114</v>
      </c>
      <c r="C52" s="145" t="e">
        <f t="shared" ref="C52:D52" si="25">C21*$R$21</f>
        <v>#VALUE!</v>
      </c>
      <c r="D52" s="145" t="e">
        <f t="shared" si="25"/>
        <v>#VALUE!</v>
      </c>
      <c r="E52" s="145" t="e">
        <f>E21*$R$21</f>
        <v>#VALUE!</v>
      </c>
      <c r="F52" s="145" t="e">
        <f t="shared" ref="F52:H52" si="26">F21*$R$21</f>
        <v>#VALUE!</v>
      </c>
      <c r="G52" s="145" t="e">
        <f t="shared" si="26"/>
        <v>#VALUE!</v>
      </c>
      <c r="H52" s="145" t="e">
        <f t="shared" si="26"/>
        <v>#VALUE!</v>
      </c>
      <c r="I52" s="145" t="e">
        <f>I21*$R$21</f>
        <v>#VALUE!</v>
      </c>
      <c r="J52" s="145" t="e">
        <f t="shared" ref="J52:O52" si="27">J21*$R$21</f>
        <v>#VALUE!</v>
      </c>
      <c r="K52" s="145" t="e">
        <f t="shared" si="27"/>
        <v>#VALUE!</v>
      </c>
      <c r="L52" s="145" t="e">
        <f t="shared" si="27"/>
        <v>#VALUE!</v>
      </c>
      <c r="M52" s="145" t="e">
        <f t="shared" si="27"/>
        <v>#VALUE!</v>
      </c>
      <c r="N52" s="145" t="e">
        <f t="shared" si="27"/>
        <v>#VALUE!</v>
      </c>
      <c r="O52" s="145" t="e">
        <f t="shared" si="27"/>
        <v>#VALUE!</v>
      </c>
      <c r="P52" s="39"/>
      <c r="Q52" s="33"/>
      <c r="R52" s="33"/>
      <c r="S52" s="40"/>
      <c r="T52" s="33"/>
      <c r="U52" s="39"/>
    </row>
    <row r="53" spans="1:21" ht="15" customHeight="1" x14ac:dyDescent="0.25">
      <c r="A53" s="9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3"/>
      <c r="R53" s="33"/>
      <c r="S53" s="40"/>
      <c r="T53" s="33"/>
      <c r="U53" s="39"/>
    </row>
    <row r="54" spans="1:21" ht="15" customHeight="1" x14ac:dyDescent="0.25">
      <c r="A54" s="9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3"/>
      <c r="R54" s="33"/>
      <c r="S54" s="40"/>
      <c r="T54" s="33"/>
      <c r="U54" s="39"/>
    </row>
    <row r="55" spans="1:21" ht="15" customHeight="1" x14ac:dyDescent="0.25">
      <c r="A55" s="98"/>
      <c r="B55" s="39"/>
      <c r="C55" s="39"/>
      <c r="D55" s="39"/>
      <c r="E55" s="39"/>
      <c r="F55" s="39"/>
      <c r="G55" s="39" t="s">
        <v>3</v>
      </c>
      <c r="H55" s="39"/>
      <c r="I55" s="39"/>
      <c r="J55" s="39"/>
      <c r="K55" s="39"/>
      <c r="L55" s="39"/>
      <c r="M55" s="39"/>
      <c r="N55" s="39"/>
      <c r="O55" s="39"/>
      <c r="P55" s="39"/>
      <c r="Q55" s="33"/>
      <c r="R55" s="33"/>
      <c r="S55" s="40"/>
      <c r="T55" s="33"/>
      <c r="U55" s="39"/>
    </row>
    <row r="56" spans="1:21" x14ac:dyDescent="0.25">
      <c r="A56" s="98"/>
      <c r="B56" s="39"/>
      <c r="C56" s="33"/>
      <c r="D56" s="33" t="e">
        <f>E56*'4'!E9</f>
        <v>#VALUE!</v>
      </c>
      <c r="E56" s="82" t="e">
        <f>SUM(E57:E63)</f>
        <v>#VALUE!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T56" s="33"/>
      <c r="U56" s="40"/>
    </row>
    <row r="57" spans="1:21" x14ac:dyDescent="0.25">
      <c r="A57" s="98"/>
      <c r="B57" s="86" t="s">
        <v>105</v>
      </c>
      <c r="C57" s="82" t="e">
        <f>'D4'!C57</f>
        <v>#VALUE!</v>
      </c>
      <c r="D57" s="87" t="s">
        <v>40</v>
      </c>
      <c r="E57" s="82" t="e">
        <f>C57*4.7</f>
        <v>#VALUE!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T57" s="33"/>
      <c r="U57" s="40"/>
    </row>
    <row r="58" spans="1:21" x14ac:dyDescent="0.25">
      <c r="A58" s="98"/>
      <c r="B58" s="81" t="s">
        <v>123</v>
      </c>
      <c r="C58" s="89">
        <f>'D4'!C71</f>
        <v>0</v>
      </c>
      <c r="D58" s="85" t="s">
        <v>40</v>
      </c>
      <c r="E58" s="89">
        <f>C58*3</f>
        <v>0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T58" s="33"/>
      <c r="U58" s="40"/>
    </row>
    <row r="59" spans="1:21" x14ac:dyDescent="0.25">
      <c r="A59" s="98"/>
      <c r="B59" s="81" t="s">
        <v>125</v>
      </c>
      <c r="C59" s="89">
        <f>'D4'!C123</f>
        <v>0</v>
      </c>
      <c r="D59" s="136" t="s">
        <v>40</v>
      </c>
      <c r="E59" s="89">
        <f>C59*1</f>
        <v>0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T59" s="33"/>
      <c r="U59" s="40"/>
    </row>
    <row r="60" spans="1:21" ht="15" customHeight="1" x14ac:dyDescent="0.25">
      <c r="A60" s="98"/>
      <c r="B60" s="81" t="s">
        <v>124</v>
      </c>
      <c r="C60" s="89">
        <f>'D4'!C124</f>
        <v>0</v>
      </c>
      <c r="D60" s="85" t="s">
        <v>40</v>
      </c>
      <c r="E60" s="82">
        <f>C60*1.9</f>
        <v>0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T60" s="33"/>
      <c r="U60" s="40"/>
    </row>
    <row r="61" spans="1:21" x14ac:dyDescent="0.25">
      <c r="A61" s="98"/>
      <c r="B61" s="95" t="s">
        <v>154</v>
      </c>
      <c r="C61" s="89">
        <f>'D4'!C157</f>
        <v>0</v>
      </c>
      <c r="D61" s="85" t="s">
        <v>40</v>
      </c>
      <c r="E61" s="89">
        <f>C61*3.67</f>
        <v>0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T61" s="33"/>
      <c r="U61" s="40"/>
    </row>
    <row r="62" spans="1:21" x14ac:dyDescent="0.25">
      <c r="A62" s="98"/>
      <c r="B62" s="81" t="s">
        <v>201</v>
      </c>
      <c r="C62" s="89">
        <f>IF('4'!$D$15="SAYANEH",'D4'!C171,0)</f>
        <v>0</v>
      </c>
      <c r="D62" s="85" t="s">
        <v>40</v>
      </c>
      <c r="E62" s="82">
        <f>C62*4.2</f>
        <v>0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T62" s="33"/>
      <c r="U62" s="40"/>
    </row>
    <row r="63" spans="1:21" x14ac:dyDescent="0.25">
      <c r="A63" s="98"/>
      <c r="B63" s="81" t="s">
        <v>202</v>
      </c>
      <c r="C63" s="89">
        <f>IF('4'!$D$15="SAYANEH",'D4'!C172,0)</f>
        <v>0</v>
      </c>
      <c r="D63" s="85" t="s">
        <v>40</v>
      </c>
      <c r="E63" s="82">
        <f>C63*4.2</f>
        <v>0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T63" s="33"/>
      <c r="U63" s="40"/>
    </row>
    <row r="64" spans="1:21" x14ac:dyDescent="0.25">
      <c r="A64" s="98"/>
      <c r="B64" s="81" t="s">
        <v>203</v>
      </c>
      <c r="C64" s="89">
        <f>IF('4'!$D$15="PAVLION",'D4'!C182,0)</f>
        <v>0</v>
      </c>
      <c r="D64" s="85" t="s">
        <v>40</v>
      </c>
      <c r="E64" s="82">
        <f>C64*4.2</f>
        <v>0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T64" s="33"/>
      <c r="U64" s="40"/>
    </row>
    <row r="65" spans="1:21" x14ac:dyDescent="0.25">
      <c r="A65" s="98"/>
      <c r="B65" s="81" t="s">
        <v>204</v>
      </c>
      <c r="C65" s="89">
        <f>IF('4'!$D$15="PAVLION",'D4'!C183,0)</f>
        <v>0</v>
      </c>
      <c r="D65" s="85" t="s">
        <v>40</v>
      </c>
      <c r="E65" s="82">
        <f>C65*4.2</f>
        <v>0</v>
      </c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T65" s="33"/>
      <c r="U65" s="33"/>
    </row>
    <row r="66" spans="1:21" x14ac:dyDescent="0.25">
      <c r="A66" s="9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40"/>
      <c r="T66" s="33"/>
    </row>
    <row r="67" spans="1:21" x14ac:dyDescent="0.25">
      <c r="A67" s="98"/>
      <c r="B67" s="114" t="s">
        <v>193</v>
      </c>
      <c r="C67" s="114" t="e">
        <f>C32</f>
        <v>#VALUE!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U67" s="33"/>
    </row>
    <row r="68" spans="1:21" x14ac:dyDescent="0.25">
      <c r="A68" s="98"/>
      <c r="B68" s="132" t="s">
        <v>194</v>
      </c>
      <c r="C68" s="115" t="e">
        <f>D32</f>
        <v>#VALUE!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U68" s="101"/>
    </row>
    <row r="69" spans="1:21" x14ac:dyDescent="0.25">
      <c r="A69" s="98"/>
      <c r="B69" s="114" t="s">
        <v>195</v>
      </c>
      <c r="C69" s="114" t="e">
        <f>E32</f>
        <v>#VALUE!</v>
      </c>
    </row>
    <row r="70" spans="1:21" x14ac:dyDescent="0.25">
      <c r="A70" s="98"/>
      <c r="B70" s="132" t="s">
        <v>197</v>
      </c>
      <c r="C70" s="115" t="e">
        <f>F32</f>
        <v>#VALUE!</v>
      </c>
      <c r="U70" s="40"/>
    </row>
    <row r="71" spans="1:21" x14ac:dyDescent="0.25">
      <c r="A71" s="98"/>
      <c r="B71" s="114" t="s">
        <v>196</v>
      </c>
      <c r="C71" s="114" t="e">
        <f>H32</f>
        <v>#VALUE!</v>
      </c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U71" s="40"/>
    </row>
    <row r="72" spans="1:21" x14ac:dyDescent="0.25">
      <c r="A72" s="98"/>
      <c r="B72" s="132" t="s">
        <v>199</v>
      </c>
      <c r="C72" s="116" t="e">
        <f>G32</f>
        <v>#VALUE!</v>
      </c>
      <c r="Q72" s="103"/>
      <c r="R72" s="104"/>
      <c r="S72" s="104"/>
      <c r="U72" s="40"/>
    </row>
    <row r="73" spans="1:21" x14ac:dyDescent="0.25">
      <c r="A73" s="98"/>
      <c r="B73" s="133" t="s">
        <v>200</v>
      </c>
      <c r="C73" s="114" t="e">
        <f>I32</f>
        <v>#VALUE!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98"/>
      <c r="R73" s="98"/>
      <c r="S73" s="98"/>
      <c r="T73" s="33"/>
      <c r="U73" s="40"/>
    </row>
    <row r="74" spans="1:21" ht="15" customHeight="1" x14ac:dyDescent="0.25">
      <c r="A74" s="98"/>
      <c r="B74" s="165" t="s">
        <v>217</v>
      </c>
      <c r="C74" s="116" t="e">
        <f>J32</f>
        <v>#VALUE!</v>
      </c>
      <c r="Q74" s="106"/>
      <c r="R74" s="106"/>
      <c r="S74" s="106"/>
      <c r="T74" s="33"/>
      <c r="U74" s="40"/>
    </row>
    <row r="75" spans="1:21" x14ac:dyDescent="0.25">
      <c r="A75" s="98"/>
      <c r="B75" s="114" t="s">
        <v>218</v>
      </c>
      <c r="C75" s="116" t="e">
        <f>K32</f>
        <v>#VALUE!</v>
      </c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99"/>
      <c r="R75" s="99"/>
      <c r="S75" s="100"/>
      <c r="U75" s="33"/>
    </row>
    <row r="76" spans="1:21" x14ac:dyDescent="0.25">
      <c r="A76" s="98"/>
      <c r="B76" s="132" t="s">
        <v>219</v>
      </c>
      <c r="C76" s="115" t="e">
        <f>L32</f>
        <v>#VALUE!</v>
      </c>
      <c r="U76" s="33"/>
    </row>
    <row r="77" spans="1:21" x14ac:dyDescent="0.25">
      <c r="A77" s="98"/>
      <c r="B77" s="114" t="s">
        <v>220</v>
      </c>
      <c r="C77" s="114">
        <f>(Q2*1900000)+(Q2*0.7*1200000)</f>
        <v>0</v>
      </c>
    </row>
    <row r="78" spans="1:21" x14ac:dyDescent="0.25">
      <c r="A78" s="98"/>
      <c r="B78" s="132" t="s">
        <v>221</v>
      </c>
      <c r="C78" s="116" t="e">
        <f>N32</f>
        <v>#VALUE!</v>
      </c>
      <c r="U78" s="101"/>
    </row>
    <row r="79" spans="1:21" x14ac:dyDescent="0.25">
      <c r="A79" s="98"/>
      <c r="B79" s="133" t="s">
        <v>222</v>
      </c>
      <c r="C79" s="114" t="e">
        <f>O32</f>
        <v>#VALUE!</v>
      </c>
    </row>
    <row r="80" spans="1:21" x14ac:dyDescent="0.25">
      <c r="A80" s="34"/>
      <c r="U80" s="40"/>
    </row>
    <row r="81" spans="1:21" x14ac:dyDescent="0.25">
      <c r="A81" s="98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T81" s="33"/>
      <c r="U81" s="40"/>
    </row>
    <row r="82" spans="1:21" x14ac:dyDescent="0.25">
      <c r="A82" s="98"/>
      <c r="B82" s="114" t="s">
        <v>223</v>
      </c>
      <c r="C82" s="114" t="e">
        <f>C67+C73</f>
        <v>#VALUE!</v>
      </c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8"/>
      <c r="R82" s="109"/>
      <c r="S82" s="109"/>
      <c r="T82" s="33"/>
      <c r="U82" s="40"/>
    </row>
    <row r="83" spans="1:21" x14ac:dyDescent="0.25">
      <c r="B83" s="132" t="s">
        <v>194</v>
      </c>
      <c r="C83" s="115" t="e">
        <f>C68</f>
        <v>#VALUE!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U83" s="40"/>
    </row>
    <row r="84" spans="1:21" x14ac:dyDescent="0.25">
      <c r="A84" s="98"/>
      <c r="B84" s="114" t="s">
        <v>195</v>
      </c>
      <c r="C84" s="114" t="e">
        <f>C69+C70+C71</f>
        <v>#VALUE!</v>
      </c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</row>
    <row r="85" spans="1:21" x14ac:dyDescent="0.25">
      <c r="A85" s="98"/>
      <c r="B85" s="132" t="s">
        <v>199</v>
      </c>
      <c r="C85" s="116" t="e">
        <f>C72</f>
        <v>#VALUE!</v>
      </c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</row>
    <row r="86" spans="1:21" x14ac:dyDescent="0.25">
      <c r="A86" s="98"/>
      <c r="B86" s="165" t="s">
        <v>217</v>
      </c>
      <c r="C86" s="116" t="e">
        <f t="shared" ref="C86:C91" si="28">C74</f>
        <v>#VALUE!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</row>
    <row r="87" spans="1:21" x14ac:dyDescent="0.25">
      <c r="A87" s="98"/>
      <c r="B87" s="114" t="s">
        <v>218</v>
      </c>
      <c r="C87" s="116" t="e">
        <f t="shared" si="28"/>
        <v>#VALUE!</v>
      </c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</row>
    <row r="88" spans="1:21" x14ac:dyDescent="0.25">
      <c r="A88" s="98"/>
      <c r="B88" s="132" t="s">
        <v>219</v>
      </c>
      <c r="C88" s="115" t="e">
        <f t="shared" si="28"/>
        <v>#VALUE!</v>
      </c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</row>
    <row r="89" spans="1:21" x14ac:dyDescent="0.25">
      <c r="B89" s="114" t="s">
        <v>220</v>
      </c>
      <c r="C89" s="114">
        <f t="shared" si="28"/>
        <v>0</v>
      </c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</row>
    <row r="90" spans="1:21" x14ac:dyDescent="0.25">
      <c r="B90" s="132" t="s">
        <v>221</v>
      </c>
      <c r="C90" s="116" t="e">
        <f t="shared" si="28"/>
        <v>#VALUE!</v>
      </c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</row>
    <row r="91" spans="1:21" x14ac:dyDescent="0.25">
      <c r="B91" s="133" t="s">
        <v>222</v>
      </c>
      <c r="C91" s="114" t="e">
        <f t="shared" si="28"/>
        <v>#VALUE!</v>
      </c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</row>
    <row r="92" spans="1:21" x14ac:dyDescent="0.25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</row>
    <row r="93" spans="1:21" x14ac:dyDescent="0.25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</row>
    <row r="94" spans="1:21" x14ac:dyDescent="0.25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</row>
    <row r="95" spans="1:21" x14ac:dyDescent="0.25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</row>
    <row r="96" spans="1:21" x14ac:dyDescent="0.25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U96" s="40"/>
    </row>
    <row r="97" spans="1:21" x14ac:dyDescent="0.25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U97" s="40"/>
    </row>
    <row r="98" spans="1:21" x14ac:dyDescent="0.25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U98" s="40"/>
    </row>
    <row r="99" spans="1:21" x14ac:dyDescent="0.25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U99" s="40"/>
    </row>
    <row r="100" spans="1:21" x14ac:dyDescent="0.25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U100" s="40"/>
    </row>
    <row r="101" spans="1:21" x14ac:dyDescent="0.25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U101" s="40"/>
    </row>
    <row r="102" spans="1:21" x14ac:dyDescent="0.25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U102" s="40"/>
    </row>
    <row r="103" spans="1:21" x14ac:dyDescent="0.25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U103" s="40"/>
    </row>
    <row r="104" spans="1:21" x14ac:dyDescent="0.25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U104" s="40"/>
    </row>
    <row r="105" spans="1:21" x14ac:dyDescent="0.25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U105" s="40"/>
    </row>
    <row r="106" spans="1:21" x14ac:dyDescent="0.25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U106" s="40"/>
    </row>
    <row r="107" spans="1:21" x14ac:dyDescent="0.25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U107" s="40"/>
    </row>
    <row r="108" spans="1:21" x14ac:dyDescent="0.25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U108" s="40"/>
    </row>
    <row r="109" spans="1:21" x14ac:dyDescent="0.25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U109" s="40"/>
    </row>
    <row r="110" spans="1:21" x14ac:dyDescent="0.25">
      <c r="A110" s="98"/>
      <c r="Q110" s="98"/>
      <c r="R110" s="98"/>
      <c r="S110" s="111"/>
    </row>
    <row r="111" spans="1:21" x14ac:dyDescent="0.25">
      <c r="A111" s="98"/>
      <c r="Q111" s="98"/>
      <c r="R111" s="98"/>
      <c r="S111" s="111"/>
    </row>
    <row r="112" spans="1:21" x14ac:dyDescent="0.25">
      <c r="A112" s="98"/>
      <c r="Q112" s="98"/>
      <c r="R112" s="98"/>
      <c r="S112" s="111"/>
    </row>
    <row r="113" spans="1:19" x14ac:dyDescent="0.25">
      <c r="A113" s="98"/>
      <c r="Q113" s="98"/>
      <c r="R113" s="98"/>
      <c r="S113" s="111"/>
    </row>
    <row r="114" spans="1:19" x14ac:dyDescent="0.25">
      <c r="A114" s="98"/>
      <c r="Q114" s="98"/>
      <c r="R114" s="98"/>
      <c r="S114" s="111"/>
    </row>
    <row r="115" spans="1:19" x14ac:dyDescent="0.25">
      <c r="A115" s="98"/>
      <c r="Q115" s="98"/>
      <c r="R115" s="98"/>
      <c r="S115" s="111"/>
    </row>
  </sheetData>
  <sheetProtection formatCells="0" formatColumns="0" formatRows="0" insertColumns="0" insertRows="0" insertHyperlinks="0" deleteColumns="0" deleteRows="0" sort="0" autoFilter="0" pivotTables="0"/>
  <mergeCells count="15">
    <mergeCell ref="S27:T27"/>
    <mergeCell ref="S28:T28"/>
    <mergeCell ref="S29:T29"/>
    <mergeCell ref="T19:T20"/>
    <mergeCell ref="S22:T22"/>
    <mergeCell ref="S23:T23"/>
    <mergeCell ref="S24:T24"/>
    <mergeCell ref="S25:T25"/>
    <mergeCell ref="S26:T26"/>
    <mergeCell ref="T17:T18"/>
    <mergeCell ref="T3:T6"/>
    <mergeCell ref="T7:T8"/>
    <mergeCell ref="T9:T11"/>
    <mergeCell ref="T12:T13"/>
    <mergeCell ref="T14:T15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97"/>
  <sheetViews>
    <sheetView rightToLeft="1" topLeftCell="A91" workbookViewId="0">
      <selection activeCell="F102" sqref="F102"/>
    </sheetView>
  </sheetViews>
  <sheetFormatPr defaultRowHeight="15" x14ac:dyDescent="0.25"/>
  <cols>
    <col min="1" max="1" width="2.85546875" customWidth="1"/>
    <col min="2" max="2" width="25.28515625" customWidth="1"/>
    <col min="3" max="5" width="11" customWidth="1"/>
    <col min="6" max="6" width="12" customWidth="1"/>
    <col min="8" max="8" width="24.140625" customWidth="1"/>
    <col min="11" max="11" width="11.42578125" customWidth="1"/>
    <col min="12" max="12" width="10.42578125" customWidth="1"/>
  </cols>
  <sheetData>
    <row r="1" spans="1:12" x14ac:dyDescent="0.25">
      <c r="A1" s="134"/>
      <c r="B1" s="134"/>
      <c r="C1" s="134"/>
      <c r="D1" s="134"/>
      <c r="E1" s="134"/>
      <c r="F1" s="134"/>
    </row>
    <row r="2" spans="1:12" ht="15" customHeight="1" x14ac:dyDescent="0.25">
      <c r="B2" s="72"/>
      <c r="C2" s="72"/>
      <c r="D2" s="72"/>
      <c r="E2" s="72"/>
      <c r="F2" s="72"/>
      <c r="H2" s="75"/>
      <c r="I2" s="72"/>
      <c r="J2" s="72"/>
      <c r="K2" s="72"/>
      <c r="L2" s="72"/>
    </row>
    <row r="3" spans="1:12" ht="15" customHeight="1" x14ac:dyDescent="0.25">
      <c r="B3" s="76" t="s">
        <v>137</v>
      </c>
      <c r="C3" s="590" t="s">
        <v>158</v>
      </c>
      <c r="D3" s="590"/>
      <c r="E3" s="590"/>
      <c r="F3" s="78"/>
      <c r="H3" s="76" t="s">
        <v>136</v>
      </c>
      <c r="I3" s="593" t="s">
        <v>157</v>
      </c>
      <c r="J3" s="594"/>
      <c r="K3" s="595"/>
      <c r="L3" s="77"/>
    </row>
    <row r="4" spans="1:12" ht="15" customHeight="1" x14ac:dyDescent="0.25">
      <c r="B4" s="229" t="s">
        <v>180</v>
      </c>
      <c r="C4" s="79" t="s">
        <v>4</v>
      </c>
      <c r="D4" s="79" t="s">
        <v>15</v>
      </c>
      <c r="E4" s="80" t="s">
        <v>16</v>
      </c>
      <c r="F4" s="78" t="s">
        <v>3</v>
      </c>
      <c r="H4" s="229" t="s">
        <v>179</v>
      </c>
      <c r="I4" s="79" t="s">
        <v>4</v>
      </c>
      <c r="J4" s="79" t="s">
        <v>15</v>
      </c>
      <c r="K4" s="80" t="s">
        <v>16</v>
      </c>
      <c r="L4" s="78"/>
    </row>
    <row r="5" spans="1:12" ht="15" customHeight="1" x14ac:dyDescent="0.25">
      <c r="B5" s="81" t="s">
        <v>17</v>
      </c>
      <c r="C5" s="82">
        <v>1</v>
      </c>
      <c r="D5" s="83" t="s">
        <v>18</v>
      </c>
      <c r="E5" s="78">
        <f>F5*C5</f>
        <v>1050000</v>
      </c>
      <c r="F5" s="117">
        <v>1050000</v>
      </c>
      <c r="H5" s="81" t="s">
        <v>17</v>
      </c>
      <c r="I5" s="82">
        <v>1</v>
      </c>
      <c r="J5" s="83" t="s">
        <v>18</v>
      </c>
      <c r="K5" s="78">
        <f>L5*I5</f>
        <v>1250000</v>
      </c>
      <c r="L5" s="117">
        <v>1250000</v>
      </c>
    </row>
    <row r="6" spans="1:12" ht="15" customHeight="1" x14ac:dyDescent="0.25">
      <c r="B6" s="81" t="s">
        <v>186</v>
      </c>
      <c r="C6" s="82">
        <v>1</v>
      </c>
      <c r="D6" s="83" t="s">
        <v>18</v>
      </c>
      <c r="E6" s="78">
        <f t="shared" ref="E6:E12" si="0">F6*C6</f>
        <v>680000</v>
      </c>
      <c r="F6" s="117">
        <v>680000</v>
      </c>
      <c r="H6" s="81" t="s">
        <v>19</v>
      </c>
      <c r="I6" s="82">
        <v>1</v>
      </c>
      <c r="J6" s="83" t="s">
        <v>18</v>
      </c>
      <c r="K6" s="78">
        <f t="shared" ref="K6:K12" si="1">L6*I6</f>
        <v>680000</v>
      </c>
      <c r="L6" s="117">
        <v>680000</v>
      </c>
    </row>
    <row r="7" spans="1:12" ht="15" customHeight="1" x14ac:dyDescent="0.25">
      <c r="B7" s="81" t="s">
        <v>20</v>
      </c>
      <c r="C7" s="82">
        <v>2</v>
      </c>
      <c r="D7" s="83" t="s">
        <v>18</v>
      </c>
      <c r="E7" s="78">
        <f t="shared" si="0"/>
        <v>120000</v>
      </c>
      <c r="F7" s="117">
        <v>60000</v>
      </c>
      <c r="H7" s="81" t="s">
        <v>20</v>
      </c>
      <c r="I7" s="82">
        <v>2</v>
      </c>
      <c r="J7" s="83" t="s">
        <v>18</v>
      </c>
      <c r="K7" s="78">
        <f t="shared" si="1"/>
        <v>120000</v>
      </c>
      <c r="L7" s="117">
        <v>60000</v>
      </c>
    </row>
    <row r="8" spans="1:12" ht="15" customHeight="1" x14ac:dyDescent="0.25">
      <c r="B8" s="81" t="s">
        <v>21</v>
      </c>
      <c r="C8" s="82">
        <v>1</v>
      </c>
      <c r="D8" s="83" t="s">
        <v>18</v>
      </c>
      <c r="E8" s="78">
        <f t="shared" si="0"/>
        <v>250000</v>
      </c>
      <c r="F8" s="117">
        <v>250000</v>
      </c>
      <c r="H8" s="81" t="s">
        <v>21</v>
      </c>
      <c r="I8" s="82">
        <v>2</v>
      </c>
      <c r="J8" s="83" t="s">
        <v>18</v>
      </c>
      <c r="K8" s="78">
        <f t="shared" si="1"/>
        <v>500000</v>
      </c>
      <c r="L8" s="117">
        <v>250000</v>
      </c>
    </row>
    <row r="9" spans="1:12" ht="15" customHeight="1" x14ac:dyDescent="0.25">
      <c r="B9" s="81" t="s">
        <v>22</v>
      </c>
      <c r="C9" s="82">
        <v>2</v>
      </c>
      <c r="D9" s="83" t="s">
        <v>18</v>
      </c>
      <c r="E9" s="78">
        <f t="shared" si="0"/>
        <v>24000</v>
      </c>
      <c r="F9" s="117">
        <v>12000</v>
      </c>
      <c r="H9" s="81" t="s">
        <v>22</v>
      </c>
      <c r="I9" s="82">
        <v>2</v>
      </c>
      <c r="J9" s="83" t="s">
        <v>18</v>
      </c>
      <c r="K9" s="78">
        <f t="shared" si="1"/>
        <v>24000</v>
      </c>
      <c r="L9" s="117">
        <v>12000</v>
      </c>
    </row>
    <row r="10" spans="1:12" ht="15" customHeight="1" x14ac:dyDescent="0.25">
      <c r="B10" s="81" t="s">
        <v>23</v>
      </c>
      <c r="C10" s="82">
        <v>8</v>
      </c>
      <c r="D10" s="83" t="s">
        <v>18</v>
      </c>
      <c r="E10" s="78">
        <f t="shared" si="0"/>
        <v>48000</v>
      </c>
      <c r="F10" s="117">
        <v>6000</v>
      </c>
      <c r="H10" s="81" t="s">
        <v>23</v>
      </c>
      <c r="I10" s="82">
        <v>8</v>
      </c>
      <c r="J10" s="83" t="s">
        <v>18</v>
      </c>
      <c r="K10" s="78">
        <f t="shared" si="1"/>
        <v>48000</v>
      </c>
      <c r="L10" s="117">
        <v>6000</v>
      </c>
    </row>
    <row r="11" spans="1:12" ht="15" customHeight="1" x14ac:dyDescent="0.25">
      <c r="B11" s="81" t="s">
        <v>159</v>
      </c>
      <c r="C11" s="82">
        <v>2</v>
      </c>
      <c r="D11" s="83" t="s">
        <v>18</v>
      </c>
      <c r="E11" s="78">
        <f t="shared" si="0"/>
        <v>20000</v>
      </c>
      <c r="F11" s="117">
        <v>10000</v>
      </c>
      <c r="H11" s="81" t="s">
        <v>159</v>
      </c>
      <c r="I11" s="82">
        <v>2</v>
      </c>
      <c r="J11" s="83" t="s">
        <v>18</v>
      </c>
      <c r="K11" s="78">
        <f t="shared" si="1"/>
        <v>20000</v>
      </c>
      <c r="L11" s="117">
        <v>10000</v>
      </c>
    </row>
    <row r="12" spans="1:12" ht="15" customHeight="1" x14ac:dyDescent="0.25">
      <c r="B12" s="81" t="s">
        <v>106</v>
      </c>
      <c r="C12" s="82">
        <v>1.8</v>
      </c>
      <c r="D12" s="85" t="s">
        <v>107</v>
      </c>
      <c r="E12" s="78">
        <f t="shared" si="0"/>
        <v>810000</v>
      </c>
      <c r="F12" s="117">
        <f>'A4'!$T$2</f>
        <v>450000</v>
      </c>
      <c r="H12" s="81" t="s">
        <v>106</v>
      </c>
      <c r="I12" s="82">
        <v>2.5</v>
      </c>
      <c r="J12" s="85" t="s">
        <v>107</v>
      </c>
      <c r="K12" s="78">
        <f t="shared" si="1"/>
        <v>1125000</v>
      </c>
      <c r="L12" s="117">
        <f>'A4'!$T$2</f>
        <v>450000</v>
      </c>
    </row>
    <row r="13" spans="1:12" ht="15" customHeight="1" x14ac:dyDescent="0.25">
      <c r="B13" s="120"/>
      <c r="C13" s="591">
        <f>SUM(E5:E13)</f>
        <v>3002000</v>
      </c>
      <c r="D13" s="592"/>
      <c r="E13" s="592"/>
      <c r="F13" s="121"/>
      <c r="H13" s="81"/>
      <c r="I13" s="591">
        <f>SUM(K5:K13)</f>
        <v>3767000</v>
      </c>
      <c r="J13" s="592"/>
      <c r="K13" s="592"/>
      <c r="L13" s="78"/>
    </row>
    <row r="14" spans="1:12" ht="15" customHeight="1" x14ac:dyDescent="0.25">
      <c r="B14" s="74"/>
      <c r="C14" s="72"/>
      <c r="D14" s="72"/>
      <c r="E14" s="72"/>
      <c r="F14" s="72"/>
      <c r="H14" s="72"/>
      <c r="I14" s="72"/>
      <c r="J14" s="72"/>
      <c r="K14" s="72"/>
      <c r="L14" s="72"/>
    </row>
    <row r="15" spans="1:12" ht="15.75" x14ac:dyDescent="0.25">
      <c r="B15" s="81"/>
      <c r="C15" s="590" t="s">
        <v>160</v>
      </c>
      <c r="D15" s="590"/>
      <c r="E15" s="590"/>
      <c r="F15" s="78"/>
    </row>
    <row r="16" spans="1:12" x14ac:dyDescent="0.25">
      <c r="B16" s="229" t="s">
        <v>5</v>
      </c>
      <c r="C16" s="79" t="s">
        <v>4</v>
      </c>
      <c r="D16" s="79" t="s">
        <v>15</v>
      </c>
      <c r="E16" s="80" t="s">
        <v>16</v>
      </c>
      <c r="F16" s="78"/>
    </row>
    <row r="17" spans="2:6" x14ac:dyDescent="0.25">
      <c r="B17" s="81" t="s">
        <v>24</v>
      </c>
      <c r="C17" s="82">
        <v>2</v>
      </c>
      <c r="D17" s="83" t="s">
        <v>18</v>
      </c>
      <c r="E17" s="78">
        <f>F17*C17</f>
        <v>260000</v>
      </c>
      <c r="F17" s="117">
        <v>130000</v>
      </c>
    </row>
    <row r="18" spans="2:6" x14ac:dyDescent="0.25">
      <c r="B18" s="81" t="s">
        <v>187</v>
      </c>
      <c r="C18" s="82">
        <v>2</v>
      </c>
      <c r="D18" s="83" t="s">
        <v>18</v>
      </c>
      <c r="E18" s="78">
        <f t="shared" ref="E18:E32" si="2">F18*C18</f>
        <v>160000</v>
      </c>
      <c r="F18" s="117">
        <v>80000</v>
      </c>
    </row>
    <row r="19" spans="2:6" x14ac:dyDescent="0.25">
      <c r="B19" s="81" t="s">
        <v>26</v>
      </c>
      <c r="C19" s="82">
        <v>2</v>
      </c>
      <c r="D19" s="83" t="s">
        <v>18</v>
      </c>
      <c r="E19" s="78">
        <f t="shared" si="2"/>
        <v>700000</v>
      </c>
      <c r="F19" s="117">
        <v>350000</v>
      </c>
    </row>
    <row r="20" spans="2:6" x14ac:dyDescent="0.25">
      <c r="B20" s="81" t="s">
        <v>27</v>
      </c>
      <c r="C20" s="82">
        <v>1</v>
      </c>
      <c r="D20" s="83" t="s">
        <v>18</v>
      </c>
      <c r="E20" s="78">
        <f t="shared" si="2"/>
        <v>110000</v>
      </c>
      <c r="F20" s="117">
        <v>110000</v>
      </c>
    </row>
    <row r="21" spans="2:6" x14ac:dyDescent="0.25">
      <c r="B21" s="81" t="s">
        <v>28</v>
      </c>
      <c r="C21" s="82">
        <v>1</v>
      </c>
      <c r="D21" s="83" t="s">
        <v>18</v>
      </c>
      <c r="E21" s="78">
        <f t="shared" si="2"/>
        <v>400000</v>
      </c>
      <c r="F21" s="117">
        <v>400000</v>
      </c>
    </row>
    <row r="22" spans="2:6" x14ac:dyDescent="0.25">
      <c r="B22" s="81" t="s">
        <v>29</v>
      </c>
      <c r="C22" s="82">
        <v>1</v>
      </c>
      <c r="D22" s="83" t="s">
        <v>18</v>
      </c>
      <c r="E22" s="78">
        <f t="shared" si="2"/>
        <v>250000</v>
      </c>
      <c r="F22" s="117">
        <v>250000</v>
      </c>
    </row>
    <row r="23" spans="2:6" x14ac:dyDescent="0.25">
      <c r="B23" s="81" t="s">
        <v>30</v>
      </c>
      <c r="C23" s="82">
        <v>2</v>
      </c>
      <c r="D23" s="83" t="s">
        <v>18</v>
      </c>
      <c r="E23" s="78">
        <f t="shared" si="2"/>
        <v>50000</v>
      </c>
      <c r="F23" s="117">
        <v>25000</v>
      </c>
    </row>
    <row r="24" spans="2:6" x14ac:dyDescent="0.25">
      <c r="B24" s="81" t="s">
        <v>31</v>
      </c>
      <c r="C24" s="82">
        <v>8</v>
      </c>
      <c r="D24" s="83" t="s">
        <v>18</v>
      </c>
      <c r="E24" s="78">
        <f t="shared" si="2"/>
        <v>40000</v>
      </c>
      <c r="F24" s="117">
        <v>5000</v>
      </c>
    </row>
    <row r="25" spans="2:6" x14ac:dyDescent="0.25">
      <c r="B25" s="81" t="s">
        <v>32</v>
      </c>
      <c r="C25" s="82">
        <v>1</v>
      </c>
      <c r="D25" s="83" t="s">
        <v>18</v>
      </c>
      <c r="E25" s="78">
        <f t="shared" si="2"/>
        <v>100000</v>
      </c>
      <c r="F25" s="117">
        <v>100000</v>
      </c>
    </row>
    <row r="26" spans="2:6" x14ac:dyDescent="0.25">
      <c r="B26" s="81" t="s">
        <v>108</v>
      </c>
      <c r="C26" s="82">
        <v>2</v>
      </c>
      <c r="D26" s="83" t="s">
        <v>18</v>
      </c>
      <c r="E26" s="78">
        <f t="shared" si="2"/>
        <v>20000</v>
      </c>
      <c r="F26" s="117">
        <v>10000</v>
      </c>
    </row>
    <row r="27" spans="2:6" ht="24" x14ac:dyDescent="0.25">
      <c r="B27" s="81" t="s">
        <v>33</v>
      </c>
      <c r="C27" s="82">
        <v>8</v>
      </c>
      <c r="D27" s="83" t="s">
        <v>18</v>
      </c>
      <c r="E27" s="78">
        <f t="shared" si="2"/>
        <v>80000</v>
      </c>
      <c r="F27" s="117">
        <v>10000</v>
      </c>
    </row>
    <row r="28" spans="2:6" ht="24" x14ac:dyDescent="0.25">
      <c r="B28" s="81" t="s">
        <v>162</v>
      </c>
      <c r="C28" s="82">
        <v>4</v>
      </c>
      <c r="D28" s="83" t="s">
        <v>18</v>
      </c>
      <c r="E28" s="78">
        <f t="shared" si="2"/>
        <v>40000</v>
      </c>
      <c r="F28" s="117">
        <v>10000</v>
      </c>
    </row>
    <row r="29" spans="2:6" x14ac:dyDescent="0.25">
      <c r="B29" s="81" t="s">
        <v>34</v>
      </c>
      <c r="C29" s="82">
        <v>2</v>
      </c>
      <c r="D29" s="83" t="s">
        <v>18</v>
      </c>
      <c r="E29" s="78">
        <f t="shared" si="2"/>
        <v>40000</v>
      </c>
      <c r="F29" s="117">
        <v>20000</v>
      </c>
    </row>
    <row r="30" spans="2:6" ht="24" x14ac:dyDescent="0.25">
      <c r="B30" s="81" t="s">
        <v>35</v>
      </c>
      <c r="C30" s="82">
        <v>8</v>
      </c>
      <c r="D30" s="83" t="s">
        <v>18</v>
      </c>
      <c r="E30" s="78">
        <f t="shared" si="2"/>
        <v>120000</v>
      </c>
      <c r="F30" s="117">
        <v>15000</v>
      </c>
    </row>
    <row r="31" spans="2:6" x14ac:dyDescent="0.25">
      <c r="B31" s="81" t="s">
        <v>36</v>
      </c>
      <c r="C31" s="82">
        <v>3</v>
      </c>
      <c r="D31" s="83" t="s">
        <v>18</v>
      </c>
      <c r="E31" s="78">
        <f t="shared" si="2"/>
        <v>30000</v>
      </c>
      <c r="F31" s="117">
        <v>10000</v>
      </c>
    </row>
    <row r="32" spans="2:6" x14ac:dyDescent="0.25">
      <c r="B32" s="81" t="s">
        <v>37</v>
      </c>
      <c r="C32" s="82">
        <v>1</v>
      </c>
      <c r="D32" s="83" t="s">
        <v>18</v>
      </c>
      <c r="E32" s="78">
        <f t="shared" si="2"/>
        <v>5000</v>
      </c>
      <c r="F32" s="117">
        <v>5000</v>
      </c>
    </row>
    <row r="33" spans="2:6" ht="21" x14ac:dyDescent="0.25">
      <c r="B33" s="81"/>
      <c r="C33" s="591">
        <f>SUM(E17:E32)</f>
        <v>2405000</v>
      </c>
      <c r="D33" s="592"/>
      <c r="E33" s="592"/>
      <c r="F33" s="78"/>
    </row>
    <row r="34" spans="2:6" x14ac:dyDescent="0.25">
      <c r="B34" s="74"/>
      <c r="C34" s="74"/>
      <c r="D34" s="74"/>
      <c r="E34" s="74"/>
      <c r="F34" s="74"/>
    </row>
    <row r="35" spans="2:6" ht="15.75" x14ac:dyDescent="0.25">
      <c r="B35" s="81"/>
      <c r="C35" s="590" t="s">
        <v>161</v>
      </c>
      <c r="D35" s="590"/>
      <c r="E35" s="590"/>
      <c r="F35" s="78"/>
    </row>
    <row r="36" spans="2:6" x14ac:dyDescent="0.25">
      <c r="B36" s="229" t="s">
        <v>6</v>
      </c>
      <c r="C36" s="79" t="s">
        <v>4</v>
      </c>
      <c r="D36" s="79" t="s">
        <v>15</v>
      </c>
      <c r="E36" s="80" t="s">
        <v>16</v>
      </c>
      <c r="F36" s="78"/>
    </row>
    <row r="37" spans="2:6" x14ac:dyDescent="0.25">
      <c r="B37" s="81" t="s">
        <v>24</v>
      </c>
      <c r="C37" s="82">
        <v>2</v>
      </c>
      <c r="D37" s="83" t="s">
        <v>18</v>
      </c>
      <c r="E37" s="78">
        <f>F37*C37</f>
        <v>260000</v>
      </c>
      <c r="F37" s="117">
        <v>130000</v>
      </c>
    </row>
    <row r="38" spans="2:6" x14ac:dyDescent="0.25">
      <c r="B38" s="81" t="s">
        <v>25</v>
      </c>
      <c r="C38" s="82">
        <v>2</v>
      </c>
      <c r="D38" s="83" t="s">
        <v>18</v>
      </c>
      <c r="E38" s="78">
        <f t="shared" ref="E38:E52" si="3">F38*C38</f>
        <v>160000</v>
      </c>
      <c r="F38" s="117">
        <v>80000</v>
      </c>
    </row>
    <row r="39" spans="2:6" x14ac:dyDescent="0.25">
      <c r="B39" s="81" t="s">
        <v>26</v>
      </c>
      <c r="C39" s="82">
        <v>2</v>
      </c>
      <c r="D39" s="83" t="s">
        <v>18</v>
      </c>
      <c r="E39" s="78">
        <f t="shared" si="3"/>
        <v>700000</v>
      </c>
      <c r="F39" s="117">
        <v>350000</v>
      </c>
    </row>
    <row r="40" spans="2:6" x14ac:dyDescent="0.25">
      <c r="B40" s="81" t="s">
        <v>38</v>
      </c>
      <c r="C40" s="82">
        <v>1</v>
      </c>
      <c r="D40" s="83" t="s">
        <v>18</v>
      </c>
      <c r="E40" s="78">
        <f t="shared" si="3"/>
        <v>150000</v>
      </c>
      <c r="F40" s="117">
        <v>150000</v>
      </c>
    </row>
    <row r="41" spans="2:6" x14ac:dyDescent="0.25">
      <c r="B41" s="81" t="s">
        <v>28</v>
      </c>
      <c r="C41" s="82">
        <v>2</v>
      </c>
      <c r="D41" s="83" t="s">
        <v>18</v>
      </c>
      <c r="E41" s="78">
        <f t="shared" si="3"/>
        <v>800000</v>
      </c>
      <c r="F41" s="117">
        <v>400000</v>
      </c>
    </row>
    <row r="42" spans="2:6" x14ac:dyDescent="0.25">
      <c r="B42" s="81" t="s">
        <v>29</v>
      </c>
      <c r="C42" s="82">
        <v>1</v>
      </c>
      <c r="D42" s="83" t="s">
        <v>18</v>
      </c>
      <c r="E42" s="78">
        <f t="shared" si="3"/>
        <v>250000</v>
      </c>
      <c r="F42" s="117">
        <v>250000</v>
      </c>
    </row>
    <row r="43" spans="2:6" x14ac:dyDescent="0.25">
      <c r="B43" s="81" t="s">
        <v>30</v>
      </c>
      <c r="C43" s="82">
        <v>2</v>
      </c>
      <c r="D43" s="83" t="s">
        <v>18</v>
      </c>
      <c r="E43" s="78">
        <f t="shared" si="3"/>
        <v>50000</v>
      </c>
      <c r="F43" s="117">
        <v>25000</v>
      </c>
    </row>
    <row r="44" spans="2:6" x14ac:dyDescent="0.25">
      <c r="B44" s="81" t="s">
        <v>31</v>
      </c>
      <c r="C44" s="82">
        <v>8</v>
      </c>
      <c r="D44" s="83" t="s">
        <v>18</v>
      </c>
      <c r="E44" s="78">
        <f t="shared" si="3"/>
        <v>40000</v>
      </c>
      <c r="F44" s="117">
        <v>5000</v>
      </c>
    </row>
    <row r="45" spans="2:6" x14ac:dyDescent="0.25">
      <c r="B45" s="81" t="s">
        <v>32</v>
      </c>
      <c r="C45" s="82">
        <v>1</v>
      </c>
      <c r="D45" s="83" t="s">
        <v>18</v>
      </c>
      <c r="E45" s="78">
        <f t="shared" si="3"/>
        <v>100000</v>
      </c>
      <c r="F45" s="117">
        <v>100000</v>
      </c>
    </row>
    <row r="46" spans="2:6" x14ac:dyDescent="0.25">
      <c r="B46" s="81" t="s">
        <v>108</v>
      </c>
      <c r="C46" s="82">
        <v>2</v>
      </c>
      <c r="D46" s="83" t="s">
        <v>18</v>
      </c>
      <c r="E46" s="78">
        <f t="shared" si="3"/>
        <v>20000</v>
      </c>
      <c r="F46" s="117">
        <v>10000</v>
      </c>
    </row>
    <row r="47" spans="2:6" ht="24" x14ac:dyDescent="0.25">
      <c r="B47" s="81" t="s">
        <v>33</v>
      </c>
      <c r="C47" s="82">
        <v>8</v>
      </c>
      <c r="D47" s="83" t="s">
        <v>18</v>
      </c>
      <c r="E47" s="78">
        <f t="shared" si="3"/>
        <v>80000</v>
      </c>
      <c r="F47" s="117">
        <v>10000</v>
      </c>
    </row>
    <row r="48" spans="2:6" ht="24" x14ac:dyDescent="0.25">
      <c r="B48" s="81" t="s">
        <v>162</v>
      </c>
      <c r="C48" s="82">
        <v>4</v>
      </c>
      <c r="D48" s="83" t="s">
        <v>18</v>
      </c>
      <c r="E48" s="78">
        <f t="shared" si="3"/>
        <v>40000</v>
      </c>
      <c r="F48" s="117">
        <v>10000</v>
      </c>
    </row>
    <row r="49" spans="2:12" x14ac:dyDescent="0.25">
      <c r="B49" s="81" t="s">
        <v>34</v>
      </c>
      <c r="C49" s="82">
        <v>2</v>
      </c>
      <c r="D49" s="83" t="s">
        <v>18</v>
      </c>
      <c r="E49" s="78">
        <f t="shared" si="3"/>
        <v>40000</v>
      </c>
      <c r="F49" s="117">
        <v>20000</v>
      </c>
    </row>
    <row r="50" spans="2:12" ht="24" x14ac:dyDescent="0.25">
      <c r="B50" s="81" t="s">
        <v>35</v>
      </c>
      <c r="C50" s="82">
        <v>8</v>
      </c>
      <c r="D50" s="83" t="s">
        <v>18</v>
      </c>
      <c r="E50" s="78">
        <f t="shared" si="3"/>
        <v>120000</v>
      </c>
      <c r="F50" s="117">
        <v>15000</v>
      </c>
    </row>
    <row r="51" spans="2:12" x14ac:dyDescent="0.25">
      <c r="B51" s="81" t="s">
        <v>36</v>
      </c>
      <c r="C51" s="82">
        <v>3</v>
      </c>
      <c r="D51" s="83" t="s">
        <v>18</v>
      </c>
      <c r="E51" s="78">
        <f t="shared" si="3"/>
        <v>30000</v>
      </c>
      <c r="F51" s="117">
        <v>10000</v>
      </c>
    </row>
    <row r="52" spans="2:12" x14ac:dyDescent="0.25">
      <c r="B52" s="81" t="s">
        <v>37</v>
      </c>
      <c r="C52" s="82">
        <v>1</v>
      </c>
      <c r="D52" s="83" t="s">
        <v>18</v>
      </c>
      <c r="E52" s="78">
        <f t="shared" si="3"/>
        <v>5000</v>
      </c>
      <c r="F52" s="117">
        <v>5000</v>
      </c>
    </row>
    <row r="53" spans="2:12" ht="21" x14ac:dyDescent="0.25">
      <c r="B53" s="81"/>
      <c r="C53" s="591">
        <f>SUM(E37:E52)</f>
        <v>2845000</v>
      </c>
      <c r="D53" s="592"/>
      <c r="E53" s="592"/>
      <c r="F53" s="78"/>
    </row>
    <row r="54" spans="2:12" x14ac:dyDescent="0.25">
      <c r="B54" s="72"/>
      <c r="C54" s="72"/>
      <c r="D54" s="72"/>
      <c r="E54" s="72"/>
      <c r="F54" s="72"/>
    </row>
    <row r="55" spans="2:12" ht="21" x14ac:dyDescent="0.25">
      <c r="B55" s="76" t="s">
        <v>137</v>
      </c>
      <c r="C55" s="596" t="s">
        <v>163</v>
      </c>
      <c r="D55" s="596"/>
      <c r="E55" s="596"/>
      <c r="F55" s="78"/>
      <c r="H55" s="76" t="s">
        <v>136</v>
      </c>
      <c r="I55" s="596" t="s">
        <v>163</v>
      </c>
      <c r="J55" s="596"/>
      <c r="K55" s="596"/>
      <c r="L55" s="78"/>
    </row>
    <row r="56" spans="2:12" x14ac:dyDescent="0.25">
      <c r="B56" s="229"/>
      <c r="C56" s="79" t="s">
        <v>4</v>
      </c>
      <c r="D56" s="79" t="s">
        <v>15</v>
      </c>
      <c r="E56" s="80" t="s">
        <v>16</v>
      </c>
      <c r="F56" s="78"/>
      <c r="H56" s="229"/>
      <c r="I56" s="79" t="s">
        <v>4</v>
      </c>
      <c r="J56" s="79" t="s">
        <v>15</v>
      </c>
      <c r="K56" s="80" t="s">
        <v>16</v>
      </c>
      <c r="L56" s="78"/>
    </row>
    <row r="57" spans="2:12" x14ac:dyDescent="0.25">
      <c r="B57" s="86" t="s">
        <v>105</v>
      </c>
      <c r="C57" s="82" t="e">
        <f>'4'!C5</f>
        <v>#VALUE!</v>
      </c>
      <c r="D57" s="87" t="s">
        <v>40</v>
      </c>
      <c r="E57" s="78" t="e">
        <f>F57*C57</f>
        <v>#VALUE!</v>
      </c>
      <c r="F57" s="88">
        <f>'4'!E9*4.7</f>
        <v>10340000</v>
      </c>
      <c r="H57" s="86" t="s">
        <v>105</v>
      </c>
      <c r="I57" s="82" t="e">
        <f>'4'!C5</f>
        <v>#VALUE!</v>
      </c>
      <c r="J57" s="87" t="s">
        <v>40</v>
      </c>
      <c r="K57" s="78" t="e">
        <f>L57*I57</f>
        <v>#VALUE!</v>
      </c>
      <c r="L57" s="88">
        <f>'4'!E9*6.7</f>
        <v>14740000</v>
      </c>
    </row>
    <row r="58" spans="2:12" x14ac:dyDescent="0.25">
      <c r="B58" s="86" t="s">
        <v>39</v>
      </c>
      <c r="C58" s="89" t="e">
        <f>((('4'!$D$8-0.25)*2)+0.52)*('4'!$E$5+'4'!$D$5)</f>
        <v>#VALUE!</v>
      </c>
      <c r="D58" s="87" t="s">
        <v>40</v>
      </c>
      <c r="E58" s="78" t="e">
        <f t="shared" ref="E58:E66" si="4">F58*C58</f>
        <v>#VALUE!</v>
      </c>
      <c r="F58" s="117">
        <v>800000</v>
      </c>
      <c r="H58" s="86" t="s">
        <v>39</v>
      </c>
      <c r="I58" s="89" t="e">
        <f>((('4'!$D$8-0.25)*2)+0.52)*('4'!$E$5+'4'!$D$5)</f>
        <v>#VALUE!</v>
      </c>
      <c r="J58" s="87" t="s">
        <v>40</v>
      </c>
      <c r="K58" s="78" t="e">
        <f t="shared" ref="K58:K66" si="5">L58*I58</f>
        <v>#VALUE!</v>
      </c>
      <c r="L58" s="117">
        <v>800000</v>
      </c>
    </row>
    <row r="59" spans="2:12" x14ac:dyDescent="0.25">
      <c r="B59" s="81" t="s">
        <v>43</v>
      </c>
      <c r="C59" s="89">
        <f>('4'!$D$8-0.25)*2</f>
        <v>-0.5</v>
      </c>
      <c r="D59" s="85" t="s">
        <v>40</v>
      </c>
      <c r="E59" s="78">
        <f>F59*C59</f>
        <v>-135000</v>
      </c>
      <c r="F59" s="117">
        <v>270000</v>
      </c>
      <c r="H59" s="81" t="s">
        <v>43</v>
      </c>
      <c r="I59" s="89">
        <f>('4'!$D$8-0.25)*2</f>
        <v>-0.5</v>
      </c>
      <c r="J59" s="85" t="s">
        <v>40</v>
      </c>
      <c r="K59" s="78">
        <f>L59*I59</f>
        <v>-135000</v>
      </c>
      <c r="L59" s="117">
        <v>270000</v>
      </c>
    </row>
    <row r="60" spans="2:12" x14ac:dyDescent="0.25">
      <c r="B60" s="81" t="s">
        <v>164</v>
      </c>
      <c r="C60" s="89" t="e">
        <f>(C57/0.6)+1</f>
        <v>#VALUE!</v>
      </c>
      <c r="D60" s="85" t="s">
        <v>18</v>
      </c>
      <c r="E60" s="78" t="e">
        <f t="shared" si="4"/>
        <v>#VALUE!</v>
      </c>
      <c r="F60" s="117">
        <v>365000</v>
      </c>
      <c r="H60" s="81" t="s">
        <v>164</v>
      </c>
      <c r="I60" s="89" t="e">
        <f>(I57/0.6)+1</f>
        <v>#VALUE!</v>
      </c>
      <c r="J60" s="85" t="s">
        <v>18</v>
      </c>
      <c r="K60" s="78" t="e">
        <f t="shared" si="5"/>
        <v>#VALUE!</v>
      </c>
      <c r="L60" s="117">
        <v>365000</v>
      </c>
    </row>
    <row r="61" spans="2:12" x14ac:dyDescent="0.25">
      <c r="B61" s="81" t="s">
        <v>165</v>
      </c>
      <c r="C61" s="82" t="e">
        <f>('4'!$D$5+'4'!$E$5)*2</f>
        <v>#VALUE!</v>
      </c>
      <c r="D61" s="85" t="s">
        <v>18</v>
      </c>
      <c r="E61" s="78" t="e">
        <f t="shared" si="4"/>
        <v>#VALUE!</v>
      </c>
      <c r="F61" s="117">
        <v>385000</v>
      </c>
      <c r="H61" s="81" t="s">
        <v>165</v>
      </c>
      <c r="I61" s="82" t="e">
        <f>('4'!$D$5+'4'!$E$5)*2</f>
        <v>#VALUE!</v>
      </c>
      <c r="J61" s="85" t="s">
        <v>18</v>
      </c>
      <c r="K61" s="78" t="e">
        <f t="shared" si="5"/>
        <v>#VALUE!</v>
      </c>
      <c r="L61" s="117">
        <v>385000</v>
      </c>
    </row>
    <row r="62" spans="2:12" x14ac:dyDescent="0.25">
      <c r="B62" s="81" t="s">
        <v>41</v>
      </c>
      <c r="C62" s="90" t="e">
        <f>('4'!$E$5+'4'!$D$5)</f>
        <v>#VALUE!</v>
      </c>
      <c r="D62" s="85" t="s">
        <v>18</v>
      </c>
      <c r="E62" s="78" t="e">
        <f>F62*C62</f>
        <v>#VALUE!</v>
      </c>
      <c r="F62" s="117">
        <v>100000</v>
      </c>
      <c r="H62" s="81" t="s">
        <v>41</v>
      </c>
      <c r="I62" s="90" t="e">
        <f>('4'!$E$5+'4'!$D$5)</f>
        <v>#VALUE!</v>
      </c>
      <c r="J62" s="85" t="s">
        <v>18</v>
      </c>
      <c r="K62" s="78" t="e">
        <f>L62*I62</f>
        <v>#VALUE!</v>
      </c>
      <c r="L62" s="117">
        <v>100000</v>
      </c>
    </row>
    <row r="63" spans="2:12" x14ac:dyDescent="0.25">
      <c r="B63" s="81" t="s">
        <v>42</v>
      </c>
      <c r="C63" s="90" t="e">
        <f>('4'!$E$5+'4'!$D$5)</f>
        <v>#VALUE!</v>
      </c>
      <c r="D63" s="85" t="s">
        <v>18</v>
      </c>
      <c r="E63" s="78" t="e">
        <f>F63*C63</f>
        <v>#VALUE!</v>
      </c>
      <c r="F63" s="117">
        <v>30000</v>
      </c>
      <c r="H63" s="81" t="s">
        <v>42</v>
      </c>
      <c r="I63" s="90" t="e">
        <f>('4'!$E$5+'4'!$D$5)</f>
        <v>#VALUE!</v>
      </c>
      <c r="J63" s="85" t="s">
        <v>18</v>
      </c>
      <c r="K63" s="78" t="e">
        <f>L63*I63</f>
        <v>#VALUE!</v>
      </c>
      <c r="L63" s="117">
        <v>30000</v>
      </c>
    </row>
    <row r="64" spans="2:12" x14ac:dyDescent="0.25">
      <c r="B64" s="81" t="s">
        <v>44</v>
      </c>
      <c r="C64" s="82" t="e">
        <f>4*('4'!$E$5+'4'!$D$5)</f>
        <v>#VALUE!</v>
      </c>
      <c r="D64" s="85" t="s">
        <v>18</v>
      </c>
      <c r="E64" s="78" t="e">
        <f t="shared" si="4"/>
        <v>#VALUE!</v>
      </c>
      <c r="F64" s="117">
        <v>10000</v>
      </c>
      <c r="H64" s="81" t="s">
        <v>44</v>
      </c>
      <c r="I64" s="82" t="e">
        <f>4*('4'!$E$5+'4'!$D$5)</f>
        <v>#VALUE!</v>
      </c>
      <c r="J64" s="85" t="s">
        <v>18</v>
      </c>
      <c r="K64" s="78" t="e">
        <f t="shared" si="5"/>
        <v>#VALUE!</v>
      </c>
      <c r="L64" s="117">
        <v>10000</v>
      </c>
    </row>
    <row r="65" spans="2:12" ht="24" x14ac:dyDescent="0.25">
      <c r="B65" s="81" t="s">
        <v>45</v>
      </c>
      <c r="C65" s="82" t="e">
        <f>4*('4'!$E$5+'4'!$D$5)</f>
        <v>#VALUE!</v>
      </c>
      <c r="D65" s="85" t="s">
        <v>18</v>
      </c>
      <c r="E65" s="78" t="e">
        <f t="shared" si="4"/>
        <v>#VALUE!</v>
      </c>
      <c r="F65" s="117">
        <v>10000</v>
      </c>
      <c r="H65" s="81" t="s">
        <v>45</v>
      </c>
      <c r="I65" s="82" t="e">
        <f>4*('4'!$E$5+'4'!$D$5)</f>
        <v>#VALUE!</v>
      </c>
      <c r="J65" s="85" t="s">
        <v>18</v>
      </c>
      <c r="K65" s="78" t="e">
        <f t="shared" si="5"/>
        <v>#VALUE!</v>
      </c>
      <c r="L65" s="117">
        <v>10000</v>
      </c>
    </row>
    <row r="66" spans="2:12" x14ac:dyDescent="0.25">
      <c r="B66" s="81" t="s">
        <v>106</v>
      </c>
      <c r="C66" s="82" t="e">
        <f>C57*4.7</f>
        <v>#VALUE!</v>
      </c>
      <c r="D66" s="83" t="s">
        <v>107</v>
      </c>
      <c r="E66" s="78" t="e">
        <f t="shared" si="4"/>
        <v>#VALUE!</v>
      </c>
      <c r="F66" s="117">
        <f>'A4'!$T$2</f>
        <v>450000</v>
      </c>
      <c r="H66" s="81" t="s">
        <v>106</v>
      </c>
      <c r="I66" s="82" t="e">
        <f>I57*6.7</f>
        <v>#VALUE!</v>
      </c>
      <c r="J66" s="83" t="s">
        <v>107</v>
      </c>
      <c r="K66" s="78" t="e">
        <f t="shared" si="5"/>
        <v>#VALUE!</v>
      </c>
      <c r="L66" s="117">
        <f>'A4'!$T$2</f>
        <v>450000</v>
      </c>
    </row>
    <row r="67" spans="2:12" ht="21" x14ac:dyDescent="0.25">
      <c r="B67" s="120" t="e">
        <f>SUM(E60:E65)</f>
        <v>#VALUE!</v>
      </c>
      <c r="C67" s="591" t="e">
        <f>SUM(E57:E66)</f>
        <v>#VALUE!</v>
      </c>
      <c r="D67" s="592"/>
      <c r="E67" s="592"/>
      <c r="F67" s="130" t="e">
        <f>SUM(E66)</f>
        <v>#VALUE!</v>
      </c>
      <c r="H67" s="81"/>
      <c r="I67" s="591" t="e">
        <f>SUM(K57:K67)</f>
        <v>#VALUE!</v>
      </c>
      <c r="J67" s="592"/>
      <c r="K67" s="592"/>
      <c r="L67" s="78"/>
    </row>
    <row r="68" spans="2:12" x14ac:dyDescent="0.25">
      <c r="B68" s="74"/>
      <c r="C68" s="74"/>
      <c r="D68" s="74"/>
      <c r="E68" s="74"/>
      <c r="F68" s="74"/>
    </row>
    <row r="69" spans="2:12" ht="15.75" x14ac:dyDescent="0.25">
      <c r="B69" s="81"/>
      <c r="C69" s="590" t="s">
        <v>166</v>
      </c>
      <c r="D69" s="590"/>
      <c r="E69" s="590"/>
      <c r="F69" s="78"/>
    </row>
    <row r="70" spans="2:12" x14ac:dyDescent="0.25">
      <c r="B70" s="229" t="s">
        <v>122</v>
      </c>
      <c r="C70" s="79" t="s">
        <v>4</v>
      </c>
      <c r="D70" s="79" t="s">
        <v>15</v>
      </c>
      <c r="E70" s="80" t="s">
        <v>16</v>
      </c>
      <c r="F70" s="78"/>
    </row>
    <row r="71" spans="2:12" x14ac:dyDescent="0.25">
      <c r="B71" s="81" t="s">
        <v>123</v>
      </c>
      <c r="C71" s="89">
        <f>(IF(AND('4'!$D$9&lt;=4),('4'!$D$9),IF(AND('4'!$D$9&gt;4,'4'!$D$9&lt;=8),('4'!$D$9/2),IF(AND('4'!$D$9&gt;8,'4'!$D$9&lt;=12),('4'!$D$9/3),0))))</f>
        <v>0</v>
      </c>
      <c r="D71" s="85" t="s">
        <v>40</v>
      </c>
      <c r="E71" s="78">
        <f>F71*C71</f>
        <v>0</v>
      </c>
      <c r="F71" s="88">
        <f>'4'!E9*3</f>
        <v>6600000</v>
      </c>
    </row>
    <row r="72" spans="2:12" x14ac:dyDescent="0.25">
      <c r="B72" s="81" t="s">
        <v>52</v>
      </c>
      <c r="C72" s="82">
        <v>2</v>
      </c>
      <c r="D72" s="85" t="s">
        <v>18</v>
      </c>
      <c r="E72" s="78">
        <f t="shared" ref="E72:E78" si="6">F72*C72</f>
        <v>300000</v>
      </c>
      <c r="F72" s="117">
        <v>150000</v>
      </c>
    </row>
    <row r="73" spans="2:12" x14ac:dyDescent="0.25">
      <c r="B73" s="81" t="s">
        <v>53</v>
      </c>
      <c r="C73" s="82">
        <v>4</v>
      </c>
      <c r="D73" s="85" t="s">
        <v>18</v>
      </c>
      <c r="E73" s="78">
        <f t="shared" si="6"/>
        <v>400000</v>
      </c>
      <c r="F73" s="117">
        <v>100000</v>
      </c>
    </row>
    <row r="74" spans="2:12" x14ac:dyDescent="0.25">
      <c r="B74" s="81" t="s">
        <v>106</v>
      </c>
      <c r="C74" s="82">
        <f>C71*3</f>
        <v>0</v>
      </c>
      <c r="D74" s="83" t="s">
        <v>107</v>
      </c>
      <c r="E74" s="78">
        <f t="shared" si="6"/>
        <v>0</v>
      </c>
      <c r="F74" s="117">
        <f>'A4'!$T$2</f>
        <v>450000</v>
      </c>
    </row>
    <row r="75" spans="2:12" x14ac:dyDescent="0.25">
      <c r="B75" s="81" t="s">
        <v>54</v>
      </c>
      <c r="C75" s="82">
        <v>4</v>
      </c>
      <c r="D75" s="85" t="s">
        <v>18</v>
      </c>
      <c r="E75" s="78">
        <f t="shared" si="6"/>
        <v>60000</v>
      </c>
      <c r="F75" s="117">
        <v>15000</v>
      </c>
    </row>
    <row r="76" spans="2:12" x14ac:dyDescent="0.25">
      <c r="B76" s="81" t="s">
        <v>44</v>
      </c>
      <c r="C76" s="82">
        <v>4</v>
      </c>
      <c r="D76" s="85" t="s">
        <v>18</v>
      </c>
      <c r="E76" s="78">
        <f t="shared" si="6"/>
        <v>40000</v>
      </c>
      <c r="F76" s="117">
        <v>10000</v>
      </c>
    </row>
    <row r="77" spans="2:12" ht="24" x14ac:dyDescent="0.25">
      <c r="B77" s="81" t="s">
        <v>45</v>
      </c>
      <c r="C77" s="82">
        <v>4</v>
      </c>
      <c r="D77" s="85" t="s">
        <v>18</v>
      </c>
      <c r="E77" s="78">
        <f t="shared" si="6"/>
        <v>40000</v>
      </c>
      <c r="F77" s="117">
        <v>10000</v>
      </c>
    </row>
    <row r="78" spans="2:12" ht="24" x14ac:dyDescent="0.25">
      <c r="B78" s="81" t="s">
        <v>55</v>
      </c>
      <c r="C78" s="82">
        <v>4</v>
      </c>
      <c r="D78" s="85" t="s">
        <v>18</v>
      </c>
      <c r="E78" s="78">
        <f t="shared" si="6"/>
        <v>24000</v>
      </c>
      <c r="F78" s="117">
        <v>6000</v>
      </c>
    </row>
    <row r="79" spans="2:12" ht="21" x14ac:dyDescent="0.25">
      <c r="B79" s="120">
        <f>SUM(E72:E73,E75:E78)</f>
        <v>864000</v>
      </c>
      <c r="C79" s="591">
        <f>SUM(E71:E78)</f>
        <v>864000</v>
      </c>
      <c r="D79" s="592"/>
      <c r="E79" s="592"/>
      <c r="F79" s="130">
        <f>SUM(E74)</f>
        <v>0</v>
      </c>
    </row>
    <row r="80" spans="2:12" x14ac:dyDescent="0.25">
      <c r="B80" s="72"/>
      <c r="C80" s="72"/>
      <c r="D80" s="72"/>
      <c r="E80" s="72"/>
      <c r="F80" s="72"/>
    </row>
    <row r="81" spans="2:6" ht="15.75" x14ac:dyDescent="0.25">
      <c r="B81" s="81"/>
      <c r="C81" s="590" t="s">
        <v>167</v>
      </c>
      <c r="D81" s="590"/>
      <c r="E81" s="590"/>
      <c r="F81" s="78"/>
    </row>
    <row r="82" spans="2:6" ht="25.5" x14ac:dyDescent="0.25">
      <c r="B82" s="230" t="s">
        <v>49</v>
      </c>
      <c r="C82" s="79" t="s">
        <v>4</v>
      </c>
      <c r="D82" s="79" t="s">
        <v>15</v>
      </c>
      <c r="E82" s="80" t="s">
        <v>16</v>
      </c>
      <c r="F82" s="78"/>
    </row>
    <row r="83" spans="2:6" x14ac:dyDescent="0.25">
      <c r="B83" s="81" t="s">
        <v>50</v>
      </c>
      <c r="C83" s="82">
        <v>1</v>
      </c>
      <c r="D83" s="83" t="s">
        <v>18</v>
      </c>
      <c r="E83" s="78">
        <f>F83*C83</f>
        <v>750000</v>
      </c>
      <c r="F83" s="117">
        <v>750000</v>
      </c>
    </row>
    <row r="84" spans="2:6" x14ac:dyDescent="0.25">
      <c r="B84" s="81" t="s">
        <v>51</v>
      </c>
      <c r="C84" s="82">
        <v>2</v>
      </c>
      <c r="D84" s="83" t="s">
        <v>18</v>
      </c>
      <c r="E84" s="78">
        <f t="shared" ref="E84:E88" si="7">F84*C84</f>
        <v>850000</v>
      </c>
      <c r="F84" s="117">
        <v>425000</v>
      </c>
    </row>
    <row r="85" spans="2:6" x14ac:dyDescent="0.25">
      <c r="B85" s="81" t="s">
        <v>46</v>
      </c>
      <c r="C85" s="82">
        <v>2</v>
      </c>
      <c r="D85" s="83" t="s">
        <v>18</v>
      </c>
      <c r="E85" s="78">
        <f t="shared" si="7"/>
        <v>1500000</v>
      </c>
      <c r="F85" s="117">
        <v>750000</v>
      </c>
    </row>
    <row r="86" spans="2:6" x14ac:dyDescent="0.25">
      <c r="B86" s="81" t="s">
        <v>106</v>
      </c>
      <c r="C86" s="82">
        <v>3.5</v>
      </c>
      <c r="D86" s="83" t="s">
        <v>107</v>
      </c>
      <c r="E86" s="78">
        <f t="shared" si="7"/>
        <v>1575000</v>
      </c>
      <c r="F86" s="117">
        <f>'A4'!$T$2</f>
        <v>450000</v>
      </c>
    </row>
    <row r="87" spans="2:6" ht="24" x14ac:dyDescent="0.25">
      <c r="B87" s="81" t="s">
        <v>47</v>
      </c>
      <c r="C87" s="82">
        <v>12</v>
      </c>
      <c r="D87" s="83" t="s">
        <v>18</v>
      </c>
      <c r="E87" s="78">
        <f t="shared" si="7"/>
        <v>120000</v>
      </c>
      <c r="F87" s="117">
        <v>10000</v>
      </c>
    </row>
    <row r="88" spans="2:6" ht="24" x14ac:dyDescent="0.25">
      <c r="B88" s="81" t="s">
        <v>48</v>
      </c>
      <c r="C88" s="82">
        <v>12</v>
      </c>
      <c r="D88" s="83" t="s">
        <v>18</v>
      </c>
      <c r="E88" s="78">
        <f t="shared" si="7"/>
        <v>240000</v>
      </c>
      <c r="F88" s="117">
        <v>20000</v>
      </c>
    </row>
    <row r="89" spans="2:6" ht="21" x14ac:dyDescent="0.25">
      <c r="B89" s="120">
        <f>SUM(E83:E85,E87:E88)</f>
        <v>3460000</v>
      </c>
      <c r="C89" s="591">
        <f>SUM(E83:E88)</f>
        <v>5035000</v>
      </c>
      <c r="D89" s="591"/>
      <c r="E89" s="591"/>
      <c r="F89" s="130">
        <f>E86</f>
        <v>1575000</v>
      </c>
    </row>
    <row r="90" spans="2:6" x14ac:dyDescent="0.25">
      <c r="B90" s="74"/>
      <c r="C90" s="74"/>
      <c r="D90" s="74"/>
      <c r="E90" s="74"/>
      <c r="F90" s="74"/>
    </row>
    <row r="91" spans="2:6" x14ac:dyDescent="0.25">
      <c r="B91" s="229" t="s">
        <v>56</v>
      </c>
      <c r="C91" s="79" t="s">
        <v>4</v>
      </c>
      <c r="D91" s="79" t="s">
        <v>15</v>
      </c>
      <c r="E91" s="80" t="s">
        <v>16</v>
      </c>
      <c r="F91" s="78"/>
    </row>
    <row r="92" spans="2:6" x14ac:dyDescent="0.25">
      <c r="B92" s="81" t="s">
        <v>57</v>
      </c>
      <c r="C92" s="89">
        <f>C71</f>
        <v>0</v>
      </c>
      <c r="D92" s="85" t="s">
        <v>40</v>
      </c>
      <c r="E92" s="78">
        <f>F92*C92</f>
        <v>0</v>
      </c>
      <c r="F92" s="117">
        <v>870000</v>
      </c>
    </row>
    <row r="93" spans="2:6" ht="24" x14ac:dyDescent="0.25">
      <c r="B93" s="81" t="s">
        <v>191</v>
      </c>
      <c r="C93" s="82">
        <v>2</v>
      </c>
      <c r="D93" s="85" t="s">
        <v>18</v>
      </c>
      <c r="E93" s="78">
        <f t="shared" ref="E93:E96" si="8">F93*C93</f>
        <v>200000</v>
      </c>
      <c r="F93" s="117">
        <v>100000</v>
      </c>
    </row>
    <row r="94" spans="2:6" ht="24" x14ac:dyDescent="0.25">
      <c r="B94" s="81" t="s">
        <v>190</v>
      </c>
      <c r="C94" s="82">
        <v>2</v>
      </c>
      <c r="D94" s="85" t="s">
        <v>18</v>
      </c>
      <c r="E94" s="78">
        <f t="shared" si="8"/>
        <v>30000</v>
      </c>
      <c r="F94" s="117">
        <v>15000</v>
      </c>
    </row>
    <row r="95" spans="2:6" ht="24" x14ac:dyDescent="0.25">
      <c r="B95" s="81" t="s">
        <v>192</v>
      </c>
      <c r="C95" s="82">
        <v>4</v>
      </c>
      <c r="D95" s="85" t="s">
        <v>18</v>
      </c>
      <c r="E95" s="78">
        <f t="shared" si="8"/>
        <v>72000</v>
      </c>
      <c r="F95" s="117">
        <v>18000</v>
      </c>
    </row>
    <row r="96" spans="2:6" x14ac:dyDescent="0.25">
      <c r="B96" s="81" t="s">
        <v>109</v>
      </c>
      <c r="C96" s="82">
        <f>C92*2.82</f>
        <v>0</v>
      </c>
      <c r="D96" s="85" t="s">
        <v>107</v>
      </c>
      <c r="E96" s="78">
        <f t="shared" si="8"/>
        <v>0</v>
      </c>
      <c r="F96" s="117">
        <v>75000</v>
      </c>
    </row>
    <row r="97" spans="2:12" ht="21" x14ac:dyDescent="0.25">
      <c r="B97" s="81"/>
      <c r="C97" s="597">
        <f>SUM(E92:E96)</f>
        <v>302000</v>
      </c>
      <c r="D97" s="597"/>
      <c r="E97" s="597"/>
      <c r="F97" s="78"/>
    </row>
    <row r="98" spans="2:12" x14ac:dyDescent="0.25">
      <c r="B98" s="72"/>
      <c r="C98" s="72"/>
      <c r="D98" s="72"/>
      <c r="E98" s="72"/>
      <c r="F98" s="72"/>
      <c r="H98" s="74"/>
      <c r="I98" s="74"/>
      <c r="J98" s="74"/>
      <c r="K98" s="74"/>
      <c r="L98" s="74"/>
    </row>
    <row r="99" spans="2:12" ht="21" x14ac:dyDescent="0.25">
      <c r="B99" s="76" t="s">
        <v>137</v>
      </c>
      <c r="C99" s="590" t="s">
        <v>169</v>
      </c>
      <c r="D99" s="590"/>
      <c r="E99" s="590"/>
      <c r="F99" s="78"/>
      <c r="H99" s="76" t="s">
        <v>136</v>
      </c>
      <c r="I99" s="590" t="s">
        <v>168</v>
      </c>
      <c r="J99" s="590"/>
      <c r="K99" s="590"/>
      <c r="L99" s="78"/>
    </row>
    <row r="100" spans="2:12" x14ac:dyDescent="0.25">
      <c r="B100" s="81"/>
      <c r="C100" s="79" t="s">
        <v>4</v>
      </c>
      <c r="D100" s="79" t="s">
        <v>15</v>
      </c>
      <c r="E100" s="80" t="s">
        <v>16</v>
      </c>
      <c r="F100" s="78"/>
      <c r="H100" s="81"/>
      <c r="I100" s="79" t="s">
        <v>4</v>
      </c>
      <c r="J100" s="79" t="s">
        <v>15</v>
      </c>
      <c r="K100" s="80" t="s">
        <v>16</v>
      </c>
      <c r="L100" s="78"/>
    </row>
    <row r="101" spans="2:12" x14ac:dyDescent="0.25">
      <c r="B101" s="81" t="s">
        <v>170</v>
      </c>
      <c r="C101" s="82">
        <v>1</v>
      </c>
      <c r="D101" s="83" t="s">
        <v>18</v>
      </c>
      <c r="E101" s="78">
        <f>F101*C101</f>
        <v>0</v>
      </c>
      <c r="F101" s="117">
        <f>IF(AND('پیش فاکتور سقف متحرک'!G15="120Nm بکر آلمان "),(400*'پیش فاکتور سقف متحرک'!C25),IF(AND('پیش فاکتور سقف متحرک'!G15="120Nm  سامفی فرانسه "),(450*'پیش فاکتور سقف متحرک'!C25),IF(AND('پیش فاکتور سقف متحرک'!G15="اختصاصی سایه روشن 120Nm"),(150*'پیش فاکتور سقف متحرک'!C25),0)))</f>
        <v>0</v>
      </c>
      <c r="H101" s="81" t="s">
        <v>58</v>
      </c>
      <c r="I101" s="82">
        <v>1</v>
      </c>
      <c r="J101" s="83" t="s">
        <v>18</v>
      </c>
      <c r="K101" s="78">
        <f>L101*I101</f>
        <v>60000000</v>
      </c>
      <c r="L101" s="117">
        <v>60000000</v>
      </c>
    </row>
    <row r="102" spans="2:12" x14ac:dyDescent="0.25">
      <c r="B102" s="81" t="s">
        <v>59</v>
      </c>
      <c r="C102" s="82">
        <v>1</v>
      </c>
      <c r="D102" s="83" t="s">
        <v>18</v>
      </c>
      <c r="E102" s="78">
        <f t="shared" ref="E102:E117" si="9">F102*C102</f>
        <v>350000</v>
      </c>
      <c r="F102" s="117">
        <v>350000</v>
      </c>
      <c r="H102" s="81" t="s">
        <v>59</v>
      </c>
      <c r="I102" s="82">
        <v>1</v>
      </c>
      <c r="J102" s="83" t="s">
        <v>18</v>
      </c>
      <c r="K102" s="78">
        <f t="shared" ref="K102:K117" si="10">L102*I102</f>
        <v>350000</v>
      </c>
      <c r="L102" s="117">
        <v>350000</v>
      </c>
    </row>
    <row r="103" spans="2:12" x14ac:dyDescent="0.25">
      <c r="B103" s="81" t="s">
        <v>171</v>
      </c>
      <c r="C103" s="82">
        <v>1</v>
      </c>
      <c r="D103" s="83" t="s">
        <v>18</v>
      </c>
      <c r="E103" s="78">
        <f t="shared" si="9"/>
        <v>350000</v>
      </c>
      <c r="F103" s="117">
        <v>350000</v>
      </c>
      <c r="H103" s="81" t="s">
        <v>60</v>
      </c>
      <c r="I103" s="82">
        <v>1</v>
      </c>
      <c r="J103" s="83" t="s">
        <v>18</v>
      </c>
      <c r="K103" s="78">
        <f t="shared" si="10"/>
        <v>350000</v>
      </c>
      <c r="L103" s="117">
        <v>350000</v>
      </c>
    </row>
    <row r="104" spans="2:12" x14ac:dyDescent="0.25">
      <c r="B104" s="81" t="s">
        <v>172</v>
      </c>
      <c r="C104" s="82">
        <v>1</v>
      </c>
      <c r="D104" s="83" t="s">
        <v>18</v>
      </c>
      <c r="E104" s="78">
        <f>F104*C104</f>
        <v>80000</v>
      </c>
      <c r="F104" s="117">
        <v>80000</v>
      </c>
      <c r="H104" s="81" t="s">
        <v>172</v>
      </c>
      <c r="I104" s="82">
        <v>1</v>
      </c>
      <c r="J104" s="83" t="s">
        <v>18</v>
      </c>
      <c r="K104" s="78">
        <f>L104*I104</f>
        <v>80000</v>
      </c>
      <c r="L104" s="117">
        <v>80000</v>
      </c>
    </row>
    <row r="105" spans="2:12" x14ac:dyDescent="0.25">
      <c r="B105" s="81" t="s">
        <v>173</v>
      </c>
      <c r="C105" s="82">
        <v>2</v>
      </c>
      <c r="D105" s="83" t="s">
        <v>18</v>
      </c>
      <c r="E105" s="78">
        <f>F105*C105</f>
        <v>160000</v>
      </c>
      <c r="F105" s="117">
        <v>80000</v>
      </c>
      <c r="H105" s="81" t="s">
        <v>173</v>
      </c>
      <c r="I105" s="82">
        <v>2</v>
      </c>
      <c r="J105" s="83" t="s">
        <v>18</v>
      </c>
      <c r="K105" s="78">
        <f>L105*I105</f>
        <v>160000</v>
      </c>
      <c r="L105" s="117">
        <v>80000</v>
      </c>
    </row>
    <row r="106" spans="2:12" x14ac:dyDescent="0.25">
      <c r="B106" s="81" t="s">
        <v>63</v>
      </c>
      <c r="C106" s="82">
        <v>4</v>
      </c>
      <c r="D106" s="83" t="s">
        <v>40</v>
      </c>
      <c r="E106" s="78">
        <f>F106*C106</f>
        <v>720000</v>
      </c>
      <c r="F106" s="117">
        <v>180000</v>
      </c>
      <c r="H106" s="81" t="s">
        <v>63</v>
      </c>
      <c r="I106" s="82">
        <v>4</v>
      </c>
      <c r="J106" s="83" t="s">
        <v>40</v>
      </c>
      <c r="K106" s="78">
        <f>L106*I106</f>
        <v>720000</v>
      </c>
      <c r="L106" s="117">
        <v>180000</v>
      </c>
    </row>
    <row r="107" spans="2:12" x14ac:dyDescent="0.25">
      <c r="B107" s="81" t="s">
        <v>189</v>
      </c>
      <c r="C107" s="82">
        <v>1</v>
      </c>
      <c r="D107" s="83" t="s">
        <v>18</v>
      </c>
      <c r="E107" s="78">
        <f>F107*C107</f>
        <v>750000</v>
      </c>
      <c r="F107" s="117">
        <v>750000</v>
      </c>
      <c r="H107" s="81" t="s">
        <v>189</v>
      </c>
      <c r="I107" s="82">
        <v>1</v>
      </c>
      <c r="J107" s="83" t="s">
        <v>18</v>
      </c>
      <c r="K107" s="78">
        <f>L107*I107</f>
        <v>750000</v>
      </c>
      <c r="L107" s="117">
        <v>750000</v>
      </c>
    </row>
    <row r="108" spans="2:12" x14ac:dyDescent="0.25">
      <c r="B108" s="81" t="s">
        <v>26</v>
      </c>
      <c r="C108" s="82">
        <v>1</v>
      </c>
      <c r="D108" s="83" t="s">
        <v>18</v>
      </c>
      <c r="E108" s="78">
        <f t="shared" si="9"/>
        <v>350000</v>
      </c>
      <c r="F108" s="117">
        <v>350000</v>
      </c>
      <c r="H108" s="81" t="s">
        <v>26</v>
      </c>
      <c r="I108" s="82">
        <v>1</v>
      </c>
      <c r="J108" s="83" t="s">
        <v>18</v>
      </c>
      <c r="K108" s="78">
        <f t="shared" si="10"/>
        <v>350000</v>
      </c>
      <c r="L108" s="117">
        <v>350000</v>
      </c>
    </row>
    <row r="109" spans="2:12" x14ac:dyDescent="0.25">
      <c r="B109" s="81" t="s">
        <v>174</v>
      </c>
      <c r="C109" s="82">
        <v>2</v>
      </c>
      <c r="D109" s="83" t="s">
        <v>18</v>
      </c>
      <c r="E109" s="78">
        <f t="shared" si="9"/>
        <v>700000</v>
      </c>
      <c r="F109" s="117">
        <v>350000</v>
      </c>
      <c r="H109" s="81" t="s">
        <v>174</v>
      </c>
      <c r="I109" s="82">
        <v>2</v>
      </c>
      <c r="J109" s="83" t="s">
        <v>18</v>
      </c>
      <c r="K109" s="78">
        <f t="shared" si="10"/>
        <v>700000</v>
      </c>
      <c r="L109" s="117">
        <v>350000</v>
      </c>
    </row>
    <row r="110" spans="2:12" x14ac:dyDescent="0.25">
      <c r="B110" s="81" t="s">
        <v>64</v>
      </c>
      <c r="C110" s="82">
        <v>2</v>
      </c>
      <c r="D110" s="83" t="s">
        <v>18</v>
      </c>
      <c r="E110" s="78">
        <f t="shared" si="9"/>
        <v>800000</v>
      </c>
      <c r="F110" s="117">
        <v>400000</v>
      </c>
      <c r="H110" s="81" t="s">
        <v>64</v>
      </c>
      <c r="I110" s="82">
        <v>2</v>
      </c>
      <c r="J110" s="83" t="s">
        <v>18</v>
      </c>
      <c r="K110" s="78">
        <f t="shared" si="10"/>
        <v>800000</v>
      </c>
      <c r="L110" s="117">
        <v>400000</v>
      </c>
    </row>
    <row r="111" spans="2:12" x14ac:dyDescent="0.25">
      <c r="B111" s="81" t="s">
        <v>61</v>
      </c>
      <c r="C111" s="82">
        <v>1</v>
      </c>
      <c r="D111" s="83" t="s">
        <v>18</v>
      </c>
      <c r="E111" s="78">
        <f>F111*C111</f>
        <v>850000</v>
      </c>
      <c r="F111" s="117">
        <v>850000</v>
      </c>
      <c r="H111" s="81" t="s">
        <v>61</v>
      </c>
      <c r="I111" s="82">
        <v>1</v>
      </c>
      <c r="J111" s="83" t="s">
        <v>18</v>
      </c>
      <c r="K111" s="78">
        <f>L111*I111</f>
        <v>850000</v>
      </c>
      <c r="L111" s="117">
        <v>850000</v>
      </c>
    </row>
    <row r="112" spans="2:12" x14ac:dyDescent="0.25">
      <c r="B112" s="81" t="s">
        <v>62</v>
      </c>
      <c r="C112" s="82">
        <v>1</v>
      </c>
      <c r="D112" s="83" t="s">
        <v>18</v>
      </c>
      <c r="E112" s="78">
        <f>F112*C112</f>
        <v>400000</v>
      </c>
      <c r="F112" s="117">
        <v>400000</v>
      </c>
      <c r="H112" s="81" t="s">
        <v>62</v>
      </c>
      <c r="I112" s="82">
        <v>1</v>
      </c>
      <c r="J112" s="83" t="s">
        <v>18</v>
      </c>
      <c r="K112" s="78">
        <f>L112*I112</f>
        <v>400000</v>
      </c>
      <c r="L112" s="117">
        <v>400000</v>
      </c>
    </row>
    <row r="113" spans="2:12" x14ac:dyDescent="0.25">
      <c r="B113" s="81"/>
      <c r="C113" s="82"/>
      <c r="D113" s="83"/>
      <c r="E113" s="78">
        <f t="shared" si="9"/>
        <v>0</v>
      </c>
      <c r="F113" s="78"/>
      <c r="H113" s="81" t="s">
        <v>65</v>
      </c>
      <c r="I113" s="82">
        <v>1</v>
      </c>
      <c r="J113" s="83" t="s">
        <v>18</v>
      </c>
      <c r="K113" s="78">
        <f t="shared" si="10"/>
        <v>250000</v>
      </c>
      <c r="L113" s="117">
        <v>250000</v>
      </c>
    </row>
    <row r="114" spans="2:12" x14ac:dyDescent="0.25">
      <c r="B114" s="81"/>
      <c r="C114" s="82"/>
      <c r="D114" s="83"/>
      <c r="E114" s="78">
        <f t="shared" si="9"/>
        <v>0</v>
      </c>
      <c r="F114" s="78"/>
      <c r="H114" s="81" t="s">
        <v>66</v>
      </c>
      <c r="I114" s="82">
        <v>1</v>
      </c>
      <c r="J114" s="83" t="s">
        <v>18</v>
      </c>
      <c r="K114" s="78">
        <f t="shared" si="10"/>
        <v>350000</v>
      </c>
      <c r="L114" s="117">
        <v>350000</v>
      </c>
    </row>
    <row r="115" spans="2:12" x14ac:dyDescent="0.25">
      <c r="B115" s="81" t="s">
        <v>188</v>
      </c>
      <c r="C115" s="82">
        <v>6</v>
      </c>
      <c r="D115" s="83" t="s">
        <v>18</v>
      </c>
      <c r="E115" s="78">
        <f t="shared" si="9"/>
        <v>90000</v>
      </c>
      <c r="F115" s="117">
        <v>15000</v>
      </c>
      <c r="H115" s="81" t="s">
        <v>188</v>
      </c>
      <c r="I115" s="82">
        <v>6</v>
      </c>
      <c r="J115" s="83" t="s">
        <v>18</v>
      </c>
      <c r="K115" s="78">
        <f t="shared" si="10"/>
        <v>90000</v>
      </c>
      <c r="L115" s="117">
        <v>15000</v>
      </c>
    </row>
    <row r="116" spans="2:12" ht="24" x14ac:dyDescent="0.25">
      <c r="B116" s="81" t="s">
        <v>67</v>
      </c>
      <c r="C116" s="82">
        <v>1</v>
      </c>
      <c r="D116" s="83" t="s">
        <v>18</v>
      </c>
      <c r="E116" s="78">
        <f t="shared" si="9"/>
        <v>12000</v>
      </c>
      <c r="F116" s="117">
        <v>12000</v>
      </c>
      <c r="H116" s="81" t="s">
        <v>67</v>
      </c>
      <c r="I116" s="82">
        <v>1</v>
      </c>
      <c r="J116" s="83" t="s">
        <v>18</v>
      </c>
      <c r="K116" s="78">
        <f t="shared" si="10"/>
        <v>12000</v>
      </c>
      <c r="L116" s="117">
        <v>12000</v>
      </c>
    </row>
    <row r="117" spans="2:12" x14ac:dyDescent="0.25">
      <c r="B117" s="81" t="s">
        <v>109</v>
      </c>
      <c r="C117" s="82">
        <v>5</v>
      </c>
      <c r="D117" s="85" t="s">
        <v>107</v>
      </c>
      <c r="E117" s="78">
        <f t="shared" si="9"/>
        <v>375000</v>
      </c>
      <c r="F117" s="117">
        <v>75000</v>
      </c>
      <c r="H117" s="81" t="s">
        <v>109</v>
      </c>
      <c r="I117" s="82">
        <v>5</v>
      </c>
      <c r="J117" s="85" t="s">
        <v>107</v>
      </c>
      <c r="K117" s="78">
        <f t="shared" si="10"/>
        <v>375000</v>
      </c>
      <c r="L117" s="117">
        <v>75000</v>
      </c>
    </row>
    <row r="118" spans="2:12" ht="21" x14ac:dyDescent="0.25">
      <c r="B118" s="120">
        <f>SUM(E102:E117)</f>
        <v>5987000</v>
      </c>
      <c r="C118" s="591">
        <f>SUM(E101:E117)</f>
        <v>5987000</v>
      </c>
      <c r="D118" s="592"/>
      <c r="E118" s="592"/>
      <c r="F118" s="131">
        <f>E101</f>
        <v>0</v>
      </c>
      <c r="H118" s="81"/>
      <c r="I118" s="591">
        <f>SUM(K101:K117)</f>
        <v>66587000</v>
      </c>
      <c r="J118" s="592"/>
      <c r="K118" s="592"/>
      <c r="L118" s="78"/>
    </row>
    <row r="119" spans="2:12" x14ac:dyDescent="0.25">
      <c r="B119" s="74"/>
      <c r="C119" s="74"/>
      <c r="D119" s="74"/>
      <c r="E119" s="74"/>
      <c r="F119" s="74"/>
      <c r="H119" s="74"/>
      <c r="I119" s="74"/>
      <c r="J119" s="74"/>
      <c r="K119" s="74"/>
      <c r="L119" s="74"/>
    </row>
    <row r="120" spans="2:12" ht="21" x14ac:dyDescent="0.25">
      <c r="B120" s="92" t="s">
        <v>137</v>
      </c>
      <c r="C120" s="598" t="s">
        <v>116</v>
      </c>
      <c r="D120" s="598"/>
      <c r="E120" s="598"/>
      <c r="F120" s="82"/>
      <c r="H120" s="91" t="s">
        <v>136</v>
      </c>
      <c r="I120" s="598" t="s">
        <v>116</v>
      </c>
      <c r="J120" s="598"/>
      <c r="K120" s="598"/>
      <c r="L120" s="78"/>
    </row>
    <row r="121" spans="2:12" ht="15.75" x14ac:dyDescent="0.25">
      <c r="B121" s="94"/>
      <c r="C121" s="79" t="s">
        <v>4</v>
      </c>
      <c r="D121" s="79" t="s">
        <v>15</v>
      </c>
      <c r="E121" s="80" t="s">
        <v>16</v>
      </c>
      <c r="F121" s="93"/>
      <c r="H121" s="81"/>
      <c r="I121" s="79" t="s">
        <v>4</v>
      </c>
      <c r="J121" s="79" t="s">
        <v>15</v>
      </c>
      <c r="K121" s="80" t="s">
        <v>16</v>
      </c>
      <c r="L121" s="93"/>
    </row>
    <row r="122" spans="2:12" x14ac:dyDescent="0.25">
      <c r="B122" s="81" t="s">
        <v>97</v>
      </c>
      <c r="C122" s="82">
        <f>('4'!$D$8*'4'!$D$9)</f>
        <v>0</v>
      </c>
      <c r="D122" s="85" t="s">
        <v>96</v>
      </c>
      <c r="E122" s="78">
        <f>F122*C122</f>
        <v>0</v>
      </c>
      <c r="F122" s="88">
        <f>8*'4'!E15</f>
        <v>5600000</v>
      </c>
      <c r="H122" s="81" t="s">
        <v>97</v>
      </c>
      <c r="I122" s="82">
        <f>('4'!$D$8*'4'!$D$9)</f>
        <v>0</v>
      </c>
      <c r="J122" s="85" t="s">
        <v>96</v>
      </c>
      <c r="K122" s="78">
        <f>L122*I122</f>
        <v>0</v>
      </c>
      <c r="L122" s="88">
        <f>8*'4'!E15</f>
        <v>5600000</v>
      </c>
    </row>
    <row r="123" spans="2:12" x14ac:dyDescent="0.25">
      <c r="B123" s="81" t="s">
        <v>125</v>
      </c>
      <c r="C123" s="82">
        <f>((('4'!$D$8-0.25)/0.6)-1)*('4'!$D$9)</f>
        <v>0</v>
      </c>
      <c r="D123" s="85" t="s">
        <v>40</v>
      </c>
      <c r="E123" s="78">
        <f t="shared" ref="E123:E134" si="11">F123*C123</f>
        <v>0</v>
      </c>
      <c r="F123" s="88">
        <f>1*'4'!E9</f>
        <v>2200000</v>
      </c>
      <c r="H123" s="81" t="s">
        <v>125</v>
      </c>
      <c r="I123" s="82">
        <f>((('4'!$D$8-0.25)/0.6)-1)*('4'!$D$9)</f>
        <v>0</v>
      </c>
      <c r="J123" s="85" t="s">
        <v>40</v>
      </c>
      <c r="K123" s="78">
        <f t="shared" ref="K123:K134" si="12">L123*I123</f>
        <v>0</v>
      </c>
      <c r="L123" s="88">
        <f>1.5*'4'!E9</f>
        <v>3300000</v>
      </c>
    </row>
    <row r="124" spans="2:12" x14ac:dyDescent="0.25">
      <c r="B124" s="81" t="s">
        <v>124</v>
      </c>
      <c r="C124" s="89">
        <f>'4'!$D$9*2</f>
        <v>0</v>
      </c>
      <c r="D124" s="85" t="s">
        <v>40</v>
      </c>
      <c r="E124" s="78">
        <f t="shared" si="11"/>
        <v>0</v>
      </c>
      <c r="F124" s="88">
        <f>1.9*'4'!E9</f>
        <v>4180000</v>
      </c>
      <c r="H124" s="81" t="s">
        <v>124</v>
      </c>
      <c r="I124" s="89">
        <f>'4'!$D$9*2</f>
        <v>0</v>
      </c>
      <c r="J124" s="85" t="s">
        <v>40</v>
      </c>
      <c r="K124" s="78">
        <f t="shared" si="12"/>
        <v>0</v>
      </c>
      <c r="L124" s="88">
        <f>1.9*'4'!E9</f>
        <v>4180000</v>
      </c>
    </row>
    <row r="125" spans="2:12" x14ac:dyDescent="0.25">
      <c r="B125" s="81" t="s">
        <v>68</v>
      </c>
      <c r="C125" s="89">
        <f>C124+C123</f>
        <v>0</v>
      </c>
      <c r="D125" s="85" t="s">
        <v>40</v>
      </c>
      <c r="E125" s="78">
        <f t="shared" si="11"/>
        <v>0</v>
      </c>
      <c r="F125" s="117">
        <v>50000</v>
      </c>
      <c r="H125" s="81" t="s">
        <v>68</v>
      </c>
      <c r="I125" s="89">
        <f>I124+I123</f>
        <v>0</v>
      </c>
      <c r="J125" s="85" t="s">
        <v>40</v>
      </c>
      <c r="K125" s="78">
        <f t="shared" si="12"/>
        <v>0</v>
      </c>
      <c r="L125" s="117">
        <v>50000</v>
      </c>
    </row>
    <row r="126" spans="2:12" x14ac:dyDescent="0.25">
      <c r="B126" s="81" t="s">
        <v>69</v>
      </c>
      <c r="C126" s="89">
        <f>'4'!$D$9</f>
        <v>0</v>
      </c>
      <c r="D126" s="85" t="s">
        <v>40</v>
      </c>
      <c r="E126" s="78">
        <f t="shared" si="11"/>
        <v>0</v>
      </c>
      <c r="F126" s="117">
        <v>30000</v>
      </c>
      <c r="H126" s="81" t="s">
        <v>69</v>
      </c>
      <c r="I126" s="89">
        <f>'4'!$D$9</f>
        <v>0</v>
      </c>
      <c r="J126" s="85" t="s">
        <v>40</v>
      </c>
      <c r="K126" s="78">
        <f t="shared" si="12"/>
        <v>0</v>
      </c>
      <c r="L126" s="117">
        <v>30000</v>
      </c>
    </row>
    <row r="127" spans="2:12" x14ac:dyDescent="0.25">
      <c r="B127" s="81" t="s">
        <v>71</v>
      </c>
      <c r="C127" s="89">
        <f>'4'!$D$8</f>
        <v>0</v>
      </c>
      <c r="D127" s="85" t="s">
        <v>40</v>
      </c>
      <c r="E127" s="78">
        <f t="shared" si="11"/>
        <v>0</v>
      </c>
      <c r="F127" s="117">
        <v>30000</v>
      </c>
      <c r="H127" s="81" t="s">
        <v>71</v>
      </c>
      <c r="I127" s="89">
        <f>'4'!$D$8</f>
        <v>0</v>
      </c>
      <c r="J127" s="85" t="s">
        <v>40</v>
      </c>
      <c r="K127" s="78">
        <f t="shared" si="12"/>
        <v>0</v>
      </c>
      <c r="L127" s="117">
        <v>30000</v>
      </c>
    </row>
    <row r="128" spans="2:12" x14ac:dyDescent="0.25">
      <c r="B128" s="81" t="s">
        <v>70</v>
      </c>
      <c r="C128" s="82">
        <f>((INT((C123+C124)/10))+1)</f>
        <v>1</v>
      </c>
      <c r="D128" s="85" t="s">
        <v>18</v>
      </c>
      <c r="E128" s="78">
        <f t="shared" si="11"/>
        <v>500000</v>
      </c>
      <c r="F128" s="117">
        <v>500000</v>
      </c>
      <c r="H128" s="81" t="s">
        <v>70</v>
      </c>
      <c r="I128" s="82">
        <f>((INT((I123+I124)/10))+1)</f>
        <v>1</v>
      </c>
      <c r="J128" s="85" t="s">
        <v>18</v>
      </c>
      <c r="K128" s="78">
        <f t="shared" si="12"/>
        <v>500000</v>
      </c>
      <c r="L128" s="117">
        <v>500000</v>
      </c>
    </row>
    <row r="129" spans="2:12" x14ac:dyDescent="0.25">
      <c r="B129" s="81" t="s">
        <v>126</v>
      </c>
      <c r="C129" s="82">
        <f>((INT(('4'!$D$8-0.25)/0.6)))*2</f>
        <v>-2</v>
      </c>
      <c r="D129" s="85" t="s">
        <v>18</v>
      </c>
      <c r="E129" s="78">
        <f t="shared" si="11"/>
        <v>-138000</v>
      </c>
      <c r="F129" s="117">
        <v>69000</v>
      </c>
      <c r="H129" s="81" t="s">
        <v>126</v>
      </c>
      <c r="I129" s="82">
        <f>((INT(('4'!$D$8-0.25)/0.6)))*2</f>
        <v>-2</v>
      </c>
      <c r="J129" s="85" t="s">
        <v>18</v>
      </c>
      <c r="K129" s="78">
        <f t="shared" si="12"/>
        <v>-138000</v>
      </c>
      <c r="L129" s="117">
        <v>69000</v>
      </c>
    </row>
    <row r="130" spans="2:12" x14ac:dyDescent="0.25">
      <c r="B130" s="81" t="s">
        <v>73</v>
      </c>
      <c r="C130" s="82">
        <v>4</v>
      </c>
      <c r="D130" s="85" t="s">
        <v>18</v>
      </c>
      <c r="E130" s="78">
        <f t="shared" si="11"/>
        <v>330000</v>
      </c>
      <c r="F130" s="117">
        <v>82500</v>
      </c>
      <c r="H130" s="81" t="s">
        <v>73</v>
      </c>
      <c r="I130" s="82">
        <v>4</v>
      </c>
      <c r="J130" s="85" t="s">
        <v>18</v>
      </c>
      <c r="K130" s="78">
        <f t="shared" si="12"/>
        <v>330000</v>
      </c>
      <c r="L130" s="117">
        <v>82500</v>
      </c>
    </row>
    <row r="131" spans="2:12" x14ac:dyDescent="0.25">
      <c r="B131" s="81" t="s">
        <v>72</v>
      </c>
      <c r="C131" s="82">
        <f>C129+C130</f>
        <v>2</v>
      </c>
      <c r="D131" s="85" t="s">
        <v>18</v>
      </c>
      <c r="E131" s="78">
        <f t="shared" si="11"/>
        <v>3000</v>
      </c>
      <c r="F131" s="117">
        <v>1500</v>
      </c>
      <c r="H131" s="81" t="s">
        <v>72</v>
      </c>
      <c r="I131" s="82">
        <f>I129+I130</f>
        <v>2</v>
      </c>
      <c r="J131" s="85" t="s">
        <v>18</v>
      </c>
      <c r="K131" s="78">
        <f t="shared" si="12"/>
        <v>3000</v>
      </c>
      <c r="L131" s="117">
        <v>1500</v>
      </c>
    </row>
    <row r="132" spans="2:12" ht="24" x14ac:dyDescent="0.25">
      <c r="B132" s="81" t="s">
        <v>74</v>
      </c>
      <c r="C132" s="82">
        <f>C131</f>
        <v>2</v>
      </c>
      <c r="D132" s="85" t="s">
        <v>18</v>
      </c>
      <c r="E132" s="78">
        <f t="shared" si="11"/>
        <v>20000</v>
      </c>
      <c r="F132" s="117">
        <v>10000</v>
      </c>
      <c r="H132" s="81" t="s">
        <v>74</v>
      </c>
      <c r="I132" s="82">
        <f>I129+I130</f>
        <v>2</v>
      </c>
      <c r="J132" s="85" t="s">
        <v>18</v>
      </c>
      <c r="K132" s="78">
        <f t="shared" si="12"/>
        <v>20000</v>
      </c>
      <c r="L132" s="117">
        <v>10000</v>
      </c>
    </row>
    <row r="133" spans="2:12" x14ac:dyDescent="0.25">
      <c r="B133" s="81" t="s">
        <v>75</v>
      </c>
      <c r="C133" s="82">
        <f>C131</f>
        <v>2</v>
      </c>
      <c r="D133" s="85" t="s">
        <v>18</v>
      </c>
      <c r="E133" s="78">
        <f t="shared" si="11"/>
        <v>12000</v>
      </c>
      <c r="F133" s="117">
        <v>6000</v>
      </c>
      <c r="H133" s="81" t="s">
        <v>75</v>
      </c>
      <c r="I133" s="82">
        <f>I129+I130</f>
        <v>2</v>
      </c>
      <c r="J133" s="85" t="s">
        <v>18</v>
      </c>
      <c r="K133" s="78">
        <f t="shared" si="12"/>
        <v>12000</v>
      </c>
      <c r="L133" s="117">
        <v>6000</v>
      </c>
    </row>
    <row r="134" spans="2:12" x14ac:dyDescent="0.25">
      <c r="B134" s="81" t="s">
        <v>106</v>
      </c>
      <c r="C134" s="82">
        <f>(C123*1)+(C124*1.9)</f>
        <v>0</v>
      </c>
      <c r="D134" s="83" t="s">
        <v>107</v>
      </c>
      <c r="E134" s="78">
        <f t="shared" si="11"/>
        <v>0</v>
      </c>
      <c r="F134" s="117">
        <f>'A4'!$T$2</f>
        <v>450000</v>
      </c>
      <c r="H134" s="81" t="s">
        <v>106</v>
      </c>
      <c r="I134" s="82">
        <f>(I123*1.5)+(I124*1.9)</f>
        <v>0</v>
      </c>
      <c r="J134" s="83" t="s">
        <v>107</v>
      </c>
      <c r="K134" s="78">
        <f t="shared" si="12"/>
        <v>0</v>
      </c>
      <c r="L134" s="117">
        <f>'A4'!$T$2</f>
        <v>450000</v>
      </c>
    </row>
    <row r="135" spans="2:12" ht="21" x14ac:dyDescent="0.25">
      <c r="B135" s="120">
        <f>SUM(E125:E133)</f>
        <v>727000</v>
      </c>
      <c r="C135" s="591">
        <f>SUM(E122:E134)</f>
        <v>727000</v>
      </c>
      <c r="D135" s="592"/>
      <c r="E135" s="592"/>
      <c r="F135" s="130">
        <f>E134</f>
        <v>0</v>
      </c>
      <c r="H135" s="81"/>
      <c r="I135" s="591">
        <f>SUM(K122:K134)</f>
        <v>727000</v>
      </c>
      <c r="J135" s="592"/>
      <c r="K135" s="592"/>
      <c r="L135" s="78"/>
    </row>
    <row r="136" spans="2:12" x14ac:dyDescent="0.25">
      <c r="B136" s="74"/>
      <c r="C136" s="74"/>
      <c r="D136" s="74"/>
      <c r="E136" s="74"/>
      <c r="F136" s="74"/>
    </row>
    <row r="137" spans="2:12" x14ac:dyDescent="0.25">
      <c r="B137" s="81"/>
      <c r="C137" s="598" t="s">
        <v>76</v>
      </c>
      <c r="D137" s="598"/>
      <c r="E137" s="598"/>
      <c r="F137" s="78"/>
    </row>
    <row r="138" spans="2:12" x14ac:dyDescent="0.25">
      <c r="B138" s="81"/>
      <c r="C138" s="79" t="s">
        <v>4</v>
      </c>
      <c r="D138" s="79" t="s">
        <v>15</v>
      </c>
      <c r="E138" s="80" t="s">
        <v>16</v>
      </c>
      <c r="F138" s="78"/>
    </row>
    <row r="139" spans="2:12" x14ac:dyDescent="0.25">
      <c r="B139" s="81" t="s">
        <v>127</v>
      </c>
      <c r="C139" s="82">
        <f>('4'!$D$9*((((INT('4'!$D$8/0.6))+1)*0.07)+0.25))</f>
        <v>0</v>
      </c>
      <c r="D139" s="85" t="s">
        <v>96</v>
      </c>
      <c r="E139" s="78">
        <f>F139*C139</f>
        <v>0</v>
      </c>
      <c r="F139" s="78">
        <f>8*0.5*'4'!E15</f>
        <v>2800000</v>
      </c>
    </row>
    <row r="140" spans="2:12" x14ac:dyDescent="0.25">
      <c r="B140" s="81" t="s">
        <v>78</v>
      </c>
      <c r="C140" s="82" t="e">
        <f>('4'!$E$5+'4'!$D$5)*2</f>
        <v>#VALUE!</v>
      </c>
      <c r="D140" s="85" t="s">
        <v>18</v>
      </c>
      <c r="E140" s="78" t="e">
        <f>F140*C140</f>
        <v>#VALUE!</v>
      </c>
      <c r="F140" s="117">
        <v>150000</v>
      </c>
    </row>
    <row r="141" spans="2:12" x14ac:dyDescent="0.25">
      <c r="B141" s="81" t="s">
        <v>79</v>
      </c>
      <c r="C141" s="82">
        <v>2</v>
      </c>
      <c r="D141" s="85" t="s">
        <v>18</v>
      </c>
      <c r="E141" s="78">
        <f>F141*C141</f>
        <v>300000</v>
      </c>
      <c r="F141" s="117">
        <v>150000</v>
      </c>
    </row>
    <row r="142" spans="2:12" x14ac:dyDescent="0.25">
      <c r="B142" s="81" t="s">
        <v>80</v>
      </c>
      <c r="C142" s="89">
        <f>'4'!$D$9</f>
        <v>0</v>
      </c>
      <c r="D142" s="85" t="s">
        <v>40</v>
      </c>
      <c r="E142" s="78">
        <f>F142*C142</f>
        <v>0</v>
      </c>
      <c r="F142" s="117">
        <v>220000</v>
      </c>
    </row>
    <row r="143" spans="2:12" x14ac:dyDescent="0.25">
      <c r="B143" s="81" t="s">
        <v>82</v>
      </c>
      <c r="C143" s="82">
        <v>2</v>
      </c>
      <c r="D143" s="85" t="s">
        <v>18</v>
      </c>
      <c r="E143" s="78">
        <f>F143*C143</f>
        <v>3700000</v>
      </c>
      <c r="F143" s="117">
        <v>1850000</v>
      </c>
    </row>
    <row r="144" spans="2:12" x14ac:dyDescent="0.25">
      <c r="B144" s="81" t="s">
        <v>81</v>
      </c>
      <c r="C144" s="89">
        <f>'4'!$D$9</f>
        <v>0</v>
      </c>
      <c r="D144" s="85" t="s">
        <v>40</v>
      </c>
      <c r="E144" s="78">
        <f t="shared" ref="E144:E150" si="13">F144*C144</f>
        <v>0</v>
      </c>
      <c r="F144" s="117">
        <v>430000</v>
      </c>
    </row>
    <row r="145" spans="2:12" x14ac:dyDescent="0.25">
      <c r="B145" s="81" t="s">
        <v>77</v>
      </c>
      <c r="C145" s="82">
        <f>C139/1.5</f>
        <v>0</v>
      </c>
      <c r="D145" s="85" t="s">
        <v>18</v>
      </c>
      <c r="E145" s="78">
        <f>F145*C145</f>
        <v>0</v>
      </c>
      <c r="F145" s="88">
        <v>500000</v>
      </c>
    </row>
    <row r="146" spans="2:12" ht="24" x14ac:dyDescent="0.25">
      <c r="B146" s="81" t="s">
        <v>83</v>
      </c>
      <c r="C146" s="82">
        <v>2</v>
      </c>
      <c r="D146" s="85" t="s">
        <v>18</v>
      </c>
      <c r="E146" s="78">
        <f t="shared" si="13"/>
        <v>160000</v>
      </c>
      <c r="F146" s="117">
        <v>80000</v>
      </c>
    </row>
    <row r="147" spans="2:12" x14ac:dyDescent="0.25">
      <c r="B147" s="81" t="s">
        <v>84</v>
      </c>
      <c r="C147" s="82" t="e">
        <f>C140/2</f>
        <v>#VALUE!</v>
      </c>
      <c r="D147" s="85" t="s">
        <v>18</v>
      </c>
      <c r="E147" s="78" t="e">
        <f t="shared" si="13"/>
        <v>#VALUE!</v>
      </c>
      <c r="F147" s="117">
        <v>200000</v>
      </c>
    </row>
    <row r="148" spans="2:12" ht="24" x14ac:dyDescent="0.25">
      <c r="B148" s="81" t="s">
        <v>85</v>
      </c>
      <c r="C148" s="82">
        <v>2</v>
      </c>
      <c r="D148" s="85" t="s">
        <v>18</v>
      </c>
      <c r="E148" s="78">
        <f t="shared" si="13"/>
        <v>50000</v>
      </c>
      <c r="F148" s="117">
        <v>25000</v>
      </c>
    </row>
    <row r="149" spans="2:12" x14ac:dyDescent="0.25">
      <c r="B149" s="81" t="s">
        <v>86</v>
      </c>
      <c r="C149" s="82">
        <f>C139*5</f>
        <v>0</v>
      </c>
      <c r="D149" s="85" t="s">
        <v>18</v>
      </c>
      <c r="E149" s="78">
        <f t="shared" si="13"/>
        <v>0</v>
      </c>
      <c r="F149" s="117">
        <v>10000</v>
      </c>
    </row>
    <row r="150" spans="2:12" x14ac:dyDescent="0.25">
      <c r="B150" s="81" t="s">
        <v>106</v>
      </c>
      <c r="C150" s="82">
        <f>C139*3.2</f>
        <v>0</v>
      </c>
      <c r="D150" s="83" t="s">
        <v>107</v>
      </c>
      <c r="E150" s="78">
        <f t="shared" si="13"/>
        <v>0</v>
      </c>
      <c r="F150" s="117">
        <f>'A4'!$T$2</f>
        <v>450000</v>
      </c>
    </row>
    <row r="151" spans="2:12" ht="21" x14ac:dyDescent="0.25">
      <c r="B151" s="120" t="e">
        <f>SUM(E140:E149)</f>
        <v>#VALUE!</v>
      </c>
      <c r="C151" s="591" t="e">
        <f>SUM(E139:E150)</f>
        <v>#VALUE!</v>
      </c>
      <c r="D151" s="592"/>
      <c r="E151" s="592"/>
      <c r="F151" s="130">
        <f>SUM(E150)</f>
        <v>0</v>
      </c>
    </row>
    <row r="152" spans="2:12" x14ac:dyDescent="0.25">
      <c r="B152" s="74"/>
      <c r="C152" s="74"/>
      <c r="D152" s="74"/>
      <c r="E152" s="74"/>
      <c r="F152" s="74"/>
      <c r="H152" s="74"/>
      <c r="I152" s="74"/>
      <c r="J152" s="74"/>
      <c r="K152" s="74"/>
      <c r="L152" s="74"/>
    </row>
    <row r="153" spans="2:12" ht="21" x14ac:dyDescent="0.25">
      <c r="B153" s="92" t="s">
        <v>137</v>
      </c>
      <c r="C153" s="598" t="s">
        <v>87</v>
      </c>
      <c r="D153" s="598"/>
      <c r="E153" s="598"/>
      <c r="F153" s="78"/>
      <c r="H153" s="91" t="s">
        <v>136</v>
      </c>
      <c r="I153" s="598" t="s">
        <v>87</v>
      </c>
      <c r="J153" s="598"/>
      <c r="K153" s="598"/>
      <c r="L153" s="78"/>
    </row>
    <row r="154" spans="2:12" ht="15.75" x14ac:dyDescent="0.25">
      <c r="B154" s="229"/>
      <c r="C154" s="79" t="s">
        <v>4</v>
      </c>
      <c r="D154" s="79" t="s">
        <v>15</v>
      </c>
      <c r="E154" s="80" t="s">
        <v>16</v>
      </c>
      <c r="F154" s="93"/>
      <c r="H154" s="229"/>
      <c r="I154" s="79" t="s">
        <v>4</v>
      </c>
      <c r="J154" s="79" t="s">
        <v>15</v>
      </c>
      <c r="K154" s="80" t="s">
        <v>16</v>
      </c>
      <c r="L154" s="93"/>
    </row>
    <row r="155" spans="2:12" x14ac:dyDescent="0.25">
      <c r="B155" s="95" t="s">
        <v>110</v>
      </c>
      <c r="C155" s="89">
        <f>'4'!$D$9</f>
        <v>0</v>
      </c>
      <c r="D155" s="85" t="s">
        <v>40</v>
      </c>
      <c r="E155" s="78">
        <f>F155*C155</f>
        <v>0</v>
      </c>
      <c r="F155" s="78">
        <v>0</v>
      </c>
      <c r="H155" s="95" t="s">
        <v>110</v>
      </c>
      <c r="I155" s="89">
        <f>'4'!$D$9</f>
        <v>0</v>
      </c>
      <c r="J155" s="85" t="s">
        <v>40</v>
      </c>
      <c r="K155" s="78">
        <f>L155*I155</f>
        <v>0</v>
      </c>
      <c r="L155" s="88">
        <f>'4'!E9*2.9</f>
        <v>6380000</v>
      </c>
    </row>
    <row r="156" spans="2:12" x14ac:dyDescent="0.25">
      <c r="B156" s="95" t="s">
        <v>111</v>
      </c>
      <c r="C156" s="89">
        <f>'4'!$D$9</f>
        <v>0</v>
      </c>
      <c r="D156" s="85" t="s">
        <v>40</v>
      </c>
      <c r="E156" s="78">
        <f t="shared" ref="E156:E166" si="14">F156*C156</f>
        <v>0</v>
      </c>
      <c r="F156" s="78">
        <v>0</v>
      </c>
      <c r="H156" s="95" t="s">
        <v>111</v>
      </c>
      <c r="I156" s="89">
        <f>'4'!$D$9</f>
        <v>0</v>
      </c>
      <c r="J156" s="85" t="s">
        <v>40</v>
      </c>
      <c r="K156" s="78">
        <f t="shared" ref="K156:K166" si="15">L156*I156</f>
        <v>0</v>
      </c>
      <c r="L156" s="88">
        <f>'4'!E9*1.5</f>
        <v>3300000</v>
      </c>
    </row>
    <row r="157" spans="2:12" x14ac:dyDescent="0.25">
      <c r="B157" s="95" t="s">
        <v>154</v>
      </c>
      <c r="C157" s="89">
        <f>'4'!$D$9</f>
        <v>0</v>
      </c>
      <c r="D157" s="85" t="s">
        <v>40</v>
      </c>
      <c r="E157" s="78">
        <f t="shared" si="14"/>
        <v>0</v>
      </c>
      <c r="F157" s="88">
        <f>'4'!E9*3.7</f>
        <v>8140000</v>
      </c>
      <c r="H157" s="95" t="s">
        <v>154</v>
      </c>
      <c r="I157" s="89">
        <f>'4'!$D$9</f>
        <v>0</v>
      </c>
      <c r="J157" s="85" t="s">
        <v>40</v>
      </c>
      <c r="K157" s="78">
        <f t="shared" si="15"/>
        <v>0</v>
      </c>
      <c r="L157" s="88">
        <f>'4'!E9*3.7</f>
        <v>8140000</v>
      </c>
    </row>
    <row r="158" spans="2:12" x14ac:dyDescent="0.25">
      <c r="B158" s="95" t="s">
        <v>90</v>
      </c>
      <c r="C158" s="89">
        <f>'4'!$D$9</f>
        <v>0</v>
      </c>
      <c r="D158" s="85" t="s">
        <v>40</v>
      </c>
      <c r="E158" s="78">
        <f>F158*C158</f>
        <v>0</v>
      </c>
      <c r="F158" s="117">
        <v>120000</v>
      </c>
      <c r="H158" s="95" t="s">
        <v>90</v>
      </c>
      <c r="I158" s="89">
        <f>'4'!$D$9</f>
        <v>0</v>
      </c>
      <c r="J158" s="85" t="s">
        <v>40</v>
      </c>
      <c r="K158" s="78">
        <f>L158*I158</f>
        <v>0</v>
      </c>
      <c r="L158" s="84">
        <v>110000</v>
      </c>
    </row>
    <row r="159" spans="2:12" x14ac:dyDescent="0.25">
      <c r="B159" s="95" t="s">
        <v>88</v>
      </c>
      <c r="C159" s="82">
        <v>6</v>
      </c>
      <c r="D159" s="85" t="s">
        <v>18</v>
      </c>
      <c r="E159" s="78">
        <f t="shared" si="14"/>
        <v>7200000</v>
      </c>
      <c r="F159" s="117">
        <v>1200000</v>
      </c>
      <c r="H159" s="95" t="s">
        <v>88</v>
      </c>
      <c r="I159" s="82">
        <v>6</v>
      </c>
      <c r="J159" s="85" t="s">
        <v>18</v>
      </c>
      <c r="K159" s="78">
        <f t="shared" si="15"/>
        <v>0</v>
      </c>
      <c r="L159" s="78">
        <v>0</v>
      </c>
    </row>
    <row r="160" spans="2:12" x14ac:dyDescent="0.25">
      <c r="B160" s="95" t="s">
        <v>89</v>
      </c>
      <c r="C160" s="82">
        <v>2</v>
      </c>
      <c r="D160" s="85" t="s">
        <v>18</v>
      </c>
      <c r="E160" s="78">
        <f t="shared" si="14"/>
        <v>210000</v>
      </c>
      <c r="F160" s="117">
        <v>105000</v>
      </c>
      <c r="H160" s="95" t="s">
        <v>89</v>
      </c>
      <c r="I160" s="82">
        <v>2</v>
      </c>
      <c r="J160" s="85" t="s">
        <v>18</v>
      </c>
      <c r="K160" s="78">
        <f t="shared" si="15"/>
        <v>210000</v>
      </c>
      <c r="L160" s="84">
        <v>105000</v>
      </c>
    </row>
    <row r="161" spans="2:12" x14ac:dyDescent="0.25">
      <c r="B161" s="95" t="s">
        <v>91</v>
      </c>
      <c r="C161" s="82">
        <v>1</v>
      </c>
      <c r="D161" s="85" t="s">
        <v>18</v>
      </c>
      <c r="E161" s="78">
        <f t="shared" si="14"/>
        <v>160000</v>
      </c>
      <c r="F161" s="117">
        <v>160000</v>
      </c>
      <c r="H161" s="95" t="s">
        <v>91</v>
      </c>
      <c r="I161" s="82">
        <v>1</v>
      </c>
      <c r="J161" s="85" t="s">
        <v>18</v>
      </c>
      <c r="K161" s="78">
        <f t="shared" si="15"/>
        <v>121000</v>
      </c>
      <c r="L161" s="84">
        <v>121000</v>
      </c>
    </row>
    <row r="162" spans="2:12" ht="24" x14ac:dyDescent="0.25">
      <c r="B162" s="95" t="s">
        <v>92</v>
      </c>
      <c r="C162" s="90" t="e">
        <f>'4'!$E$5+'4'!$D$5</f>
        <v>#VALUE!</v>
      </c>
      <c r="D162" s="85" t="s">
        <v>18</v>
      </c>
      <c r="E162" s="78" t="e">
        <f t="shared" si="14"/>
        <v>#VALUE!</v>
      </c>
      <c r="F162" s="84">
        <v>0</v>
      </c>
      <c r="H162" s="95" t="s">
        <v>92</v>
      </c>
      <c r="I162" s="90" t="e">
        <f>'4'!$E$5+'4'!$D$5</f>
        <v>#VALUE!</v>
      </c>
      <c r="J162" s="85" t="s">
        <v>18</v>
      </c>
      <c r="K162" s="78" t="e">
        <f t="shared" si="15"/>
        <v>#VALUE!</v>
      </c>
      <c r="L162" s="84">
        <v>58000</v>
      </c>
    </row>
    <row r="163" spans="2:12" x14ac:dyDescent="0.25">
      <c r="B163" s="81" t="s">
        <v>95</v>
      </c>
      <c r="C163" s="82">
        <v>1</v>
      </c>
      <c r="D163" s="85" t="s">
        <v>40</v>
      </c>
      <c r="E163" s="78">
        <f t="shared" si="14"/>
        <v>500000</v>
      </c>
      <c r="F163" s="117">
        <v>500000</v>
      </c>
      <c r="H163" s="81" t="s">
        <v>95</v>
      </c>
      <c r="I163" s="82">
        <v>6</v>
      </c>
      <c r="J163" s="85" t="s">
        <v>40</v>
      </c>
      <c r="K163" s="78">
        <f t="shared" si="15"/>
        <v>1500000</v>
      </c>
      <c r="L163" s="84">
        <v>250000</v>
      </c>
    </row>
    <row r="164" spans="2:12" ht="24" x14ac:dyDescent="0.25">
      <c r="B164" s="95" t="s">
        <v>93</v>
      </c>
      <c r="C164" s="82">
        <v>20</v>
      </c>
      <c r="D164" s="85" t="s">
        <v>18</v>
      </c>
      <c r="E164" s="78">
        <f t="shared" si="14"/>
        <v>300000</v>
      </c>
      <c r="F164" s="117">
        <v>15000</v>
      </c>
      <c r="H164" s="95" t="s">
        <v>93</v>
      </c>
      <c r="I164" s="82">
        <v>20</v>
      </c>
      <c r="J164" s="85" t="s">
        <v>18</v>
      </c>
      <c r="K164" s="78">
        <f t="shared" si="15"/>
        <v>96000</v>
      </c>
      <c r="L164" s="84">
        <v>4800</v>
      </c>
    </row>
    <row r="165" spans="2:12" ht="24" x14ac:dyDescent="0.25">
      <c r="B165" s="95" t="s">
        <v>94</v>
      </c>
      <c r="C165" s="82" t="e">
        <f>C162*4</f>
        <v>#VALUE!</v>
      </c>
      <c r="D165" s="85" t="s">
        <v>18</v>
      </c>
      <c r="E165" s="78" t="e">
        <f t="shared" si="14"/>
        <v>#VALUE!</v>
      </c>
      <c r="F165" s="117">
        <v>15000</v>
      </c>
      <c r="H165" s="95" t="s">
        <v>94</v>
      </c>
      <c r="I165" s="82" t="e">
        <f>I162*4</f>
        <v>#VALUE!</v>
      </c>
      <c r="J165" s="85" t="s">
        <v>18</v>
      </c>
      <c r="K165" s="78" t="e">
        <f t="shared" si="15"/>
        <v>#VALUE!</v>
      </c>
      <c r="L165" s="84">
        <v>5500</v>
      </c>
    </row>
    <row r="166" spans="2:12" x14ac:dyDescent="0.25">
      <c r="B166" s="81" t="s">
        <v>106</v>
      </c>
      <c r="C166" s="82">
        <f>(C155*3.7)+(C159*2)</f>
        <v>12</v>
      </c>
      <c r="D166" s="85" t="s">
        <v>107</v>
      </c>
      <c r="E166" s="78">
        <f t="shared" si="14"/>
        <v>5400000</v>
      </c>
      <c r="F166" s="117">
        <f>'A4'!$T$2</f>
        <v>450000</v>
      </c>
      <c r="H166" s="81" t="s">
        <v>106</v>
      </c>
      <c r="I166" s="82">
        <f>(I155*8.2)+(I159*2)</f>
        <v>12</v>
      </c>
      <c r="J166" s="85" t="s">
        <v>107</v>
      </c>
      <c r="K166" s="78">
        <f t="shared" si="15"/>
        <v>5400000</v>
      </c>
      <c r="L166" s="117">
        <f>'A4'!$T$2</f>
        <v>450000</v>
      </c>
    </row>
    <row r="167" spans="2:12" ht="21" x14ac:dyDescent="0.25">
      <c r="B167" s="120" t="e">
        <f>SUM(E159:E165)</f>
        <v>#VALUE!</v>
      </c>
      <c r="C167" s="591" t="e">
        <f>SUM(E155:E166)</f>
        <v>#VALUE!</v>
      </c>
      <c r="D167" s="592"/>
      <c r="E167" s="592"/>
      <c r="F167" s="130">
        <f>E166</f>
        <v>5400000</v>
      </c>
      <c r="H167" s="81"/>
      <c r="I167" s="591" t="e">
        <f>SUM(K155:K166)</f>
        <v>#VALUE!</v>
      </c>
      <c r="J167" s="592"/>
      <c r="K167" s="592"/>
      <c r="L167" s="78"/>
    </row>
    <row r="168" spans="2:12" x14ac:dyDescent="0.25">
      <c r="B168" s="74"/>
      <c r="C168" s="74"/>
      <c r="D168" s="74"/>
      <c r="E168" s="74"/>
      <c r="F168" s="74"/>
    </row>
    <row r="169" spans="2:12" ht="21" x14ac:dyDescent="0.25">
      <c r="B169" s="92" t="s">
        <v>137</v>
      </c>
      <c r="C169" s="600" t="s">
        <v>175</v>
      </c>
      <c r="D169" s="600"/>
      <c r="E169" s="600"/>
      <c r="F169" s="96"/>
    </row>
    <row r="170" spans="2:12" x14ac:dyDescent="0.25">
      <c r="B170" s="230" t="s">
        <v>128</v>
      </c>
      <c r="C170" s="79" t="s">
        <v>4</v>
      </c>
      <c r="D170" s="79" t="s">
        <v>15</v>
      </c>
      <c r="E170" s="80" t="s">
        <v>16</v>
      </c>
      <c r="F170" s="78"/>
    </row>
    <row r="171" spans="2:12" x14ac:dyDescent="0.25">
      <c r="B171" s="81" t="s">
        <v>130</v>
      </c>
      <c r="C171" s="82" t="e">
        <f>3*('4'!$E$5+'4'!$D$5)</f>
        <v>#VALUE!</v>
      </c>
      <c r="D171" s="85" t="s">
        <v>40</v>
      </c>
      <c r="E171" s="78" t="e">
        <f>F171*C171</f>
        <v>#VALUE!</v>
      </c>
      <c r="F171" s="88">
        <f>'4'!E9*4.2</f>
        <v>9240000</v>
      </c>
    </row>
    <row r="172" spans="2:12" x14ac:dyDescent="0.25">
      <c r="B172" s="81" t="s">
        <v>131</v>
      </c>
      <c r="C172" s="89">
        <f>'4'!D9</f>
        <v>0</v>
      </c>
      <c r="D172" s="85" t="s">
        <v>40</v>
      </c>
      <c r="E172" s="78">
        <f>F172*C172</f>
        <v>0</v>
      </c>
      <c r="F172" s="88">
        <f>F171</f>
        <v>9240000</v>
      </c>
    </row>
    <row r="173" spans="2:12" x14ac:dyDescent="0.25">
      <c r="B173" s="81" t="s">
        <v>106</v>
      </c>
      <c r="C173" s="82" t="e">
        <f>(C171*4.2)+(C172*4.2)</f>
        <v>#VALUE!</v>
      </c>
      <c r="D173" s="85" t="s">
        <v>107</v>
      </c>
      <c r="E173" s="78" t="e">
        <f>F173*C173</f>
        <v>#VALUE!</v>
      </c>
      <c r="F173" s="117">
        <f>'A4'!$T$2</f>
        <v>450000</v>
      </c>
    </row>
    <row r="174" spans="2:12" x14ac:dyDescent="0.25">
      <c r="B174" s="81" t="s">
        <v>129</v>
      </c>
      <c r="C174" s="90" t="e">
        <f>('4'!$E$5+'4'!$D$5)*1</f>
        <v>#VALUE!</v>
      </c>
      <c r="D174" s="85" t="s">
        <v>40</v>
      </c>
      <c r="E174" s="78" t="e">
        <f>F174*C174</f>
        <v>#VALUE!</v>
      </c>
      <c r="F174" s="117">
        <v>1600000</v>
      </c>
    </row>
    <row r="175" spans="2:12" x14ac:dyDescent="0.25">
      <c r="B175" s="81" t="s">
        <v>112</v>
      </c>
      <c r="C175" s="82" t="e">
        <f>C174*6.2</f>
        <v>#VALUE!</v>
      </c>
      <c r="D175" s="85" t="s">
        <v>107</v>
      </c>
      <c r="E175" s="78" t="e">
        <f t="shared" ref="E175:E177" si="16">F175*C175</f>
        <v>#VALUE!</v>
      </c>
      <c r="F175" s="117">
        <v>75000</v>
      </c>
    </row>
    <row r="176" spans="2:12" x14ac:dyDescent="0.25">
      <c r="B176" s="81" t="s">
        <v>132</v>
      </c>
      <c r="C176" s="82" t="e">
        <f>('4'!$E$5+'4'!$D$5)*2</f>
        <v>#VALUE!</v>
      </c>
      <c r="D176" s="85" t="s">
        <v>18</v>
      </c>
      <c r="E176" s="78" t="e">
        <f t="shared" si="16"/>
        <v>#VALUE!</v>
      </c>
      <c r="F176" s="117">
        <v>1600000</v>
      </c>
    </row>
    <row r="177" spans="2:6" x14ac:dyDescent="0.25">
      <c r="B177" s="81" t="s">
        <v>133</v>
      </c>
      <c r="C177" s="82" t="e">
        <f>C176*8</f>
        <v>#VALUE!</v>
      </c>
      <c r="D177" s="85" t="s">
        <v>18</v>
      </c>
      <c r="E177" s="78" t="e">
        <f t="shared" si="16"/>
        <v>#VALUE!</v>
      </c>
      <c r="F177" s="117">
        <v>25000</v>
      </c>
    </row>
    <row r="178" spans="2:6" ht="21" x14ac:dyDescent="0.25">
      <c r="B178" s="120" t="e">
        <f>SUM(E174,E175:E177)</f>
        <v>#VALUE!</v>
      </c>
      <c r="C178" s="591" t="e">
        <f>SUM(E171:E177)</f>
        <v>#VALUE!</v>
      </c>
      <c r="D178" s="592"/>
      <c r="E178" s="592"/>
      <c r="F178" s="130" t="e">
        <f>SUM(E173)</f>
        <v>#VALUE!</v>
      </c>
    </row>
    <row r="179" spans="2:6" x14ac:dyDescent="0.25">
      <c r="B179" s="74"/>
      <c r="C179" s="74"/>
      <c r="D179" s="74"/>
      <c r="E179" s="74"/>
      <c r="F179" s="74"/>
    </row>
    <row r="180" spans="2:6" ht="21" x14ac:dyDescent="0.25">
      <c r="B180" s="92" t="s">
        <v>137</v>
      </c>
      <c r="C180" s="600" t="s">
        <v>176</v>
      </c>
      <c r="D180" s="600"/>
      <c r="E180" s="600"/>
      <c r="F180" s="97"/>
    </row>
    <row r="181" spans="2:6" x14ac:dyDescent="0.25">
      <c r="B181" s="230" t="s">
        <v>128</v>
      </c>
      <c r="C181" s="79" t="s">
        <v>4</v>
      </c>
      <c r="D181" s="79" t="s">
        <v>15</v>
      </c>
      <c r="E181" s="80" t="s">
        <v>16</v>
      </c>
      <c r="F181" s="78"/>
    </row>
    <row r="182" spans="2:6" x14ac:dyDescent="0.25">
      <c r="B182" s="81" t="s">
        <v>130</v>
      </c>
      <c r="C182" s="82" t="e">
        <f>(2.5*('4'!$E$5+'4'!$D$5))+(3.5*('4'!$E$5+'4'!$D$5))+(IF(AND('4'!$D$9&gt;4,'4'!$D$9&lt;=8),1,IF(AND('4'!$D$9&gt;8,'4'!$D$9&lt;=10),2,0)))*2*2.5</f>
        <v>#VALUE!</v>
      </c>
      <c r="D182" s="85" t="s">
        <v>40</v>
      </c>
      <c r="E182" s="78" t="e">
        <f>F182*C182</f>
        <v>#VALUE!</v>
      </c>
      <c r="F182" s="88">
        <f>F171</f>
        <v>9240000</v>
      </c>
    </row>
    <row r="183" spans="2:6" x14ac:dyDescent="0.25">
      <c r="B183" s="81" t="s">
        <v>131</v>
      </c>
      <c r="C183" s="82">
        <f>('4'!$D$8*2)+('4'!$D$9)</f>
        <v>0</v>
      </c>
      <c r="D183" s="85" t="s">
        <v>40</v>
      </c>
      <c r="E183" s="78">
        <f>F183*C183</f>
        <v>0</v>
      </c>
      <c r="F183" s="88">
        <f>F171</f>
        <v>9240000</v>
      </c>
    </row>
    <row r="184" spans="2:6" x14ac:dyDescent="0.25">
      <c r="B184" s="81" t="s">
        <v>106</v>
      </c>
      <c r="C184" s="82" t="e">
        <f>(C182*4.1)+(C183*4.1)</f>
        <v>#VALUE!</v>
      </c>
      <c r="D184" s="85" t="s">
        <v>107</v>
      </c>
      <c r="E184" s="78" t="e">
        <f>F184*C184</f>
        <v>#VALUE!</v>
      </c>
      <c r="F184" s="117">
        <f>'A4'!$T$2</f>
        <v>450000</v>
      </c>
    </row>
    <row r="185" spans="2:6" x14ac:dyDescent="0.25">
      <c r="B185" s="81" t="s">
        <v>129</v>
      </c>
      <c r="C185" s="82" t="e">
        <f>(0.5*('4'!$E$5+'4'!$D$5))+(0.5*('4'!$E$5+'4'!$D$5))+(IF(AND('4'!$D$9&gt;4,'4'!$D$9&lt;=8),1,IF(AND('4'!$D$9&gt;8,'4'!$D$9&lt;=10),2,0)))*2*0.5</f>
        <v>#VALUE!</v>
      </c>
      <c r="D185" s="85" t="s">
        <v>40</v>
      </c>
      <c r="E185" s="78" t="e">
        <f>F185*C185</f>
        <v>#VALUE!</v>
      </c>
      <c r="F185" s="117">
        <v>1600000</v>
      </c>
    </row>
    <row r="186" spans="2:6" x14ac:dyDescent="0.25">
      <c r="B186" s="81" t="s">
        <v>112</v>
      </c>
      <c r="C186" s="82" t="e">
        <f>C185*6.2</f>
        <v>#VALUE!</v>
      </c>
      <c r="D186" s="85" t="s">
        <v>107</v>
      </c>
      <c r="E186" s="78" t="e">
        <f t="shared" ref="E186:E188" si="17">F186*C186</f>
        <v>#VALUE!</v>
      </c>
      <c r="F186" s="117">
        <v>60000</v>
      </c>
    </row>
    <row r="187" spans="2:6" x14ac:dyDescent="0.25">
      <c r="B187" s="81" t="s">
        <v>132</v>
      </c>
      <c r="C187" s="82" t="e">
        <f>('4'!$E$5+'4'!$D$5)*3</f>
        <v>#VALUE!</v>
      </c>
      <c r="D187" s="85" t="s">
        <v>18</v>
      </c>
      <c r="E187" s="78" t="e">
        <f t="shared" si="17"/>
        <v>#VALUE!</v>
      </c>
      <c r="F187" s="117">
        <v>1600000</v>
      </c>
    </row>
    <row r="188" spans="2:6" x14ac:dyDescent="0.25">
      <c r="B188" s="81" t="s">
        <v>133</v>
      </c>
      <c r="C188" s="82" t="e">
        <f>C187*8</f>
        <v>#VALUE!</v>
      </c>
      <c r="D188" s="85" t="s">
        <v>18</v>
      </c>
      <c r="E188" s="78" t="e">
        <f t="shared" si="17"/>
        <v>#VALUE!</v>
      </c>
      <c r="F188" s="117">
        <v>25000</v>
      </c>
    </row>
    <row r="189" spans="2:6" ht="21" x14ac:dyDescent="0.25">
      <c r="B189" s="120" t="e">
        <f>SUM(E185,E186:E188)</f>
        <v>#VALUE!</v>
      </c>
      <c r="C189" s="591" t="e">
        <f>SUM(E182:E188)</f>
        <v>#VALUE!</v>
      </c>
      <c r="D189" s="592"/>
      <c r="E189" s="592"/>
      <c r="F189" s="130" t="e">
        <f>SUM(E184)</f>
        <v>#VALUE!</v>
      </c>
    </row>
    <row r="190" spans="2:6" x14ac:dyDescent="0.25">
      <c r="B190" s="74"/>
      <c r="C190" s="74"/>
      <c r="D190" s="74"/>
      <c r="E190" s="74"/>
      <c r="F190" s="74"/>
    </row>
    <row r="191" spans="2:6" x14ac:dyDescent="0.25">
      <c r="B191" s="81"/>
      <c r="C191" s="599" t="s">
        <v>113</v>
      </c>
      <c r="D191" s="599"/>
      <c r="E191" s="599"/>
      <c r="F191" s="82"/>
    </row>
    <row r="192" spans="2:6" x14ac:dyDescent="0.25">
      <c r="B192" s="229" t="s">
        <v>178</v>
      </c>
      <c r="C192" s="79" t="s">
        <v>4</v>
      </c>
      <c r="D192" s="79" t="s">
        <v>15</v>
      </c>
      <c r="E192" s="80" t="s">
        <v>16</v>
      </c>
      <c r="F192" s="78"/>
    </row>
    <row r="193" spans="2:6" x14ac:dyDescent="0.25">
      <c r="B193" s="81" t="s">
        <v>177</v>
      </c>
      <c r="C193" s="82">
        <v>2.5</v>
      </c>
      <c r="D193" s="85" t="s">
        <v>40</v>
      </c>
      <c r="E193" s="78">
        <f>F193*C193</f>
        <v>3750000</v>
      </c>
      <c r="F193" s="117">
        <v>1500000</v>
      </c>
    </row>
    <row r="194" spans="2:6" x14ac:dyDescent="0.25">
      <c r="B194" s="81" t="s">
        <v>115</v>
      </c>
      <c r="C194" s="82">
        <v>2.5</v>
      </c>
      <c r="D194" s="85" t="s">
        <v>40</v>
      </c>
      <c r="E194" s="78">
        <f t="shared" ref="E194:E195" si="18">F194*C194</f>
        <v>7500000</v>
      </c>
      <c r="F194" s="117">
        <v>3000000</v>
      </c>
    </row>
    <row r="195" spans="2:6" x14ac:dyDescent="0.25">
      <c r="B195" s="81" t="s">
        <v>106</v>
      </c>
      <c r="C195" s="82">
        <v>20</v>
      </c>
      <c r="D195" s="85" t="s">
        <v>107</v>
      </c>
      <c r="E195" s="78">
        <f t="shared" si="18"/>
        <v>9000000</v>
      </c>
      <c r="F195" s="117">
        <f>'A4'!$T$2</f>
        <v>450000</v>
      </c>
    </row>
    <row r="196" spans="2:6" ht="21" x14ac:dyDescent="0.25">
      <c r="B196" s="120">
        <f>SUM(E193:E194)</f>
        <v>11250000</v>
      </c>
      <c r="C196" s="591">
        <f>SUM(E193:E195)</f>
        <v>20250000</v>
      </c>
      <c r="D196" s="592"/>
      <c r="E196" s="592"/>
      <c r="F196" s="130">
        <f>SUM(E195)</f>
        <v>9000000</v>
      </c>
    </row>
    <row r="197" spans="2:6" x14ac:dyDescent="0.25">
      <c r="B197" s="74"/>
      <c r="C197" s="74"/>
      <c r="D197" s="74"/>
      <c r="E197" s="74"/>
      <c r="F197" s="74"/>
    </row>
  </sheetData>
  <sheetProtection formatCells="0" formatColumns="0" formatRows="0" insertColumns="0" insertRows="0" insertHyperlinks="0" deleteColumns="0" deleteRows="0" sort="0" autoFilter="0" pivotTables="0"/>
  <mergeCells count="37">
    <mergeCell ref="C196:E196"/>
    <mergeCell ref="C137:E137"/>
    <mergeCell ref="C151:E151"/>
    <mergeCell ref="C153:E153"/>
    <mergeCell ref="I153:K153"/>
    <mergeCell ref="C167:E167"/>
    <mergeCell ref="I167:K167"/>
    <mergeCell ref="C169:E169"/>
    <mergeCell ref="C178:E178"/>
    <mergeCell ref="C180:E180"/>
    <mergeCell ref="C189:E189"/>
    <mergeCell ref="C191:E191"/>
    <mergeCell ref="C135:E135"/>
    <mergeCell ref="I135:K135"/>
    <mergeCell ref="C69:E69"/>
    <mergeCell ref="C79:E79"/>
    <mergeCell ref="C81:E81"/>
    <mergeCell ref="C89:E89"/>
    <mergeCell ref="C97:E97"/>
    <mergeCell ref="C99:E99"/>
    <mergeCell ref="I99:K99"/>
    <mergeCell ref="C118:E118"/>
    <mergeCell ref="I118:K118"/>
    <mergeCell ref="C120:E120"/>
    <mergeCell ref="I120:K120"/>
    <mergeCell ref="C35:E35"/>
    <mergeCell ref="C53:E53"/>
    <mergeCell ref="C55:E55"/>
    <mergeCell ref="I55:K55"/>
    <mergeCell ref="C67:E67"/>
    <mergeCell ref="I67:K67"/>
    <mergeCell ref="C33:E33"/>
    <mergeCell ref="C3:E3"/>
    <mergeCell ref="I3:K3"/>
    <mergeCell ref="C13:E13"/>
    <mergeCell ref="I13:K13"/>
    <mergeCell ref="C15:E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115"/>
  <sheetViews>
    <sheetView rightToLeft="1" topLeftCell="G13" workbookViewId="0">
      <selection activeCell="S23" sqref="S23:T23"/>
    </sheetView>
  </sheetViews>
  <sheetFormatPr defaultRowHeight="15" x14ac:dyDescent="0.25"/>
  <cols>
    <col min="1" max="1" width="4.7109375" style="33" customWidth="1"/>
    <col min="2" max="2" width="25.7109375" style="34" customWidth="1"/>
    <col min="3" max="16" width="10.5703125" style="34" customWidth="1"/>
    <col min="17" max="17" width="13.7109375" style="35" customWidth="1"/>
    <col min="18" max="18" width="5.7109375" style="35" customWidth="1"/>
    <col min="19" max="19" width="13.7109375" style="36" customWidth="1"/>
    <col min="20" max="20" width="13.7109375" style="40" customWidth="1"/>
    <col min="21" max="21" width="2.7109375" style="38" customWidth="1"/>
    <col min="22" max="22" width="25.7109375" style="39" customWidth="1"/>
    <col min="23" max="23" width="13.7109375" style="33" customWidth="1"/>
    <col min="24" max="24" width="5.7109375" style="33" customWidth="1"/>
    <col min="25" max="25" width="13.7109375" style="40" customWidth="1"/>
    <col min="26" max="26" width="13.7109375" style="33" customWidth="1"/>
    <col min="27" max="27" width="10.85546875" style="41" bestFit="1" customWidth="1"/>
  </cols>
  <sheetData>
    <row r="1" spans="1:23" x14ac:dyDescent="0.25">
      <c r="T1" s="37" t="s">
        <v>14</v>
      </c>
    </row>
    <row r="2" spans="1:23" ht="29.45" customHeight="1" x14ac:dyDescent="0.25">
      <c r="A2" s="42"/>
      <c r="B2" s="43" t="s">
        <v>2</v>
      </c>
      <c r="C2" s="72" t="s">
        <v>193</v>
      </c>
      <c r="D2" s="72" t="s">
        <v>194</v>
      </c>
      <c r="E2" s="72" t="s">
        <v>195</v>
      </c>
      <c r="F2" s="72" t="s">
        <v>197</v>
      </c>
      <c r="G2" s="72" t="s">
        <v>199</v>
      </c>
      <c r="H2" s="72" t="s">
        <v>196</v>
      </c>
      <c r="I2" s="137" t="s">
        <v>200</v>
      </c>
      <c r="J2" s="137" t="s">
        <v>217</v>
      </c>
      <c r="K2" s="137" t="s">
        <v>218</v>
      </c>
      <c r="L2" s="137" t="s">
        <v>219</v>
      </c>
      <c r="M2" s="137" t="s">
        <v>220</v>
      </c>
      <c r="N2" s="137" t="s">
        <v>221</v>
      </c>
      <c r="O2" s="137" t="s">
        <v>222</v>
      </c>
      <c r="P2" s="137"/>
      <c r="Q2" s="44">
        <f>'5'!D8*'5'!D9*'5'!D10</f>
        <v>0</v>
      </c>
      <c r="R2" s="44"/>
      <c r="S2" s="227" t="s">
        <v>198</v>
      </c>
      <c r="T2" s="164">
        <f>'5'!E17</f>
        <v>450000</v>
      </c>
      <c r="V2" s="113" t="e">
        <f>W2/Q2</f>
        <v>#DIV/0!</v>
      </c>
      <c r="W2" s="112">
        <f>SUM(W3:W24)</f>
        <v>0</v>
      </c>
    </row>
    <row r="3" spans="1:23" x14ac:dyDescent="0.25">
      <c r="A3" s="46">
        <v>1</v>
      </c>
      <c r="B3" s="47" t="s">
        <v>156</v>
      </c>
      <c r="C3" s="138"/>
      <c r="D3" s="47"/>
      <c r="E3" s="138"/>
      <c r="F3" s="138">
        <f>SUM('D5'!K5:K11)</f>
        <v>2642000</v>
      </c>
      <c r="G3" s="47"/>
      <c r="H3" s="47"/>
      <c r="I3" s="138">
        <f>SUM('D5'!K12)</f>
        <v>1125000</v>
      </c>
      <c r="J3" s="138"/>
      <c r="K3" s="138"/>
      <c r="L3" s="138"/>
      <c r="M3" s="138"/>
      <c r="N3" s="138"/>
      <c r="O3" s="138"/>
      <c r="P3" s="140">
        <f>SUM(C3:O3)</f>
        <v>3767000</v>
      </c>
      <c r="Q3" s="225">
        <f>'D5'!I13</f>
        <v>3767000</v>
      </c>
      <c r="R3" s="49">
        <f>(IF('5'!D13="VIP",('5'!D5+'5'!E5),0))*'5'!D10</f>
        <v>0</v>
      </c>
      <c r="S3" s="225">
        <f>R3*Q3</f>
        <v>0</v>
      </c>
      <c r="T3" s="584" t="s">
        <v>151</v>
      </c>
    </row>
    <row r="4" spans="1:23" x14ac:dyDescent="0.25">
      <c r="A4" s="46">
        <f t="shared" ref="A4:A21" si="0">A3+1</f>
        <v>2</v>
      </c>
      <c r="B4" s="47" t="s">
        <v>205</v>
      </c>
      <c r="C4" s="138"/>
      <c r="D4" s="47"/>
      <c r="E4" s="138"/>
      <c r="F4" s="138">
        <f>SUM('D5'!E5:E11)</f>
        <v>2192000</v>
      </c>
      <c r="G4" s="47"/>
      <c r="H4" s="47"/>
      <c r="I4" s="138">
        <f>SUM('D5'!E12)</f>
        <v>810000</v>
      </c>
      <c r="J4" s="138"/>
      <c r="K4" s="138"/>
      <c r="L4" s="138"/>
      <c r="M4" s="138"/>
      <c r="N4" s="138"/>
      <c r="O4" s="138"/>
      <c r="P4" s="140">
        <f t="shared" ref="P4:P6" si="1">SUM(C4:O4)</f>
        <v>3002000</v>
      </c>
      <c r="Q4" s="225">
        <f>'D5'!C13</f>
        <v>3002000</v>
      </c>
      <c r="R4" s="49" t="e">
        <f>(IF('5'!D13="REGULAR",('5'!D5+'5'!E5),0))*'5'!D10</f>
        <v>#VALUE!</v>
      </c>
      <c r="S4" s="225" t="e">
        <f>R4*Q4</f>
        <v>#VALUE!</v>
      </c>
      <c r="T4" s="585"/>
    </row>
    <row r="5" spans="1:23" x14ac:dyDescent="0.25">
      <c r="A5" s="46">
        <f t="shared" si="0"/>
        <v>3</v>
      </c>
      <c r="B5" s="47" t="s">
        <v>5</v>
      </c>
      <c r="C5" s="47"/>
      <c r="D5" s="47"/>
      <c r="E5" s="47"/>
      <c r="F5" s="138">
        <f>SUM('D5'!C33)</f>
        <v>2405000</v>
      </c>
      <c r="G5" s="47"/>
      <c r="H5" s="47"/>
      <c r="I5" s="47"/>
      <c r="J5" s="47"/>
      <c r="K5" s="47"/>
      <c r="L5" s="47"/>
      <c r="M5" s="47"/>
      <c r="N5" s="47"/>
      <c r="O5" s="47"/>
      <c r="P5" s="140">
        <f t="shared" si="1"/>
        <v>2405000</v>
      </c>
      <c r="Q5" s="225">
        <f>'D5'!C33</f>
        <v>2405000</v>
      </c>
      <c r="R5" s="50">
        <f>('5'!D5*'5'!D10)</f>
        <v>0</v>
      </c>
      <c r="S5" s="225">
        <f>R5*Q5</f>
        <v>0</v>
      </c>
      <c r="T5" s="585"/>
    </row>
    <row r="6" spans="1:23" x14ac:dyDescent="0.25">
      <c r="A6" s="51">
        <f t="shared" si="0"/>
        <v>4</v>
      </c>
      <c r="B6" s="52" t="s">
        <v>6</v>
      </c>
      <c r="C6" s="52"/>
      <c r="D6" s="52"/>
      <c r="E6" s="52"/>
      <c r="F6" s="139">
        <f>SUM('D5'!C53)</f>
        <v>2845000</v>
      </c>
      <c r="G6" s="52"/>
      <c r="H6" s="52"/>
      <c r="I6" s="52"/>
      <c r="J6" s="52"/>
      <c r="K6" s="52"/>
      <c r="L6" s="52"/>
      <c r="M6" s="52"/>
      <c r="N6" s="52"/>
      <c r="O6" s="52"/>
      <c r="P6" s="140">
        <f t="shared" si="1"/>
        <v>2845000</v>
      </c>
      <c r="Q6" s="226">
        <f>'D5'!C53</f>
        <v>2845000</v>
      </c>
      <c r="R6" s="54" t="e">
        <f>'5'!E5*'5'!D10</f>
        <v>#VALUE!</v>
      </c>
      <c r="S6" s="226" t="e">
        <f>R6*Q6</f>
        <v>#VALUE!</v>
      </c>
      <c r="T6" s="586"/>
    </row>
    <row r="7" spans="1:23" x14ac:dyDescent="0.25">
      <c r="A7" s="55">
        <f t="shared" si="0"/>
        <v>5</v>
      </c>
      <c r="B7" s="56" t="s">
        <v>134</v>
      </c>
      <c r="C7" s="141" t="e">
        <f>'D5'!K57</f>
        <v>#VALUE!</v>
      </c>
      <c r="D7" s="56"/>
      <c r="E7" s="141" t="e">
        <f>SUM('D5'!K60:K65)</f>
        <v>#VALUE!</v>
      </c>
      <c r="F7" s="56"/>
      <c r="G7" s="56"/>
      <c r="H7" s="141" t="e">
        <f>'D5'!K58</f>
        <v>#VALUE!</v>
      </c>
      <c r="I7" s="141" t="e">
        <f>SUM('D5'!K66)</f>
        <v>#VALUE!</v>
      </c>
      <c r="J7" s="141"/>
      <c r="K7" s="141"/>
      <c r="L7" s="141"/>
      <c r="M7" s="141"/>
      <c r="N7" s="141">
        <f>'D5'!K59</f>
        <v>-135000</v>
      </c>
      <c r="O7" s="141"/>
      <c r="P7" s="143" t="e">
        <f>SUM(C7:O7)</f>
        <v>#VALUE!</v>
      </c>
      <c r="Q7" s="228" t="e">
        <f>'D5'!I67</f>
        <v>#VALUE!</v>
      </c>
      <c r="R7" s="58">
        <f>(IF('5'!$D$17="VIP",('5'!$D$10),0))</f>
        <v>0</v>
      </c>
      <c r="S7" s="228" t="e">
        <f>Q7*R7</f>
        <v>#VALUE!</v>
      </c>
      <c r="T7" s="587" t="s">
        <v>148</v>
      </c>
    </row>
    <row r="8" spans="1:23" x14ac:dyDescent="0.25">
      <c r="A8" s="59">
        <f t="shared" si="0"/>
        <v>6</v>
      </c>
      <c r="B8" s="60" t="s">
        <v>135</v>
      </c>
      <c r="C8" s="142" t="e">
        <f>'D5'!E57</f>
        <v>#VALUE!</v>
      </c>
      <c r="D8" s="60"/>
      <c r="E8" s="142" t="e">
        <f>SUM('D5'!E60:E65)</f>
        <v>#VALUE!</v>
      </c>
      <c r="F8" s="60"/>
      <c r="G8" s="60"/>
      <c r="H8" s="142" t="e">
        <f>'D5'!E58</f>
        <v>#VALUE!</v>
      </c>
      <c r="I8" s="142" t="e">
        <f>SUM('D5'!E66)</f>
        <v>#VALUE!</v>
      </c>
      <c r="J8" s="141"/>
      <c r="K8" s="141"/>
      <c r="L8" s="141"/>
      <c r="M8" s="141"/>
      <c r="N8" s="141">
        <f>'D5'!E59</f>
        <v>-135000</v>
      </c>
      <c r="O8" s="141"/>
      <c r="P8" s="143" t="e">
        <f>SUM(C8:O8)</f>
        <v>#VALUE!</v>
      </c>
      <c r="Q8" s="227" t="e">
        <f>'D5'!C67</f>
        <v>#VALUE!</v>
      </c>
      <c r="R8" s="44">
        <f>(IF('5'!$D$13="REGULAR",('5'!$D$10),0))</f>
        <v>0</v>
      </c>
      <c r="S8" s="227" t="e">
        <f>Q8*R8</f>
        <v>#VALUE!</v>
      </c>
      <c r="T8" s="582"/>
    </row>
    <row r="9" spans="1:23" x14ac:dyDescent="0.25">
      <c r="A9" s="46">
        <f t="shared" si="0"/>
        <v>7</v>
      </c>
      <c r="B9" s="47" t="s">
        <v>49</v>
      </c>
      <c r="C9" s="47"/>
      <c r="D9" s="47"/>
      <c r="E9" s="138"/>
      <c r="F9" s="47"/>
      <c r="G9" s="47"/>
      <c r="H9" s="47"/>
      <c r="I9" s="138">
        <f>SUM('D5'!E86)</f>
        <v>1575000</v>
      </c>
      <c r="J9" s="47"/>
      <c r="K9" s="138">
        <f>SUM('D5'!E83:E85,'D5'!E87:E88)</f>
        <v>3460000</v>
      </c>
      <c r="L9" s="47"/>
      <c r="M9" s="47"/>
      <c r="N9" s="47"/>
      <c r="O9" s="47"/>
      <c r="P9" s="140">
        <f t="shared" ref="P9:P11" si="2">SUM(C9:O9)</f>
        <v>5035000</v>
      </c>
      <c r="Q9" s="225">
        <f>'D5'!C89</f>
        <v>5035000</v>
      </c>
      <c r="R9" s="49" t="e">
        <f>(IF(AND('5'!D8&gt;6,'5'!D8&lt;=8),1,IF(AND('5'!D8&gt;8,'5'!D8&lt;=10),2,0)))*('5'!D5+'5'!E5)*'5'!D10</f>
        <v>#VALUE!</v>
      </c>
      <c r="S9" s="225" t="e">
        <f>R9*Q9</f>
        <v>#VALUE!</v>
      </c>
      <c r="T9" s="584" t="s">
        <v>184</v>
      </c>
    </row>
    <row r="10" spans="1:23" x14ac:dyDescent="0.25">
      <c r="A10" s="46">
        <f t="shared" si="0"/>
        <v>8</v>
      </c>
      <c r="B10" s="47" t="s">
        <v>122</v>
      </c>
      <c r="C10" s="138">
        <f>SUM('D5'!E71)</f>
        <v>0</v>
      </c>
      <c r="D10" s="47"/>
      <c r="E10" s="138">
        <f>SUM('D5'!E75:E78)</f>
        <v>164000</v>
      </c>
      <c r="F10" s="47"/>
      <c r="G10" s="47"/>
      <c r="H10" s="47"/>
      <c r="I10" s="138">
        <f>SUM('D5'!E74)</f>
        <v>0</v>
      </c>
      <c r="J10" s="138"/>
      <c r="K10" s="138">
        <f>SUM('D5'!E72:E73)</f>
        <v>700000</v>
      </c>
      <c r="L10" s="138"/>
      <c r="M10" s="138"/>
      <c r="N10" s="138"/>
      <c r="O10" s="138"/>
      <c r="P10" s="140">
        <f t="shared" si="2"/>
        <v>864000</v>
      </c>
      <c r="Q10" s="225">
        <f>'D5'!C79</f>
        <v>864000</v>
      </c>
      <c r="R10" s="49" t="e">
        <f>(IF(AND('5'!D8&lt;=6),1,IF(AND('5'!D8&gt;6,'5'!D8&lt;=8),2,IF(AND('5'!D8&gt;8,'5'!D8&lt;=10),3,0))))*('5'!D5+'5'!E5-1)*'5'!D10</f>
        <v>#VALUE!</v>
      </c>
      <c r="S10" s="225" t="e">
        <f>R10*Q10</f>
        <v>#VALUE!</v>
      </c>
      <c r="T10" s="585"/>
      <c r="W10" s="39"/>
    </row>
    <row r="11" spans="1:23" x14ac:dyDescent="0.25">
      <c r="A11" s="51">
        <f t="shared" si="0"/>
        <v>9</v>
      </c>
      <c r="B11" s="52" t="s">
        <v>56</v>
      </c>
      <c r="C11" s="52"/>
      <c r="D11" s="52"/>
      <c r="E11" s="139"/>
      <c r="F11" s="52"/>
      <c r="G11" s="52"/>
      <c r="H11" s="52"/>
      <c r="I11" s="52"/>
      <c r="J11" s="138">
        <f>SUM('D5'!C97)</f>
        <v>302000</v>
      </c>
      <c r="K11" s="47"/>
      <c r="L11" s="47"/>
      <c r="M11" s="47"/>
      <c r="N11" s="47"/>
      <c r="O11" s="47"/>
      <c r="P11" s="140">
        <f t="shared" si="2"/>
        <v>302000</v>
      </c>
      <c r="Q11" s="226">
        <f>'D5'!C97</f>
        <v>302000</v>
      </c>
      <c r="R11" s="54">
        <f>('5'!D10)</f>
        <v>0</v>
      </c>
      <c r="S11" s="226">
        <f>R11*Q11</f>
        <v>0</v>
      </c>
      <c r="T11" s="586"/>
      <c r="V11" s="33"/>
    </row>
    <row r="12" spans="1:23" x14ac:dyDescent="0.25">
      <c r="A12" s="55">
        <f t="shared" si="0"/>
        <v>10</v>
      </c>
      <c r="B12" s="56" t="s">
        <v>140</v>
      </c>
      <c r="C12" s="56"/>
      <c r="D12" s="56"/>
      <c r="E12" s="141">
        <f>SUM('D5'!K107:K117)</f>
        <v>4927000</v>
      </c>
      <c r="F12" s="56"/>
      <c r="G12" s="141">
        <f>SUM('D5'!K101)</f>
        <v>60000000</v>
      </c>
      <c r="H12" s="56"/>
      <c r="I12" s="56"/>
      <c r="J12" s="141">
        <f>SUM('D5'!K102:K106)</f>
        <v>1660000</v>
      </c>
      <c r="K12" s="56"/>
      <c r="L12" s="56"/>
      <c r="M12" s="56"/>
      <c r="N12" s="56"/>
      <c r="O12" s="56"/>
      <c r="P12" s="143">
        <f>SUM(C12:O12)</f>
        <v>66587000</v>
      </c>
      <c r="Q12" s="228">
        <f>'D5'!I118</f>
        <v>66587000</v>
      </c>
      <c r="R12" s="58">
        <f>(IF('5'!$D$17="VIP",('5'!$D$10),0))</f>
        <v>0</v>
      </c>
      <c r="S12" s="228">
        <f>Q12*R12</f>
        <v>0</v>
      </c>
      <c r="T12" s="587" t="s">
        <v>149</v>
      </c>
      <c r="V12" s="33"/>
    </row>
    <row r="13" spans="1:23" ht="24" x14ac:dyDescent="0.25">
      <c r="A13" s="59">
        <f t="shared" si="0"/>
        <v>11</v>
      </c>
      <c r="B13" s="60" t="s">
        <v>141</v>
      </c>
      <c r="C13" s="60"/>
      <c r="D13" s="60"/>
      <c r="E13" s="142">
        <f>SUM('D5'!E107:E117)</f>
        <v>4327000</v>
      </c>
      <c r="F13" s="60"/>
      <c r="G13" s="142">
        <f>SUM('D5'!E101)</f>
        <v>0</v>
      </c>
      <c r="H13" s="60"/>
      <c r="I13" s="60"/>
      <c r="J13" s="141">
        <f>SUM('D5'!E102:E106)</f>
        <v>1660000</v>
      </c>
      <c r="K13" s="56"/>
      <c r="L13" s="56"/>
      <c r="M13" s="56"/>
      <c r="N13" s="56"/>
      <c r="O13" s="56"/>
      <c r="P13" s="143">
        <f>SUM(C13:O13)</f>
        <v>5987000</v>
      </c>
      <c r="Q13" s="227">
        <f>'D5'!C118</f>
        <v>5987000</v>
      </c>
      <c r="R13" s="44">
        <f>(IF('5'!$D$13="REGULAR",('5'!$D$10),0))</f>
        <v>0</v>
      </c>
      <c r="S13" s="227">
        <f>Q13*R13</f>
        <v>0</v>
      </c>
      <c r="T13" s="582"/>
      <c r="V13" s="33"/>
    </row>
    <row r="14" spans="1:23" ht="24" x14ac:dyDescent="0.25">
      <c r="A14" s="46">
        <f t="shared" si="0"/>
        <v>12</v>
      </c>
      <c r="B14" s="47" t="s">
        <v>143</v>
      </c>
      <c r="C14" s="138">
        <f>SUM('D5'!K123:K124)</f>
        <v>0</v>
      </c>
      <c r="D14" s="138">
        <f>SUM('D5'!K122)</f>
        <v>0</v>
      </c>
      <c r="E14" s="138">
        <f>SUM('D5'!K126:K133)</f>
        <v>727000</v>
      </c>
      <c r="F14" s="47"/>
      <c r="G14" s="47"/>
      <c r="H14" s="47"/>
      <c r="I14" s="138">
        <f>SUM('D5'!K134)</f>
        <v>0</v>
      </c>
      <c r="J14" s="138"/>
      <c r="K14" s="138"/>
      <c r="L14" s="138">
        <f>'D5'!K125</f>
        <v>0</v>
      </c>
      <c r="M14" s="138"/>
      <c r="N14" s="138"/>
      <c r="O14" s="138"/>
      <c r="P14" s="140">
        <f t="shared" ref="P14:P18" si="3">SUM(C14:O14)</f>
        <v>727000</v>
      </c>
      <c r="Q14" s="225">
        <f>'D5'!I135</f>
        <v>727000</v>
      </c>
      <c r="R14" s="49">
        <f>(IF('5'!$D$17="VIP",('5'!$D$10),0))</f>
        <v>0</v>
      </c>
      <c r="S14" s="225">
        <f>Q14*R14</f>
        <v>0</v>
      </c>
      <c r="T14" s="588" t="s">
        <v>185</v>
      </c>
      <c r="V14" s="33"/>
    </row>
    <row r="15" spans="1:23" ht="24" x14ac:dyDescent="0.25">
      <c r="A15" s="51">
        <f t="shared" si="0"/>
        <v>13</v>
      </c>
      <c r="B15" s="52" t="s">
        <v>142</v>
      </c>
      <c r="C15" s="139">
        <f>SUM('D5'!E123:E124)</f>
        <v>0</v>
      </c>
      <c r="D15" s="139">
        <f>SUM('D5'!E122)</f>
        <v>0</v>
      </c>
      <c r="E15" s="139">
        <f>SUM('D5'!E126:E133)</f>
        <v>727000</v>
      </c>
      <c r="F15" s="52"/>
      <c r="G15" s="52"/>
      <c r="H15" s="52"/>
      <c r="I15" s="139">
        <f>SUM('D5'!E134)</f>
        <v>0</v>
      </c>
      <c r="J15" s="138"/>
      <c r="K15" s="138"/>
      <c r="L15" s="138">
        <f>'D5'!E125</f>
        <v>0</v>
      </c>
      <c r="M15" s="138"/>
      <c r="N15" s="138"/>
      <c r="O15" s="138"/>
      <c r="P15" s="140">
        <f t="shared" si="3"/>
        <v>727000</v>
      </c>
      <c r="Q15" s="226">
        <f>'D5'!C135</f>
        <v>727000</v>
      </c>
      <c r="R15" s="61">
        <f>(IF('5'!$D$13="REGULAR",('5'!$D$10),0))</f>
        <v>0</v>
      </c>
      <c r="S15" s="226">
        <f>Q15*R15</f>
        <v>0</v>
      </c>
      <c r="T15" s="589"/>
      <c r="V15" s="33"/>
    </row>
    <row r="16" spans="1:23" ht="18.75" customHeight="1" x14ac:dyDescent="0.25">
      <c r="A16" s="62">
        <f t="shared" si="0"/>
        <v>14</v>
      </c>
      <c r="B16" s="63" t="s">
        <v>76</v>
      </c>
      <c r="C16" s="63"/>
      <c r="D16" s="144">
        <f>'D5'!E139</f>
        <v>0</v>
      </c>
      <c r="E16" s="144" t="e">
        <f>SUM('D5'!E144:E149)</f>
        <v>#VALUE!</v>
      </c>
      <c r="F16" s="63"/>
      <c r="G16" s="63"/>
      <c r="H16" s="63"/>
      <c r="I16" s="144">
        <f>SUM('D5'!E150)</f>
        <v>0</v>
      </c>
      <c r="J16" s="141" t="e">
        <f>SUM('D5'!E140:E142)</f>
        <v>#VALUE!</v>
      </c>
      <c r="K16" s="141">
        <f>'D5'!E143</f>
        <v>3700000</v>
      </c>
      <c r="L16" s="141"/>
      <c r="M16" s="141"/>
      <c r="N16" s="141"/>
      <c r="O16" s="141"/>
      <c r="P16" s="143" t="e">
        <f>SUM(C16:O16)</f>
        <v>#VALUE!</v>
      </c>
      <c r="Q16" s="64" t="e">
        <f>'D5'!C151</f>
        <v>#VALUE!</v>
      </c>
      <c r="R16" s="65">
        <f>'5'!D10</f>
        <v>0</v>
      </c>
      <c r="S16" s="64" t="e">
        <f>R16*Q16</f>
        <v>#VALUE!</v>
      </c>
      <c r="T16" s="135" t="s">
        <v>76</v>
      </c>
      <c r="V16" s="33"/>
    </row>
    <row r="17" spans="1:30" x14ac:dyDescent="0.25">
      <c r="A17" s="46">
        <f t="shared" si="0"/>
        <v>15</v>
      </c>
      <c r="B17" s="47" t="s">
        <v>144</v>
      </c>
      <c r="C17" s="138">
        <f>SUM('D5'!K155:K157)</f>
        <v>0</v>
      </c>
      <c r="D17" s="47"/>
      <c r="E17" s="138"/>
      <c r="F17" s="47"/>
      <c r="G17" s="47"/>
      <c r="H17" s="47"/>
      <c r="I17" s="138">
        <f>SUM('D5'!K166)</f>
        <v>5400000</v>
      </c>
      <c r="J17" s="138"/>
      <c r="K17" s="138"/>
      <c r="L17" s="138"/>
      <c r="M17" s="138"/>
      <c r="N17" s="138">
        <f>'D5'!K158</f>
        <v>0</v>
      </c>
      <c r="O17" s="138" t="e">
        <f>SUM('D5'!K159:K165)</f>
        <v>#VALUE!</v>
      </c>
      <c r="P17" s="140" t="e">
        <f t="shared" si="3"/>
        <v>#VALUE!</v>
      </c>
      <c r="Q17" s="225" t="e">
        <f>'D5'!I167</f>
        <v>#VALUE!</v>
      </c>
      <c r="R17" s="49">
        <f>(IF('5'!$D$17="vip",('5'!$D$10),0))</f>
        <v>0</v>
      </c>
      <c r="S17" s="225" t="e">
        <f>Q17*R17</f>
        <v>#VALUE!</v>
      </c>
      <c r="T17" s="585" t="s">
        <v>150</v>
      </c>
      <c r="V17" s="33"/>
    </row>
    <row r="18" spans="1:30" ht="24" x14ac:dyDescent="0.25">
      <c r="A18" s="51">
        <f t="shared" si="0"/>
        <v>16</v>
      </c>
      <c r="B18" s="52" t="s">
        <v>145</v>
      </c>
      <c r="C18" s="139">
        <f>SUM('D5'!E157)</f>
        <v>0</v>
      </c>
      <c r="D18" s="52"/>
      <c r="E18" s="139"/>
      <c r="F18" s="52"/>
      <c r="G18" s="52"/>
      <c r="H18" s="52"/>
      <c r="I18" s="139">
        <f>SUM('D5'!E166)</f>
        <v>5400000</v>
      </c>
      <c r="J18" s="138"/>
      <c r="K18" s="138"/>
      <c r="L18" s="138"/>
      <c r="M18" s="138"/>
      <c r="N18" s="138">
        <f>'D5'!E158</f>
        <v>0</v>
      </c>
      <c r="O18" s="138" t="e">
        <f>SUM('D5'!E159:E165)</f>
        <v>#VALUE!</v>
      </c>
      <c r="P18" s="140" t="e">
        <f t="shared" si="3"/>
        <v>#VALUE!</v>
      </c>
      <c r="Q18" s="226" t="e">
        <f>'D5'!C167</f>
        <v>#VALUE!</v>
      </c>
      <c r="R18" s="61">
        <f>(IF('5'!$D$13="REGULAR",('5'!$D$10),0))</f>
        <v>0</v>
      </c>
      <c r="S18" s="226" t="e">
        <f>Q18*R18</f>
        <v>#VALUE!</v>
      </c>
      <c r="T18" s="586"/>
      <c r="V18" s="33"/>
    </row>
    <row r="19" spans="1:30" ht="24" x14ac:dyDescent="0.25">
      <c r="A19" s="55">
        <f>A18+1</f>
        <v>17</v>
      </c>
      <c r="B19" s="56" t="s">
        <v>146</v>
      </c>
      <c r="C19" s="141" t="e">
        <f>SUM('D5'!E171:E172)</f>
        <v>#VALUE!</v>
      </c>
      <c r="D19" s="56"/>
      <c r="E19" s="141" t="e">
        <f>'D5'!E177</f>
        <v>#VALUE!</v>
      </c>
      <c r="F19" s="56"/>
      <c r="G19" s="56"/>
      <c r="H19" s="56"/>
      <c r="I19" s="141" t="e">
        <f>SUM('D5'!E173)</f>
        <v>#VALUE!</v>
      </c>
      <c r="J19" s="141" t="e">
        <f>SUM('D5'!E174:E175)</f>
        <v>#VALUE!</v>
      </c>
      <c r="K19" s="141" t="e">
        <f>'D5'!E176</f>
        <v>#VALUE!</v>
      </c>
      <c r="L19" s="141"/>
      <c r="M19" s="141"/>
      <c r="N19" s="141"/>
      <c r="O19" s="141"/>
      <c r="P19" s="143" t="e">
        <f>SUM(C19:O19)</f>
        <v>#VALUE!</v>
      </c>
      <c r="Q19" s="228" t="e">
        <f>'D5'!C178</f>
        <v>#VALUE!</v>
      </c>
      <c r="R19" s="58">
        <f>(IF(AND('5'!$D$13="REGULAR",'5'!$D$15="SAYANEH"),('5'!$D$10),0))</f>
        <v>0</v>
      </c>
      <c r="S19" s="228" t="e">
        <f>R19*Q19</f>
        <v>#VALUE!</v>
      </c>
      <c r="T19" s="581"/>
      <c r="V19" s="33"/>
    </row>
    <row r="20" spans="1:30" ht="24" x14ac:dyDescent="0.25">
      <c r="A20" s="55">
        <f>A19+1</f>
        <v>18</v>
      </c>
      <c r="B20" s="60" t="s">
        <v>147</v>
      </c>
      <c r="C20" s="142" t="e">
        <f>SUM('D5'!E182:E183)</f>
        <v>#VALUE!</v>
      </c>
      <c r="D20" s="60"/>
      <c r="E20" s="142" t="e">
        <f>'D5'!E188</f>
        <v>#VALUE!</v>
      </c>
      <c r="F20" s="60"/>
      <c r="G20" s="60"/>
      <c r="H20" s="60"/>
      <c r="I20" s="142" t="e">
        <f>'D5'!E184</f>
        <v>#VALUE!</v>
      </c>
      <c r="J20" s="141" t="e">
        <f>SUM('D5'!E185:E186)</f>
        <v>#VALUE!</v>
      </c>
      <c r="K20" s="141" t="e">
        <f>'D5'!E187</f>
        <v>#VALUE!</v>
      </c>
      <c r="L20" s="141"/>
      <c r="M20" s="141"/>
      <c r="N20" s="141"/>
      <c r="O20" s="141"/>
      <c r="P20" s="143" t="e">
        <f>SUM(C20:O20)</f>
        <v>#VALUE!</v>
      </c>
      <c r="Q20" s="227" t="e">
        <f>'D5'!C189</f>
        <v>#VALUE!</v>
      </c>
      <c r="R20" s="44">
        <f>(IF(AND('5'!$D$13="REGULAR",'5'!$D$15="PAVLION"),('5'!$D$10),0))</f>
        <v>0</v>
      </c>
      <c r="S20" s="227" t="e">
        <f>R20*Q20</f>
        <v>#VALUE!</v>
      </c>
      <c r="T20" s="582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x14ac:dyDescent="0.25">
      <c r="A21" s="66">
        <f t="shared" si="0"/>
        <v>19</v>
      </c>
      <c r="B21" s="67" t="s">
        <v>114</v>
      </c>
      <c r="C21" s="67"/>
      <c r="D21" s="67"/>
      <c r="E21" s="145"/>
      <c r="F21" s="67"/>
      <c r="G21" s="67"/>
      <c r="H21" s="67"/>
      <c r="I21" s="145">
        <f>SUM('D5'!E195)</f>
        <v>9000000</v>
      </c>
      <c r="J21" s="138">
        <f>'D5'!E193</f>
        <v>3750000</v>
      </c>
      <c r="K21" s="138">
        <f>'D5'!E194</f>
        <v>7500000</v>
      </c>
      <c r="L21" s="138"/>
      <c r="M21" s="138"/>
      <c r="N21" s="138"/>
      <c r="O21" s="138"/>
      <c r="P21" s="140">
        <f t="shared" ref="P21" si="4">SUM(C21:O21)</f>
        <v>20250000</v>
      </c>
      <c r="Q21" s="68">
        <f>'D5'!C196</f>
        <v>20250000</v>
      </c>
      <c r="R21" s="69" t="e">
        <f>(IF(AND('5'!D8&gt;6,'5'!D8&lt;=8),1,IF(AND('5'!D8&gt;8,'5'!D8&lt;=10),2,0)))*('5'!D5+'5'!E5)*('5'!D10)</f>
        <v>#VALUE!</v>
      </c>
      <c r="S21" s="68" t="e">
        <f>R21*Q21</f>
        <v>#VALUE!</v>
      </c>
      <c r="T21" s="68"/>
      <c r="V21" s="38"/>
      <c r="W21" s="38"/>
      <c r="X21" s="38"/>
      <c r="Y21" s="38"/>
      <c r="Z21" s="38"/>
      <c r="AA21" s="38"/>
      <c r="AB21" s="38"/>
      <c r="AC21" s="38"/>
      <c r="AD21" s="38"/>
    </row>
    <row r="22" spans="1:30" ht="15" customHeight="1" x14ac:dyDescent="0.25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  <c r="R22" s="72"/>
      <c r="S22" s="583" t="e">
        <f>S23*'پیش فاکتور سقف متحرک'!G20</f>
        <v>#VALUE!</v>
      </c>
      <c r="T22" s="583"/>
      <c r="V22" s="38"/>
      <c r="W22" s="38"/>
      <c r="X22" s="38"/>
      <c r="Y22" s="38"/>
      <c r="Z22" s="38"/>
      <c r="AA22" s="38"/>
      <c r="AB22" s="38"/>
      <c r="AC22" s="38"/>
      <c r="AD22" s="38"/>
    </row>
    <row r="23" spans="1:30" ht="15.75" x14ac:dyDescent="0.25">
      <c r="A23" s="46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6" t="s">
        <v>7</v>
      </c>
      <c r="S23" s="579" t="e">
        <f>((SUM(S3:S21))/Q2)</f>
        <v>#VALUE!</v>
      </c>
      <c r="T23" s="579"/>
      <c r="V23" s="38"/>
      <c r="W23" s="38"/>
      <c r="X23" s="38"/>
      <c r="Y23" s="38"/>
      <c r="Z23" s="38"/>
      <c r="AA23" s="38"/>
      <c r="AB23" s="38"/>
      <c r="AC23" s="38"/>
      <c r="AD23" s="38"/>
    </row>
    <row r="24" spans="1:30" ht="15.75" x14ac:dyDescent="0.25">
      <c r="A24" s="55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7" t="s">
        <v>8</v>
      </c>
      <c r="S24" s="580">
        <v>3000000</v>
      </c>
      <c r="T24" s="580"/>
      <c r="V24" s="38"/>
      <c r="W24" s="38"/>
      <c r="X24" s="38"/>
      <c r="Y24" s="38"/>
      <c r="Z24" s="38"/>
      <c r="AA24" s="38"/>
      <c r="AB24" s="38"/>
      <c r="AC24" s="38"/>
      <c r="AD24" s="38"/>
    </row>
    <row r="25" spans="1:30" ht="15.75" x14ac:dyDescent="0.25">
      <c r="A25" s="46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8" t="s">
        <v>9</v>
      </c>
      <c r="S25" s="579" t="e">
        <f>(S23+S24)*('5'!G4*0.01)</f>
        <v>#VALUE!</v>
      </c>
      <c r="T25" s="579"/>
      <c r="V25" s="38"/>
      <c r="W25" s="38"/>
      <c r="X25" s="38"/>
      <c r="Y25" s="38"/>
      <c r="Z25" s="38"/>
      <c r="AA25" s="38"/>
      <c r="AB25" s="38"/>
      <c r="AC25" s="38"/>
      <c r="AD25" s="38"/>
    </row>
    <row r="26" spans="1:30" ht="15.75" x14ac:dyDescent="0.25">
      <c r="A26" s="5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9" t="s">
        <v>10</v>
      </c>
      <c r="S26" s="580" t="e">
        <f>(S23+S24)*('5'!G5*0.01)</f>
        <v>#VALUE!</v>
      </c>
      <c r="T26" s="580"/>
      <c r="V26" s="38"/>
      <c r="W26" s="38"/>
      <c r="X26" s="38"/>
      <c r="Y26" s="38"/>
      <c r="Z26" s="38"/>
      <c r="AA26" s="38"/>
      <c r="AB26" s="38"/>
      <c r="AC26" s="38"/>
      <c r="AD26" s="38"/>
    </row>
    <row r="27" spans="1:30" ht="15.75" x14ac:dyDescent="0.25">
      <c r="A27" s="46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8" t="s">
        <v>11</v>
      </c>
      <c r="S27" s="579" t="e">
        <f>(S23+S24)*('5'!G6*0.01)</f>
        <v>#VALUE!</v>
      </c>
      <c r="T27" s="579"/>
      <c r="V27" s="38"/>
      <c r="W27" s="38"/>
      <c r="X27" s="38"/>
      <c r="Y27" s="38"/>
      <c r="Z27" s="38"/>
      <c r="AA27" s="38"/>
      <c r="AB27" s="38"/>
      <c r="AC27" s="38"/>
      <c r="AD27" s="38"/>
    </row>
    <row r="28" spans="1:30" ht="15.75" x14ac:dyDescent="0.25">
      <c r="A28" s="5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9" t="s">
        <v>12</v>
      </c>
      <c r="S28" s="580" t="e">
        <f>(S23+S24)*('5'!G7*0.01)</f>
        <v>#VALUE!</v>
      </c>
      <c r="T28" s="580"/>
      <c r="V28" s="38"/>
      <c r="W28" s="38"/>
      <c r="X28" s="38"/>
      <c r="Y28" s="38"/>
      <c r="Z28" s="38"/>
      <c r="AA28" s="38"/>
      <c r="AB28" s="38"/>
      <c r="AC28" s="38"/>
      <c r="AD28" s="38"/>
    </row>
    <row r="29" spans="1:30" ht="15.75" x14ac:dyDescent="0.25">
      <c r="A29" s="46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8" t="s">
        <v>13</v>
      </c>
      <c r="S29" s="579" t="e">
        <f>(S23+S24+S25+S26+S27+S28)*('5'!G8*0.01)</f>
        <v>#VALUE!</v>
      </c>
      <c r="T29" s="579"/>
    </row>
    <row r="30" spans="1:30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30" ht="15" customHeight="1" x14ac:dyDescent="0.25">
      <c r="A31" s="9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3"/>
      <c r="R31" s="33"/>
      <c r="S31" s="40"/>
      <c r="T31" s="33"/>
      <c r="U31" s="39"/>
    </row>
    <row r="32" spans="1:30" ht="15" customHeight="1" x14ac:dyDescent="0.25">
      <c r="A32" s="98"/>
      <c r="B32" s="73" t="e">
        <f>SUM(C32:O32)</f>
        <v>#VALUE!</v>
      </c>
      <c r="C32" s="138" t="e">
        <f>SUM(C34:C52)</f>
        <v>#VALUE!</v>
      </c>
      <c r="D32" s="138" t="e">
        <f t="shared" ref="D32:O32" si="5">SUM(D34:D52)</f>
        <v>#VALUE!</v>
      </c>
      <c r="E32" s="138" t="e">
        <f t="shared" si="5"/>
        <v>#VALUE!</v>
      </c>
      <c r="F32" s="138" t="e">
        <f t="shared" si="5"/>
        <v>#VALUE!</v>
      </c>
      <c r="G32" s="138" t="e">
        <f t="shared" si="5"/>
        <v>#VALUE!</v>
      </c>
      <c r="H32" s="138" t="e">
        <f t="shared" si="5"/>
        <v>#VALUE!</v>
      </c>
      <c r="I32" s="138" t="e">
        <f t="shared" si="5"/>
        <v>#VALUE!</v>
      </c>
      <c r="J32" s="138" t="e">
        <f t="shared" si="5"/>
        <v>#VALUE!</v>
      </c>
      <c r="K32" s="138" t="e">
        <f t="shared" si="5"/>
        <v>#VALUE!</v>
      </c>
      <c r="L32" s="138" t="e">
        <f t="shared" si="5"/>
        <v>#VALUE!</v>
      </c>
      <c r="M32" s="138" t="e">
        <f t="shared" si="5"/>
        <v>#VALUE!</v>
      </c>
      <c r="N32" s="138" t="e">
        <f t="shared" si="5"/>
        <v>#VALUE!</v>
      </c>
      <c r="O32" s="138" t="e">
        <f t="shared" si="5"/>
        <v>#VALUE!</v>
      </c>
      <c r="P32" s="39"/>
      <c r="Q32" s="33"/>
      <c r="R32" s="33"/>
      <c r="S32" s="40"/>
      <c r="T32" s="33"/>
      <c r="U32" s="39"/>
    </row>
    <row r="33" spans="1:21" ht="24.6" customHeight="1" x14ac:dyDescent="0.25">
      <c r="A33" s="42"/>
      <c r="B33" s="43" t="s">
        <v>2</v>
      </c>
      <c r="C33" s="146" t="s">
        <v>193</v>
      </c>
      <c r="D33" s="146" t="s">
        <v>194</v>
      </c>
      <c r="E33" s="146" t="s">
        <v>195</v>
      </c>
      <c r="F33" s="146" t="s">
        <v>197</v>
      </c>
      <c r="G33" s="146" t="s">
        <v>199</v>
      </c>
      <c r="H33" s="146" t="s">
        <v>196</v>
      </c>
      <c r="I33" s="147" t="s">
        <v>200</v>
      </c>
      <c r="J33" s="137" t="s">
        <v>217</v>
      </c>
      <c r="K33" s="137" t="s">
        <v>218</v>
      </c>
      <c r="L33" s="137" t="s">
        <v>219</v>
      </c>
      <c r="M33" s="137" t="s">
        <v>220</v>
      </c>
      <c r="N33" s="137" t="s">
        <v>221</v>
      </c>
      <c r="O33" s="137" t="s">
        <v>222</v>
      </c>
      <c r="P33" s="39"/>
      <c r="Q33" s="33"/>
      <c r="R33" s="33"/>
      <c r="U33" s="39"/>
    </row>
    <row r="34" spans="1:21" ht="15" customHeight="1" x14ac:dyDescent="0.25">
      <c r="A34" s="46">
        <v>1</v>
      </c>
      <c r="B34" s="47" t="s">
        <v>156</v>
      </c>
      <c r="C34" s="138"/>
      <c r="D34" s="138"/>
      <c r="E34" s="138"/>
      <c r="F34" s="138">
        <f>F3*$R$3</f>
        <v>0</v>
      </c>
      <c r="G34" s="138"/>
      <c r="H34" s="138"/>
      <c r="I34" s="138">
        <f>I3*$R$3</f>
        <v>0</v>
      </c>
      <c r="J34" s="138"/>
      <c r="K34" s="138"/>
      <c r="L34" s="138"/>
      <c r="M34" s="138"/>
      <c r="N34" s="138"/>
      <c r="O34" s="138"/>
      <c r="P34" s="39"/>
      <c r="Q34" s="33"/>
      <c r="R34" s="33"/>
      <c r="U34" s="39"/>
    </row>
    <row r="35" spans="1:21" ht="15" customHeight="1" x14ac:dyDescent="0.25">
      <c r="A35" s="46">
        <f t="shared" ref="A35:A52" si="6">A34+1</f>
        <v>2</v>
      </c>
      <c r="B35" s="47" t="s">
        <v>205</v>
      </c>
      <c r="C35" s="138"/>
      <c r="D35" s="138"/>
      <c r="E35" s="138"/>
      <c r="F35" s="138" t="e">
        <f>F4*$R$4</f>
        <v>#VALUE!</v>
      </c>
      <c r="G35" s="138"/>
      <c r="H35" s="138"/>
      <c r="I35" s="138" t="e">
        <f>I4*$R$4</f>
        <v>#VALUE!</v>
      </c>
      <c r="J35" s="138"/>
      <c r="K35" s="138"/>
      <c r="L35" s="138"/>
      <c r="M35" s="138"/>
      <c r="N35" s="138"/>
      <c r="O35" s="138"/>
      <c r="P35" s="39"/>
      <c r="Q35" s="33"/>
      <c r="R35" s="33"/>
      <c r="U35" s="39"/>
    </row>
    <row r="36" spans="1:21" ht="15" customHeight="1" x14ac:dyDescent="0.25">
      <c r="A36" s="46">
        <f t="shared" si="6"/>
        <v>3</v>
      </c>
      <c r="B36" s="47" t="s">
        <v>5</v>
      </c>
      <c r="C36" s="138"/>
      <c r="D36" s="138"/>
      <c r="E36" s="138"/>
      <c r="F36" s="138">
        <f>F5*$R$5</f>
        <v>0</v>
      </c>
      <c r="G36" s="138"/>
      <c r="H36" s="138"/>
      <c r="I36" s="138">
        <f>I5*$R$5</f>
        <v>0</v>
      </c>
      <c r="J36" s="138"/>
      <c r="K36" s="138"/>
      <c r="L36" s="138"/>
      <c r="M36" s="138"/>
      <c r="N36" s="138"/>
      <c r="O36" s="138"/>
      <c r="P36" s="39"/>
      <c r="Q36" s="33"/>
      <c r="R36" s="33"/>
      <c r="U36" s="39"/>
    </row>
    <row r="37" spans="1:21" ht="15" customHeight="1" x14ac:dyDescent="0.25">
      <c r="A37" s="51">
        <f t="shared" si="6"/>
        <v>4</v>
      </c>
      <c r="B37" s="52" t="s">
        <v>6</v>
      </c>
      <c r="C37" s="139"/>
      <c r="D37" s="139"/>
      <c r="E37" s="139"/>
      <c r="F37" s="139" t="e">
        <f>F6*$R$6</f>
        <v>#VALUE!</v>
      </c>
      <c r="G37" s="139"/>
      <c r="H37" s="139"/>
      <c r="I37" s="138" t="e">
        <f>I6*$R$6</f>
        <v>#VALUE!</v>
      </c>
      <c r="J37" s="138"/>
      <c r="K37" s="138"/>
      <c r="L37" s="138"/>
      <c r="M37" s="138"/>
      <c r="N37" s="138"/>
      <c r="O37" s="138"/>
      <c r="P37" s="39"/>
      <c r="Q37" s="33"/>
      <c r="R37" s="33"/>
      <c r="U37" s="39"/>
    </row>
    <row r="38" spans="1:21" ht="15" customHeight="1" x14ac:dyDescent="0.25">
      <c r="A38" s="55">
        <f t="shared" si="6"/>
        <v>5</v>
      </c>
      <c r="B38" s="56" t="s">
        <v>134</v>
      </c>
      <c r="C38" s="148" t="e">
        <f>C7*$R$7</f>
        <v>#VALUE!</v>
      </c>
      <c r="D38" s="148"/>
      <c r="E38" s="148" t="e">
        <f>E7*$R$7</f>
        <v>#VALUE!</v>
      </c>
      <c r="F38" s="148"/>
      <c r="G38" s="148"/>
      <c r="H38" s="148" t="e">
        <f>H7*$R$7</f>
        <v>#VALUE!</v>
      </c>
      <c r="I38" s="151" t="e">
        <f>I7*$R$7</f>
        <v>#VALUE!</v>
      </c>
      <c r="J38" s="151">
        <f t="shared" ref="J38:O38" si="7">J7*$R$7</f>
        <v>0</v>
      </c>
      <c r="K38" s="151">
        <f t="shared" si="7"/>
        <v>0</v>
      </c>
      <c r="L38" s="151">
        <f t="shared" si="7"/>
        <v>0</v>
      </c>
      <c r="M38" s="151">
        <f t="shared" si="7"/>
        <v>0</v>
      </c>
      <c r="N38" s="151">
        <f t="shared" si="7"/>
        <v>0</v>
      </c>
      <c r="O38" s="151">
        <f t="shared" si="7"/>
        <v>0</v>
      </c>
      <c r="P38" s="39"/>
      <c r="Q38" s="33"/>
      <c r="R38" s="33"/>
      <c r="U38" s="39"/>
    </row>
    <row r="39" spans="1:21" ht="15" customHeight="1" x14ac:dyDescent="0.25">
      <c r="A39" s="59">
        <f t="shared" si="6"/>
        <v>6</v>
      </c>
      <c r="B39" s="60" t="s">
        <v>135</v>
      </c>
      <c r="C39" s="149" t="e">
        <f>C8*$R$8</f>
        <v>#VALUE!</v>
      </c>
      <c r="D39" s="149"/>
      <c r="E39" s="149" t="e">
        <f>E8*$R$8</f>
        <v>#VALUE!</v>
      </c>
      <c r="F39" s="149"/>
      <c r="G39" s="149"/>
      <c r="H39" s="149" t="e">
        <f>H8*$R$8</f>
        <v>#VALUE!</v>
      </c>
      <c r="I39" s="149" t="e">
        <f>I8*$R$8</f>
        <v>#VALUE!</v>
      </c>
      <c r="J39" s="149">
        <f t="shared" ref="J39:O39" si="8">J8*$R$8</f>
        <v>0</v>
      </c>
      <c r="K39" s="149">
        <f t="shared" si="8"/>
        <v>0</v>
      </c>
      <c r="L39" s="149">
        <f t="shared" si="8"/>
        <v>0</v>
      </c>
      <c r="M39" s="149">
        <f t="shared" si="8"/>
        <v>0</v>
      </c>
      <c r="N39" s="149">
        <f t="shared" si="8"/>
        <v>0</v>
      </c>
      <c r="O39" s="149">
        <f t="shared" si="8"/>
        <v>0</v>
      </c>
      <c r="P39" s="39"/>
      <c r="Q39" s="33"/>
      <c r="R39" s="33"/>
      <c r="U39" s="39"/>
    </row>
    <row r="40" spans="1:21" ht="15" customHeight="1" x14ac:dyDescent="0.25">
      <c r="A40" s="46">
        <f t="shared" si="6"/>
        <v>7</v>
      </c>
      <c r="B40" s="47" t="s">
        <v>49</v>
      </c>
      <c r="C40" s="138" t="e">
        <f>C9*$R$9</f>
        <v>#VALUE!</v>
      </c>
      <c r="D40" s="138"/>
      <c r="E40" s="138" t="e">
        <f>E9*$R$9</f>
        <v>#VALUE!</v>
      </c>
      <c r="F40" s="138"/>
      <c r="G40" s="138"/>
      <c r="H40" s="138"/>
      <c r="I40" s="138" t="e">
        <f>I9*$R$9</f>
        <v>#VALUE!</v>
      </c>
      <c r="J40" s="138" t="e">
        <f t="shared" ref="J40:O40" si="9">J9*$R$9</f>
        <v>#VALUE!</v>
      </c>
      <c r="K40" s="138" t="e">
        <f t="shared" si="9"/>
        <v>#VALUE!</v>
      </c>
      <c r="L40" s="138" t="e">
        <f t="shared" si="9"/>
        <v>#VALUE!</v>
      </c>
      <c r="M40" s="138" t="e">
        <f t="shared" si="9"/>
        <v>#VALUE!</v>
      </c>
      <c r="N40" s="138" t="e">
        <f t="shared" si="9"/>
        <v>#VALUE!</v>
      </c>
      <c r="O40" s="138" t="e">
        <f t="shared" si="9"/>
        <v>#VALUE!</v>
      </c>
      <c r="P40" s="39"/>
      <c r="Q40" s="33"/>
      <c r="R40" s="33"/>
      <c r="S40" s="40"/>
      <c r="T40" s="33"/>
      <c r="U40" s="39"/>
    </row>
    <row r="41" spans="1:21" ht="15" customHeight="1" x14ac:dyDescent="0.25">
      <c r="A41" s="46">
        <f t="shared" si="6"/>
        <v>8</v>
      </c>
      <c r="B41" s="47" t="s">
        <v>122</v>
      </c>
      <c r="C41" s="138" t="e">
        <f>C10*$R$10</f>
        <v>#VALUE!</v>
      </c>
      <c r="D41" s="138"/>
      <c r="E41" s="138" t="e">
        <f>E10*$R$10</f>
        <v>#VALUE!</v>
      </c>
      <c r="F41" s="138"/>
      <c r="G41" s="138"/>
      <c r="H41" s="138"/>
      <c r="I41" s="138" t="e">
        <f>I10*$R$10</f>
        <v>#VALUE!</v>
      </c>
      <c r="J41" s="138" t="e">
        <f t="shared" ref="J41:O41" si="10">J10*$R$10</f>
        <v>#VALUE!</v>
      </c>
      <c r="K41" s="138" t="e">
        <f t="shared" si="10"/>
        <v>#VALUE!</v>
      </c>
      <c r="L41" s="138" t="e">
        <f t="shared" si="10"/>
        <v>#VALUE!</v>
      </c>
      <c r="M41" s="138" t="e">
        <f t="shared" si="10"/>
        <v>#VALUE!</v>
      </c>
      <c r="N41" s="138" t="e">
        <f t="shared" si="10"/>
        <v>#VALUE!</v>
      </c>
      <c r="O41" s="138" t="e">
        <f t="shared" si="10"/>
        <v>#VALUE!</v>
      </c>
      <c r="P41" s="39"/>
      <c r="Q41" s="33"/>
      <c r="R41" s="33"/>
      <c r="S41" s="40"/>
      <c r="T41" s="33"/>
      <c r="U41" s="39"/>
    </row>
    <row r="42" spans="1:21" ht="15" customHeight="1" x14ac:dyDescent="0.25">
      <c r="A42" s="51">
        <f t="shared" si="6"/>
        <v>9</v>
      </c>
      <c r="B42" s="52" t="s">
        <v>56</v>
      </c>
      <c r="C42" s="139">
        <f>C11*$R$11</f>
        <v>0</v>
      </c>
      <c r="D42" s="139"/>
      <c r="E42" s="139">
        <f>E11*$R$11</f>
        <v>0</v>
      </c>
      <c r="F42" s="139"/>
      <c r="G42" s="139"/>
      <c r="H42" s="139"/>
      <c r="I42" s="139">
        <f>I11*$R$11</f>
        <v>0</v>
      </c>
      <c r="J42" s="139">
        <f t="shared" ref="J42:O42" si="11">J11*$R$11</f>
        <v>0</v>
      </c>
      <c r="K42" s="139">
        <f t="shared" si="11"/>
        <v>0</v>
      </c>
      <c r="L42" s="139">
        <f t="shared" si="11"/>
        <v>0</v>
      </c>
      <c r="M42" s="139">
        <f t="shared" si="11"/>
        <v>0</v>
      </c>
      <c r="N42" s="139">
        <f t="shared" si="11"/>
        <v>0</v>
      </c>
      <c r="O42" s="139">
        <f t="shared" si="11"/>
        <v>0</v>
      </c>
      <c r="P42" s="39"/>
      <c r="Q42" s="33"/>
      <c r="R42" s="33"/>
      <c r="S42" s="40"/>
      <c r="T42" s="33"/>
      <c r="U42" s="39"/>
    </row>
    <row r="43" spans="1:21" ht="15" customHeight="1" x14ac:dyDescent="0.25">
      <c r="A43" s="55">
        <f t="shared" si="6"/>
        <v>10</v>
      </c>
      <c r="B43" s="56" t="s">
        <v>140</v>
      </c>
      <c r="C43" s="148"/>
      <c r="D43" s="148"/>
      <c r="E43" s="148">
        <f>E12*$R$12</f>
        <v>0</v>
      </c>
      <c r="F43" s="148"/>
      <c r="G43" s="148">
        <f>G12*$R$12</f>
        <v>0</v>
      </c>
      <c r="H43" s="148">
        <f t="shared" ref="H43:I43" si="12">H12*$R$12</f>
        <v>0</v>
      </c>
      <c r="I43" s="148">
        <f t="shared" si="12"/>
        <v>0</v>
      </c>
      <c r="J43" s="148">
        <f>J12*$R$12</f>
        <v>0</v>
      </c>
      <c r="K43" s="148"/>
      <c r="L43" s="148"/>
      <c r="M43" s="148"/>
      <c r="N43" s="148"/>
      <c r="O43" s="148"/>
      <c r="P43" s="39"/>
      <c r="Q43" s="33"/>
      <c r="R43" s="33"/>
      <c r="S43" s="40"/>
      <c r="T43" s="33"/>
      <c r="U43" s="39"/>
    </row>
    <row r="44" spans="1:21" ht="15" customHeight="1" x14ac:dyDescent="0.25">
      <c r="A44" s="59">
        <f t="shared" si="6"/>
        <v>11</v>
      </c>
      <c r="B44" s="60" t="s">
        <v>141</v>
      </c>
      <c r="C44" s="149"/>
      <c r="D44" s="149"/>
      <c r="E44" s="149">
        <f>E13*$R$13</f>
        <v>0</v>
      </c>
      <c r="F44" s="149"/>
      <c r="G44" s="148">
        <f>G13*$R$13</f>
        <v>0</v>
      </c>
      <c r="H44" s="148">
        <f t="shared" ref="H44:I44" si="13">H13*$R$13</f>
        <v>0</v>
      </c>
      <c r="I44" s="148">
        <f t="shared" si="13"/>
        <v>0</v>
      </c>
      <c r="J44" s="148">
        <f>J13*$R$13</f>
        <v>0</v>
      </c>
      <c r="K44" s="149"/>
      <c r="L44" s="149"/>
      <c r="M44" s="149"/>
      <c r="N44" s="149"/>
      <c r="O44" s="149"/>
      <c r="P44" s="39"/>
      <c r="Q44" s="33"/>
      <c r="R44" s="33"/>
      <c r="S44" s="40"/>
      <c r="T44" s="33"/>
      <c r="U44" s="39"/>
    </row>
    <row r="45" spans="1:21" ht="15" customHeight="1" x14ac:dyDescent="0.25">
      <c r="A45" s="46">
        <f t="shared" si="6"/>
        <v>12</v>
      </c>
      <c r="B45" s="47" t="s">
        <v>143</v>
      </c>
      <c r="C45" s="138">
        <f>C14*$R$14</f>
        <v>0</v>
      </c>
      <c r="D45" s="138">
        <f>D14*$R$14</f>
        <v>0</v>
      </c>
      <c r="E45" s="138">
        <f>E14*$R$14</f>
        <v>0</v>
      </c>
      <c r="F45" s="138">
        <f t="shared" ref="F45:O45" si="14">F14*$R$14</f>
        <v>0</v>
      </c>
      <c r="G45" s="138">
        <f t="shared" si="14"/>
        <v>0</v>
      </c>
      <c r="H45" s="138">
        <f t="shared" si="14"/>
        <v>0</v>
      </c>
      <c r="I45" s="138">
        <f t="shared" si="14"/>
        <v>0</v>
      </c>
      <c r="J45" s="138">
        <f t="shared" si="14"/>
        <v>0</v>
      </c>
      <c r="K45" s="138">
        <f t="shared" si="14"/>
        <v>0</v>
      </c>
      <c r="L45" s="138">
        <f t="shared" si="14"/>
        <v>0</v>
      </c>
      <c r="M45" s="138">
        <f t="shared" si="14"/>
        <v>0</v>
      </c>
      <c r="N45" s="138">
        <f t="shared" si="14"/>
        <v>0</v>
      </c>
      <c r="O45" s="138">
        <f t="shared" si="14"/>
        <v>0</v>
      </c>
      <c r="P45" s="39"/>
      <c r="Q45" s="33"/>
      <c r="R45" s="33"/>
      <c r="S45" s="40"/>
      <c r="T45" s="33"/>
      <c r="U45" s="39"/>
    </row>
    <row r="46" spans="1:21" ht="15" customHeight="1" x14ac:dyDescent="0.25">
      <c r="A46" s="51">
        <f t="shared" si="6"/>
        <v>13</v>
      </c>
      <c r="B46" s="52" t="s">
        <v>142</v>
      </c>
      <c r="C46" s="138">
        <f>C15*$R$15</f>
        <v>0</v>
      </c>
      <c r="D46" s="138">
        <f>D15*$R$15</f>
        <v>0</v>
      </c>
      <c r="E46" s="138">
        <f>E15*$R$15</f>
        <v>0</v>
      </c>
      <c r="F46" s="138">
        <f t="shared" ref="F46:O46" si="15">F15*$R$15</f>
        <v>0</v>
      </c>
      <c r="G46" s="138">
        <f t="shared" si="15"/>
        <v>0</v>
      </c>
      <c r="H46" s="138">
        <f t="shared" si="15"/>
        <v>0</v>
      </c>
      <c r="I46" s="138">
        <f t="shared" si="15"/>
        <v>0</v>
      </c>
      <c r="J46" s="138">
        <f t="shared" si="15"/>
        <v>0</v>
      </c>
      <c r="K46" s="138">
        <f t="shared" si="15"/>
        <v>0</v>
      </c>
      <c r="L46" s="138">
        <f t="shared" si="15"/>
        <v>0</v>
      </c>
      <c r="M46" s="138">
        <f t="shared" si="15"/>
        <v>0</v>
      </c>
      <c r="N46" s="138">
        <f t="shared" si="15"/>
        <v>0</v>
      </c>
      <c r="O46" s="138">
        <f t="shared" si="15"/>
        <v>0</v>
      </c>
      <c r="P46" s="39"/>
      <c r="Q46" s="33"/>
      <c r="R46" s="33"/>
      <c r="S46" s="40"/>
      <c r="T46" s="33"/>
      <c r="U46" s="39"/>
    </row>
    <row r="47" spans="1:21" ht="15" customHeight="1" x14ac:dyDescent="0.25">
      <c r="A47" s="62">
        <f t="shared" si="6"/>
        <v>14</v>
      </c>
      <c r="B47" s="63" t="s">
        <v>76</v>
      </c>
      <c r="C47" s="150">
        <f t="shared" ref="C47:D47" si="16">C16*$R$16</f>
        <v>0</v>
      </c>
      <c r="D47" s="150">
        <f t="shared" si="16"/>
        <v>0</v>
      </c>
      <c r="E47" s="150" t="e">
        <f>E16*$R$16</f>
        <v>#VALUE!</v>
      </c>
      <c r="F47" s="150">
        <f t="shared" ref="F47:H47" si="17">F16*$R$16</f>
        <v>0</v>
      </c>
      <c r="G47" s="150">
        <f t="shared" si="17"/>
        <v>0</v>
      </c>
      <c r="H47" s="150">
        <f t="shared" si="17"/>
        <v>0</v>
      </c>
      <c r="I47" s="150">
        <f>I16*$R$16</f>
        <v>0</v>
      </c>
      <c r="J47" s="150" t="e">
        <f t="shared" ref="J47:O47" si="18">J16*$R$16</f>
        <v>#VALUE!</v>
      </c>
      <c r="K47" s="150">
        <f t="shared" si="18"/>
        <v>0</v>
      </c>
      <c r="L47" s="150">
        <f t="shared" si="18"/>
        <v>0</v>
      </c>
      <c r="M47" s="150">
        <f t="shared" si="18"/>
        <v>0</v>
      </c>
      <c r="N47" s="150">
        <f t="shared" si="18"/>
        <v>0</v>
      </c>
      <c r="O47" s="150">
        <f t="shared" si="18"/>
        <v>0</v>
      </c>
      <c r="P47" s="39"/>
      <c r="Q47" s="33"/>
      <c r="R47" s="33"/>
      <c r="S47" s="40"/>
      <c r="T47" s="33"/>
      <c r="U47" s="39"/>
    </row>
    <row r="48" spans="1:21" ht="15" customHeight="1" x14ac:dyDescent="0.25">
      <c r="A48" s="46">
        <f t="shared" si="6"/>
        <v>15</v>
      </c>
      <c r="B48" s="47" t="s">
        <v>144</v>
      </c>
      <c r="C48" s="138">
        <f>C17*$R$17</f>
        <v>0</v>
      </c>
      <c r="D48" s="138">
        <f t="shared" ref="D48:H48" si="19">D17*$R$17</f>
        <v>0</v>
      </c>
      <c r="E48" s="138">
        <f t="shared" si="19"/>
        <v>0</v>
      </c>
      <c r="F48" s="138">
        <f t="shared" si="19"/>
        <v>0</v>
      </c>
      <c r="G48" s="138">
        <f t="shared" si="19"/>
        <v>0</v>
      </c>
      <c r="H48" s="138">
        <f t="shared" si="19"/>
        <v>0</v>
      </c>
      <c r="I48" s="138">
        <f>I17*$R$17</f>
        <v>0</v>
      </c>
      <c r="J48" s="138">
        <f t="shared" ref="J48:O48" si="20">J17*$R$17</f>
        <v>0</v>
      </c>
      <c r="K48" s="138">
        <f t="shared" si="20"/>
        <v>0</v>
      </c>
      <c r="L48" s="138">
        <f t="shared" si="20"/>
        <v>0</v>
      </c>
      <c r="M48" s="138">
        <f t="shared" si="20"/>
        <v>0</v>
      </c>
      <c r="N48" s="138">
        <f t="shared" si="20"/>
        <v>0</v>
      </c>
      <c r="O48" s="138" t="e">
        <f t="shared" si="20"/>
        <v>#VALUE!</v>
      </c>
      <c r="P48" s="39"/>
      <c r="Q48" s="33"/>
      <c r="R48" s="33"/>
      <c r="S48" s="40"/>
      <c r="T48" s="33"/>
      <c r="U48" s="39"/>
    </row>
    <row r="49" spans="1:21" ht="15" customHeight="1" x14ac:dyDescent="0.25">
      <c r="A49" s="51">
        <f t="shared" si="6"/>
        <v>16</v>
      </c>
      <c r="B49" s="52" t="s">
        <v>145</v>
      </c>
      <c r="C49" s="139">
        <f>C18*$R$18</f>
        <v>0</v>
      </c>
      <c r="D49" s="139">
        <f t="shared" ref="D49:H49" si="21">D18*$R$18</f>
        <v>0</v>
      </c>
      <c r="E49" s="139">
        <f t="shared" si="21"/>
        <v>0</v>
      </c>
      <c r="F49" s="139">
        <f t="shared" si="21"/>
        <v>0</v>
      </c>
      <c r="G49" s="139">
        <f t="shared" si="21"/>
        <v>0</v>
      </c>
      <c r="H49" s="139">
        <f t="shared" si="21"/>
        <v>0</v>
      </c>
      <c r="I49" s="139">
        <f>I18*$R$18</f>
        <v>0</v>
      </c>
      <c r="J49" s="139">
        <f t="shared" ref="J49:O49" si="22">J18*$R$18</f>
        <v>0</v>
      </c>
      <c r="K49" s="139">
        <f t="shared" si="22"/>
        <v>0</v>
      </c>
      <c r="L49" s="139">
        <f t="shared" si="22"/>
        <v>0</v>
      </c>
      <c r="M49" s="139">
        <f t="shared" si="22"/>
        <v>0</v>
      </c>
      <c r="N49" s="139">
        <f t="shared" si="22"/>
        <v>0</v>
      </c>
      <c r="O49" s="139" t="e">
        <f t="shared" si="22"/>
        <v>#VALUE!</v>
      </c>
      <c r="P49" s="39"/>
      <c r="Q49" s="33"/>
      <c r="R49" s="33"/>
      <c r="S49" s="40"/>
      <c r="T49" s="33"/>
      <c r="U49" s="39"/>
    </row>
    <row r="50" spans="1:21" ht="15" customHeight="1" x14ac:dyDescent="0.25">
      <c r="A50" s="55">
        <f>A49+1</f>
        <v>17</v>
      </c>
      <c r="B50" s="56" t="s">
        <v>146</v>
      </c>
      <c r="C50" s="148" t="e">
        <f>C19*$R$19</f>
        <v>#VALUE!</v>
      </c>
      <c r="D50" s="148">
        <f t="shared" ref="D50:O50" si="23">D19*$R$19</f>
        <v>0</v>
      </c>
      <c r="E50" s="148" t="e">
        <f t="shared" si="23"/>
        <v>#VALUE!</v>
      </c>
      <c r="F50" s="148">
        <f t="shared" si="23"/>
        <v>0</v>
      </c>
      <c r="G50" s="148">
        <f t="shared" si="23"/>
        <v>0</v>
      </c>
      <c r="H50" s="148">
        <f t="shared" si="23"/>
        <v>0</v>
      </c>
      <c r="I50" s="148" t="e">
        <f t="shared" si="23"/>
        <v>#VALUE!</v>
      </c>
      <c r="J50" s="148" t="e">
        <f t="shared" si="23"/>
        <v>#VALUE!</v>
      </c>
      <c r="K50" s="148" t="e">
        <f t="shared" si="23"/>
        <v>#VALUE!</v>
      </c>
      <c r="L50" s="148">
        <f t="shared" si="23"/>
        <v>0</v>
      </c>
      <c r="M50" s="148">
        <f t="shared" si="23"/>
        <v>0</v>
      </c>
      <c r="N50" s="148">
        <f t="shared" si="23"/>
        <v>0</v>
      </c>
      <c r="O50" s="148">
        <f t="shared" si="23"/>
        <v>0</v>
      </c>
      <c r="P50" s="39"/>
      <c r="Q50" s="33"/>
      <c r="R50" s="33"/>
      <c r="S50" s="40"/>
      <c r="T50" s="33"/>
      <c r="U50" s="39"/>
    </row>
    <row r="51" spans="1:21" ht="15" customHeight="1" x14ac:dyDescent="0.25">
      <c r="A51" s="55">
        <f>A50+1</f>
        <v>18</v>
      </c>
      <c r="B51" s="60" t="s">
        <v>147</v>
      </c>
      <c r="C51" s="149" t="e">
        <f>C20*$R$20</f>
        <v>#VALUE!</v>
      </c>
      <c r="D51" s="149">
        <f t="shared" ref="D51:O51" si="24">D20*$R$20</f>
        <v>0</v>
      </c>
      <c r="E51" s="149" t="e">
        <f t="shared" si="24"/>
        <v>#VALUE!</v>
      </c>
      <c r="F51" s="149">
        <f t="shared" si="24"/>
        <v>0</v>
      </c>
      <c r="G51" s="149">
        <f t="shared" si="24"/>
        <v>0</v>
      </c>
      <c r="H51" s="149">
        <f t="shared" si="24"/>
        <v>0</v>
      </c>
      <c r="I51" s="149" t="e">
        <f t="shared" si="24"/>
        <v>#VALUE!</v>
      </c>
      <c r="J51" s="149" t="e">
        <f t="shared" si="24"/>
        <v>#VALUE!</v>
      </c>
      <c r="K51" s="149" t="e">
        <f t="shared" si="24"/>
        <v>#VALUE!</v>
      </c>
      <c r="L51" s="149">
        <f t="shared" si="24"/>
        <v>0</v>
      </c>
      <c r="M51" s="149">
        <f t="shared" si="24"/>
        <v>0</v>
      </c>
      <c r="N51" s="149">
        <f t="shared" si="24"/>
        <v>0</v>
      </c>
      <c r="O51" s="149">
        <f t="shared" si="24"/>
        <v>0</v>
      </c>
      <c r="P51" s="39"/>
      <c r="Q51" s="33"/>
      <c r="R51" s="33"/>
      <c r="S51" s="40"/>
      <c r="T51" s="33"/>
      <c r="U51" s="39"/>
    </row>
    <row r="52" spans="1:21" ht="15" customHeight="1" x14ac:dyDescent="0.25">
      <c r="A52" s="66">
        <f t="shared" si="6"/>
        <v>19</v>
      </c>
      <c r="B52" s="67" t="s">
        <v>114</v>
      </c>
      <c r="C52" s="145" t="e">
        <f t="shared" ref="C52:D52" si="25">C21*$R$21</f>
        <v>#VALUE!</v>
      </c>
      <c r="D52" s="145" t="e">
        <f t="shared" si="25"/>
        <v>#VALUE!</v>
      </c>
      <c r="E52" s="145" t="e">
        <f>E21*$R$21</f>
        <v>#VALUE!</v>
      </c>
      <c r="F52" s="145" t="e">
        <f t="shared" ref="F52:H52" si="26">F21*$R$21</f>
        <v>#VALUE!</v>
      </c>
      <c r="G52" s="145" t="e">
        <f t="shared" si="26"/>
        <v>#VALUE!</v>
      </c>
      <c r="H52" s="145" t="e">
        <f t="shared" si="26"/>
        <v>#VALUE!</v>
      </c>
      <c r="I52" s="145" t="e">
        <f>I21*$R$21</f>
        <v>#VALUE!</v>
      </c>
      <c r="J52" s="145" t="e">
        <f t="shared" ref="J52:O52" si="27">J21*$R$21</f>
        <v>#VALUE!</v>
      </c>
      <c r="K52" s="145" t="e">
        <f t="shared" si="27"/>
        <v>#VALUE!</v>
      </c>
      <c r="L52" s="145" t="e">
        <f t="shared" si="27"/>
        <v>#VALUE!</v>
      </c>
      <c r="M52" s="145" t="e">
        <f t="shared" si="27"/>
        <v>#VALUE!</v>
      </c>
      <c r="N52" s="145" t="e">
        <f t="shared" si="27"/>
        <v>#VALUE!</v>
      </c>
      <c r="O52" s="145" t="e">
        <f t="shared" si="27"/>
        <v>#VALUE!</v>
      </c>
      <c r="P52" s="39"/>
      <c r="Q52" s="33"/>
      <c r="R52" s="33"/>
      <c r="S52" s="40"/>
      <c r="T52" s="33"/>
      <c r="U52" s="39"/>
    </row>
    <row r="53" spans="1:21" ht="15" customHeight="1" x14ac:dyDescent="0.25">
      <c r="A53" s="9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3"/>
      <c r="R53" s="33"/>
      <c r="S53" s="40"/>
      <c r="T53" s="33"/>
      <c r="U53" s="39"/>
    </row>
    <row r="54" spans="1:21" ht="15" customHeight="1" x14ac:dyDescent="0.25">
      <c r="A54" s="9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3"/>
      <c r="R54" s="33"/>
      <c r="S54" s="40"/>
      <c r="T54" s="33"/>
      <c r="U54" s="39"/>
    </row>
    <row r="55" spans="1:21" ht="15" customHeight="1" x14ac:dyDescent="0.25">
      <c r="A55" s="98"/>
      <c r="B55" s="39"/>
      <c r="C55" s="39"/>
      <c r="D55" s="39"/>
      <c r="E55" s="39"/>
      <c r="F55" s="39"/>
      <c r="G55" s="39" t="s">
        <v>3</v>
      </c>
      <c r="H55" s="39"/>
      <c r="I55" s="39"/>
      <c r="J55" s="39"/>
      <c r="K55" s="39"/>
      <c r="L55" s="39"/>
      <c r="M55" s="39"/>
      <c r="N55" s="39"/>
      <c r="O55" s="39"/>
      <c r="P55" s="39"/>
      <c r="Q55" s="33"/>
      <c r="R55" s="33"/>
      <c r="S55" s="40"/>
      <c r="T55" s="33"/>
      <c r="U55" s="39"/>
    </row>
    <row r="56" spans="1:21" x14ac:dyDescent="0.25">
      <c r="A56" s="98"/>
      <c r="B56" s="39"/>
      <c r="C56" s="33"/>
      <c r="D56" s="33" t="e">
        <f>E56*'5'!E9</f>
        <v>#VALUE!</v>
      </c>
      <c r="E56" s="82" t="e">
        <f>SUM(E57:E63)</f>
        <v>#VALUE!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T56" s="33"/>
      <c r="U56" s="40"/>
    </row>
    <row r="57" spans="1:21" x14ac:dyDescent="0.25">
      <c r="A57" s="98"/>
      <c r="B57" s="86" t="s">
        <v>105</v>
      </c>
      <c r="C57" s="82" t="e">
        <f>'D5'!C57</f>
        <v>#VALUE!</v>
      </c>
      <c r="D57" s="87" t="s">
        <v>40</v>
      </c>
      <c r="E57" s="82" t="e">
        <f>C57*4.7</f>
        <v>#VALUE!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T57" s="33"/>
      <c r="U57" s="40"/>
    </row>
    <row r="58" spans="1:21" x14ac:dyDescent="0.25">
      <c r="A58" s="98"/>
      <c r="B58" s="81" t="s">
        <v>123</v>
      </c>
      <c r="C58" s="89">
        <f>'D5'!C71</f>
        <v>0</v>
      </c>
      <c r="D58" s="85" t="s">
        <v>40</v>
      </c>
      <c r="E58" s="89">
        <f>C58*3</f>
        <v>0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T58" s="33"/>
      <c r="U58" s="40"/>
    </row>
    <row r="59" spans="1:21" x14ac:dyDescent="0.25">
      <c r="A59" s="98"/>
      <c r="B59" s="81" t="s">
        <v>125</v>
      </c>
      <c r="C59" s="89">
        <f>'D5'!C123</f>
        <v>0</v>
      </c>
      <c r="D59" s="136" t="s">
        <v>40</v>
      </c>
      <c r="E59" s="89">
        <f>C59*1</f>
        <v>0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T59" s="33"/>
      <c r="U59" s="40"/>
    </row>
    <row r="60" spans="1:21" ht="15" customHeight="1" x14ac:dyDescent="0.25">
      <c r="A60" s="98"/>
      <c r="B60" s="81" t="s">
        <v>124</v>
      </c>
      <c r="C60" s="89">
        <f>'D5'!C124</f>
        <v>0</v>
      </c>
      <c r="D60" s="85" t="s">
        <v>40</v>
      </c>
      <c r="E60" s="82">
        <f>C60*1.9</f>
        <v>0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T60" s="33"/>
      <c r="U60" s="40"/>
    </row>
    <row r="61" spans="1:21" x14ac:dyDescent="0.25">
      <c r="A61" s="98"/>
      <c r="B61" s="95" t="s">
        <v>154</v>
      </c>
      <c r="C61" s="89">
        <f>'D5'!C157</f>
        <v>0</v>
      </c>
      <c r="D61" s="85" t="s">
        <v>40</v>
      </c>
      <c r="E61" s="89">
        <f>C61*3.67</f>
        <v>0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T61" s="33"/>
      <c r="U61" s="40"/>
    </row>
    <row r="62" spans="1:21" x14ac:dyDescent="0.25">
      <c r="A62" s="98"/>
      <c r="B62" s="81" t="s">
        <v>201</v>
      </c>
      <c r="C62" s="89">
        <f>IF('5'!$D$15="SAYANEH",'D5'!C171,0)</f>
        <v>0</v>
      </c>
      <c r="D62" s="85" t="s">
        <v>40</v>
      </c>
      <c r="E62" s="82">
        <f>C62*4.2</f>
        <v>0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T62" s="33"/>
      <c r="U62" s="40"/>
    </row>
    <row r="63" spans="1:21" x14ac:dyDescent="0.25">
      <c r="A63" s="98"/>
      <c r="B63" s="81" t="s">
        <v>202</v>
      </c>
      <c r="C63" s="89">
        <f>IF('5'!$D$15="SAYANEH",'D5'!C172,0)</f>
        <v>0</v>
      </c>
      <c r="D63" s="85" t="s">
        <v>40</v>
      </c>
      <c r="E63" s="82">
        <f>C63*4.2</f>
        <v>0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T63" s="33"/>
      <c r="U63" s="40"/>
    </row>
    <row r="64" spans="1:21" x14ac:dyDescent="0.25">
      <c r="A64" s="98"/>
      <c r="B64" s="81" t="s">
        <v>203</v>
      </c>
      <c r="C64" s="89">
        <f>IF('5'!$D$15="PAVLION",'D5'!C182,0)</f>
        <v>0</v>
      </c>
      <c r="D64" s="85" t="s">
        <v>40</v>
      </c>
      <c r="E64" s="82">
        <f>C64*4.2</f>
        <v>0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T64" s="33"/>
      <c r="U64" s="40"/>
    </row>
    <row r="65" spans="1:21" x14ac:dyDescent="0.25">
      <c r="A65" s="98"/>
      <c r="B65" s="81" t="s">
        <v>204</v>
      </c>
      <c r="C65" s="89">
        <f>IF('5'!$D$15="PAVLION",'D5'!C183,0)</f>
        <v>0</v>
      </c>
      <c r="D65" s="85" t="s">
        <v>40</v>
      </c>
      <c r="E65" s="82">
        <f>C65*4.2</f>
        <v>0</v>
      </c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T65" s="33"/>
      <c r="U65" s="33"/>
    </row>
    <row r="66" spans="1:21" x14ac:dyDescent="0.25">
      <c r="A66" s="9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40"/>
      <c r="T66" s="33"/>
    </row>
    <row r="67" spans="1:21" x14ac:dyDescent="0.25">
      <c r="A67" s="98"/>
      <c r="B67" s="114" t="s">
        <v>193</v>
      </c>
      <c r="C67" s="114" t="e">
        <f>C32</f>
        <v>#VALUE!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U67" s="33"/>
    </row>
    <row r="68" spans="1:21" x14ac:dyDescent="0.25">
      <c r="A68" s="98"/>
      <c r="B68" s="132" t="s">
        <v>194</v>
      </c>
      <c r="C68" s="115" t="e">
        <f>D32</f>
        <v>#VALUE!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U68" s="101"/>
    </row>
    <row r="69" spans="1:21" x14ac:dyDescent="0.25">
      <c r="A69" s="98"/>
      <c r="B69" s="114" t="s">
        <v>195</v>
      </c>
      <c r="C69" s="114" t="e">
        <f>E32</f>
        <v>#VALUE!</v>
      </c>
    </row>
    <row r="70" spans="1:21" x14ac:dyDescent="0.25">
      <c r="A70" s="98"/>
      <c r="B70" s="132" t="s">
        <v>197</v>
      </c>
      <c r="C70" s="115" t="e">
        <f>F32</f>
        <v>#VALUE!</v>
      </c>
      <c r="U70" s="40"/>
    </row>
    <row r="71" spans="1:21" x14ac:dyDescent="0.25">
      <c r="A71" s="98"/>
      <c r="B71" s="114" t="s">
        <v>196</v>
      </c>
      <c r="C71" s="114" t="e">
        <f>H32</f>
        <v>#VALUE!</v>
      </c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U71" s="40"/>
    </row>
    <row r="72" spans="1:21" x14ac:dyDescent="0.25">
      <c r="A72" s="98"/>
      <c r="B72" s="132" t="s">
        <v>199</v>
      </c>
      <c r="C72" s="116" t="e">
        <f>G32</f>
        <v>#VALUE!</v>
      </c>
      <c r="Q72" s="103"/>
      <c r="R72" s="104"/>
      <c r="S72" s="104"/>
      <c r="U72" s="40"/>
    </row>
    <row r="73" spans="1:21" x14ac:dyDescent="0.25">
      <c r="A73" s="98"/>
      <c r="B73" s="133" t="s">
        <v>200</v>
      </c>
      <c r="C73" s="114" t="e">
        <f>I32</f>
        <v>#VALUE!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98"/>
      <c r="R73" s="98"/>
      <c r="S73" s="98"/>
      <c r="T73" s="33"/>
      <c r="U73" s="40"/>
    </row>
    <row r="74" spans="1:21" ht="15" customHeight="1" x14ac:dyDescent="0.25">
      <c r="A74" s="98"/>
      <c r="B74" s="165" t="s">
        <v>217</v>
      </c>
      <c r="C74" s="116" t="e">
        <f>J32</f>
        <v>#VALUE!</v>
      </c>
      <c r="Q74" s="106"/>
      <c r="R74" s="106"/>
      <c r="S74" s="106"/>
      <c r="T74" s="33"/>
      <c r="U74" s="40"/>
    </row>
    <row r="75" spans="1:21" x14ac:dyDescent="0.25">
      <c r="A75" s="98"/>
      <c r="B75" s="114" t="s">
        <v>218</v>
      </c>
      <c r="C75" s="116" t="e">
        <f>K32</f>
        <v>#VALUE!</v>
      </c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99"/>
      <c r="R75" s="99"/>
      <c r="S75" s="100"/>
      <c r="U75" s="33"/>
    </row>
    <row r="76" spans="1:21" x14ac:dyDescent="0.25">
      <c r="A76" s="98"/>
      <c r="B76" s="132" t="s">
        <v>219</v>
      </c>
      <c r="C76" s="115" t="e">
        <f>L32</f>
        <v>#VALUE!</v>
      </c>
      <c r="U76" s="33"/>
    </row>
    <row r="77" spans="1:21" x14ac:dyDescent="0.25">
      <c r="A77" s="98"/>
      <c r="B77" s="114" t="s">
        <v>220</v>
      </c>
      <c r="C77" s="114">
        <f>(Q2*1900000)+(Q2*0.7*1200000)</f>
        <v>0</v>
      </c>
    </row>
    <row r="78" spans="1:21" x14ac:dyDescent="0.25">
      <c r="A78" s="98"/>
      <c r="B78" s="132" t="s">
        <v>221</v>
      </c>
      <c r="C78" s="116" t="e">
        <f>N32</f>
        <v>#VALUE!</v>
      </c>
      <c r="U78" s="101"/>
    </row>
    <row r="79" spans="1:21" x14ac:dyDescent="0.25">
      <c r="A79" s="98"/>
      <c r="B79" s="133" t="s">
        <v>222</v>
      </c>
      <c r="C79" s="114" t="e">
        <f>O32</f>
        <v>#VALUE!</v>
      </c>
    </row>
    <row r="80" spans="1:21" x14ac:dyDescent="0.25">
      <c r="A80" s="34"/>
      <c r="U80" s="40"/>
    </row>
    <row r="81" spans="1:21" x14ac:dyDescent="0.25">
      <c r="A81" s="98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T81" s="33"/>
      <c r="U81" s="40"/>
    </row>
    <row r="82" spans="1:21" x14ac:dyDescent="0.25">
      <c r="A82" s="98"/>
      <c r="B82" s="114" t="s">
        <v>223</v>
      </c>
      <c r="C82" s="114" t="e">
        <f>C67+C73</f>
        <v>#VALUE!</v>
      </c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8"/>
      <c r="R82" s="109"/>
      <c r="S82" s="109"/>
      <c r="T82" s="33"/>
      <c r="U82" s="40"/>
    </row>
    <row r="83" spans="1:21" x14ac:dyDescent="0.25">
      <c r="B83" s="132" t="s">
        <v>194</v>
      </c>
      <c r="C83" s="115" t="e">
        <f>C68</f>
        <v>#VALUE!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U83" s="40"/>
    </row>
    <row r="84" spans="1:21" x14ac:dyDescent="0.25">
      <c r="A84" s="98"/>
      <c r="B84" s="114" t="s">
        <v>195</v>
      </c>
      <c r="C84" s="114" t="e">
        <f>C69+C70+C71</f>
        <v>#VALUE!</v>
      </c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</row>
    <row r="85" spans="1:21" x14ac:dyDescent="0.25">
      <c r="A85" s="98"/>
      <c r="B85" s="132" t="s">
        <v>199</v>
      </c>
      <c r="C85" s="116" t="e">
        <f>C72</f>
        <v>#VALUE!</v>
      </c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</row>
    <row r="86" spans="1:21" x14ac:dyDescent="0.25">
      <c r="A86" s="98"/>
      <c r="B86" s="165" t="s">
        <v>217</v>
      </c>
      <c r="C86" s="116" t="e">
        <f t="shared" ref="C86:C91" si="28">C74</f>
        <v>#VALUE!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</row>
    <row r="87" spans="1:21" x14ac:dyDescent="0.25">
      <c r="A87" s="98"/>
      <c r="B87" s="114" t="s">
        <v>218</v>
      </c>
      <c r="C87" s="116" t="e">
        <f t="shared" si="28"/>
        <v>#VALUE!</v>
      </c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</row>
    <row r="88" spans="1:21" x14ac:dyDescent="0.25">
      <c r="A88" s="98"/>
      <c r="B88" s="132" t="s">
        <v>219</v>
      </c>
      <c r="C88" s="115" t="e">
        <f t="shared" si="28"/>
        <v>#VALUE!</v>
      </c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</row>
    <row r="89" spans="1:21" x14ac:dyDescent="0.25">
      <c r="B89" s="114" t="s">
        <v>220</v>
      </c>
      <c r="C89" s="114">
        <f t="shared" si="28"/>
        <v>0</v>
      </c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</row>
    <row r="90" spans="1:21" x14ac:dyDescent="0.25">
      <c r="B90" s="132" t="s">
        <v>221</v>
      </c>
      <c r="C90" s="116" t="e">
        <f t="shared" si="28"/>
        <v>#VALUE!</v>
      </c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</row>
    <row r="91" spans="1:21" x14ac:dyDescent="0.25">
      <c r="B91" s="133" t="s">
        <v>222</v>
      </c>
      <c r="C91" s="114" t="e">
        <f t="shared" si="28"/>
        <v>#VALUE!</v>
      </c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</row>
    <row r="92" spans="1:21" x14ac:dyDescent="0.25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</row>
    <row r="93" spans="1:21" x14ac:dyDescent="0.25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</row>
    <row r="94" spans="1:21" x14ac:dyDescent="0.25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</row>
    <row r="95" spans="1:21" x14ac:dyDescent="0.25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</row>
    <row r="96" spans="1:21" x14ac:dyDescent="0.25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U96" s="40"/>
    </row>
    <row r="97" spans="1:21" x14ac:dyDescent="0.25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U97" s="40"/>
    </row>
    <row r="98" spans="1:21" x14ac:dyDescent="0.25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U98" s="40"/>
    </row>
    <row r="99" spans="1:21" x14ac:dyDescent="0.25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U99" s="40"/>
    </row>
    <row r="100" spans="1:21" x14ac:dyDescent="0.25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U100" s="40"/>
    </row>
    <row r="101" spans="1:21" x14ac:dyDescent="0.25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U101" s="40"/>
    </row>
    <row r="102" spans="1:21" x14ac:dyDescent="0.25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U102" s="40"/>
    </row>
    <row r="103" spans="1:21" x14ac:dyDescent="0.25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U103" s="40"/>
    </row>
    <row r="104" spans="1:21" x14ac:dyDescent="0.25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U104" s="40"/>
    </row>
    <row r="105" spans="1:21" x14ac:dyDescent="0.25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U105" s="40"/>
    </row>
    <row r="106" spans="1:21" x14ac:dyDescent="0.25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U106" s="40"/>
    </row>
    <row r="107" spans="1:21" x14ac:dyDescent="0.25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U107" s="40"/>
    </row>
    <row r="108" spans="1:21" x14ac:dyDescent="0.25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U108" s="40"/>
    </row>
    <row r="109" spans="1:21" x14ac:dyDescent="0.25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U109" s="40"/>
    </row>
    <row r="110" spans="1:21" x14ac:dyDescent="0.25">
      <c r="A110" s="98"/>
      <c r="Q110" s="98"/>
      <c r="R110" s="98"/>
      <c r="S110" s="111"/>
    </row>
    <row r="111" spans="1:21" x14ac:dyDescent="0.25">
      <c r="A111" s="98"/>
      <c r="Q111" s="98"/>
      <c r="R111" s="98"/>
      <c r="S111" s="111"/>
    </row>
    <row r="112" spans="1:21" x14ac:dyDescent="0.25">
      <c r="A112" s="98"/>
      <c r="Q112" s="98"/>
      <c r="R112" s="98"/>
      <c r="S112" s="111"/>
    </row>
    <row r="113" spans="1:19" x14ac:dyDescent="0.25">
      <c r="A113" s="98"/>
      <c r="Q113" s="98"/>
      <c r="R113" s="98"/>
      <c r="S113" s="111"/>
    </row>
    <row r="114" spans="1:19" x14ac:dyDescent="0.25">
      <c r="A114" s="98"/>
      <c r="Q114" s="98"/>
      <c r="R114" s="98"/>
      <c r="S114" s="111"/>
    </row>
    <row r="115" spans="1:19" x14ac:dyDescent="0.25">
      <c r="A115" s="98"/>
      <c r="Q115" s="98"/>
      <c r="R115" s="98"/>
      <c r="S115" s="111"/>
    </row>
  </sheetData>
  <sheetProtection formatCells="0" formatColumns="0" formatRows="0" insertColumns="0" insertRows="0" insertHyperlinks="0" deleteColumns="0" deleteRows="0" sort="0" autoFilter="0" pivotTables="0"/>
  <mergeCells count="15">
    <mergeCell ref="S27:T27"/>
    <mergeCell ref="S28:T28"/>
    <mergeCell ref="S29:T29"/>
    <mergeCell ref="T19:T20"/>
    <mergeCell ref="S22:T22"/>
    <mergeCell ref="S23:T23"/>
    <mergeCell ref="S24:T24"/>
    <mergeCell ref="S25:T25"/>
    <mergeCell ref="S26:T26"/>
    <mergeCell ref="T17:T18"/>
    <mergeCell ref="T3:T6"/>
    <mergeCell ref="T7:T8"/>
    <mergeCell ref="T9:T11"/>
    <mergeCell ref="T12:T13"/>
    <mergeCell ref="T14:T15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97"/>
  <sheetViews>
    <sheetView rightToLeft="1" topLeftCell="A97" workbookViewId="0">
      <selection activeCell="F101" sqref="F101"/>
    </sheetView>
  </sheetViews>
  <sheetFormatPr defaultRowHeight="15" x14ac:dyDescent="0.25"/>
  <cols>
    <col min="1" max="1" width="2.85546875" customWidth="1"/>
    <col min="2" max="2" width="25.28515625" customWidth="1"/>
    <col min="3" max="5" width="11" customWidth="1"/>
    <col min="6" max="6" width="12" customWidth="1"/>
    <col min="8" max="8" width="24.140625" customWidth="1"/>
    <col min="11" max="11" width="11.42578125" customWidth="1"/>
    <col min="12" max="12" width="10.42578125" customWidth="1"/>
  </cols>
  <sheetData>
    <row r="1" spans="1:12" x14ac:dyDescent="0.25">
      <c r="A1" s="134"/>
      <c r="B1" s="134"/>
      <c r="C1" s="134"/>
      <c r="D1" s="134"/>
      <c r="E1" s="134"/>
      <c r="F1" s="134"/>
    </row>
    <row r="2" spans="1:12" ht="15" customHeight="1" x14ac:dyDescent="0.25">
      <c r="B2" s="72"/>
      <c r="C2" s="72"/>
      <c r="D2" s="72"/>
      <c r="E2" s="72"/>
      <c r="F2" s="72"/>
      <c r="H2" s="75"/>
      <c r="I2" s="72"/>
      <c r="J2" s="72"/>
      <c r="K2" s="72"/>
      <c r="L2" s="72"/>
    </row>
    <row r="3" spans="1:12" ht="15" customHeight="1" x14ac:dyDescent="0.25">
      <c r="B3" s="76" t="s">
        <v>137</v>
      </c>
      <c r="C3" s="590" t="s">
        <v>158</v>
      </c>
      <c r="D3" s="590"/>
      <c r="E3" s="590"/>
      <c r="F3" s="78"/>
      <c r="H3" s="76" t="s">
        <v>136</v>
      </c>
      <c r="I3" s="593" t="s">
        <v>157</v>
      </c>
      <c r="J3" s="594"/>
      <c r="K3" s="595"/>
      <c r="L3" s="77"/>
    </row>
    <row r="4" spans="1:12" ht="15" customHeight="1" x14ac:dyDescent="0.25">
      <c r="B4" s="229" t="s">
        <v>180</v>
      </c>
      <c r="C4" s="79" t="s">
        <v>4</v>
      </c>
      <c r="D4" s="79" t="s">
        <v>15</v>
      </c>
      <c r="E4" s="80" t="s">
        <v>16</v>
      </c>
      <c r="F4" s="78" t="s">
        <v>3</v>
      </c>
      <c r="H4" s="229" t="s">
        <v>179</v>
      </c>
      <c r="I4" s="79" t="s">
        <v>4</v>
      </c>
      <c r="J4" s="79" t="s">
        <v>15</v>
      </c>
      <c r="K4" s="80" t="s">
        <v>16</v>
      </c>
      <c r="L4" s="78"/>
    </row>
    <row r="5" spans="1:12" ht="15" customHeight="1" x14ac:dyDescent="0.25">
      <c r="B5" s="81" t="s">
        <v>17</v>
      </c>
      <c r="C5" s="82">
        <v>1</v>
      </c>
      <c r="D5" s="83" t="s">
        <v>18</v>
      </c>
      <c r="E5" s="78">
        <f>F5*C5</f>
        <v>1050000</v>
      </c>
      <c r="F5" s="117">
        <v>1050000</v>
      </c>
      <c r="H5" s="81" t="s">
        <v>17</v>
      </c>
      <c r="I5" s="82">
        <v>1</v>
      </c>
      <c r="J5" s="83" t="s">
        <v>18</v>
      </c>
      <c r="K5" s="78">
        <f>L5*I5</f>
        <v>1250000</v>
      </c>
      <c r="L5" s="117">
        <v>1250000</v>
      </c>
    </row>
    <row r="6" spans="1:12" ht="15" customHeight="1" x14ac:dyDescent="0.25">
      <c r="B6" s="81" t="s">
        <v>186</v>
      </c>
      <c r="C6" s="82">
        <v>1</v>
      </c>
      <c r="D6" s="83" t="s">
        <v>18</v>
      </c>
      <c r="E6" s="78">
        <f t="shared" ref="E6:E12" si="0">F6*C6</f>
        <v>680000</v>
      </c>
      <c r="F6" s="117">
        <v>680000</v>
      </c>
      <c r="H6" s="81" t="s">
        <v>19</v>
      </c>
      <c r="I6" s="82">
        <v>1</v>
      </c>
      <c r="J6" s="83" t="s">
        <v>18</v>
      </c>
      <c r="K6" s="78">
        <f t="shared" ref="K6:K12" si="1">L6*I6</f>
        <v>680000</v>
      </c>
      <c r="L6" s="117">
        <v>680000</v>
      </c>
    </row>
    <row r="7" spans="1:12" ht="15" customHeight="1" x14ac:dyDescent="0.25">
      <c r="B7" s="81" t="s">
        <v>20</v>
      </c>
      <c r="C7" s="82">
        <v>2</v>
      </c>
      <c r="D7" s="83" t="s">
        <v>18</v>
      </c>
      <c r="E7" s="78">
        <f t="shared" si="0"/>
        <v>120000</v>
      </c>
      <c r="F7" s="117">
        <v>60000</v>
      </c>
      <c r="H7" s="81" t="s">
        <v>20</v>
      </c>
      <c r="I7" s="82">
        <v>2</v>
      </c>
      <c r="J7" s="83" t="s">
        <v>18</v>
      </c>
      <c r="K7" s="78">
        <f t="shared" si="1"/>
        <v>120000</v>
      </c>
      <c r="L7" s="117">
        <v>60000</v>
      </c>
    </row>
    <row r="8" spans="1:12" ht="15" customHeight="1" x14ac:dyDescent="0.25">
      <c r="B8" s="81" t="s">
        <v>21</v>
      </c>
      <c r="C8" s="82">
        <v>1</v>
      </c>
      <c r="D8" s="83" t="s">
        <v>18</v>
      </c>
      <c r="E8" s="78">
        <f t="shared" si="0"/>
        <v>250000</v>
      </c>
      <c r="F8" s="117">
        <v>250000</v>
      </c>
      <c r="H8" s="81" t="s">
        <v>21</v>
      </c>
      <c r="I8" s="82">
        <v>2</v>
      </c>
      <c r="J8" s="83" t="s">
        <v>18</v>
      </c>
      <c r="K8" s="78">
        <f t="shared" si="1"/>
        <v>500000</v>
      </c>
      <c r="L8" s="117">
        <v>250000</v>
      </c>
    </row>
    <row r="9" spans="1:12" ht="15" customHeight="1" x14ac:dyDescent="0.25">
      <c r="B9" s="81" t="s">
        <v>22</v>
      </c>
      <c r="C9" s="82">
        <v>2</v>
      </c>
      <c r="D9" s="83" t="s">
        <v>18</v>
      </c>
      <c r="E9" s="78">
        <f t="shared" si="0"/>
        <v>24000</v>
      </c>
      <c r="F9" s="117">
        <v>12000</v>
      </c>
      <c r="H9" s="81" t="s">
        <v>22</v>
      </c>
      <c r="I9" s="82">
        <v>2</v>
      </c>
      <c r="J9" s="83" t="s">
        <v>18</v>
      </c>
      <c r="K9" s="78">
        <f t="shared" si="1"/>
        <v>24000</v>
      </c>
      <c r="L9" s="117">
        <v>12000</v>
      </c>
    </row>
    <row r="10" spans="1:12" ht="15" customHeight="1" x14ac:dyDescent="0.25">
      <c r="B10" s="81" t="s">
        <v>23</v>
      </c>
      <c r="C10" s="82">
        <v>8</v>
      </c>
      <c r="D10" s="83" t="s">
        <v>18</v>
      </c>
      <c r="E10" s="78">
        <f t="shared" si="0"/>
        <v>48000</v>
      </c>
      <c r="F10" s="117">
        <v>6000</v>
      </c>
      <c r="H10" s="81" t="s">
        <v>23</v>
      </c>
      <c r="I10" s="82">
        <v>8</v>
      </c>
      <c r="J10" s="83" t="s">
        <v>18</v>
      </c>
      <c r="K10" s="78">
        <f t="shared" si="1"/>
        <v>48000</v>
      </c>
      <c r="L10" s="117">
        <v>6000</v>
      </c>
    </row>
    <row r="11" spans="1:12" ht="15" customHeight="1" x14ac:dyDescent="0.25">
      <c r="B11" s="81" t="s">
        <v>159</v>
      </c>
      <c r="C11" s="82">
        <v>2</v>
      </c>
      <c r="D11" s="83" t="s">
        <v>18</v>
      </c>
      <c r="E11" s="78">
        <f t="shared" si="0"/>
        <v>20000</v>
      </c>
      <c r="F11" s="117">
        <v>10000</v>
      </c>
      <c r="H11" s="81" t="s">
        <v>159</v>
      </c>
      <c r="I11" s="82">
        <v>2</v>
      </c>
      <c r="J11" s="83" t="s">
        <v>18</v>
      </c>
      <c r="K11" s="78">
        <f t="shared" si="1"/>
        <v>20000</v>
      </c>
      <c r="L11" s="117">
        <v>10000</v>
      </c>
    </row>
    <row r="12" spans="1:12" ht="15" customHeight="1" x14ac:dyDescent="0.25">
      <c r="B12" s="81" t="s">
        <v>106</v>
      </c>
      <c r="C12" s="82">
        <v>1.8</v>
      </c>
      <c r="D12" s="85" t="s">
        <v>107</v>
      </c>
      <c r="E12" s="78">
        <f t="shared" si="0"/>
        <v>810000</v>
      </c>
      <c r="F12" s="117">
        <f>'A5'!$T$2</f>
        <v>450000</v>
      </c>
      <c r="H12" s="81" t="s">
        <v>106</v>
      </c>
      <c r="I12" s="82">
        <v>2.5</v>
      </c>
      <c r="J12" s="85" t="s">
        <v>107</v>
      </c>
      <c r="K12" s="78">
        <f t="shared" si="1"/>
        <v>1125000</v>
      </c>
      <c r="L12" s="117">
        <f>'A5'!$T$2</f>
        <v>450000</v>
      </c>
    </row>
    <row r="13" spans="1:12" ht="15" customHeight="1" x14ac:dyDescent="0.25">
      <c r="B13" s="120"/>
      <c r="C13" s="591">
        <f>SUM(E5:E13)</f>
        <v>3002000</v>
      </c>
      <c r="D13" s="592"/>
      <c r="E13" s="592"/>
      <c r="F13" s="121"/>
      <c r="H13" s="81"/>
      <c r="I13" s="591">
        <f>SUM(K5:K13)</f>
        <v>3767000</v>
      </c>
      <c r="J13" s="592"/>
      <c r="K13" s="592"/>
      <c r="L13" s="78"/>
    </row>
    <row r="14" spans="1:12" ht="15" customHeight="1" x14ac:dyDescent="0.25">
      <c r="B14" s="74"/>
      <c r="C14" s="72"/>
      <c r="D14" s="72"/>
      <c r="E14" s="72"/>
      <c r="F14" s="72"/>
      <c r="H14" s="72"/>
      <c r="I14" s="72"/>
      <c r="J14" s="72"/>
      <c r="K14" s="72"/>
      <c r="L14" s="72"/>
    </row>
    <row r="15" spans="1:12" ht="15.75" x14ac:dyDescent="0.25">
      <c r="B15" s="81"/>
      <c r="C15" s="590" t="s">
        <v>160</v>
      </c>
      <c r="D15" s="590"/>
      <c r="E15" s="590"/>
      <c r="F15" s="78"/>
    </row>
    <row r="16" spans="1:12" x14ac:dyDescent="0.25">
      <c r="B16" s="229" t="s">
        <v>5</v>
      </c>
      <c r="C16" s="79" t="s">
        <v>4</v>
      </c>
      <c r="D16" s="79" t="s">
        <v>15</v>
      </c>
      <c r="E16" s="80" t="s">
        <v>16</v>
      </c>
      <c r="F16" s="78"/>
    </row>
    <row r="17" spans="2:6" x14ac:dyDescent="0.25">
      <c r="B17" s="81" t="s">
        <v>24</v>
      </c>
      <c r="C17" s="82">
        <v>2</v>
      </c>
      <c r="D17" s="83" t="s">
        <v>18</v>
      </c>
      <c r="E17" s="78">
        <f>F17*C17</f>
        <v>260000</v>
      </c>
      <c r="F17" s="117">
        <v>130000</v>
      </c>
    </row>
    <row r="18" spans="2:6" x14ac:dyDescent="0.25">
      <c r="B18" s="81" t="s">
        <v>187</v>
      </c>
      <c r="C18" s="82">
        <v>2</v>
      </c>
      <c r="D18" s="83" t="s">
        <v>18</v>
      </c>
      <c r="E18" s="78">
        <f t="shared" ref="E18:E32" si="2">F18*C18</f>
        <v>160000</v>
      </c>
      <c r="F18" s="117">
        <v>80000</v>
      </c>
    </row>
    <row r="19" spans="2:6" x14ac:dyDescent="0.25">
      <c r="B19" s="81" t="s">
        <v>26</v>
      </c>
      <c r="C19" s="82">
        <v>2</v>
      </c>
      <c r="D19" s="83" t="s">
        <v>18</v>
      </c>
      <c r="E19" s="78">
        <f t="shared" si="2"/>
        <v>700000</v>
      </c>
      <c r="F19" s="117">
        <v>350000</v>
      </c>
    </row>
    <row r="20" spans="2:6" x14ac:dyDescent="0.25">
      <c r="B20" s="81" t="s">
        <v>27</v>
      </c>
      <c r="C20" s="82">
        <v>1</v>
      </c>
      <c r="D20" s="83" t="s">
        <v>18</v>
      </c>
      <c r="E20" s="78">
        <f t="shared" si="2"/>
        <v>110000</v>
      </c>
      <c r="F20" s="117">
        <v>110000</v>
      </c>
    </row>
    <row r="21" spans="2:6" x14ac:dyDescent="0.25">
      <c r="B21" s="81" t="s">
        <v>28</v>
      </c>
      <c r="C21" s="82">
        <v>1</v>
      </c>
      <c r="D21" s="83" t="s">
        <v>18</v>
      </c>
      <c r="E21" s="78">
        <f t="shared" si="2"/>
        <v>400000</v>
      </c>
      <c r="F21" s="117">
        <v>400000</v>
      </c>
    </row>
    <row r="22" spans="2:6" x14ac:dyDescent="0.25">
      <c r="B22" s="81" t="s">
        <v>29</v>
      </c>
      <c r="C22" s="82">
        <v>1</v>
      </c>
      <c r="D22" s="83" t="s">
        <v>18</v>
      </c>
      <c r="E22" s="78">
        <f t="shared" si="2"/>
        <v>250000</v>
      </c>
      <c r="F22" s="117">
        <v>250000</v>
      </c>
    </row>
    <row r="23" spans="2:6" x14ac:dyDescent="0.25">
      <c r="B23" s="81" t="s">
        <v>30</v>
      </c>
      <c r="C23" s="82">
        <v>2</v>
      </c>
      <c r="D23" s="83" t="s">
        <v>18</v>
      </c>
      <c r="E23" s="78">
        <f t="shared" si="2"/>
        <v>50000</v>
      </c>
      <c r="F23" s="117">
        <v>25000</v>
      </c>
    </row>
    <row r="24" spans="2:6" x14ac:dyDescent="0.25">
      <c r="B24" s="81" t="s">
        <v>31</v>
      </c>
      <c r="C24" s="82">
        <v>8</v>
      </c>
      <c r="D24" s="83" t="s">
        <v>18</v>
      </c>
      <c r="E24" s="78">
        <f t="shared" si="2"/>
        <v>40000</v>
      </c>
      <c r="F24" s="117">
        <v>5000</v>
      </c>
    </row>
    <row r="25" spans="2:6" x14ac:dyDescent="0.25">
      <c r="B25" s="81" t="s">
        <v>32</v>
      </c>
      <c r="C25" s="82">
        <v>1</v>
      </c>
      <c r="D25" s="83" t="s">
        <v>18</v>
      </c>
      <c r="E25" s="78">
        <f t="shared" si="2"/>
        <v>100000</v>
      </c>
      <c r="F25" s="117">
        <v>100000</v>
      </c>
    </row>
    <row r="26" spans="2:6" x14ac:dyDescent="0.25">
      <c r="B26" s="81" t="s">
        <v>108</v>
      </c>
      <c r="C26" s="82">
        <v>2</v>
      </c>
      <c r="D26" s="83" t="s">
        <v>18</v>
      </c>
      <c r="E26" s="78">
        <f t="shared" si="2"/>
        <v>20000</v>
      </c>
      <c r="F26" s="117">
        <v>10000</v>
      </c>
    </row>
    <row r="27" spans="2:6" ht="24" x14ac:dyDescent="0.25">
      <c r="B27" s="81" t="s">
        <v>33</v>
      </c>
      <c r="C27" s="82">
        <v>8</v>
      </c>
      <c r="D27" s="83" t="s">
        <v>18</v>
      </c>
      <c r="E27" s="78">
        <f t="shared" si="2"/>
        <v>80000</v>
      </c>
      <c r="F27" s="117">
        <v>10000</v>
      </c>
    </row>
    <row r="28" spans="2:6" ht="24" x14ac:dyDescent="0.25">
      <c r="B28" s="81" t="s">
        <v>162</v>
      </c>
      <c r="C28" s="82">
        <v>4</v>
      </c>
      <c r="D28" s="83" t="s">
        <v>18</v>
      </c>
      <c r="E28" s="78">
        <f t="shared" si="2"/>
        <v>40000</v>
      </c>
      <c r="F28" s="117">
        <v>10000</v>
      </c>
    </row>
    <row r="29" spans="2:6" x14ac:dyDescent="0.25">
      <c r="B29" s="81" t="s">
        <v>34</v>
      </c>
      <c r="C29" s="82">
        <v>2</v>
      </c>
      <c r="D29" s="83" t="s">
        <v>18</v>
      </c>
      <c r="E29" s="78">
        <f t="shared" si="2"/>
        <v>40000</v>
      </c>
      <c r="F29" s="117">
        <v>20000</v>
      </c>
    </row>
    <row r="30" spans="2:6" ht="24" x14ac:dyDescent="0.25">
      <c r="B30" s="81" t="s">
        <v>35</v>
      </c>
      <c r="C30" s="82">
        <v>8</v>
      </c>
      <c r="D30" s="83" t="s">
        <v>18</v>
      </c>
      <c r="E30" s="78">
        <f t="shared" si="2"/>
        <v>120000</v>
      </c>
      <c r="F30" s="117">
        <v>15000</v>
      </c>
    </row>
    <row r="31" spans="2:6" x14ac:dyDescent="0.25">
      <c r="B31" s="81" t="s">
        <v>36</v>
      </c>
      <c r="C31" s="82">
        <v>3</v>
      </c>
      <c r="D31" s="83" t="s">
        <v>18</v>
      </c>
      <c r="E31" s="78">
        <f t="shared" si="2"/>
        <v>30000</v>
      </c>
      <c r="F31" s="117">
        <v>10000</v>
      </c>
    </row>
    <row r="32" spans="2:6" x14ac:dyDescent="0.25">
      <c r="B32" s="81" t="s">
        <v>37</v>
      </c>
      <c r="C32" s="82">
        <v>1</v>
      </c>
      <c r="D32" s="83" t="s">
        <v>18</v>
      </c>
      <c r="E32" s="78">
        <f t="shared" si="2"/>
        <v>5000</v>
      </c>
      <c r="F32" s="117">
        <v>5000</v>
      </c>
    </row>
    <row r="33" spans="2:6" ht="21" x14ac:dyDescent="0.25">
      <c r="B33" s="81"/>
      <c r="C33" s="591">
        <f>SUM(E17:E32)</f>
        <v>2405000</v>
      </c>
      <c r="D33" s="592"/>
      <c r="E33" s="592"/>
      <c r="F33" s="78"/>
    </row>
    <row r="34" spans="2:6" x14ac:dyDescent="0.25">
      <c r="B34" s="74"/>
      <c r="C34" s="74"/>
      <c r="D34" s="74"/>
      <c r="E34" s="74"/>
      <c r="F34" s="74"/>
    </row>
    <row r="35" spans="2:6" ht="15.75" x14ac:dyDescent="0.25">
      <c r="B35" s="81"/>
      <c r="C35" s="590" t="s">
        <v>161</v>
      </c>
      <c r="D35" s="590"/>
      <c r="E35" s="590"/>
      <c r="F35" s="78"/>
    </row>
    <row r="36" spans="2:6" x14ac:dyDescent="0.25">
      <c r="B36" s="229" t="s">
        <v>6</v>
      </c>
      <c r="C36" s="79" t="s">
        <v>4</v>
      </c>
      <c r="D36" s="79" t="s">
        <v>15</v>
      </c>
      <c r="E36" s="80" t="s">
        <v>16</v>
      </c>
      <c r="F36" s="78"/>
    </row>
    <row r="37" spans="2:6" x14ac:dyDescent="0.25">
      <c r="B37" s="81" t="s">
        <v>24</v>
      </c>
      <c r="C37" s="82">
        <v>2</v>
      </c>
      <c r="D37" s="83" t="s">
        <v>18</v>
      </c>
      <c r="E37" s="78">
        <f>F37*C37</f>
        <v>260000</v>
      </c>
      <c r="F37" s="117">
        <v>130000</v>
      </c>
    </row>
    <row r="38" spans="2:6" x14ac:dyDescent="0.25">
      <c r="B38" s="81" t="s">
        <v>25</v>
      </c>
      <c r="C38" s="82">
        <v>2</v>
      </c>
      <c r="D38" s="83" t="s">
        <v>18</v>
      </c>
      <c r="E38" s="78">
        <f t="shared" ref="E38:E52" si="3">F38*C38</f>
        <v>160000</v>
      </c>
      <c r="F38" s="117">
        <v>80000</v>
      </c>
    </row>
    <row r="39" spans="2:6" x14ac:dyDescent="0.25">
      <c r="B39" s="81" t="s">
        <v>26</v>
      </c>
      <c r="C39" s="82">
        <v>2</v>
      </c>
      <c r="D39" s="83" t="s">
        <v>18</v>
      </c>
      <c r="E39" s="78">
        <f t="shared" si="3"/>
        <v>700000</v>
      </c>
      <c r="F39" s="117">
        <v>350000</v>
      </c>
    </row>
    <row r="40" spans="2:6" x14ac:dyDescent="0.25">
      <c r="B40" s="81" t="s">
        <v>38</v>
      </c>
      <c r="C40" s="82">
        <v>1</v>
      </c>
      <c r="D40" s="83" t="s">
        <v>18</v>
      </c>
      <c r="E40" s="78">
        <f t="shared" si="3"/>
        <v>150000</v>
      </c>
      <c r="F40" s="117">
        <v>150000</v>
      </c>
    </row>
    <row r="41" spans="2:6" x14ac:dyDescent="0.25">
      <c r="B41" s="81" t="s">
        <v>28</v>
      </c>
      <c r="C41" s="82">
        <v>2</v>
      </c>
      <c r="D41" s="83" t="s">
        <v>18</v>
      </c>
      <c r="E41" s="78">
        <f t="shared" si="3"/>
        <v>800000</v>
      </c>
      <c r="F41" s="117">
        <v>400000</v>
      </c>
    </row>
    <row r="42" spans="2:6" x14ac:dyDescent="0.25">
      <c r="B42" s="81" t="s">
        <v>29</v>
      </c>
      <c r="C42" s="82">
        <v>1</v>
      </c>
      <c r="D42" s="83" t="s">
        <v>18</v>
      </c>
      <c r="E42" s="78">
        <f t="shared" si="3"/>
        <v>250000</v>
      </c>
      <c r="F42" s="117">
        <v>250000</v>
      </c>
    </row>
    <row r="43" spans="2:6" x14ac:dyDescent="0.25">
      <c r="B43" s="81" t="s">
        <v>30</v>
      </c>
      <c r="C43" s="82">
        <v>2</v>
      </c>
      <c r="D43" s="83" t="s">
        <v>18</v>
      </c>
      <c r="E43" s="78">
        <f t="shared" si="3"/>
        <v>50000</v>
      </c>
      <c r="F43" s="117">
        <v>25000</v>
      </c>
    </row>
    <row r="44" spans="2:6" x14ac:dyDescent="0.25">
      <c r="B44" s="81" t="s">
        <v>31</v>
      </c>
      <c r="C44" s="82">
        <v>8</v>
      </c>
      <c r="D44" s="83" t="s">
        <v>18</v>
      </c>
      <c r="E44" s="78">
        <f t="shared" si="3"/>
        <v>40000</v>
      </c>
      <c r="F44" s="117">
        <v>5000</v>
      </c>
    </row>
    <row r="45" spans="2:6" x14ac:dyDescent="0.25">
      <c r="B45" s="81" t="s">
        <v>32</v>
      </c>
      <c r="C45" s="82">
        <v>1</v>
      </c>
      <c r="D45" s="83" t="s">
        <v>18</v>
      </c>
      <c r="E45" s="78">
        <f t="shared" si="3"/>
        <v>100000</v>
      </c>
      <c r="F45" s="117">
        <v>100000</v>
      </c>
    </row>
    <row r="46" spans="2:6" x14ac:dyDescent="0.25">
      <c r="B46" s="81" t="s">
        <v>108</v>
      </c>
      <c r="C46" s="82">
        <v>2</v>
      </c>
      <c r="D46" s="83" t="s">
        <v>18</v>
      </c>
      <c r="E46" s="78">
        <f t="shared" si="3"/>
        <v>20000</v>
      </c>
      <c r="F46" s="117">
        <v>10000</v>
      </c>
    </row>
    <row r="47" spans="2:6" ht="24" x14ac:dyDescent="0.25">
      <c r="B47" s="81" t="s">
        <v>33</v>
      </c>
      <c r="C47" s="82">
        <v>8</v>
      </c>
      <c r="D47" s="83" t="s">
        <v>18</v>
      </c>
      <c r="E47" s="78">
        <f t="shared" si="3"/>
        <v>80000</v>
      </c>
      <c r="F47" s="117">
        <v>10000</v>
      </c>
    </row>
    <row r="48" spans="2:6" ht="24" x14ac:dyDescent="0.25">
      <c r="B48" s="81" t="s">
        <v>162</v>
      </c>
      <c r="C48" s="82">
        <v>4</v>
      </c>
      <c r="D48" s="83" t="s">
        <v>18</v>
      </c>
      <c r="E48" s="78">
        <f t="shared" si="3"/>
        <v>40000</v>
      </c>
      <c r="F48" s="117">
        <v>10000</v>
      </c>
    </row>
    <row r="49" spans="2:12" x14ac:dyDescent="0.25">
      <c r="B49" s="81" t="s">
        <v>34</v>
      </c>
      <c r="C49" s="82">
        <v>2</v>
      </c>
      <c r="D49" s="83" t="s">
        <v>18</v>
      </c>
      <c r="E49" s="78">
        <f t="shared" si="3"/>
        <v>40000</v>
      </c>
      <c r="F49" s="117">
        <v>20000</v>
      </c>
    </row>
    <row r="50" spans="2:12" ht="24" x14ac:dyDescent="0.25">
      <c r="B50" s="81" t="s">
        <v>35</v>
      </c>
      <c r="C50" s="82">
        <v>8</v>
      </c>
      <c r="D50" s="83" t="s">
        <v>18</v>
      </c>
      <c r="E50" s="78">
        <f t="shared" si="3"/>
        <v>120000</v>
      </c>
      <c r="F50" s="117">
        <v>15000</v>
      </c>
    </row>
    <row r="51" spans="2:12" x14ac:dyDescent="0.25">
      <c r="B51" s="81" t="s">
        <v>36</v>
      </c>
      <c r="C51" s="82">
        <v>3</v>
      </c>
      <c r="D51" s="83" t="s">
        <v>18</v>
      </c>
      <c r="E51" s="78">
        <f t="shared" si="3"/>
        <v>30000</v>
      </c>
      <c r="F51" s="117">
        <v>10000</v>
      </c>
    </row>
    <row r="52" spans="2:12" x14ac:dyDescent="0.25">
      <c r="B52" s="81" t="s">
        <v>37</v>
      </c>
      <c r="C52" s="82">
        <v>1</v>
      </c>
      <c r="D52" s="83" t="s">
        <v>18</v>
      </c>
      <c r="E52" s="78">
        <f t="shared" si="3"/>
        <v>5000</v>
      </c>
      <c r="F52" s="117">
        <v>5000</v>
      </c>
    </row>
    <row r="53" spans="2:12" ht="21" x14ac:dyDescent="0.25">
      <c r="B53" s="81"/>
      <c r="C53" s="591">
        <f>SUM(E37:E52)</f>
        <v>2845000</v>
      </c>
      <c r="D53" s="592"/>
      <c r="E53" s="592"/>
      <c r="F53" s="78"/>
    </row>
    <row r="54" spans="2:12" x14ac:dyDescent="0.25">
      <c r="B54" s="72"/>
      <c r="C54" s="72"/>
      <c r="D54" s="72"/>
      <c r="E54" s="72"/>
      <c r="F54" s="72"/>
    </row>
    <row r="55" spans="2:12" ht="21" x14ac:dyDescent="0.25">
      <c r="B55" s="76" t="s">
        <v>137</v>
      </c>
      <c r="C55" s="596" t="s">
        <v>163</v>
      </c>
      <c r="D55" s="596"/>
      <c r="E55" s="596"/>
      <c r="F55" s="78"/>
      <c r="H55" s="76" t="s">
        <v>136</v>
      </c>
      <c r="I55" s="596" t="s">
        <v>163</v>
      </c>
      <c r="J55" s="596"/>
      <c r="K55" s="596"/>
      <c r="L55" s="78"/>
    </row>
    <row r="56" spans="2:12" x14ac:dyDescent="0.25">
      <c r="B56" s="229"/>
      <c r="C56" s="79" t="s">
        <v>4</v>
      </c>
      <c r="D56" s="79" t="s">
        <v>15</v>
      </c>
      <c r="E56" s="80" t="s">
        <v>16</v>
      </c>
      <c r="F56" s="78"/>
      <c r="H56" s="229"/>
      <c r="I56" s="79" t="s">
        <v>4</v>
      </c>
      <c r="J56" s="79" t="s">
        <v>15</v>
      </c>
      <c r="K56" s="80" t="s">
        <v>16</v>
      </c>
      <c r="L56" s="78"/>
    </row>
    <row r="57" spans="2:12" x14ac:dyDescent="0.25">
      <c r="B57" s="86" t="s">
        <v>105</v>
      </c>
      <c r="C57" s="82" t="e">
        <f>'5'!C5</f>
        <v>#VALUE!</v>
      </c>
      <c r="D57" s="87" t="s">
        <v>40</v>
      </c>
      <c r="E57" s="78" t="e">
        <f>F57*C57</f>
        <v>#VALUE!</v>
      </c>
      <c r="F57" s="88">
        <f>'5'!E9*4.7</f>
        <v>10340000</v>
      </c>
      <c r="H57" s="86" t="s">
        <v>105</v>
      </c>
      <c r="I57" s="82" t="e">
        <f>'5'!C5</f>
        <v>#VALUE!</v>
      </c>
      <c r="J57" s="87" t="s">
        <v>40</v>
      </c>
      <c r="K57" s="78" t="e">
        <f>L57*I57</f>
        <v>#VALUE!</v>
      </c>
      <c r="L57" s="88">
        <f>'5'!E9*6.7</f>
        <v>14740000</v>
      </c>
    </row>
    <row r="58" spans="2:12" x14ac:dyDescent="0.25">
      <c r="B58" s="86" t="s">
        <v>39</v>
      </c>
      <c r="C58" s="89" t="e">
        <f>((('5'!$D$8-0.25)*2)+0.52)*('5'!$E$5+'5'!$D$5)</f>
        <v>#VALUE!</v>
      </c>
      <c r="D58" s="87" t="s">
        <v>40</v>
      </c>
      <c r="E58" s="78" t="e">
        <f t="shared" ref="E58:E66" si="4">F58*C58</f>
        <v>#VALUE!</v>
      </c>
      <c r="F58" s="117">
        <v>800000</v>
      </c>
      <c r="H58" s="86" t="s">
        <v>39</v>
      </c>
      <c r="I58" s="89" t="e">
        <f>((('5'!$D$8-0.25)*2)+0.52)*('5'!$E$5+'5'!$D$5)</f>
        <v>#VALUE!</v>
      </c>
      <c r="J58" s="87" t="s">
        <v>40</v>
      </c>
      <c r="K58" s="78" t="e">
        <f t="shared" ref="K58:K66" si="5">L58*I58</f>
        <v>#VALUE!</v>
      </c>
      <c r="L58" s="117">
        <v>800000</v>
      </c>
    </row>
    <row r="59" spans="2:12" x14ac:dyDescent="0.25">
      <c r="B59" s="81" t="s">
        <v>43</v>
      </c>
      <c r="C59" s="89">
        <f>('5'!$D$8-0.25)*2</f>
        <v>-0.5</v>
      </c>
      <c r="D59" s="85" t="s">
        <v>40</v>
      </c>
      <c r="E59" s="78">
        <f>F59*C59</f>
        <v>-135000</v>
      </c>
      <c r="F59" s="117">
        <v>270000</v>
      </c>
      <c r="H59" s="81" t="s">
        <v>43</v>
      </c>
      <c r="I59" s="89">
        <f>('5'!$D$8-0.25)*2</f>
        <v>-0.5</v>
      </c>
      <c r="J59" s="85" t="s">
        <v>40</v>
      </c>
      <c r="K59" s="78">
        <f>L59*I59</f>
        <v>-135000</v>
      </c>
      <c r="L59" s="117">
        <v>270000</v>
      </c>
    </row>
    <row r="60" spans="2:12" x14ac:dyDescent="0.25">
      <c r="B60" s="81" t="s">
        <v>164</v>
      </c>
      <c r="C60" s="89" t="e">
        <f>(C57/0.6)+1</f>
        <v>#VALUE!</v>
      </c>
      <c r="D60" s="85" t="s">
        <v>18</v>
      </c>
      <c r="E60" s="78" t="e">
        <f t="shared" si="4"/>
        <v>#VALUE!</v>
      </c>
      <c r="F60" s="117">
        <v>365000</v>
      </c>
      <c r="H60" s="81" t="s">
        <v>164</v>
      </c>
      <c r="I60" s="89" t="e">
        <f>(I57/0.6)+1</f>
        <v>#VALUE!</v>
      </c>
      <c r="J60" s="85" t="s">
        <v>18</v>
      </c>
      <c r="K60" s="78" t="e">
        <f t="shared" si="5"/>
        <v>#VALUE!</v>
      </c>
      <c r="L60" s="117">
        <v>365000</v>
      </c>
    </row>
    <row r="61" spans="2:12" x14ac:dyDescent="0.25">
      <c r="B61" s="81" t="s">
        <v>165</v>
      </c>
      <c r="C61" s="82" t="e">
        <f>('5'!$D$5+'5'!$E$5)*2</f>
        <v>#VALUE!</v>
      </c>
      <c r="D61" s="85" t="s">
        <v>18</v>
      </c>
      <c r="E61" s="78" t="e">
        <f t="shared" si="4"/>
        <v>#VALUE!</v>
      </c>
      <c r="F61" s="117">
        <v>385000</v>
      </c>
      <c r="H61" s="81" t="s">
        <v>165</v>
      </c>
      <c r="I61" s="82" t="e">
        <f>('5'!$D$5+'5'!$E$5)*2</f>
        <v>#VALUE!</v>
      </c>
      <c r="J61" s="85" t="s">
        <v>18</v>
      </c>
      <c r="K61" s="78" t="e">
        <f t="shared" si="5"/>
        <v>#VALUE!</v>
      </c>
      <c r="L61" s="117">
        <v>385000</v>
      </c>
    </row>
    <row r="62" spans="2:12" x14ac:dyDescent="0.25">
      <c r="B62" s="81" t="s">
        <v>41</v>
      </c>
      <c r="C62" s="90" t="e">
        <f>('5'!$E$5+'5'!$D$5)</f>
        <v>#VALUE!</v>
      </c>
      <c r="D62" s="85" t="s">
        <v>18</v>
      </c>
      <c r="E62" s="78" t="e">
        <f>F62*C62</f>
        <v>#VALUE!</v>
      </c>
      <c r="F62" s="117">
        <v>100000</v>
      </c>
      <c r="H62" s="81" t="s">
        <v>41</v>
      </c>
      <c r="I62" s="90" t="e">
        <f>('5'!$E$5+'5'!$D$5)</f>
        <v>#VALUE!</v>
      </c>
      <c r="J62" s="85" t="s">
        <v>18</v>
      </c>
      <c r="K62" s="78" t="e">
        <f>L62*I62</f>
        <v>#VALUE!</v>
      </c>
      <c r="L62" s="117">
        <v>100000</v>
      </c>
    </row>
    <row r="63" spans="2:12" x14ac:dyDescent="0.25">
      <c r="B63" s="81" t="s">
        <v>42</v>
      </c>
      <c r="C63" s="90" t="e">
        <f>('5'!$E$5+'5'!$D$5)</f>
        <v>#VALUE!</v>
      </c>
      <c r="D63" s="85" t="s">
        <v>18</v>
      </c>
      <c r="E63" s="78" t="e">
        <f>F63*C63</f>
        <v>#VALUE!</v>
      </c>
      <c r="F63" s="117">
        <v>30000</v>
      </c>
      <c r="H63" s="81" t="s">
        <v>42</v>
      </c>
      <c r="I63" s="90" t="e">
        <f>('5'!$E$5+'5'!$D$5)</f>
        <v>#VALUE!</v>
      </c>
      <c r="J63" s="85" t="s">
        <v>18</v>
      </c>
      <c r="K63" s="78" t="e">
        <f>L63*I63</f>
        <v>#VALUE!</v>
      </c>
      <c r="L63" s="117">
        <v>30000</v>
      </c>
    </row>
    <row r="64" spans="2:12" x14ac:dyDescent="0.25">
      <c r="B64" s="81" t="s">
        <v>44</v>
      </c>
      <c r="C64" s="82" t="e">
        <f>4*('5'!$E$5+'5'!$D$5)</f>
        <v>#VALUE!</v>
      </c>
      <c r="D64" s="85" t="s">
        <v>18</v>
      </c>
      <c r="E64" s="78" t="e">
        <f t="shared" si="4"/>
        <v>#VALUE!</v>
      </c>
      <c r="F64" s="117">
        <v>10000</v>
      </c>
      <c r="H64" s="81" t="s">
        <v>44</v>
      </c>
      <c r="I64" s="82" t="e">
        <f>4*('5'!$E$5+'5'!$D$5)</f>
        <v>#VALUE!</v>
      </c>
      <c r="J64" s="85" t="s">
        <v>18</v>
      </c>
      <c r="K64" s="78" t="e">
        <f t="shared" si="5"/>
        <v>#VALUE!</v>
      </c>
      <c r="L64" s="117">
        <v>10000</v>
      </c>
    </row>
    <row r="65" spans="2:12" ht="24" x14ac:dyDescent="0.25">
      <c r="B65" s="81" t="s">
        <v>45</v>
      </c>
      <c r="C65" s="82" t="e">
        <f>4*('5'!$E$5+'5'!$D$5)</f>
        <v>#VALUE!</v>
      </c>
      <c r="D65" s="85" t="s">
        <v>18</v>
      </c>
      <c r="E65" s="78" t="e">
        <f t="shared" si="4"/>
        <v>#VALUE!</v>
      </c>
      <c r="F65" s="117">
        <v>10000</v>
      </c>
      <c r="H65" s="81" t="s">
        <v>45</v>
      </c>
      <c r="I65" s="82" t="e">
        <f>4*('5'!$E$5+'5'!$D$5)</f>
        <v>#VALUE!</v>
      </c>
      <c r="J65" s="85" t="s">
        <v>18</v>
      </c>
      <c r="K65" s="78" t="e">
        <f t="shared" si="5"/>
        <v>#VALUE!</v>
      </c>
      <c r="L65" s="117">
        <v>10000</v>
      </c>
    </row>
    <row r="66" spans="2:12" x14ac:dyDescent="0.25">
      <c r="B66" s="81" t="s">
        <v>106</v>
      </c>
      <c r="C66" s="82" t="e">
        <f>C57*4.7</f>
        <v>#VALUE!</v>
      </c>
      <c r="D66" s="83" t="s">
        <v>107</v>
      </c>
      <c r="E66" s="78" t="e">
        <f t="shared" si="4"/>
        <v>#VALUE!</v>
      </c>
      <c r="F66" s="117">
        <f>'A5'!$T$2</f>
        <v>450000</v>
      </c>
      <c r="H66" s="81" t="s">
        <v>106</v>
      </c>
      <c r="I66" s="82" t="e">
        <f>I57*6.7</f>
        <v>#VALUE!</v>
      </c>
      <c r="J66" s="83" t="s">
        <v>107</v>
      </c>
      <c r="K66" s="78" t="e">
        <f t="shared" si="5"/>
        <v>#VALUE!</v>
      </c>
      <c r="L66" s="117">
        <f>'A5'!$T$2</f>
        <v>450000</v>
      </c>
    </row>
    <row r="67" spans="2:12" ht="21" x14ac:dyDescent="0.25">
      <c r="B67" s="120" t="e">
        <f>SUM(E60:E65)</f>
        <v>#VALUE!</v>
      </c>
      <c r="C67" s="591" t="e">
        <f>SUM(E57:E66)</f>
        <v>#VALUE!</v>
      </c>
      <c r="D67" s="592"/>
      <c r="E67" s="592"/>
      <c r="F67" s="130" t="e">
        <f>SUM(E66)</f>
        <v>#VALUE!</v>
      </c>
      <c r="H67" s="81"/>
      <c r="I67" s="591" t="e">
        <f>SUM(K57:K67)</f>
        <v>#VALUE!</v>
      </c>
      <c r="J67" s="592"/>
      <c r="K67" s="592"/>
      <c r="L67" s="78"/>
    </row>
    <row r="68" spans="2:12" x14ac:dyDescent="0.25">
      <c r="B68" s="74"/>
      <c r="C68" s="74"/>
      <c r="D68" s="74"/>
      <c r="E68" s="74"/>
      <c r="F68" s="74"/>
    </row>
    <row r="69" spans="2:12" ht="15.75" x14ac:dyDescent="0.25">
      <c r="B69" s="81"/>
      <c r="C69" s="590" t="s">
        <v>166</v>
      </c>
      <c r="D69" s="590"/>
      <c r="E69" s="590"/>
      <c r="F69" s="78"/>
    </row>
    <row r="70" spans="2:12" x14ac:dyDescent="0.25">
      <c r="B70" s="229" t="s">
        <v>122</v>
      </c>
      <c r="C70" s="79" t="s">
        <v>4</v>
      </c>
      <c r="D70" s="79" t="s">
        <v>15</v>
      </c>
      <c r="E70" s="80" t="s">
        <v>16</v>
      </c>
      <c r="F70" s="78"/>
    </row>
    <row r="71" spans="2:12" x14ac:dyDescent="0.25">
      <c r="B71" s="81" t="s">
        <v>123</v>
      </c>
      <c r="C71" s="89">
        <f>(IF(AND('5'!$D$9&lt;=4),('5'!$D$9),IF(AND('5'!$D$9&gt;4,'5'!$D$9&lt;=8),('5'!$D$9/2),IF(AND('5'!$D$9&gt;8,'5'!$D$9&lt;=12),('5'!$D$9/3),0))))</f>
        <v>0</v>
      </c>
      <c r="D71" s="85" t="s">
        <v>40</v>
      </c>
      <c r="E71" s="78">
        <f>F71*C71</f>
        <v>0</v>
      </c>
      <c r="F71" s="88">
        <f>'5'!E9*3</f>
        <v>6600000</v>
      </c>
    </row>
    <row r="72" spans="2:12" x14ac:dyDescent="0.25">
      <c r="B72" s="81" t="s">
        <v>52</v>
      </c>
      <c r="C72" s="82">
        <v>2</v>
      </c>
      <c r="D72" s="85" t="s">
        <v>18</v>
      </c>
      <c r="E72" s="78">
        <f t="shared" ref="E72:E78" si="6">F72*C72</f>
        <v>300000</v>
      </c>
      <c r="F72" s="117">
        <v>150000</v>
      </c>
    </row>
    <row r="73" spans="2:12" x14ac:dyDescent="0.25">
      <c r="B73" s="81" t="s">
        <v>53</v>
      </c>
      <c r="C73" s="82">
        <v>4</v>
      </c>
      <c r="D73" s="85" t="s">
        <v>18</v>
      </c>
      <c r="E73" s="78">
        <f t="shared" si="6"/>
        <v>400000</v>
      </c>
      <c r="F73" s="117">
        <v>100000</v>
      </c>
    </row>
    <row r="74" spans="2:12" x14ac:dyDescent="0.25">
      <c r="B74" s="81" t="s">
        <v>106</v>
      </c>
      <c r="C74" s="82">
        <f>C71*3</f>
        <v>0</v>
      </c>
      <c r="D74" s="83" t="s">
        <v>107</v>
      </c>
      <c r="E74" s="78">
        <f t="shared" si="6"/>
        <v>0</v>
      </c>
      <c r="F74" s="117">
        <f>'A5'!$T$2</f>
        <v>450000</v>
      </c>
    </row>
    <row r="75" spans="2:12" x14ac:dyDescent="0.25">
      <c r="B75" s="81" t="s">
        <v>54</v>
      </c>
      <c r="C75" s="82">
        <v>4</v>
      </c>
      <c r="D75" s="85" t="s">
        <v>18</v>
      </c>
      <c r="E75" s="78">
        <f t="shared" si="6"/>
        <v>60000</v>
      </c>
      <c r="F75" s="117">
        <v>15000</v>
      </c>
    </row>
    <row r="76" spans="2:12" x14ac:dyDescent="0.25">
      <c r="B76" s="81" t="s">
        <v>44</v>
      </c>
      <c r="C76" s="82">
        <v>4</v>
      </c>
      <c r="D76" s="85" t="s">
        <v>18</v>
      </c>
      <c r="E76" s="78">
        <f t="shared" si="6"/>
        <v>40000</v>
      </c>
      <c r="F76" s="117">
        <v>10000</v>
      </c>
    </row>
    <row r="77" spans="2:12" ht="24" x14ac:dyDescent="0.25">
      <c r="B77" s="81" t="s">
        <v>45</v>
      </c>
      <c r="C77" s="82">
        <v>4</v>
      </c>
      <c r="D77" s="85" t="s">
        <v>18</v>
      </c>
      <c r="E77" s="78">
        <f t="shared" si="6"/>
        <v>40000</v>
      </c>
      <c r="F77" s="117">
        <v>10000</v>
      </c>
    </row>
    <row r="78" spans="2:12" ht="24" x14ac:dyDescent="0.25">
      <c r="B78" s="81" t="s">
        <v>55</v>
      </c>
      <c r="C78" s="82">
        <v>4</v>
      </c>
      <c r="D78" s="85" t="s">
        <v>18</v>
      </c>
      <c r="E78" s="78">
        <f t="shared" si="6"/>
        <v>24000</v>
      </c>
      <c r="F78" s="117">
        <v>6000</v>
      </c>
    </row>
    <row r="79" spans="2:12" ht="21" x14ac:dyDescent="0.25">
      <c r="B79" s="120">
        <f>SUM(E72:E73,E75:E78)</f>
        <v>864000</v>
      </c>
      <c r="C79" s="591">
        <f>SUM(E71:E78)</f>
        <v>864000</v>
      </c>
      <c r="D79" s="592"/>
      <c r="E79" s="592"/>
      <c r="F79" s="130">
        <f>SUM(E74)</f>
        <v>0</v>
      </c>
    </row>
    <row r="80" spans="2:12" x14ac:dyDescent="0.25">
      <c r="B80" s="72"/>
      <c r="C80" s="72"/>
      <c r="D80" s="72"/>
      <c r="E80" s="72"/>
      <c r="F80" s="72"/>
    </row>
    <row r="81" spans="2:6" ht="15.75" x14ac:dyDescent="0.25">
      <c r="B81" s="81"/>
      <c r="C81" s="590" t="s">
        <v>167</v>
      </c>
      <c r="D81" s="590"/>
      <c r="E81" s="590"/>
      <c r="F81" s="78"/>
    </row>
    <row r="82" spans="2:6" ht="25.5" x14ac:dyDescent="0.25">
      <c r="B82" s="230" t="s">
        <v>49</v>
      </c>
      <c r="C82" s="79" t="s">
        <v>4</v>
      </c>
      <c r="D82" s="79" t="s">
        <v>15</v>
      </c>
      <c r="E82" s="80" t="s">
        <v>16</v>
      </c>
      <c r="F82" s="78"/>
    </row>
    <row r="83" spans="2:6" x14ac:dyDescent="0.25">
      <c r="B83" s="81" t="s">
        <v>50</v>
      </c>
      <c r="C83" s="82">
        <v>1</v>
      </c>
      <c r="D83" s="83" t="s">
        <v>18</v>
      </c>
      <c r="E83" s="78">
        <f>F83*C83</f>
        <v>750000</v>
      </c>
      <c r="F83" s="117">
        <v>750000</v>
      </c>
    </row>
    <row r="84" spans="2:6" x14ac:dyDescent="0.25">
      <c r="B84" s="81" t="s">
        <v>51</v>
      </c>
      <c r="C84" s="82">
        <v>2</v>
      </c>
      <c r="D84" s="83" t="s">
        <v>18</v>
      </c>
      <c r="E84" s="78">
        <f t="shared" ref="E84:E88" si="7">F84*C84</f>
        <v>850000</v>
      </c>
      <c r="F84" s="117">
        <v>425000</v>
      </c>
    </row>
    <row r="85" spans="2:6" x14ac:dyDescent="0.25">
      <c r="B85" s="81" t="s">
        <v>46</v>
      </c>
      <c r="C85" s="82">
        <v>2</v>
      </c>
      <c r="D85" s="83" t="s">
        <v>18</v>
      </c>
      <c r="E85" s="78">
        <f t="shared" si="7"/>
        <v>1500000</v>
      </c>
      <c r="F85" s="117">
        <v>750000</v>
      </c>
    </row>
    <row r="86" spans="2:6" x14ac:dyDescent="0.25">
      <c r="B86" s="81" t="s">
        <v>106</v>
      </c>
      <c r="C86" s="82">
        <v>3.5</v>
      </c>
      <c r="D86" s="83" t="s">
        <v>107</v>
      </c>
      <c r="E86" s="78">
        <f t="shared" si="7"/>
        <v>1575000</v>
      </c>
      <c r="F86" s="117">
        <f>'A5'!$T$2</f>
        <v>450000</v>
      </c>
    </row>
    <row r="87" spans="2:6" ht="24" x14ac:dyDescent="0.25">
      <c r="B87" s="81" t="s">
        <v>47</v>
      </c>
      <c r="C87" s="82">
        <v>12</v>
      </c>
      <c r="D87" s="83" t="s">
        <v>18</v>
      </c>
      <c r="E87" s="78">
        <f t="shared" si="7"/>
        <v>120000</v>
      </c>
      <c r="F87" s="117">
        <v>10000</v>
      </c>
    </row>
    <row r="88" spans="2:6" ht="24" x14ac:dyDescent="0.25">
      <c r="B88" s="81" t="s">
        <v>48</v>
      </c>
      <c r="C88" s="82">
        <v>12</v>
      </c>
      <c r="D88" s="83" t="s">
        <v>18</v>
      </c>
      <c r="E88" s="78">
        <f t="shared" si="7"/>
        <v>240000</v>
      </c>
      <c r="F88" s="117">
        <v>20000</v>
      </c>
    </row>
    <row r="89" spans="2:6" ht="21" x14ac:dyDescent="0.25">
      <c r="B89" s="120">
        <f>SUM(E83:E85,E87:E88)</f>
        <v>3460000</v>
      </c>
      <c r="C89" s="591">
        <f>SUM(E83:E88)</f>
        <v>5035000</v>
      </c>
      <c r="D89" s="591"/>
      <c r="E89" s="591"/>
      <c r="F89" s="130">
        <f>E86</f>
        <v>1575000</v>
      </c>
    </row>
    <row r="90" spans="2:6" x14ac:dyDescent="0.25">
      <c r="B90" s="74"/>
      <c r="C90" s="74"/>
      <c r="D90" s="74"/>
      <c r="E90" s="74"/>
      <c r="F90" s="74"/>
    </row>
    <row r="91" spans="2:6" x14ac:dyDescent="0.25">
      <c r="B91" s="229" t="s">
        <v>56</v>
      </c>
      <c r="C91" s="79" t="s">
        <v>4</v>
      </c>
      <c r="D91" s="79" t="s">
        <v>15</v>
      </c>
      <c r="E91" s="80" t="s">
        <v>16</v>
      </c>
      <c r="F91" s="78"/>
    </row>
    <row r="92" spans="2:6" x14ac:dyDescent="0.25">
      <c r="B92" s="81" t="s">
        <v>57</v>
      </c>
      <c r="C92" s="89">
        <f>C71</f>
        <v>0</v>
      </c>
      <c r="D92" s="85" t="s">
        <v>40</v>
      </c>
      <c r="E92" s="78">
        <f>F92*C92</f>
        <v>0</v>
      </c>
      <c r="F92" s="117">
        <v>870000</v>
      </c>
    </row>
    <row r="93" spans="2:6" ht="24" x14ac:dyDescent="0.25">
      <c r="B93" s="81" t="s">
        <v>191</v>
      </c>
      <c r="C93" s="82">
        <v>2</v>
      </c>
      <c r="D93" s="85" t="s">
        <v>18</v>
      </c>
      <c r="E93" s="78">
        <f t="shared" ref="E93:E96" si="8">F93*C93</f>
        <v>200000</v>
      </c>
      <c r="F93" s="117">
        <v>100000</v>
      </c>
    </row>
    <row r="94" spans="2:6" ht="24" x14ac:dyDescent="0.25">
      <c r="B94" s="81" t="s">
        <v>190</v>
      </c>
      <c r="C94" s="82">
        <v>2</v>
      </c>
      <c r="D94" s="85" t="s">
        <v>18</v>
      </c>
      <c r="E94" s="78">
        <f t="shared" si="8"/>
        <v>30000</v>
      </c>
      <c r="F94" s="117">
        <v>15000</v>
      </c>
    </row>
    <row r="95" spans="2:6" ht="24" x14ac:dyDescent="0.25">
      <c r="B95" s="81" t="s">
        <v>192</v>
      </c>
      <c r="C95" s="82">
        <v>4</v>
      </c>
      <c r="D95" s="85" t="s">
        <v>18</v>
      </c>
      <c r="E95" s="78">
        <f t="shared" si="8"/>
        <v>72000</v>
      </c>
      <c r="F95" s="117">
        <v>18000</v>
      </c>
    </row>
    <row r="96" spans="2:6" x14ac:dyDescent="0.25">
      <c r="B96" s="81" t="s">
        <v>109</v>
      </c>
      <c r="C96" s="82">
        <f>C92*2.82</f>
        <v>0</v>
      </c>
      <c r="D96" s="85" t="s">
        <v>107</v>
      </c>
      <c r="E96" s="78">
        <f t="shared" si="8"/>
        <v>0</v>
      </c>
      <c r="F96" s="117">
        <v>75000</v>
      </c>
    </row>
    <row r="97" spans="2:12" ht="21" x14ac:dyDescent="0.25">
      <c r="B97" s="81"/>
      <c r="C97" s="597">
        <f>SUM(E92:E96)</f>
        <v>302000</v>
      </c>
      <c r="D97" s="597"/>
      <c r="E97" s="597"/>
      <c r="F97" s="78"/>
    </row>
    <row r="98" spans="2:12" x14ac:dyDescent="0.25">
      <c r="B98" s="72"/>
      <c r="C98" s="72"/>
      <c r="D98" s="72"/>
      <c r="E98" s="72"/>
      <c r="F98" s="72"/>
      <c r="H98" s="74"/>
      <c r="I98" s="74"/>
      <c r="J98" s="74"/>
      <c r="K98" s="74"/>
      <c r="L98" s="74"/>
    </row>
    <row r="99" spans="2:12" ht="21" x14ac:dyDescent="0.25">
      <c r="B99" s="76" t="s">
        <v>137</v>
      </c>
      <c r="C99" s="590" t="s">
        <v>169</v>
      </c>
      <c r="D99" s="590"/>
      <c r="E99" s="590"/>
      <c r="F99" s="78"/>
      <c r="H99" s="76" t="s">
        <v>136</v>
      </c>
      <c r="I99" s="590" t="s">
        <v>168</v>
      </c>
      <c r="J99" s="590"/>
      <c r="K99" s="590"/>
      <c r="L99" s="78"/>
    </row>
    <row r="100" spans="2:12" x14ac:dyDescent="0.25">
      <c r="B100" s="81"/>
      <c r="C100" s="79" t="s">
        <v>4</v>
      </c>
      <c r="D100" s="79" t="s">
        <v>15</v>
      </c>
      <c r="E100" s="80" t="s">
        <v>16</v>
      </c>
      <c r="F100" s="78"/>
      <c r="H100" s="81"/>
      <c r="I100" s="79" t="s">
        <v>4</v>
      </c>
      <c r="J100" s="79" t="s">
        <v>15</v>
      </c>
      <c r="K100" s="80" t="s">
        <v>16</v>
      </c>
      <c r="L100" s="78"/>
    </row>
    <row r="101" spans="2:12" x14ac:dyDescent="0.25">
      <c r="B101" s="81" t="s">
        <v>170</v>
      </c>
      <c r="C101" s="82">
        <v>1</v>
      </c>
      <c r="D101" s="83" t="s">
        <v>18</v>
      </c>
      <c r="E101" s="78">
        <f>F101*C101</f>
        <v>0</v>
      </c>
      <c r="F101" s="117">
        <f>IF(AND('پیش فاکتور سقف متحرک'!G16="120Nm بکر آلمان "),(400*'پیش فاکتور سقف متحرک'!C25),IF(AND('پیش فاکتور سقف متحرک'!G16="120Nm  سامفی فرانسه "),(450*'پیش فاکتور سقف متحرک'!C25),IF(AND('پیش فاکتور سقف متحرک'!G16="اختصاصی سایه روشن 120Nm"),(150*'پیش فاکتور سقف متحرک'!C25),0)))</f>
        <v>0</v>
      </c>
      <c r="H101" s="81" t="s">
        <v>58</v>
      </c>
      <c r="I101" s="82">
        <v>1</v>
      </c>
      <c r="J101" s="83" t="s">
        <v>18</v>
      </c>
      <c r="K101" s="78">
        <f>L101*I101</f>
        <v>60000000</v>
      </c>
      <c r="L101" s="117">
        <v>60000000</v>
      </c>
    </row>
    <row r="102" spans="2:12" x14ac:dyDescent="0.25">
      <c r="B102" s="81" t="s">
        <v>59</v>
      </c>
      <c r="C102" s="82">
        <v>1</v>
      </c>
      <c r="D102" s="83" t="s">
        <v>18</v>
      </c>
      <c r="E102" s="78">
        <f t="shared" ref="E102:E117" si="9">F102*C102</f>
        <v>350000</v>
      </c>
      <c r="F102" s="117">
        <v>350000</v>
      </c>
      <c r="H102" s="81" t="s">
        <v>59</v>
      </c>
      <c r="I102" s="82">
        <v>1</v>
      </c>
      <c r="J102" s="83" t="s">
        <v>18</v>
      </c>
      <c r="K102" s="78">
        <f t="shared" ref="K102:K117" si="10">L102*I102</f>
        <v>350000</v>
      </c>
      <c r="L102" s="117">
        <v>350000</v>
      </c>
    </row>
    <row r="103" spans="2:12" x14ac:dyDescent="0.25">
      <c r="B103" s="81" t="s">
        <v>171</v>
      </c>
      <c r="C103" s="82">
        <v>1</v>
      </c>
      <c r="D103" s="83" t="s">
        <v>18</v>
      </c>
      <c r="E103" s="78">
        <f t="shared" si="9"/>
        <v>350000</v>
      </c>
      <c r="F103" s="117">
        <v>350000</v>
      </c>
      <c r="H103" s="81" t="s">
        <v>60</v>
      </c>
      <c r="I103" s="82">
        <v>1</v>
      </c>
      <c r="J103" s="83" t="s">
        <v>18</v>
      </c>
      <c r="K103" s="78">
        <f t="shared" si="10"/>
        <v>350000</v>
      </c>
      <c r="L103" s="117">
        <v>350000</v>
      </c>
    </row>
    <row r="104" spans="2:12" x14ac:dyDescent="0.25">
      <c r="B104" s="81" t="s">
        <v>172</v>
      </c>
      <c r="C104" s="82">
        <v>1</v>
      </c>
      <c r="D104" s="83" t="s">
        <v>18</v>
      </c>
      <c r="E104" s="78">
        <f>F104*C104</f>
        <v>80000</v>
      </c>
      <c r="F104" s="117">
        <v>80000</v>
      </c>
      <c r="H104" s="81" t="s">
        <v>172</v>
      </c>
      <c r="I104" s="82">
        <v>1</v>
      </c>
      <c r="J104" s="83" t="s">
        <v>18</v>
      </c>
      <c r="K104" s="78">
        <f>L104*I104</f>
        <v>80000</v>
      </c>
      <c r="L104" s="117">
        <v>80000</v>
      </c>
    </row>
    <row r="105" spans="2:12" x14ac:dyDescent="0.25">
      <c r="B105" s="81" t="s">
        <v>173</v>
      </c>
      <c r="C105" s="82">
        <v>2</v>
      </c>
      <c r="D105" s="83" t="s">
        <v>18</v>
      </c>
      <c r="E105" s="78">
        <f>F105*C105</f>
        <v>160000</v>
      </c>
      <c r="F105" s="117">
        <v>80000</v>
      </c>
      <c r="H105" s="81" t="s">
        <v>173</v>
      </c>
      <c r="I105" s="82">
        <v>2</v>
      </c>
      <c r="J105" s="83" t="s">
        <v>18</v>
      </c>
      <c r="K105" s="78">
        <f>L105*I105</f>
        <v>160000</v>
      </c>
      <c r="L105" s="117">
        <v>80000</v>
      </c>
    </row>
    <row r="106" spans="2:12" x14ac:dyDescent="0.25">
      <c r="B106" s="81" t="s">
        <v>63</v>
      </c>
      <c r="C106" s="82">
        <v>4</v>
      </c>
      <c r="D106" s="83" t="s">
        <v>40</v>
      </c>
      <c r="E106" s="78">
        <f>F106*C106</f>
        <v>720000</v>
      </c>
      <c r="F106" s="117">
        <v>180000</v>
      </c>
      <c r="H106" s="81" t="s">
        <v>63</v>
      </c>
      <c r="I106" s="82">
        <v>4</v>
      </c>
      <c r="J106" s="83" t="s">
        <v>40</v>
      </c>
      <c r="K106" s="78">
        <f>L106*I106</f>
        <v>720000</v>
      </c>
      <c r="L106" s="117">
        <v>180000</v>
      </c>
    </row>
    <row r="107" spans="2:12" x14ac:dyDescent="0.25">
      <c r="B107" s="81" t="s">
        <v>189</v>
      </c>
      <c r="C107" s="82">
        <v>1</v>
      </c>
      <c r="D107" s="83" t="s">
        <v>18</v>
      </c>
      <c r="E107" s="78">
        <f>F107*C107</f>
        <v>750000</v>
      </c>
      <c r="F107" s="117">
        <v>750000</v>
      </c>
      <c r="H107" s="81" t="s">
        <v>189</v>
      </c>
      <c r="I107" s="82">
        <v>1</v>
      </c>
      <c r="J107" s="83" t="s">
        <v>18</v>
      </c>
      <c r="K107" s="78">
        <f>L107*I107</f>
        <v>750000</v>
      </c>
      <c r="L107" s="117">
        <v>750000</v>
      </c>
    </row>
    <row r="108" spans="2:12" x14ac:dyDescent="0.25">
      <c r="B108" s="81" t="s">
        <v>26</v>
      </c>
      <c r="C108" s="82">
        <v>1</v>
      </c>
      <c r="D108" s="83" t="s">
        <v>18</v>
      </c>
      <c r="E108" s="78">
        <f t="shared" si="9"/>
        <v>350000</v>
      </c>
      <c r="F108" s="117">
        <v>350000</v>
      </c>
      <c r="H108" s="81" t="s">
        <v>26</v>
      </c>
      <c r="I108" s="82">
        <v>1</v>
      </c>
      <c r="J108" s="83" t="s">
        <v>18</v>
      </c>
      <c r="K108" s="78">
        <f t="shared" si="10"/>
        <v>350000</v>
      </c>
      <c r="L108" s="117">
        <v>350000</v>
      </c>
    </row>
    <row r="109" spans="2:12" x14ac:dyDescent="0.25">
      <c r="B109" s="81" t="s">
        <v>174</v>
      </c>
      <c r="C109" s="82">
        <v>2</v>
      </c>
      <c r="D109" s="83" t="s">
        <v>18</v>
      </c>
      <c r="E109" s="78">
        <f t="shared" si="9"/>
        <v>700000</v>
      </c>
      <c r="F109" s="117">
        <v>350000</v>
      </c>
      <c r="H109" s="81" t="s">
        <v>174</v>
      </c>
      <c r="I109" s="82">
        <v>2</v>
      </c>
      <c r="J109" s="83" t="s">
        <v>18</v>
      </c>
      <c r="K109" s="78">
        <f t="shared" si="10"/>
        <v>700000</v>
      </c>
      <c r="L109" s="117">
        <v>350000</v>
      </c>
    </row>
    <row r="110" spans="2:12" x14ac:dyDescent="0.25">
      <c r="B110" s="81" t="s">
        <v>64</v>
      </c>
      <c r="C110" s="82">
        <v>2</v>
      </c>
      <c r="D110" s="83" t="s">
        <v>18</v>
      </c>
      <c r="E110" s="78">
        <f t="shared" si="9"/>
        <v>800000</v>
      </c>
      <c r="F110" s="117">
        <v>400000</v>
      </c>
      <c r="H110" s="81" t="s">
        <v>64</v>
      </c>
      <c r="I110" s="82">
        <v>2</v>
      </c>
      <c r="J110" s="83" t="s">
        <v>18</v>
      </c>
      <c r="K110" s="78">
        <f t="shared" si="10"/>
        <v>800000</v>
      </c>
      <c r="L110" s="117">
        <v>400000</v>
      </c>
    </row>
    <row r="111" spans="2:12" x14ac:dyDescent="0.25">
      <c r="B111" s="81" t="s">
        <v>61</v>
      </c>
      <c r="C111" s="82">
        <v>1</v>
      </c>
      <c r="D111" s="83" t="s">
        <v>18</v>
      </c>
      <c r="E111" s="78">
        <f>F111*C111</f>
        <v>850000</v>
      </c>
      <c r="F111" s="117">
        <v>850000</v>
      </c>
      <c r="H111" s="81" t="s">
        <v>61</v>
      </c>
      <c r="I111" s="82">
        <v>1</v>
      </c>
      <c r="J111" s="83" t="s">
        <v>18</v>
      </c>
      <c r="K111" s="78">
        <f>L111*I111</f>
        <v>850000</v>
      </c>
      <c r="L111" s="117">
        <v>850000</v>
      </c>
    </row>
    <row r="112" spans="2:12" x14ac:dyDescent="0.25">
      <c r="B112" s="81" t="s">
        <v>62</v>
      </c>
      <c r="C112" s="82">
        <v>1</v>
      </c>
      <c r="D112" s="83" t="s">
        <v>18</v>
      </c>
      <c r="E112" s="78">
        <f>F112*C112</f>
        <v>400000</v>
      </c>
      <c r="F112" s="117">
        <v>400000</v>
      </c>
      <c r="H112" s="81" t="s">
        <v>62</v>
      </c>
      <c r="I112" s="82">
        <v>1</v>
      </c>
      <c r="J112" s="83" t="s">
        <v>18</v>
      </c>
      <c r="K112" s="78">
        <f>L112*I112</f>
        <v>400000</v>
      </c>
      <c r="L112" s="117">
        <v>400000</v>
      </c>
    </row>
    <row r="113" spans="2:12" x14ac:dyDescent="0.25">
      <c r="B113" s="81"/>
      <c r="C113" s="82"/>
      <c r="D113" s="83"/>
      <c r="E113" s="78">
        <f t="shared" si="9"/>
        <v>0</v>
      </c>
      <c r="F113" s="78"/>
      <c r="H113" s="81" t="s">
        <v>65</v>
      </c>
      <c r="I113" s="82">
        <v>1</v>
      </c>
      <c r="J113" s="83" t="s">
        <v>18</v>
      </c>
      <c r="K113" s="78">
        <f t="shared" si="10"/>
        <v>250000</v>
      </c>
      <c r="L113" s="117">
        <v>250000</v>
      </c>
    </row>
    <row r="114" spans="2:12" x14ac:dyDescent="0.25">
      <c r="B114" s="81"/>
      <c r="C114" s="82"/>
      <c r="D114" s="83"/>
      <c r="E114" s="78">
        <f t="shared" si="9"/>
        <v>0</v>
      </c>
      <c r="F114" s="78"/>
      <c r="H114" s="81" t="s">
        <v>66</v>
      </c>
      <c r="I114" s="82">
        <v>1</v>
      </c>
      <c r="J114" s="83" t="s">
        <v>18</v>
      </c>
      <c r="K114" s="78">
        <f t="shared" si="10"/>
        <v>350000</v>
      </c>
      <c r="L114" s="117">
        <v>350000</v>
      </c>
    </row>
    <row r="115" spans="2:12" x14ac:dyDescent="0.25">
      <c r="B115" s="81" t="s">
        <v>188</v>
      </c>
      <c r="C115" s="82">
        <v>6</v>
      </c>
      <c r="D115" s="83" t="s">
        <v>18</v>
      </c>
      <c r="E115" s="78">
        <f t="shared" si="9"/>
        <v>90000</v>
      </c>
      <c r="F115" s="117">
        <v>15000</v>
      </c>
      <c r="H115" s="81" t="s">
        <v>188</v>
      </c>
      <c r="I115" s="82">
        <v>6</v>
      </c>
      <c r="J115" s="83" t="s">
        <v>18</v>
      </c>
      <c r="K115" s="78">
        <f t="shared" si="10"/>
        <v>90000</v>
      </c>
      <c r="L115" s="117">
        <v>15000</v>
      </c>
    </row>
    <row r="116" spans="2:12" ht="24" x14ac:dyDescent="0.25">
      <c r="B116" s="81" t="s">
        <v>67</v>
      </c>
      <c r="C116" s="82">
        <v>1</v>
      </c>
      <c r="D116" s="83" t="s">
        <v>18</v>
      </c>
      <c r="E116" s="78">
        <f t="shared" si="9"/>
        <v>12000</v>
      </c>
      <c r="F116" s="117">
        <v>12000</v>
      </c>
      <c r="H116" s="81" t="s">
        <v>67</v>
      </c>
      <c r="I116" s="82">
        <v>1</v>
      </c>
      <c r="J116" s="83" t="s">
        <v>18</v>
      </c>
      <c r="K116" s="78">
        <f t="shared" si="10"/>
        <v>12000</v>
      </c>
      <c r="L116" s="117">
        <v>12000</v>
      </c>
    </row>
    <row r="117" spans="2:12" x14ac:dyDescent="0.25">
      <c r="B117" s="81" t="s">
        <v>109</v>
      </c>
      <c r="C117" s="82">
        <v>5</v>
      </c>
      <c r="D117" s="85" t="s">
        <v>107</v>
      </c>
      <c r="E117" s="78">
        <f t="shared" si="9"/>
        <v>375000</v>
      </c>
      <c r="F117" s="117">
        <v>75000</v>
      </c>
      <c r="H117" s="81" t="s">
        <v>109</v>
      </c>
      <c r="I117" s="82">
        <v>5</v>
      </c>
      <c r="J117" s="85" t="s">
        <v>107</v>
      </c>
      <c r="K117" s="78">
        <f t="shared" si="10"/>
        <v>375000</v>
      </c>
      <c r="L117" s="117">
        <v>75000</v>
      </c>
    </row>
    <row r="118" spans="2:12" ht="21" x14ac:dyDescent="0.25">
      <c r="B118" s="120">
        <f>SUM(E102:E117)</f>
        <v>5987000</v>
      </c>
      <c r="C118" s="591">
        <f>SUM(E101:E117)</f>
        <v>5987000</v>
      </c>
      <c r="D118" s="592"/>
      <c r="E118" s="592"/>
      <c r="F118" s="131">
        <f>E101</f>
        <v>0</v>
      </c>
      <c r="H118" s="81"/>
      <c r="I118" s="591">
        <f>SUM(K101:K117)</f>
        <v>66587000</v>
      </c>
      <c r="J118" s="592"/>
      <c r="K118" s="592"/>
      <c r="L118" s="78"/>
    </row>
    <row r="119" spans="2:12" x14ac:dyDescent="0.25">
      <c r="B119" s="74"/>
      <c r="C119" s="74"/>
      <c r="D119" s="74"/>
      <c r="E119" s="74"/>
      <c r="F119" s="74"/>
      <c r="H119" s="74"/>
      <c r="I119" s="74"/>
      <c r="J119" s="74"/>
      <c r="K119" s="74"/>
      <c r="L119" s="74"/>
    </row>
    <row r="120" spans="2:12" ht="21" x14ac:dyDescent="0.25">
      <c r="B120" s="92" t="s">
        <v>137</v>
      </c>
      <c r="C120" s="598" t="s">
        <v>116</v>
      </c>
      <c r="D120" s="598"/>
      <c r="E120" s="598"/>
      <c r="F120" s="82"/>
      <c r="H120" s="91" t="s">
        <v>136</v>
      </c>
      <c r="I120" s="598" t="s">
        <v>116</v>
      </c>
      <c r="J120" s="598"/>
      <c r="K120" s="598"/>
      <c r="L120" s="78"/>
    </row>
    <row r="121" spans="2:12" ht="15.75" x14ac:dyDescent="0.25">
      <c r="B121" s="94"/>
      <c r="C121" s="79" t="s">
        <v>4</v>
      </c>
      <c r="D121" s="79" t="s">
        <v>15</v>
      </c>
      <c r="E121" s="80" t="s">
        <v>16</v>
      </c>
      <c r="F121" s="93"/>
      <c r="H121" s="81"/>
      <c r="I121" s="79" t="s">
        <v>4</v>
      </c>
      <c r="J121" s="79" t="s">
        <v>15</v>
      </c>
      <c r="K121" s="80" t="s">
        <v>16</v>
      </c>
      <c r="L121" s="93"/>
    </row>
    <row r="122" spans="2:12" x14ac:dyDescent="0.25">
      <c r="B122" s="81" t="s">
        <v>97</v>
      </c>
      <c r="C122" s="82">
        <f>('5'!$D$8*'5'!$D$9)</f>
        <v>0</v>
      </c>
      <c r="D122" s="85" t="s">
        <v>96</v>
      </c>
      <c r="E122" s="78">
        <f>F122*C122</f>
        <v>0</v>
      </c>
      <c r="F122" s="88">
        <f>8*'5'!E15</f>
        <v>5600000</v>
      </c>
      <c r="H122" s="81" t="s">
        <v>97</v>
      </c>
      <c r="I122" s="82">
        <f>('5'!$D$8*'5'!$D$9)</f>
        <v>0</v>
      </c>
      <c r="J122" s="85" t="s">
        <v>96</v>
      </c>
      <c r="K122" s="78">
        <f>L122*I122</f>
        <v>0</v>
      </c>
      <c r="L122" s="88">
        <f>8*'5'!E15</f>
        <v>5600000</v>
      </c>
    </row>
    <row r="123" spans="2:12" x14ac:dyDescent="0.25">
      <c r="B123" s="81" t="s">
        <v>125</v>
      </c>
      <c r="C123" s="82">
        <f>((('5'!$D$8-0.25)/0.6)-1)*('5'!$D$9)</f>
        <v>0</v>
      </c>
      <c r="D123" s="85" t="s">
        <v>40</v>
      </c>
      <c r="E123" s="78">
        <f t="shared" ref="E123:E134" si="11">F123*C123</f>
        <v>0</v>
      </c>
      <c r="F123" s="88">
        <f>1*'5'!E9</f>
        <v>2200000</v>
      </c>
      <c r="H123" s="81" t="s">
        <v>125</v>
      </c>
      <c r="I123" s="82">
        <f>((('5'!$D$8-0.25)/0.6)-1)*('5'!$D$9)</f>
        <v>0</v>
      </c>
      <c r="J123" s="85" t="s">
        <v>40</v>
      </c>
      <c r="K123" s="78">
        <f t="shared" ref="K123:K134" si="12">L123*I123</f>
        <v>0</v>
      </c>
      <c r="L123" s="88">
        <f>1.5*'5'!E9</f>
        <v>3300000</v>
      </c>
    </row>
    <row r="124" spans="2:12" x14ac:dyDescent="0.25">
      <c r="B124" s="81" t="s">
        <v>124</v>
      </c>
      <c r="C124" s="89">
        <f>'5'!$D$9*2</f>
        <v>0</v>
      </c>
      <c r="D124" s="85" t="s">
        <v>40</v>
      </c>
      <c r="E124" s="78">
        <f t="shared" si="11"/>
        <v>0</v>
      </c>
      <c r="F124" s="88">
        <f>1.9*'5'!E9</f>
        <v>4180000</v>
      </c>
      <c r="H124" s="81" t="s">
        <v>124</v>
      </c>
      <c r="I124" s="89">
        <f>'5'!$D$9*2</f>
        <v>0</v>
      </c>
      <c r="J124" s="85" t="s">
        <v>40</v>
      </c>
      <c r="K124" s="78">
        <f t="shared" si="12"/>
        <v>0</v>
      </c>
      <c r="L124" s="88">
        <f>1.9*'5'!E9</f>
        <v>4180000</v>
      </c>
    </row>
    <row r="125" spans="2:12" x14ac:dyDescent="0.25">
      <c r="B125" s="81" t="s">
        <v>68</v>
      </c>
      <c r="C125" s="89">
        <f>C124+C123</f>
        <v>0</v>
      </c>
      <c r="D125" s="85" t="s">
        <v>40</v>
      </c>
      <c r="E125" s="78">
        <f t="shared" si="11"/>
        <v>0</v>
      </c>
      <c r="F125" s="117">
        <v>50000</v>
      </c>
      <c r="H125" s="81" t="s">
        <v>68</v>
      </c>
      <c r="I125" s="89">
        <f>I124+I123</f>
        <v>0</v>
      </c>
      <c r="J125" s="85" t="s">
        <v>40</v>
      </c>
      <c r="K125" s="78">
        <f t="shared" si="12"/>
        <v>0</v>
      </c>
      <c r="L125" s="117">
        <v>50000</v>
      </c>
    </row>
    <row r="126" spans="2:12" x14ac:dyDescent="0.25">
      <c r="B126" s="81" t="s">
        <v>69</v>
      </c>
      <c r="C126" s="89">
        <f>'5'!$D$9</f>
        <v>0</v>
      </c>
      <c r="D126" s="85" t="s">
        <v>40</v>
      </c>
      <c r="E126" s="78">
        <f t="shared" si="11"/>
        <v>0</v>
      </c>
      <c r="F126" s="117">
        <v>30000</v>
      </c>
      <c r="H126" s="81" t="s">
        <v>69</v>
      </c>
      <c r="I126" s="89">
        <f>'5'!$D$9</f>
        <v>0</v>
      </c>
      <c r="J126" s="85" t="s">
        <v>40</v>
      </c>
      <c r="K126" s="78">
        <f t="shared" si="12"/>
        <v>0</v>
      </c>
      <c r="L126" s="117">
        <v>30000</v>
      </c>
    </row>
    <row r="127" spans="2:12" x14ac:dyDescent="0.25">
      <c r="B127" s="81" t="s">
        <v>71</v>
      </c>
      <c r="C127" s="89">
        <f>'5'!$D$8</f>
        <v>0</v>
      </c>
      <c r="D127" s="85" t="s">
        <v>40</v>
      </c>
      <c r="E127" s="78">
        <f t="shared" si="11"/>
        <v>0</v>
      </c>
      <c r="F127" s="117">
        <v>30000</v>
      </c>
      <c r="H127" s="81" t="s">
        <v>71</v>
      </c>
      <c r="I127" s="89">
        <f>'5'!$D$8</f>
        <v>0</v>
      </c>
      <c r="J127" s="85" t="s">
        <v>40</v>
      </c>
      <c r="K127" s="78">
        <f t="shared" si="12"/>
        <v>0</v>
      </c>
      <c r="L127" s="117">
        <v>30000</v>
      </c>
    </row>
    <row r="128" spans="2:12" x14ac:dyDescent="0.25">
      <c r="B128" s="81" t="s">
        <v>70</v>
      </c>
      <c r="C128" s="82">
        <f>((INT((C123+C124)/10))+1)</f>
        <v>1</v>
      </c>
      <c r="D128" s="85" t="s">
        <v>18</v>
      </c>
      <c r="E128" s="78">
        <f t="shared" si="11"/>
        <v>500000</v>
      </c>
      <c r="F128" s="117">
        <v>500000</v>
      </c>
      <c r="H128" s="81" t="s">
        <v>70</v>
      </c>
      <c r="I128" s="82">
        <f>((INT((I123+I124)/10))+1)</f>
        <v>1</v>
      </c>
      <c r="J128" s="85" t="s">
        <v>18</v>
      </c>
      <c r="K128" s="78">
        <f t="shared" si="12"/>
        <v>500000</v>
      </c>
      <c r="L128" s="117">
        <v>500000</v>
      </c>
    </row>
    <row r="129" spans="2:12" x14ac:dyDescent="0.25">
      <c r="B129" s="81" t="s">
        <v>126</v>
      </c>
      <c r="C129" s="82">
        <f>((INT(('5'!$D$8-0.25)/0.6)))*2</f>
        <v>-2</v>
      </c>
      <c r="D129" s="85" t="s">
        <v>18</v>
      </c>
      <c r="E129" s="78">
        <f t="shared" si="11"/>
        <v>-138000</v>
      </c>
      <c r="F129" s="117">
        <v>69000</v>
      </c>
      <c r="H129" s="81" t="s">
        <v>126</v>
      </c>
      <c r="I129" s="82">
        <f>((INT(('5'!$D$8-0.25)/0.6)))*2</f>
        <v>-2</v>
      </c>
      <c r="J129" s="85" t="s">
        <v>18</v>
      </c>
      <c r="K129" s="78">
        <f t="shared" si="12"/>
        <v>-138000</v>
      </c>
      <c r="L129" s="117">
        <v>69000</v>
      </c>
    </row>
    <row r="130" spans="2:12" x14ac:dyDescent="0.25">
      <c r="B130" s="81" t="s">
        <v>73</v>
      </c>
      <c r="C130" s="82">
        <v>4</v>
      </c>
      <c r="D130" s="85" t="s">
        <v>18</v>
      </c>
      <c r="E130" s="78">
        <f t="shared" si="11"/>
        <v>330000</v>
      </c>
      <c r="F130" s="117">
        <v>82500</v>
      </c>
      <c r="H130" s="81" t="s">
        <v>73</v>
      </c>
      <c r="I130" s="82">
        <v>4</v>
      </c>
      <c r="J130" s="85" t="s">
        <v>18</v>
      </c>
      <c r="K130" s="78">
        <f t="shared" si="12"/>
        <v>330000</v>
      </c>
      <c r="L130" s="117">
        <v>82500</v>
      </c>
    </row>
    <row r="131" spans="2:12" x14ac:dyDescent="0.25">
      <c r="B131" s="81" t="s">
        <v>72</v>
      </c>
      <c r="C131" s="82">
        <f>C129+C130</f>
        <v>2</v>
      </c>
      <c r="D131" s="85" t="s">
        <v>18</v>
      </c>
      <c r="E131" s="78">
        <f t="shared" si="11"/>
        <v>3000</v>
      </c>
      <c r="F131" s="117">
        <v>1500</v>
      </c>
      <c r="H131" s="81" t="s">
        <v>72</v>
      </c>
      <c r="I131" s="82">
        <f>I129+I130</f>
        <v>2</v>
      </c>
      <c r="J131" s="85" t="s">
        <v>18</v>
      </c>
      <c r="K131" s="78">
        <f t="shared" si="12"/>
        <v>3000</v>
      </c>
      <c r="L131" s="117">
        <v>1500</v>
      </c>
    </row>
    <row r="132" spans="2:12" ht="24" x14ac:dyDescent="0.25">
      <c r="B132" s="81" t="s">
        <v>74</v>
      </c>
      <c r="C132" s="82">
        <f>C131</f>
        <v>2</v>
      </c>
      <c r="D132" s="85" t="s">
        <v>18</v>
      </c>
      <c r="E132" s="78">
        <f t="shared" si="11"/>
        <v>20000</v>
      </c>
      <c r="F132" s="117">
        <v>10000</v>
      </c>
      <c r="H132" s="81" t="s">
        <v>74</v>
      </c>
      <c r="I132" s="82">
        <f>I129+I130</f>
        <v>2</v>
      </c>
      <c r="J132" s="85" t="s">
        <v>18</v>
      </c>
      <c r="K132" s="78">
        <f t="shared" si="12"/>
        <v>20000</v>
      </c>
      <c r="L132" s="117">
        <v>10000</v>
      </c>
    </row>
    <row r="133" spans="2:12" x14ac:dyDescent="0.25">
      <c r="B133" s="81" t="s">
        <v>75</v>
      </c>
      <c r="C133" s="82">
        <f>C131</f>
        <v>2</v>
      </c>
      <c r="D133" s="85" t="s">
        <v>18</v>
      </c>
      <c r="E133" s="78">
        <f t="shared" si="11"/>
        <v>12000</v>
      </c>
      <c r="F133" s="117">
        <v>6000</v>
      </c>
      <c r="H133" s="81" t="s">
        <v>75</v>
      </c>
      <c r="I133" s="82">
        <f>I129+I130</f>
        <v>2</v>
      </c>
      <c r="J133" s="85" t="s">
        <v>18</v>
      </c>
      <c r="K133" s="78">
        <f t="shared" si="12"/>
        <v>12000</v>
      </c>
      <c r="L133" s="117">
        <v>6000</v>
      </c>
    </row>
    <row r="134" spans="2:12" x14ac:dyDescent="0.25">
      <c r="B134" s="81" t="s">
        <v>106</v>
      </c>
      <c r="C134" s="82">
        <f>(C123*1)+(C124*1.9)</f>
        <v>0</v>
      </c>
      <c r="D134" s="83" t="s">
        <v>107</v>
      </c>
      <c r="E134" s="78">
        <f t="shared" si="11"/>
        <v>0</v>
      </c>
      <c r="F134" s="117">
        <f>'A5'!$T$2</f>
        <v>450000</v>
      </c>
      <c r="H134" s="81" t="s">
        <v>106</v>
      </c>
      <c r="I134" s="82">
        <f>(I123*1.5)+(I124*1.9)</f>
        <v>0</v>
      </c>
      <c r="J134" s="83" t="s">
        <v>107</v>
      </c>
      <c r="K134" s="78">
        <f t="shared" si="12"/>
        <v>0</v>
      </c>
      <c r="L134" s="117">
        <f>'A5'!$T$2</f>
        <v>450000</v>
      </c>
    </row>
    <row r="135" spans="2:12" ht="21" x14ac:dyDescent="0.25">
      <c r="B135" s="120">
        <f>SUM(E125:E133)</f>
        <v>727000</v>
      </c>
      <c r="C135" s="591">
        <f>SUM(E122:E134)</f>
        <v>727000</v>
      </c>
      <c r="D135" s="592"/>
      <c r="E135" s="592"/>
      <c r="F135" s="130">
        <f>E134</f>
        <v>0</v>
      </c>
      <c r="H135" s="81"/>
      <c r="I135" s="591">
        <f>SUM(K122:K134)</f>
        <v>727000</v>
      </c>
      <c r="J135" s="592"/>
      <c r="K135" s="592"/>
      <c r="L135" s="78"/>
    </row>
    <row r="136" spans="2:12" x14ac:dyDescent="0.25">
      <c r="B136" s="74"/>
      <c r="C136" s="74"/>
      <c r="D136" s="74"/>
      <c r="E136" s="74"/>
      <c r="F136" s="74"/>
    </row>
    <row r="137" spans="2:12" x14ac:dyDescent="0.25">
      <c r="B137" s="81"/>
      <c r="C137" s="598" t="s">
        <v>76</v>
      </c>
      <c r="D137" s="598"/>
      <c r="E137" s="598"/>
      <c r="F137" s="78"/>
    </row>
    <row r="138" spans="2:12" x14ac:dyDescent="0.25">
      <c r="B138" s="81"/>
      <c r="C138" s="79" t="s">
        <v>4</v>
      </c>
      <c r="D138" s="79" t="s">
        <v>15</v>
      </c>
      <c r="E138" s="80" t="s">
        <v>16</v>
      </c>
      <c r="F138" s="78"/>
    </row>
    <row r="139" spans="2:12" x14ac:dyDescent="0.25">
      <c r="B139" s="81" t="s">
        <v>127</v>
      </c>
      <c r="C139" s="82">
        <f>('5'!$D$9*((((INT('5'!$D$8/0.6))+1)*0.07)+0.25))</f>
        <v>0</v>
      </c>
      <c r="D139" s="85" t="s">
        <v>96</v>
      </c>
      <c r="E139" s="78">
        <f>F139*C139</f>
        <v>0</v>
      </c>
      <c r="F139" s="78">
        <f>8*0.5*'5'!E15</f>
        <v>2800000</v>
      </c>
    </row>
    <row r="140" spans="2:12" x14ac:dyDescent="0.25">
      <c r="B140" s="81" t="s">
        <v>78</v>
      </c>
      <c r="C140" s="82" t="e">
        <f>('5'!$E$5+'5'!$D$5)*2</f>
        <v>#VALUE!</v>
      </c>
      <c r="D140" s="85" t="s">
        <v>18</v>
      </c>
      <c r="E140" s="78" t="e">
        <f>F140*C140</f>
        <v>#VALUE!</v>
      </c>
      <c r="F140" s="117">
        <v>150000</v>
      </c>
    </row>
    <row r="141" spans="2:12" x14ac:dyDescent="0.25">
      <c r="B141" s="81" t="s">
        <v>79</v>
      </c>
      <c r="C141" s="82">
        <v>2</v>
      </c>
      <c r="D141" s="85" t="s">
        <v>18</v>
      </c>
      <c r="E141" s="78">
        <f>F141*C141</f>
        <v>300000</v>
      </c>
      <c r="F141" s="117">
        <v>150000</v>
      </c>
    </row>
    <row r="142" spans="2:12" x14ac:dyDescent="0.25">
      <c r="B142" s="81" t="s">
        <v>80</v>
      </c>
      <c r="C142" s="89">
        <f>'5'!$D$9</f>
        <v>0</v>
      </c>
      <c r="D142" s="85" t="s">
        <v>40</v>
      </c>
      <c r="E142" s="78">
        <f>F142*C142</f>
        <v>0</v>
      </c>
      <c r="F142" s="117">
        <v>220000</v>
      </c>
    </row>
    <row r="143" spans="2:12" x14ac:dyDescent="0.25">
      <c r="B143" s="81" t="s">
        <v>82</v>
      </c>
      <c r="C143" s="82">
        <v>2</v>
      </c>
      <c r="D143" s="85" t="s">
        <v>18</v>
      </c>
      <c r="E143" s="78">
        <f>F143*C143</f>
        <v>3700000</v>
      </c>
      <c r="F143" s="117">
        <v>1850000</v>
      </c>
    </row>
    <row r="144" spans="2:12" x14ac:dyDescent="0.25">
      <c r="B144" s="81" t="s">
        <v>81</v>
      </c>
      <c r="C144" s="89">
        <f>'5'!$D$9</f>
        <v>0</v>
      </c>
      <c r="D144" s="85" t="s">
        <v>40</v>
      </c>
      <c r="E144" s="78">
        <f t="shared" ref="E144:E150" si="13">F144*C144</f>
        <v>0</v>
      </c>
      <c r="F144" s="117">
        <v>430000</v>
      </c>
    </row>
    <row r="145" spans="2:12" x14ac:dyDescent="0.25">
      <c r="B145" s="81" t="s">
        <v>77</v>
      </c>
      <c r="C145" s="82">
        <f>C139/1.5</f>
        <v>0</v>
      </c>
      <c r="D145" s="85" t="s">
        <v>18</v>
      </c>
      <c r="E145" s="78">
        <f>F145*C145</f>
        <v>0</v>
      </c>
      <c r="F145" s="88">
        <v>500000</v>
      </c>
    </row>
    <row r="146" spans="2:12" ht="24" x14ac:dyDescent="0.25">
      <c r="B146" s="81" t="s">
        <v>83</v>
      </c>
      <c r="C146" s="82">
        <v>2</v>
      </c>
      <c r="D146" s="85" t="s">
        <v>18</v>
      </c>
      <c r="E146" s="78">
        <f t="shared" si="13"/>
        <v>160000</v>
      </c>
      <c r="F146" s="117">
        <v>80000</v>
      </c>
    </row>
    <row r="147" spans="2:12" x14ac:dyDescent="0.25">
      <c r="B147" s="81" t="s">
        <v>84</v>
      </c>
      <c r="C147" s="82" t="e">
        <f>C140/2</f>
        <v>#VALUE!</v>
      </c>
      <c r="D147" s="85" t="s">
        <v>18</v>
      </c>
      <c r="E147" s="78" t="e">
        <f t="shared" si="13"/>
        <v>#VALUE!</v>
      </c>
      <c r="F147" s="117">
        <v>200000</v>
      </c>
    </row>
    <row r="148" spans="2:12" ht="24" x14ac:dyDescent="0.25">
      <c r="B148" s="81" t="s">
        <v>85</v>
      </c>
      <c r="C148" s="82">
        <v>2</v>
      </c>
      <c r="D148" s="85" t="s">
        <v>18</v>
      </c>
      <c r="E148" s="78">
        <f t="shared" si="13"/>
        <v>50000</v>
      </c>
      <c r="F148" s="117">
        <v>25000</v>
      </c>
    </row>
    <row r="149" spans="2:12" x14ac:dyDescent="0.25">
      <c r="B149" s="81" t="s">
        <v>86</v>
      </c>
      <c r="C149" s="82">
        <f>C139*5</f>
        <v>0</v>
      </c>
      <c r="D149" s="85" t="s">
        <v>18</v>
      </c>
      <c r="E149" s="78">
        <f t="shared" si="13"/>
        <v>0</v>
      </c>
      <c r="F149" s="117">
        <v>10000</v>
      </c>
    </row>
    <row r="150" spans="2:12" x14ac:dyDescent="0.25">
      <c r="B150" s="81" t="s">
        <v>106</v>
      </c>
      <c r="C150" s="82">
        <f>C139*3.2</f>
        <v>0</v>
      </c>
      <c r="D150" s="83" t="s">
        <v>107</v>
      </c>
      <c r="E150" s="78">
        <f t="shared" si="13"/>
        <v>0</v>
      </c>
      <c r="F150" s="117">
        <f>'A5'!$T$2</f>
        <v>450000</v>
      </c>
    </row>
    <row r="151" spans="2:12" ht="21" x14ac:dyDescent="0.25">
      <c r="B151" s="120" t="e">
        <f>SUM(E140:E149)</f>
        <v>#VALUE!</v>
      </c>
      <c r="C151" s="591" t="e">
        <f>SUM(E139:E150)</f>
        <v>#VALUE!</v>
      </c>
      <c r="D151" s="592"/>
      <c r="E151" s="592"/>
      <c r="F151" s="130">
        <f>SUM(E150)</f>
        <v>0</v>
      </c>
    </row>
    <row r="152" spans="2:12" x14ac:dyDescent="0.25">
      <c r="B152" s="74"/>
      <c r="C152" s="74"/>
      <c r="D152" s="74"/>
      <c r="E152" s="74"/>
      <c r="F152" s="74"/>
      <c r="H152" s="74"/>
      <c r="I152" s="74"/>
      <c r="J152" s="74"/>
      <c r="K152" s="74"/>
      <c r="L152" s="74"/>
    </row>
    <row r="153" spans="2:12" ht="21" x14ac:dyDescent="0.25">
      <c r="B153" s="92" t="s">
        <v>137</v>
      </c>
      <c r="C153" s="598" t="s">
        <v>87</v>
      </c>
      <c r="D153" s="598"/>
      <c r="E153" s="598"/>
      <c r="F153" s="78"/>
      <c r="H153" s="91" t="s">
        <v>136</v>
      </c>
      <c r="I153" s="598" t="s">
        <v>87</v>
      </c>
      <c r="J153" s="598"/>
      <c r="K153" s="598"/>
      <c r="L153" s="78"/>
    </row>
    <row r="154" spans="2:12" ht="15.75" x14ac:dyDescent="0.25">
      <c r="B154" s="229"/>
      <c r="C154" s="79" t="s">
        <v>4</v>
      </c>
      <c r="D154" s="79" t="s">
        <v>15</v>
      </c>
      <c r="E154" s="80" t="s">
        <v>16</v>
      </c>
      <c r="F154" s="93"/>
      <c r="H154" s="229"/>
      <c r="I154" s="79" t="s">
        <v>4</v>
      </c>
      <c r="J154" s="79" t="s">
        <v>15</v>
      </c>
      <c r="K154" s="80" t="s">
        <v>16</v>
      </c>
      <c r="L154" s="93"/>
    </row>
    <row r="155" spans="2:12" x14ac:dyDescent="0.25">
      <c r="B155" s="95" t="s">
        <v>110</v>
      </c>
      <c r="C155" s="89">
        <f>'5'!$D$9</f>
        <v>0</v>
      </c>
      <c r="D155" s="85" t="s">
        <v>40</v>
      </c>
      <c r="E155" s="78">
        <f>F155*C155</f>
        <v>0</v>
      </c>
      <c r="F155" s="78">
        <v>0</v>
      </c>
      <c r="H155" s="95" t="s">
        <v>110</v>
      </c>
      <c r="I155" s="89">
        <f>'5'!$D$9</f>
        <v>0</v>
      </c>
      <c r="J155" s="85" t="s">
        <v>40</v>
      </c>
      <c r="K155" s="78">
        <f>L155*I155</f>
        <v>0</v>
      </c>
      <c r="L155" s="88">
        <f>'5'!E9*2.9</f>
        <v>6380000</v>
      </c>
    </row>
    <row r="156" spans="2:12" x14ac:dyDescent="0.25">
      <c r="B156" s="95" t="s">
        <v>111</v>
      </c>
      <c r="C156" s="89">
        <f>'5'!$D$9</f>
        <v>0</v>
      </c>
      <c r="D156" s="85" t="s">
        <v>40</v>
      </c>
      <c r="E156" s="78">
        <f t="shared" ref="E156:E166" si="14">F156*C156</f>
        <v>0</v>
      </c>
      <c r="F156" s="78">
        <v>0</v>
      </c>
      <c r="H156" s="95" t="s">
        <v>111</v>
      </c>
      <c r="I156" s="89">
        <f>'5'!$D$9</f>
        <v>0</v>
      </c>
      <c r="J156" s="85" t="s">
        <v>40</v>
      </c>
      <c r="K156" s="78">
        <f t="shared" ref="K156:K166" si="15">L156*I156</f>
        <v>0</v>
      </c>
      <c r="L156" s="88">
        <f>'5'!E9*1.5</f>
        <v>3300000</v>
      </c>
    </row>
    <row r="157" spans="2:12" x14ac:dyDescent="0.25">
      <c r="B157" s="95" t="s">
        <v>154</v>
      </c>
      <c r="C157" s="89">
        <f>'5'!$D$9</f>
        <v>0</v>
      </c>
      <c r="D157" s="85" t="s">
        <v>40</v>
      </c>
      <c r="E157" s="78">
        <f t="shared" si="14"/>
        <v>0</v>
      </c>
      <c r="F157" s="88">
        <f>'5'!E9*3.7</f>
        <v>8140000</v>
      </c>
      <c r="H157" s="95" t="s">
        <v>154</v>
      </c>
      <c r="I157" s="89">
        <f>'5'!$D$9</f>
        <v>0</v>
      </c>
      <c r="J157" s="85" t="s">
        <v>40</v>
      </c>
      <c r="K157" s="78">
        <f t="shared" si="15"/>
        <v>0</v>
      </c>
      <c r="L157" s="88">
        <f>'5'!E9*3.7</f>
        <v>8140000</v>
      </c>
    </row>
    <row r="158" spans="2:12" x14ac:dyDescent="0.25">
      <c r="B158" s="95" t="s">
        <v>90</v>
      </c>
      <c r="C158" s="89">
        <f>'5'!$D$9</f>
        <v>0</v>
      </c>
      <c r="D158" s="85" t="s">
        <v>40</v>
      </c>
      <c r="E158" s="78">
        <f>F158*C158</f>
        <v>0</v>
      </c>
      <c r="F158" s="117">
        <v>120000</v>
      </c>
      <c r="H158" s="95" t="s">
        <v>90</v>
      </c>
      <c r="I158" s="89">
        <f>'5'!$D$9</f>
        <v>0</v>
      </c>
      <c r="J158" s="85" t="s">
        <v>40</v>
      </c>
      <c r="K158" s="78">
        <f>L158*I158</f>
        <v>0</v>
      </c>
      <c r="L158" s="84">
        <v>110000</v>
      </c>
    </row>
    <row r="159" spans="2:12" x14ac:dyDescent="0.25">
      <c r="B159" s="95" t="s">
        <v>88</v>
      </c>
      <c r="C159" s="82">
        <v>6</v>
      </c>
      <c r="D159" s="85" t="s">
        <v>18</v>
      </c>
      <c r="E159" s="78">
        <f t="shared" si="14"/>
        <v>7200000</v>
      </c>
      <c r="F159" s="117">
        <v>1200000</v>
      </c>
      <c r="H159" s="95" t="s">
        <v>88</v>
      </c>
      <c r="I159" s="82">
        <v>6</v>
      </c>
      <c r="J159" s="85" t="s">
        <v>18</v>
      </c>
      <c r="K159" s="78">
        <f t="shared" si="15"/>
        <v>0</v>
      </c>
      <c r="L159" s="78">
        <v>0</v>
      </c>
    </row>
    <row r="160" spans="2:12" x14ac:dyDescent="0.25">
      <c r="B160" s="95" t="s">
        <v>89</v>
      </c>
      <c r="C160" s="82">
        <v>2</v>
      </c>
      <c r="D160" s="85" t="s">
        <v>18</v>
      </c>
      <c r="E160" s="78">
        <f t="shared" si="14"/>
        <v>210000</v>
      </c>
      <c r="F160" s="117">
        <v>105000</v>
      </c>
      <c r="H160" s="95" t="s">
        <v>89</v>
      </c>
      <c r="I160" s="82">
        <v>2</v>
      </c>
      <c r="J160" s="85" t="s">
        <v>18</v>
      </c>
      <c r="K160" s="78">
        <f t="shared" si="15"/>
        <v>210000</v>
      </c>
      <c r="L160" s="84">
        <v>105000</v>
      </c>
    </row>
    <row r="161" spans="2:12" x14ac:dyDescent="0.25">
      <c r="B161" s="95" t="s">
        <v>91</v>
      </c>
      <c r="C161" s="82">
        <v>1</v>
      </c>
      <c r="D161" s="85" t="s">
        <v>18</v>
      </c>
      <c r="E161" s="78">
        <f t="shared" si="14"/>
        <v>160000</v>
      </c>
      <c r="F161" s="117">
        <v>160000</v>
      </c>
      <c r="H161" s="95" t="s">
        <v>91</v>
      </c>
      <c r="I161" s="82">
        <v>1</v>
      </c>
      <c r="J161" s="85" t="s">
        <v>18</v>
      </c>
      <c r="K161" s="78">
        <f t="shared" si="15"/>
        <v>121000</v>
      </c>
      <c r="L161" s="84">
        <v>121000</v>
      </c>
    </row>
    <row r="162" spans="2:12" ht="24" x14ac:dyDescent="0.25">
      <c r="B162" s="95" t="s">
        <v>92</v>
      </c>
      <c r="C162" s="90" t="e">
        <f>'5'!$E$5+'5'!$D$5</f>
        <v>#VALUE!</v>
      </c>
      <c r="D162" s="85" t="s">
        <v>18</v>
      </c>
      <c r="E162" s="78" t="e">
        <f t="shared" si="14"/>
        <v>#VALUE!</v>
      </c>
      <c r="F162" s="84">
        <v>0</v>
      </c>
      <c r="H162" s="95" t="s">
        <v>92</v>
      </c>
      <c r="I162" s="90" t="e">
        <f>'5'!$E$5+'5'!$D$5</f>
        <v>#VALUE!</v>
      </c>
      <c r="J162" s="85" t="s">
        <v>18</v>
      </c>
      <c r="K162" s="78" t="e">
        <f t="shared" si="15"/>
        <v>#VALUE!</v>
      </c>
      <c r="L162" s="84">
        <v>58000</v>
      </c>
    </row>
    <row r="163" spans="2:12" x14ac:dyDescent="0.25">
      <c r="B163" s="81" t="s">
        <v>95</v>
      </c>
      <c r="C163" s="82">
        <v>1</v>
      </c>
      <c r="D163" s="85" t="s">
        <v>40</v>
      </c>
      <c r="E163" s="78">
        <f t="shared" si="14"/>
        <v>500000</v>
      </c>
      <c r="F163" s="117">
        <v>500000</v>
      </c>
      <c r="H163" s="81" t="s">
        <v>95</v>
      </c>
      <c r="I163" s="82">
        <v>6</v>
      </c>
      <c r="J163" s="85" t="s">
        <v>40</v>
      </c>
      <c r="K163" s="78">
        <f t="shared" si="15"/>
        <v>1500000</v>
      </c>
      <c r="L163" s="84">
        <v>250000</v>
      </c>
    </row>
    <row r="164" spans="2:12" ht="24" x14ac:dyDescent="0.25">
      <c r="B164" s="95" t="s">
        <v>93</v>
      </c>
      <c r="C164" s="82">
        <v>20</v>
      </c>
      <c r="D164" s="85" t="s">
        <v>18</v>
      </c>
      <c r="E164" s="78">
        <f t="shared" si="14"/>
        <v>300000</v>
      </c>
      <c r="F164" s="117">
        <v>15000</v>
      </c>
      <c r="H164" s="95" t="s">
        <v>93</v>
      </c>
      <c r="I164" s="82">
        <v>20</v>
      </c>
      <c r="J164" s="85" t="s">
        <v>18</v>
      </c>
      <c r="K164" s="78">
        <f t="shared" si="15"/>
        <v>96000</v>
      </c>
      <c r="L164" s="84">
        <v>4800</v>
      </c>
    </row>
    <row r="165" spans="2:12" ht="24" x14ac:dyDescent="0.25">
      <c r="B165" s="95" t="s">
        <v>94</v>
      </c>
      <c r="C165" s="82" t="e">
        <f>C162*4</f>
        <v>#VALUE!</v>
      </c>
      <c r="D165" s="85" t="s">
        <v>18</v>
      </c>
      <c r="E165" s="78" t="e">
        <f t="shared" si="14"/>
        <v>#VALUE!</v>
      </c>
      <c r="F165" s="117">
        <v>15000</v>
      </c>
      <c r="H165" s="95" t="s">
        <v>94</v>
      </c>
      <c r="I165" s="82" t="e">
        <f>I162*4</f>
        <v>#VALUE!</v>
      </c>
      <c r="J165" s="85" t="s">
        <v>18</v>
      </c>
      <c r="K165" s="78" t="e">
        <f t="shared" si="15"/>
        <v>#VALUE!</v>
      </c>
      <c r="L165" s="84">
        <v>5500</v>
      </c>
    </row>
    <row r="166" spans="2:12" x14ac:dyDescent="0.25">
      <c r="B166" s="81" t="s">
        <v>106</v>
      </c>
      <c r="C166" s="82">
        <f>(C155*3.7)+(C159*2)</f>
        <v>12</v>
      </c>
      <c r="D166" s="85" t="s">
        <v>107</v>
      </c>
      <c r="E166" s="78">
        <f t="shared" si="14"/>
        <v>5400000</v>
      </c>
      <c r="F166" s="117">
        <f>'A5'!$T$2</f>
        <v>450000</v>
      </c>
      <c r="H166" s="81" t="s">
        <v>106</v>
      </c>
      <c r="I166" s="82">
        <f>(I155*8.2)+(I159*2)</f>
        <v>12</v>
      </c>
      <c r="J166" s="85" t="s">
        <v>107</v>
      </c>
      <c r="K166" s="78">
        <f t="shared" si="15"/>
        <v>5400000</v>
      </c>
      <c r="L166" s="117">
        <f>'A5'!$T$2</f>
        <v>450000</v>
      </c>
    </row>
    <row r="167" spans="2:12" ht="21" x14ac:dyDescent="0.25">
      <c r="B167" s="120" t="e">
        <f>SUM(E159:E165)</f>
        <v>#VALUE!</v>
      </c>
      <c r="C167" s="591" t="e">
        <f>SUM(E155:E166)</f>
        <v>#VALUE!</v>
      </c>
      <c r="D167" s="592"/>
      <c r="E167" s="592"/>
      <c r="F167" s="130">
        <f>E166</f>
        <v>5400000</v>
      </c>
      <c r="H167" s="81"/>
      <c r="I167" s="591" t="e">
        <f>SUM(K155:K166)</f>
        <v>#VALUE!</v>
      </c>
      <c r="J167" s="592"/>
      <c r="K167" s="592"/>
      <c r="L167" s="78"/>
    </row>
    <row r="168" spans="2:12" x14ac:dyDescent="0.25">
      <c r="B168" s="74"/>
      <c r="C168" s="74"/>
      <c r="D168" s="74"/>
      <c r="E168" s="74"/>
      <c r="F168" s="74"/>
    </row>
    <row r="169" spans="2:12" ht="21" x14ac:dyDescent="0.25">
      <c r="B169" s="92" t="s">
        <v>137</v>
      </c>
      <c r="C169" s="600" t="s">
        <v>175</v>
      </c>
      <c r="D169" s="600"/>
      <c r="E169" s="600"/>
      <c r="F169" s="96"/>
    </row>
    <row r="170" spans="2:12" x14ac:dyDescent="0.25">
      <c r="B170" s="230" t="s">
        <v>128</v>
      </c>
      <c r="C170" s="79" t="s">
        <v>4</v>
      </c>
      <c r="D170" s="79" t="s">
        <v>15</v>
      </c>
      <c r="E170" s="80" t="s">
        <v>16</v>
      </c>
      <c r="F170" s="78"/>
    </row>
    <row r="171" spans="2:12" x14ac:dyDescent="0.25">
      <c r="B171" s="81" t="s">
        <v>130</v>
      </c>
      <c r="C171" s="82" t="e">
        <f>3*('5'!$E$5+'5'!$D$5)</f>
        <v>#VALUE!</v>
      </c>
      <c r="D171" s="85" t="s">
        <v>40</v>
      </c>
      <c r="E171" s="78" t="e">
        <f>F171*C171</f>
        <v>#VALUE!</v>
      </c>
      <c r="F171" s="88">
        <f>'5'!E9*4.2</f>
        <v>9240000</v>
      </c>
    </row>
    <row r="172" spans="2:12" x14ac:dyDescent="0.25">
      <c r="B172" s="81" t="s">
        <v>131</v>
      </c>
      <c r="C172" s="89">
        <f>'5'!D9</f>
        <v>0</v>
      </c>
      <c r="D172" s="85" t="s">
        <v>40</v>
      </c>
      <c r="E172" s="78">
        <f>F172*C172</f>
        <v>0</v>
      </c>
      <c r="F172" s="88">
        <f>F171</f>
        <v>9240000</v>
      </c>
    </row>
    <row r="173" spans="2:12" x14ac:dyDescent="0.25">
      <c r="B173" s="81" t="s">
        <v>106</v>
      </c>
      <c r="C173" s="82" t="e">
        <f>(C171*4.2)+(C172*4.2)</f>
        <v>#VALUE!</v>
      </c>
      <c r="D173" s="85" t="s">
        <v>107</v>
      </c>
      <c r="E173" s="78" t="e">
        <f>F173*C173</f>
        <v>#VALUE!</v>
      </c>
      <c r="F173" s="117">
        <f>'A5'!$T$2</f>
        <v>450000</v>
      </c>
    </row>
    <row r="174" spans="2:12" x14ac:dyDescent="0.25">
      <c r="B174" s="81" t="s">
        <v>129</v>
      </c>
      <c r="C174" s="90" t="e">
        <f>('5'!$E$5+'5'!$D$5)*1</f>
        <v>#VALUE!</v>
      </c>
      <c r="D174" s="85" t="s">
        <v>40</v>
      </c>
      <c r="E174" s="78" t="e">
        <f>F174*C174</f>
        <v>#VALUE!</v>
      </c>
      <c r="F174" s="117">
        <v>1600000</v>
      </c>
    </row>
    <row r="175" spans="2:12" x14ac:dyDescent="0.25">
      <c r="B175" s="81" t="s">
        <v>112</v>
      </c>
      <c r="C175" s="82" t="e">
        <f>C174*6.2</f>
        <v>#VALUE!</v>
      </c>
      <c r="D175" s="85" t="s">
        <v>107</v>
      </c>
      <c r="E175" s="78" t="e">
        <f t="shared" ref="E175:E177" si="16">F175*C175</f>
        <v>#VALUE!</v>
      </c>
      <c r="F175" s="117">
        <v>75000</v>
      </c>
    </row>
    <row r="176" spans="2:12" x14ac:dyDescent="0.25">
      <c r="B176" s="81" t="s">
        <v>132</v>
      </c>
      <c r="C176" s="82" t="e">
        <f>('5'!$E$5+'5'!$D$5)*2</f>
        <v>#VALUE!</v>
      </c>
      <c r="D176" s="85" t="s">
        <v>18</v>
      </c>
      <c r="E176" s="78" t="e">
        <f t="shared" si="16"/>
        <v>#VALUE!</v>
      </c>
      <c r="F176" s="117">
        <v>1600000</v>
      </c>
    </row>
    <row r="177" spans="2:6" x14ac:dyDescent="0.25">
      <c r="B177" s="81" t="s">
        <v>133</v>
      </c>
      <c r="C177" s="82" t="e">
        <f>C176*8</f>
        <v>#VALUE!</v>
      </c>
      <c r="D177" s="85" t="s">
        <v>18</v>
      </c>
      <c r="E177" s="78" t="e">
        <f t="shared" si="16"/>
        <v>#VALUE!</v>
      </c>
      <c r="F177" s="117">
        <v>25000</v>
      </c>
    </row>
    <row r="178" spans="2:6" ht="21" x14ac:dyDescent="0.25">
      <c r="B178" s="120" t="e">
        <f>SUM(E174,E175:E177)</f>
        <v>#VALUE!</v>
      </c>
      <c r="C178" s="591" t="e">
        <f>SUM(E171:E177)</f>
        <v>#VALUE!</v>
      </c>
      <c r="D178" s="592"/>
      <c r="E178" s="592"/>
      <c r="F178" s="130" t="e">
        <f>SUM(E173)</f>
        <v>#VALUE!</v>
      </c>
    </row>
    <row r="179" spans="2:6" x14ac:dyDescent="0.25">
      <c r="B179" s="74"/>
      <c r="C179" s="74"/>
      <c r="D179" s="74"/>
      <c r="E179" s="74"/>
      <c r="F179" s="74"/>
    </row>
    <row r="180" spans="2:6" ht="21" x14ac:dyDescent="0.25">
      <c r="B180" s="92" t="s">
        <v>137</v>
      </c>
      <c r="C180" s="600" t="s">
        <v>176</v>
      </c>
      <c r="D180" s="600"/>
      <c r="E180" s="600"/>
      <c r="F180" s="97"/>
    </row>
    <row r="181" spans="2:6" x14ac:dyDescent="0.25">
      <c r="B181" s="230" t="s">
        <v>128</v>
      </c>
      <c r="C181" s="79" t="s">
        <v>4</v>
      </c>
      <c r="D181" s="79" t="s">
        <v>15</v>
      </c>
      <c r="E181" s="80" t="s">
        <v>16</v>
      </c>
      <c r="F181" s="78"/>
    </row>
    <row r="182" spans="2:6" x14ac:dyDescent="0.25">
      <c r="B182" s="81" t="s">
        <v>130</v>
      </c>
      <c r="C182" s="82" t="e">
        <f>(2.5*('5'!$E$5+'5'!$D$5))+(3.5*('5'!$E$5+'5'!$D$5))+(IF(AND('5'!$D$9&gt;4,'5'!$D$9&lt;=8),1,IF(AND('5'!$D$9&gt;8,'5'!$D$9&lt;=10),2,0)))*2*2.5</f>
        <v>#VALUE!</v>
      </c>
      <c r="D182" s="85" t="s">
        <v>40</v>
      </c>
      <c r="E182" s="78" t="e">
        <f>F182*C182</f>
        <v>#VALUE!</v>
      </c>
      <c r="F182" s="88">
        <f>F171</f>
        <v>9240000</v>
      </c>
    </row>
    <row r="183" spans="2:6" x14ac:dyDescent="0.25">
      <c r="B183" s="81" t="s">
        <v>131</v>
      </c>
      <c r="C183" s="82">
        <f>('5'!$D$8*2)+('5'!$D$9)</f>
        <v>0</v>
      </c>
      <c r="D183" s="85" t="s">
        <v>40</v>
      </c>
      <c r="E183" s="78">
        <f>F183*C183</f>
        <v>0</v>
      </c>
      <c r="F183" s="88">
        <f>F171</f>
        <v>9240000</v>
      </c>
    </row>
    <row r="184" spans="2:6" x14ac:dyDescent="0.25">
      <c r="B184" s="81" t="s">
        <v>106</v>
      </c>
      <c r="C184" s="82" t="e">
        <f>(C182*4.1)+(C183*4.1)</f>
        <v>#VALUE!</v>
      </c>
      <c r="D184" s="85" t="s">
        <v>107</v>
      </c>
      <c r="E184" s="78" t="e">
        <f>F184*C184</f>
        <v>#VALUE!</v>
      </c>
      <c r="F184" s="117">
        <f>'A5'!$T$2</f>
        <v>450000</v>
      </c>
    </row>
    <row r="185" spans="2:6" x14ac:dyDescent="0.25">
      <c r="B185" s="81" t="s">
        <v>129</v>
      </c>
      <c r="C185" s="82" t="e">
        <f>(0.5*('5'!$E$5+'5'!$D$5))+(0.5*('5'!$E$5+'5'!$D$5))+(IF(AND('5'!$D$9&gt;4,'5'!$D$9&lt;=8),1,IF(AND('5'!$D$9&gt;8,'5'!$D$9&lt;=10),2,0)))*2*0.5</f>
        <v>#VALUE!</v>
      </c>
      <c r="D185" s="85" t="s">
        <v>40</v>
      </c>
      <c r="E185" s="78" t="e">
        <f>F185*C185</f>
        <v>#VALUE!</v>
      </c>
      <c r="F185" s="117">
        <v>1600000</v>
      </c>
    </row>
    <row r="186" spans="2:6" x14ac:dyDescent="0.25">
      <c r="B186" s="81" t="s">
        <v>112</v>
      </c>
      <c r="C186" s="82" t="e">
        <f>C185*6.2</f>
        <v>#VALUE!</v>
      </c>
      <c r="D186" s="85" t="s">
        <v>107</v>
      </c>
      <c r="E186" s="78" t="e">
        <f t="shared" ref="E186:E188" si="17">F186*C186</f>
        <v>#VALUE!</v>
      </c>
      <c r="F186" s="117">
        <v>60000</v>
      </c>
    </row>
    <row r="187" spans="2:6" x14ac:dyDescent="0.25">
      <c r="B187" s="81" t="s">
        <v>132</v>
      </c>
      <c r="C187" s="82" t="e">
        <f>('5'!$E$5+'5'!$D$5)*3</f>
        <v>#VALUE!</v>
      </c>
      <c r="D187" s="85" t="s">
        <v>18</v>
      </c>
      <c r="E187" s="78" t="e">
        <f t="shared" si="17"/>
        <v>#VALUE!</v>
      </c>
      <c r="F187" s="117">
        <v>1600000</v>
      </c>
    </row>
    <row r="188" spans="2:6" x14ac:dyDescent="0.25">
      <c r="B188" s="81" t="s">
        <v>133</v>
      </c>
      <c r="C188" s="82" t="e">
        <f>C187*8</f>
        <v>#VALUE!</v>
      </c>
      <c r="D188" s="85" t="s">
        <v>18</v>
      </c>
      <c r="E188" s="78" t="e">
        <f t="shared" si="17"/>
        <v>#VALUE!</v>
      </c>
      <c r="F188" s="117">
        <v>25000</v>
      </c>
    </row>
    <row r="189" spans="2:6" ht="21" x14ac:dyDescent="0.25">
      <c r="B189" s="120" t="e">
        <f>SUM(E185,E186:E188)</f>
        <v>#VALUE!</v>
      </c>
      <c r="C189" s="591" t="e">
        <f>SUM(E182:E188)</f>
        <v>#VALUE!</v>
      </c>
      <c r="D189" s="592"/>
      <c r="E189" s="592"/>
      <c r="F189" s="130" t="e">
        <f>SUM(E184)</f>
        <v>#VALUE!</v>
      </c>
    </row>
    <row r="190" spans="2:6" x14ac:dyDescent="0.25">
      <c r="B190" s="74"/>
      <c r="C190" s="74"/>
      <c r="D190" s="74"/>
      <c r="E190" s="74"/>
      <c r="F190" s="74"/>
    </row>
    <row r="191" spans="2:6" x14ac:dyDescent="0.25">
      <c r="B191" s="81"/>
      <c r="C191" s="599" t="s">
        <v>113</v>
      </c>
      <c r="D191" s="599"/>
      <c r="E191" s="599"/>
      <c r="F191" s="82"/>
    </row>
    <row r="192" spans="2:6" x14ac:dyDescent="0.25">
      <c r="B192" s="229" t="s">
        <v>178</v>
      </c>
      <c r="C192" s="79" t="s">
        <v>4</v>
      </c>
      <c r="D192" s="79" t="s">
        <v>15</v>
      </c>
      <c r="E192" s="80" t="s">
        <v>16</v>
      </c>
      <c r="F192" s="78"/>
    </row>
    <row r="193" spans="2:6" x14ac:dyDescent="0.25">
      <c r="B193" s="81" t="s">
        <v>177</v>
      </c>
      <c r="C193" s="82">
        <v>2.5</v>
      </c>
      <c r="D193" s="85" t="s">
        <v>40</v>
      </c>
      <c r="E193" s="78">
        <f>F193*C193</f>
        <v>3750000</v>
      </c>
      <c r="F193" s="117">
        <v>1500000</v>
      </c>
    </row>
    <row r="194" spans="2:6" x14ac:dyDescent="0.25">
      <c r="B194" s="81" t="s">
        <v>115</v>
      </c>
      <c r="C194" s="82">
        <v>2.5</v>
      </c>
      <c r="D194" s="85" t="s">
        <v>40</v>
      </c>
      <c r="E194" s="78">
        <f t="shared" ref="E194:E195" si="18">F194*C194</f>
        <v>7500000</v>
      </c>
      <c r="F194" s="117">
        <v>3000000</v>
      </c>
    </row>
    <row r="195" spans="2:6" x14ac:dyDescent="0.25">
      <c r="B195" s="81" t="s">
        <v>106</v>
      </c>
      <c r="C195" s="82">
        <v>20</v>
      </c>
      <c r="D195" s="85" t="s">
        <v>107</v>
      </c>
      <c r="E195" s="78">
        <f t="shared" si="18"/>
        <v>9000000</v>
      </c>
      <c r="F195" s="117">
        <f>'A5'!$T$2</f>
        <v>450000</v>
      </c>
    </row>
    <row r="196" spans="2:6" ht="21" x14ac:dyDescent="0.25">
      <c r="B196" s="120">
        <f>SUM(E193:E194)</f>
        <v>11250000</v>
      </c>
      <c r="C196" s="591">
        <f>SUM(E193:E195)</f>
        <v>20250000</v>
      </c>
      <c r="D196" s="592"/>
      <c r="E196" s="592"/>
      <c r="F196" s="130">
        <f>SUM(E195)</f>
        <v>9000000</v>
      </c>
    </row>
    <row r="197" spans="2:6" x14ac:dyDescent="0.25">
      <c r="B197" s="74"/>
      <c r="C197" s="74"/>
      <c r="D197" s="74"/>
      <c r="E197" s="74"/>
      <c r="F197" s="74"/>
    </row>
  </sheetData>
  <sheetProtection formatCells="0" formatColumns="0" formatRows="0" insertColumns="0" insertRows="0" insertHyperlinks="0" deleteColumns="0" deleteRows="0" sort="0" autoFilter="0" pivotTables="0"/>
  <mergeCells count="37">
    <mergeCell ref="C196:E196"/>
    <mergeCell ref="C137:E137"/>
    <mergeCell ref="C151:E151"/>
    <mergeCell ref="C153:E153"/>
    <mergeCell ref="I153:K153"/>
    <mergeCell ref="C167:E167"/>
    <mergeCell ref="I167:K167"/>
    <mergeCell ref="C169:E169"/>
    <mergeCell ref="C178:E178"/>
    <mergeCell ref="C180:E180"/>
    <mergeCell ref="C189:E189"/>
    <mergeCell ref="C191:E191"/>
    <mergeCell ref="C135:E135"/>
    <mergeCell ref="I135:K135"/>
    <mergeCell ref="C69:E69"/>
    <mergeCell ref="C79:E79"/>
    <mergeCell ref="C81:E81"/>
    <mergeCell ref="C89:E89"/>
    <mergeCell ref="C97:E97"/>
    <mergeCell ref="C99:E99"/>
    <mergeCell ref="I99:K99"/>
    <mergeCell ref="C118:E118"/>
    <mergeCell ref="I118:K118"/>
    <mergeCell ref="C120:E120"/>
    <mergeCell ref="I120:K120"/>
    <mergeCell ref="C35:E35"/>
    <mergeCell ref="C53:E53"/>
    <mergeCell ref="C55:E55"/>
    <mergeCell ref="I55:K55"/>
    <mergeCell ref="C67:E67"/>
    <mergeCell ref="I67:K67"/>
    <mergeCell ref="C33:E33"/>
    <mergeCell ref="C3:E3"/>
    <mergeCell ref="I3:K3"/>
    <mergeCell ref="C13:E13"/>
    <mergeCell ref="I13:K13"/>
    <mergeCell ref="C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115"/>
  <sheetViews>
    <sheetView rightToLeft="1" topLeftCell="E22" workbookViewId="0">
      <selection activeCell="S26" sqref="S26:T26"/>
    </sheetView>
  </sheetViews>
  <sheetFormatPr defaultRowHeight="15" x14ac:dyDescent="0.25"/>
  <cols>
    <col min="1" max="1" width="4.7109375" style="33" customWidth="1"/>
    <col min="2" max="2" width="25.7109375" style="34" customWidth="1"/>
    <col min="3" max="16" width="10.5703125" style="34" customWidth="1"/>
    <col min="17" max="17" width="13.7109375" style="35" customWidth="1"/>
    <col min="18" max="18" width="5.7109375" style="35" customWidth="1"/>
    <col min="19" max="19" width="13.7109375" style="36" customWidth="1"/>
    <col min="20" max="20" width="13.7109375" style="40" customWidth="1"/>
    <col min="21" max="21" width="2.7109375" style="38" customWidth="1"/>
    <col min="22" max="22" width="25.7109375" style="39" customWidth="1"/>
    <col min="23" max="23" width="13.7109375" style="33" customWidth="1"/>
    <col min="24" max="24" width="5.7109375" style="33" customWidth="1"/>
    <col min="25" max="25" width="13.7109375" style="40" customWidth="1"/>
    <col min="26" max="26" width="13.7109375" style="33" customWidth="1"/>
    <col min="27" max="27" width="10.85546875" style="41" bestFit="1" customWidth="1"/>
  </cols>
  <sheetData>
    <row r="1" spans="1:23" x14ac:dyDescent="0.25">
      <c r="T1" s="37" t="s">
        <v>14</v>
      </c>
    </row>
    <row r="2" spans="1:23" ht="29.45" customHeight="1" x14ac:dyDescent="0.25">
      <c r="A2" s="42"/>
      <c r="B2" s="43" t="s">
        <v>2</v>
      </c>
      <c r="C2" s="72" t="s">
        <v>193</v>
      </c>
      <c r="D2" s="72" t="s">
        <v>194</v>
      </c>
      <c r="E2" s="72" t="s">
        <v>195</v>
      </c>
      <c r="F2" s="72" t="s">
        <v>197</v>
      </c>
      <c r="G2" s="72" t="s">
        <v>199</v>
      </c>
      <c r="H2" s="72" t="s">
        <v>196</v>
      </c>
      <c r="I2" s="137" t="s">
        <v>200</v>
      </c>
      <c r="J2" s="137" t="s">
        <v>217</v>
      </c>
      <c r="K2" s="137" t="s">
        <v>218</v>
      </c>
      <c r="L2" s="137" t="s">
        <v>219</v>
      </c>
      <c r="M2" s="137" t="s">
        <v>220</v>
      </c>
      <c r="N2" s="137" t="s">
        <v>221</v>
      </c>
      <c r="O2" s="137" t="s">
        <v>222</v>
      </c>
      <c r="P2" s="137"/>
      <c r="Q2" s="44">
        <f>SALE!D8*SALE!D9*SALE!D10</f>
        <v>0</v>
      </c>
      <c r="R2" s="44"/>
      <c r="S2" s="227" t="s">
        <v>198</v>
      </c>
      <c r="T2" s="164">
        <f>SALE!E17</f>
        <v>250000</v>
      </c>
      <c r="V2" s="113" t="e">
        <f>W2/Q2</f>
        <v>#DIV/0!</v>
      </c>
      <c r="W2" s="112">
        <f>SUM(W3:W24)</f>
        <v>0</v>
      </c>
    </row>
    <row r="3" spans="1:23" x14ac:dyDescent="0.25">
      <c r="A3" s="46">
        <v>1</v>
      </c>
      <c r="B3" s="47" t="s">
        <v>156</v>
      </c>
      <c r="C3" s="138"/>
      <c r="D3" s="47"/>
      <c r="E3" s="138"/>
      <c r="F3" s="138">
        <f>SUM('DDD1'!K5:K11)</f>
        <v>2642000</v>
      </c>
      <c r="G3" s="47"/>
      <c r="H3" s="47"/>
      <c r="I3" s="138">
        <f>SUM('DDD1'!K12)</f>
        <v>625000</v>
      </c>
      <c r="J3" s="138"/>
      <c r="K3" s="138"/>
      <c r="L3" s="138"/>
      <c r="M3" s="138"/>
      <c r="N3" s="138"/>
      <c r="O3" s="138"/>
      <c r="P3" s="140">
        <f>SUM(C3:O3)</f>
        <v>3267000</v>
      </c>
      <c r="Q3" s="225">
        <f>'DDD1'!I13</f>
        <v>3267000</v>
      </c>
      <c r="R3" s="49">
        <f>(IF(SALE!D13="VIP",(SALE!D5+SALE!E5),0))*SALE!D10</f>
        <v>0</v>
      </c>
      <c r="S3" s="225">
        <f>R3*Q3</f>
        <v>0</v>
      </c>
      <c r="T3" s="584" t="s">
        <v>151</v>
      </c>
    </row>
    <row r="4" spans="1:23" x14ac:dyDescent="0.25">
      <c r="A4" s="46">
        <f t="shared" ref="A4:A21" si="0">A3+1</f>
        <v>2</v>
      </c>
      <c r="B4" s="47" t="s">
        <v>205</v>
      </c>
      <c r="C4" s="138"/>
      <c r="D4" s="47"/>
      <c r="E4" s="138"/>
      <c r="F4" s="138">
        <f>SUM('DDD1'!E5:E11)</f>
        <v>2192000</v>
      </c>
      <c r="G4" s="47"/>
      <c r="H4" s="47"/>
      <c r="I4" s="138">
        <f>SUM('DDD1'!E12)</f>
        <v>450000</v>
      </c>
      <c r="J4" s="138"/>
      <c r="K4" s="138"/>
      <c r="L4" s="138"/>
      <c r="M4" s="138"/>
      <c r="N4" s="138"/>
      <c r="O4" s="138"/>
      <c r="P4" s="140">
        <f t="shared" ref="P4:P6" si="1">SUM(C4:O4)</f>
        <v>2642000</v>
      </c>
      <c r="Q4" s="225">
        <f>'DDD1'!C13</f>
        <v>2642000</v>
      </c>
      <c r="R4" s="49">
        <f>(IF(SALE!D13="REGULAR",(SALE!D5+SALE!E5),0))*SALE!D10</f>
        <v>0</v>
      </c>
      <c r="S4" s="225">
        <f>R4*Q4</f>
        <v>0</v>
      </c>
      <c r="T4" s="585"/>
    </row>
    <row r="5" spans="1:23" x14ac:dyDescent="0.25">
      <c r="A5" s="46">
        <f t="shared" si="0"/>
        <v>3</v>
      </c>
      <c r="B5" s="47" t="s">
        <v>5</v>
      </c>
      <c r="C5" s="47"/>
      <c r="D5" s="47"/>
      <c r="E5" s="47"/>
      <c r="F5" s="138">
        <f>SUM('DDD1'!C33)</f>
        <v>2405000</v>
      </c>
      <c r="G5" s="47"/>
      <c r="H5" s="47"/>
      <c r="I5" s="47"/>
      <c r="J5" s="47"/>
      <c r="K5" s="47"/>
      <c r="L5" s="47"/>
      <c r="M5" s="47"/>
      <c r="N5" s="47"/>
      <c r="O5" s="47"/>
      <c r="P5" s="140">
        <f t="shared" si="1"/>
        <v>2405000</v>
      </c>
      <c r="Q5" s="225">
        <f>'DDD1'!C33</f>
        <v>2405000</v>
      </c>
      <c r="R5" s="50">
        <f>(SALE!D5*SALE!D10)</f>
        <v>0</v>
      </c>
      <c r="S5" s="225">
        <f>R5*Q5</f>
        <v>0</v>
      </c>
      <c r="T5" s="585"/>
    </row>
    <row r="6" spans="1:23" x14ac:dyDescent="0.25">
      <c r="A6" s="51">
        <f t="shared" si="0"/>
        <v>4</v>
      </c>
      <c r="B6" s="52" t="s">
        <v>6</v>
      </c>
      <c r="C6" s="52"/>
      <c r="D6" s="52"/>
      <c r="E6" s="52"/>
      <c r="F6" s="139">
        <f>SUM('DDD1'!C53)</f>
        <v>2845000</v>
      </c>
      <c r="G6" s="52"/>
      <c r="H6" s="52"/>
      <c r="I6" s="52"/>
      <c r="J6" s="52"/>
      <c r="K6" s="52"/>
      <c r="L6" s="52"/>
      <c r="M6" s="52"/>
      <c r="N6" s="52"/>
      <c r="O6" s="52"/>
      <c r="P6" s="140">
        <f t="shared" si="1"/>
        <v>2845000</v>
      </c>
      <c r="Q6" s="226">
        <f>'DDD1'!C53</f>
        <v>2845000</v>
      </c>
      <c r="R6" s="54">
        <f>SALE!E5*SALE!D10</f>
        <v>0</v>
      </c>
      <c r="S6" s="226">
        <f>R6*Q6</f>
        <v>0</v>
      </c>
      <c r="T6" s="586"/>
    </row>
    <row r="7" spans="1:23" x14ac:dyDescent="0.25">
      <c r="A7" s="55">
        <f t="shared" si="0"/>
        <v>5</v>
      </c>
      <c r="B7" s="56" t="s">
        <v>134</v>
      </c>
      <c r="C7" s="141">
        <f>'DDD1'!K57</f>
        <v>184920000</v>
      </c>
      <c r="D7" s="56"/>
      <c r="E7" s="141">
        <f>SUM('DDD1'!K60:K65)</f>
        <v>18276666.666666668</v>
      </c>
      <c r="F7" s="56"/>
      <c r="G7" s="56"/>
      <c r="H7" s="141">
        <f>'DDD1'!K58</f>
        <v>38464000</v>
      </c>
      <c r="I7" s="141">
        <f>SUM('DDD1'!K66)</f>
        <v>38525000</v>
      </c>
      <c r="J7" s="141"/>
      <c r="K7" s="141"/>
      <c r="L7" s="141"/>
      <c r="M7" s="141"/>
      <c r="N7" s="141">
        <f>'DDD1'!K59</f>
        <v>3105000</v>
      </c>
      <c r="O7" s="141"/>
      <c r="P7" s="143">
        <f>SUM(C7:O7)</f>
        <v>283290666.66666663</v>
      </c>
      <c r="Q7" s="228">
        <f>'DDD1'!I67</f>
        <v>283290666.66666663</v>
      </c>
      <c r="R7" s="58">
        <f>(IF(SALE!$D$17="VIP",(SALE!$D$10),0))</f>
        <v>0</v>
      </c>
      <c r="S7" s="228">
        <f>Q7*R7</f>
        <v>0</v>
      </c>
      <c r="T7" s="587" t="s">
        <v>148</v>
      </c>
    </row>
    <row r="8" spans="1:23" x14ac:dyDescent="0.25">
      <c r="A8" s="59">
        <f t="shared" si="0"/>
        <v>6</v>
      </c>
      <c r="B8" s="60" t="s">
        <v>135</v>
      </c>
      <c r="C8" s="142">
        <f>'DDD1'!E57</f>
        <v>129720000</v>
      </c>
      <c r="D8" s="60"/>
      <c r="E8" s="142">
        <f>SUM('DDD1'!E60:E65)</f>
        <v>18276666.666666668</v>
      </c>
      <c r="F8" s="60"/>
      <c r="G8" s="60"/>
      <c r="H8" s="142">
        <f>'DDD1'!E58</f>
        <v>38464000</v>
      </c>
      <c r="I8" s="142">
        <f>SUM('DDD1'!E66)</f>
        <v>27025000.000000004</v>
      </c>
      <c r="J8" s="141"/>
      <c r="K8" s="141"/>
      <c r="L8" s="141"/>
      <c r="M8" s="141"/>
      <c r="N8" s="141">
        <f>'DDD1'!E59</f>
        <v>3105000</v>
      </c>
      <c r="O8" s="141"/>
      <c r="P8" s="143">
        <f>SUM(C8:O8)</f>
        <v>216590666.66666666</v>
      </c>
      <c r="Q8" s="227">
        <f>'DDD1'!C67</f>
        <v>216590666.66666666</v>
      </c>
      <c r="R8" s="44">
        <f>(IF(SALE!$D$13="REGULAR",(SALE!$D$10),0))</f>
        <v>0</v>
      </c>
      <c r="S8" s="227">
        <f>Q8*R8</f>
        <v>0</v>
      </c>
      <c r="T8" s="582"/>
    </row>
    <row r="9" spans="1:23" x14ac:dyDescent="0.25">
      <c r="A9" s="46">
        <f t="shared" si="0"/>
        <v>7</v>
      </c>
      <c r="B9" s="47" t="s">
        <v>49</v>
      </c>
      <c r="C9" s="47"/>
      <c r="D9" s="47"/>
      <c r="E9" s="138"/>
      <c r="F9" s="47"/>
      <c r="G9" s="47"/>
      <c r="H9" s="47"/>
      <c r="I9" s="138">
        <f>SUM('DDD1'!E86)</f>
        <v>875000</v>
      </c>
      <c r="J9" s="47"/>
      <c r="K9" s="138">
        <f>SUM('DDD1'!E83:E85,'DDD1'!E87:E88)</f>
        <v>3460000</v>
      </c>
      <c r="L9" s="47"/>
      <c r="M9" s="47"/>
      <c r="N9" s="47"/>
      <c r="O9" s="47"/>
      <c r="P9" s="140">
        <f t="shared" ref="P9:P11" si="2">SUM(C9:O9)</f>
        <v>4335000</v>
      </c>
      <c r="Q9" s="225">
        <f>'DDD1'!C89</f>
        <v>4335000</v>
      </c>
      <c r="R9" s="49">
        <f>(IF(AND(SALE!D8&gt;6,SALE!D8&lt;=8),1,IF(AND(SALE!D8&gt;8,SALE!D8&lt;=10),2,0)))*(SALE!D5+SALE!E5)*SALE!D10</f>
        <v>0</v>
      </c>
      <c r="S9" s="225">
        <f>R9*Q9</f>
        <v>0</v>
      </c>
      <c r="T9" s="584" t="s">
        <v>184</v>
      </c>
    </row>
    <row r="10" spans="1:23" x14ac:dyDescent="0.25">
      <c r="A10" s="46">
        <f t="shared" si="0"/>
        <v>8</v>
      </c>
      <c r="B10" s="47" t="s">
        <v>122</v>
      </c>
      <c r="C10" s="138">
        <f>SUM('DDD1'!E71)</f>
        <v>10800000</v>
      </c>
      <c r="D10" s="47"/>
      <c r="E10" s="138">
        <f>SUM('DDD1'!E75:E78)</f>
        <v>164000</v>
      </c>
      <c r="F10" s="47"/>
      <c r="G10" s="47"/>
      <c r="H10" s="47"/>
      <c r="I10" s="138">
        <f>SUM('DDD1'!E74)</f>
        <v>2250000</v>
      </c>
      <c r="J10" s="138"/>
      <c r="K10" s="138">
        <f>SUM('DDD1'!E72:E73)</f>
        <v>700000</v>
      </c>
      <c r="L10" s="138"/>
      <c r="M10" s="138"/>
      <c r="N10" s="138"/>
      <c r="O10" s="138"/>
      <c r="P10" s="140">
        <f t="shared" si="2"/>
        <v>13914000</v>
      </c>
      <c r="Q10" s="225">
        <f>'DDD1'!C79</f>
        <v>13914000</v>
      </c>
      <c r="R10" s="49">
        <f>(IF(AND(SALE!D8&lt;=6),1,IF(AND(SALE!D8&gt;6,SALE!D8&lt;=8),2,IF(AND(SALE!D8&gt;8,SALE!D8&lt;=10),3,0))))*(SALE!D5+SALE!E5-1)*SALE!D10</f>
        <v>0</v>
      </c>
      <c r="S10" s="225">
        <f>R10*Q10</f>
        <v>0</v>
      </c>
      <c r="T10" s="585"/>
      <c r="W10" s="39"/>
    </row>
    <row r="11" spans="1:23" x14ac:dyDescent="0.25">
      <c r="A11" s="51">
        <f t="shared" si="0"/>
        <v>9</v>
      </c>
      <c r="B11" s="52" t="s">
        <v>56</v>
      </c>
      <c r="C11" s="52"/>
      <c r="D11" s="52"/>
      <c r="E11" s="139"/>
      <c r="F11" s="52"/>
      <c r="G11" s="52"/>
      <c r="H11" s="52"/>
      <c r="I11" s="52"/>
      <c r="J11" s="138">
        <f>SUM('DDD1'!C97)</f>
        <v>3546500</v>
      </c>
      <c r="K11" s="47"/>
      <c r="L11" s="47"/>
      <c r="M11" s="47"/>
      <c r="N11" s="47"/>
      <c r="O11" s="47"/>
      <c r="P11" s="140">
        <f t="shared" si="2"/>
        <v>3546500</v>
      </c>
      <c r="Q11" s="226">
        <f>'DDD1'!C97</f>
        <v>3546500</v>
      </c>
      <c r="R11" s="54">
        <f>(SALE!D10)</f>
        <v>0</v>
      </c>
      <c r="S11" s="226">
        <f>R11*Q11</f>
        <v>0</v>
      </c>
      <c r="T11" s="586"/>
      <c r="V11" s="33"/>
    </row>
    <row r="12" spans="1:23" x14ac:dyDescent="0.25">
      <c r="A12" s="55">
        <f t="shared" si="0"/>
        <v>10</v>
      </c>
      <c r="B12" s="56" t="s">
        <v>140</v>
      </c>
      <c r="C12" s="56"/>
      <c r="D12" s="56"/>
      <c r="E12" s="141">
        <f>SUM('DDD1'!K107:K117)</f>
        <v>4927000</v>
      </c>
      <c r="F12" s="56"/>
      <c r="G12" s="141">
        <f>SUM('DDD1'!K101)</f>
        <v>60000000</v>
      </c>
      <c r="H12" s="56"/>
      <c r="I12" s="56"/>
      <c r="J12" s="141">
        <f>SUM('DDD1'!K102:K106)</f>
        <v>1660000</v>
      </c>
      <c r="K12" s="56"/>
      <c r="L12" s="56"/>
      <c r="M12" s="56"/>
      <c r="N12" s="56"/>
      <c r="O12" s="56"/>
      <c r="P12" s="143">
        <f>SUM(C12:O12)</f>
        <v>66587000</v>
      </c>
      <c r="Q12" s="228">
        <f>'DDD1'!I118</f>
        <v>66587000</v>
      </c>
      <c r="R12" s="58">
        <f>(IF(SALE!$D$17="VIP",(SALE!$D$10),0))</f>
        <v>0</v>
      </c>
      <c r="S12" s="228">
        <f>Q12*R12</f>
        <v>0</v>
      </c>
      <c r="T12" s="587" t="s">
        <v>149</v>
      </c>
      <c r="V12" s="33"/>
    </row>
    <row r="13" spans="1:23" ht="24" x14ac:dyDescent="0.25">
      <c r="A13" s="59">
        <f t="shared" si="0"/>
        <v>11</v>
      </c>
      <c r="B13" s="60" t="s">
        <v>141</v>
      </c>
      <c r="C13" s="60"/>
      <c r="D13" s="60"/>
      <c r="E13" s="142">
        <f>SUM('DDD1'!E107:E117)</f>
        <v>4327000</v>
      </c>
      <c r="F13" s="60"/>
      <c r="G13" s="142">
        <f>SUM('DDD1'!E101)</f>
        <v>19000000</v>
      </c>
      <c r="H13" s="60"/>
      <c r="I13" s="60"/>
      <c r="J13" s="141">
        <f>SUM('DDD1'!E102:E106)</f>
        <v>1660000</v>
      </c>
      <c r="K13" s="56"/>
      <c r="L13" s="56"/>
      <c r="M13" s="56"/>
      <c r="N13" s="56"/>
      <c r="O13" s="56"/>
      <c r="P13" s="143">
        <f>SUM(C13:O13)</f>
        <v>24987000</v>
      </c>
      <c r="Q13" s="227">
        <f>'DDD1'!C118</f>
        <v>24987000</v>
      </c>
      <c r="R13" s="44">
        <f>(IF(SALE!$D$13="REGULAR",(SALE!$D$10),0))</f>
        <v>0</v>
      </c>
      <c r="S13" s="227">
        <f>Q13*R13</f>
        <v>0</v>
      </c>
      <c r="T13" s="582"/>
      <c r="V13" s="33"/>
    </row>
    <row r="14" spans="1:23" ht="24" x14ac:dyDescent="0.25">
      <c r="A14" s="46">
        <f t="shared" si="0"/>
        <v>12</v>
      </c>
      <c r="B14" s="47" t="s">
        <v>143</v>
      </c>
      <c r="C14" s="138">
        <f>SUM('DDD1'!K123:K124)</f>
        <v>180090000</v>
      </c>
      <c r="D14" s="138">
        <f>SUM('DDD1'!K122)</f>
        <v>138240000</v>
      </c>
      <c r="E14" s="138">
        <f>SUM('DDD1'!K126:K133)</f>
        <v>7407000</v>
      </c>
      <c r="F14" s="47"/>
      <c r="G14" s="47"/>
      <c r="H14" s="47"/>
      <c r="I14" s="138">
        <f>SUM('DDD1'!K134)</f>
        <v>37518750</v>
      </c>
      <c r="J14" s="138"/>
      <c r="K14" s="138"/>
      <c r="L14" s="138">
        <f>'DDD1'!K125</f>
        <v>4762500</v>
      </c>
      <c r="M14" s="138"/>
      <c r="N14" s="138"/>
      <c r="O14" s="138"/>
      <c r="P14" s="140">
        <f t="shared" ref="P14:P18" si="3">SUM(C14:O14)</f>
        <v>368018250</v>
      </c>
      <c r="Q14" s="225">
        <f>'DDD1'!I135</f>
        <v>368018250</v>
      </c>
      <c r="R14" s="49">
        <f>(IF(SALE!$D$17="VIP",(SALE!$D$10),0))</f>
        <v>0</v>
      </c>
      <c r="S14" s="225">
        <f>Q14*R14</f>
        <v>0</v>
      </c>
      <c r="T14" s="588" t="s">
        <v>185</v>
      </c>
      <c r="V14" s="33"/>
    </row>
    <row r="15" spans="1:23" ht="24" x14ac:dyDescent="0.25">
      <c r="A15" s="51">
        <f t="shared" si="0"/>
        <v>13</v>
      </c>
      <c r="B15" s="52" t="s">
        <v>142</v>
      </c>
      <c r="C15" s="139">
        <f>SUM('DDD1'!E123:E124)</f>
        <v>133740000</v>
      </c>
      <c r="D15" s="139">
        <f>SUM('DDD1'!E122)</f>
        <v>138240000</v>
      </c>
      <c r="E15" s="139">
        <f>SUM('DDD1'!E126:E133)</f>
        <v>7407000</v>
      </c>
      <c r="F15" s="52"/>
      <c r="G15" s="52"/>
      <c r="H15" s="52"/>
      <c r="I15" s="139">
        <f>SUM('DDD1'!E134)</f>
        <v>27862499.999999996</v>
      </c>
      <c r="J15" s="138"/>
      <c r="K15" s="138"/>
      <c r="L15" s="138">
        <f>'DDD1'!E125</f>
        <v>4762500</v>
      </c>
      <c r="M15" s="138"/>
      <c r="N15" s="138"/>
      <c r="O15" s="138"/>
      <c r="P15" s="140">
        <f t="shared" si="3"/>
        <v>312012000</v>
      </c>
      <c r="Q15" s="226">
        <f>'DDD1'!C135</f>
        <v>312012000</v>
      </c>
      <c r="R15" s="61">
        <f>(IF(SALE!$D$13="REGULAR",(SALE!$D$10),0))</f>
        <v>0</v>
      </c>
      <c r="S15" s="226">
        <f>Q15*R15</f>
        <v>0</v>
      </c>
      <c r="T15" s="589"/>
      <c r="V15" s="33"/>
    </row>
    <row r="16" spans="1:23" ht="18.75" customHeight="1" x14ac:dyDescent="0.25">
      <c r="A16" s="62">
        <f t="shared" si="0"/>
        <v>14</v>
      </c>
      <c r="B16" s="63" t="s">
        <v>76</v>
      </c>
      <c r="C16" s="63"/>
      <c r="D16" s="144">
        <f>'DDD1'!E139</f>
        <v>11750400</v>
      </c>
      <c r="E16" s="144">
        <f>SUM('DDD1'!E144:E149)</f>
        <v>8399000</v>
      </c>
      <c r="F16" s="63"/>
      <c r="G16" s="63"/>
      <c r="H16" s="63"/>
      <c r="I16" s="144">
        <f>SUM('DDD1'!E150)</f>
        <v>7344000</v>
      </c>
      <c r="J16" s="141">
        <f>SUM('DDD1'!E140:E142)</f>
        <v>3480000</v>
      </c>
      <c r="K16" s="141">
        <f>'DDD1'!E143</f>
        <v>3700000</v>
      </c>
      <c r="L16" s="141"/>
      <c r="M16" s="141"/>
      <c r="N16" s="141"/>
      <c r="O16" s="141"/>
      <c r="P16" s="143">
        <f>SUM(C16:O16)</f>
        <v>34673400</v>
      </c>
      <c r="Q16" s="64">
        <f>'DDD1'!C151</f>
        <v>34673400</v>
      </c>
      <c r="R16" s="65">
        <f>SALE!D10</f>
        <v>0</v>
      </c>
      <c r="S16" s="64">
        <f>R16*Q16</f>
        <v>0</v>
      </c>
      <c r="T16" s="135" t="s">
        <v>76</v>
      </c>
      <c r="V16" s="33"/>
    </row>
    <row r="17" spans="1:30" x14ac:dyDescent="0.25">
      <c r="A17" s="46">
        <f t="shared" si="0"/>
        <v>15</v>
      </c>
      <c r="B17" s="47" t="s">
        <v>144</v>
      </c>
      <c r="C17" s="138">
        <f>SUM('DDD1'!K155:K157)</f>
        <v>87480000</v>
      </c>
      <c r="D17" s="47"/>
      <c r="E17" s="138"/>
      <c r="F17" s="47"/>
      <c r="G17" s="47"/>
      <c r="H17" s="47"/>
      <c r="I17" s="138">
        <f>SUM('DDD1'!K166)</f>
        <v>21450000</v>
      </c>
      <c r="J17" s="138"/>
      <c r="K17" s="138"/>
      <c r="L17" s="138"/>
      <c r="M17" s="138"/>
      <c r="N17" s="138">
        <f>'DDD1'!K158</f>
        <v>990000</v>
      </c>
      <c r="O17" s="138">
        <f>SUM('DDD1'!K159:K165)</f>
        <v>2247000</v>
      </c>
      <c r="P17" s="140">
        <f t="shared" si="3"/>
        <v>112167000</v>
      </c>
      <c r="Q17" s="225">
        <f>'DDD1'!I167</f>
        <v>112167000</v>
      </c>
      <c r="R17" s="49">
        <f>(IF(SALE!$D$17="vip",(SALE!$D$10),0))</f>
        <v>0</v>
      </c>
      <c r="S17" s="225">
        <f>Q17*R17</f>
        <v>0</v>
      </c>
      <c r="T17" s="585" t="s">
        <v>150</v>
      </c>
      <c r="V17" s="33"/>
    </row>
    <row r="18" spans="1:30" ht="24" x14ac:dyDescent="0.25">
      <c r="A18" s="51">
        <f t="shared" si="0"/>
        <v>16</v>
      </c>
      <c r="B18" s="52" t="s">
        <v>145</v>
      </c>
      <c r="C18" s="139">
        <f>SUM('DDD1'!E157)</f>
        <v>39960000</v>
      </c>
      <c r="D18" s="52"/>
      <c r="E18" s="139"/>
      <c r="F18" s="52"/>
      <c r="G18" s="52"/>
      <c r="H18" s="52"/>
      <c r="I18" s="139">
        <f>SUM('DDD1'!E166)</f>
        <v>11325000.000000002</v>
      </c>
      <c r="J18" s="138"/>
      <c r="K18" s="138"/>
      <c r="L18" s="138"/>
      <c r="M18" s="138"/>
      <c r="N18" s="138">
        <f>'DDD1'!E158</f>
        <v>1080000</v>
      </c>
      <c r="O18" s="138">
        <f>SUM('DDD1'!E159:E165)</f>
        <v>8610000</v>
      </c>
      <c r="P18" s="140">
        <f t="shared" si="3"/>
        <v>60975000</v>
      </c>
      <c r="Q18" s="226">
        <f>'DDD1'!C167</f>
        <v>60975000</v>
      </c>
      <c r="R18" s="61">
        <f>(IF(SALE!$D$13="REGULAR",(SALE!$D$10),0))</f>
        <v>0</v>
      </c>
      <c r="S18" s="226">
        <f>Q18*R18</f>
        <v>0</v>
      </c>
      <c r="T18" s="586"/>
      <c r="V18" s="33"/>
    </row>
    <row r="19" spans="1:30" ht="24" x14ac:dyDescent="0.25">
      <c r="A19" s="55">
        <f>A18+1</f>
        <v>17</v>
      </c>
      <c r="B19" s="56" t="s">
        <v>146</v>
      </c>
      <c r="C19" s="141">
        <f>SUM('DDD1'!E171:E172)</f>
        <v>105840000</v>
      </c>
      <c r="D19" s="56"/>
      <c r="E19" s="141">
        <f>'DDD1'!E177</f>
        <v>1600000</v>
      </c>
      <c r="F19" s="56"/>
      <c r="G19" s="56"/>
      <c r="H19" s="56"/>
      <c r="I19" s="141">
        <f>SUM('DDD1'!E173)</f>
        <v>22050000.000000004</v>
      </c>
      <c r="J19" s="141">
        <f>SUM('DDD1'!E174:E175)</f>
        <v>8260000</v>
      </c>
      <c r="K19" s="141">
        <f>'DDD1'!E176</f>
        <v>12800000</v>
      </c>
      <c r="L19" s="141"/>
      <c r="M19" s="141"/>
      <c r="N19" s="141"/>
      <c r="O19" s="141"/>
      <c r="P19" s="143">
        <f>SUM(C19:O19)</f>
        <v>150550000</v>
      </c>
      <c r="Q19" s="228">
        <f>'DDD1'!C178</f>
        <v>150550000</v>
      </c>
      <c r="R19" s="58">
        <f>(IF(AND(SALE!$D$13="REGULAR",SALE!$D$15="SAYANEH"),(SALE!$D$10),0))</f>
        <v>0</v>
      </c>
      <c r="S19" s="228">
        <f>R19*Q19</f>
        <v>0</v>
      </c>
      <c r="T19" s="581"/>
      <c r="V19" s="33"/>
    </row>
    <row r="20" spans="1:30" ht="24" x14ac:dyDescent="0.25">
      <c r="A20" s="55">
        <f>A19+1</f>
        <v>18</v>
      </c>
      <c r="B20" s="60" t="s">
        <v>147</v>
      </c>
      <c r="C20" s="142">
        <f>SUM('DDD1'!E182:E183)</f>
        <v>277200000</v>
      </c>
      <c r="D20" s="60"/>
      <c r="E20" s="142">
        <f>'DDD1'!E188</f>
        <v>2400000</v>
      </c>
      <c r="F20" s="60"/>
      <c r="G20" s="60"/>
      <c r="H20" s="60"/>
      <c r="I20" s="142">
        <f>'DDD1'!E184</f>
        <v>56374999.999999993</v>
      </c>
      <c r="J20" s="141">
        <f>SUM('DDD1'!E185:E186)</f>
        <v>11832000</v>
      </c>
      <c r="K20" s="141">
        <f>'DDD1'!E187</f>
        <v>19200000</v>
      </c>
      <c r="L20" s="141"/>
      <c r="M20" s="141"/>
      <c r="N20" s="141"/>
      <c r="O20" s="141"/>
      <c r="P20" s="143">
        <f>SUM(C20:O20)</f>
        <v>367007000</v>
      </c>
      <c r="Q20" s="227">
        <f>'DDD1'!C189</f>
        <v>367007000</v>
      </c>
      <c r="R20" s="44">
        <f>(IF(AND(SALE!$D$13="REGULAR",SALE!$D$15="PAVLION"),(SALE!$D$10),0))</f>
        <v>0</v>
      </c>
      <c r="S20" s="227">
        <f>R20*Q20</f>
        <v>0</v>
      </c>
      <c r="T20" s="582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x14ac:dyDescent="0.25">
      <c r="A21" s="66">
        <f t="shared" si="0"/>
        <v>19</v>
      </c>
      <c r="B21" s="67" t="s">
        <v>114</v>
      </c>
      <c r="C21" s="67"/>
      <c r="D21" s="67"/>
      <c r="E21" s="145"/>
      <c r="F21" s="67"/>
      <c r="G21" s="67"/>
      <c r="H21" s="67"/>
      <c r="I21" s="145">
        <f>SUM('DDD1'!E195)</f>
        <v>5000000</v>
      </c>
      <c r="J21" s="138">
        <f>'DDD1'!E193</f>
        <v>3750000</v>
      </c>
      <c r="K21" s="138">
        <f>'DDD1'!E194</f>
        <v>7500000</v>
      </c>
      <c r="L21" s="138"/>
      <c r="M21" s="138"/>
      <c r="N21" s="138"/>
      <c r="O21" s="138"/>
      <c r="P21" s="140">
        <f t="shared" ref="P21" si="4">SUM(C21:O21)</f>
        <v>16250000</v>
      </c>
      <c r="Q21" s="68">
        <f>'DDD1'!C196</f>
        <v>16250000</v>
      </c>
      <c r="R21" s="69">
        <f>(IF(AND(SALE!D8&gt;6,SALE!D8&lt;=8),1,IF(AND(SALE!D8&gt;8,SALE!D8&lt;=10),2,0)))*(SALE!D5+SALE!E5)*(SALE!D10)</f>
        <v>0</v>
      </c>
      <c r="S21" s="68">
        <f>R21*Q21</f>
        <v>0</v>
      </c>
      <c r="T21" s="68"/>
      <c r="V21" s="38"/>
      <c r="W21" s="38"/>
      <c r="X21" s="38"/>
      <c r="Y21" s="38"/>
      <c r="Z21" s="38"/>
      <c r="AA21" s="38"/>
      <c r="AB21" s="38"/>
      <c r="AC21" s="38"/>
      <c r="AD21" s="38"/>
    </row>
    <row r="22" spans="1:30" ht="15" customHeight="1" x14ac:dyDescent="0.25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  <c r="R22" s="72"/>
      <c r="S22" s="583" t="e">
        <f>SUM(S23:T28)</f>
        <v>#DIV/0!</v>
      </c>
      <c r="T22" s="583"/>
      <c r="V22" s="38"/>
      <c r="W22" s="38"/>
      <c r="X22" s="38"/>
      <c r="Y22" s="38"/>
      <c r="Z22" s="38"/>
      <c r="AA22" s="38"/>
      <c r="AB22" s="38"/>
      <c r="AC22" s="38"/>
      <c r="AD22" s="38"/>
    </row>
    <row r="23" spans="1:30" ht="15.75" x14ac:dyDescent="0.25">
      <c r="A23" s="46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6" t="s">
        <v>7</v>
      </c>
      <c r="S23" s="579" t="e">
        <f>((SUM(S3:S21))/Q2)</f>
        <v>#DIV/0!</v>
      </c>
      <c r="T23" s="579"/>
      <c r="V23" s="38"/>
      <c r="W23" s="38"/>
      <c r="X23" s="38"/>
      <c r="Y23" s="38"/>
      <c r="Z23" s="38"/>
      <c r="AA23" s="38"/>
      <c r="AB23" s="38"/>
      <c r="AC23" s="38"/>
      <c r="AD23" s="38"/>
    </row>
    <row r="24" spans="1:30" ht="15.75" x14ac:dyDescent="0.25">
      <c r="A24" s="55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7" t="s">
        <v>8</v>
      </c>
      <c r="S24" s="580">
        <v>4000000</v>
      </c>
      <c r="T24" s="580"/>
      <c r="V24" s="38"/>
      <c r="W24" s="38"/>
      <c r="X24" s="38"/>
      <c r="Y24" s="38"/>
      <c r="Z24" s="38"/>
      <c r="AA24" s="38"/>
      <c r="AB24" s="38"/>
      <c r="AC24" s="38"/>
      <c r="AD24" s="38"/>
    </row>
    <row r="25" spans="1:30" ht="15.75" x14ac:dyDescent="0.25">
      <c r="A25" s="46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8" t="s">
        <v>9</v>
      </c>
      <c r="S25" s="579" t="e">
        <f>(S23+S24)*(SALE!G4*0.01)</f>
        <v>#DIV/0!</v>
      </c>
      <c r="T25" s="579"/>
      <c r="V25" s="38"/>
      <c r="W25" s="38"/>
      <c r="X25" s="38"/>
      <c r="Y25" s="38"/>
      <c r="Z25" s="38"/>
      <c r="AA25" s="38"/>
      <c r="AB25" s="38"/>
      <c r="AC25" s="38"/>
      <c r="AD25" s="38"/>
    </row>
    <row r="26" spans="1:30" ht="15.75" x14ac:dyDescent="0.25">
      <c r="A26" s="5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9" t="s">
        <v>10</v>
      </c>
      <c r="S26" s="580" t="e">
        <f>(S23+S24+S25)*(SALE!G5*0.01)</f>
        <v>#DIV/0!</v>
      </c>
      <c r="T26" s="580"/>
      <c r="V26" s="38"/>
      <c r="W26" s="38"/>
      <c r="X26" s="38"/>
      <c r="Y26" s="38"/>
      <c r="Z26" s="38"/>
      <c r="AA26" s="38"/>
      <c r="AB26" s="38"/>
      <c r="AC26" s="38"/>
      <c r="AD26" s="38"/>
    </row>
    <row r="27" spans="1:30" ht="15.75" x14ac:dyDescent="0.25">
      <c r="A27" s="46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8" t="s">
        <v>11</v>
      </c>
      <c r="S27" s="579" t="e">
        <f>(S23+S24+S25+S26)*(SALE!G6*0.01)</f>
        <v>#DIV/0!</v>
      </c>
      <c r="T27" s="579"/>
      <c r="V27" s="38"/>
      <c r="W27" s="38"/>
      <c r="X27" s="38"/>
      <c r="Y27" s="38"/>
      <c r="Z27" s="38"/>
      <c r="AA27" s="38"/>
      <c r="AB27" s="38"/>
      <c r="AC27" s="38"/>
      <c r="AD27" s="38"/>
    </row>
    <row r="28" spans="1:30" ht="15.75" x14ac:dyDescent="0.25">
      <c r="A28" s="5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9" t="s">
        <v>12</v>
      </c>
      <c r="S28" s="580" t="e">
        <f>(S23+S24+S25+S26+S27)*(SALE!G7*0.01)</f>
        <v>#DIV/0!</v>
      </c>
      <c r="T28" s="580"/>
      <c r="V28" s="38"/>
      <c r="W28" s="38"/>
      <c r="X28" s="38"/>
      <c r="Y28" s="38"/>
      <c r="Z28" s="38"/>
      <c r="AA28" s="38"/>
      <c r="AB28" s="38"/>
      <c r="AC28" s="38"/>
      <c r="AD28" s="38"/>
    </row>
    <row r="29" spans="1:30" ht="15.75" x14ac:dyDescent="0.25">
      <c r="A29" s="46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8" t="s">
        <v>13</v>
      </c>
      <c r="S29" s="579" t="e">
        <f>(S23+S24+S25+S26+S27+S28)*(SALE!G8*0.01)</f>
        <v>#DIV/0!</v>
      </c>
      <c r="T29" s="579"/>
    </row>
    <row r="30" spans="1:30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30" ht="15" customHeight="1" x14ac:dyDescent="0.25">
      <c r="A31" s="9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3"/>
      <c r="R31" s="33"/>
      <c r="S31" s="40"/>
      <c r="T31" s="33"/>
      <c r="U31" s="39"/>
    </row>
    <row r="32" spans="1:30" ht="15" customHeight="1" x14ac:dyDescent="0.25">
      <c r="A32" s="98"/>
      <c r="B32" s="73">
        <f>SUM(C32:O32)</f>
        <v>0</v>
      </c>
      <c r="C32" s="138">
        <f>SUM(C34:C52)</f>
        <v>0</v>
      </c>
      <c r="D32" s="138">
        <f t="shared" ref="D32:O32" si="5">SUM(D34:D52)</f>
        <v>0</v>
      </c>
      <c r="E32" s="138">
        <f t="shared" si="5"/>
        <v>0</v>
      </c>
      <c r="F32" s="138">
        <f t="shared" si="5"/>
        <v>0</v>
      </c>
      <c r="G32" s="138">
        <f t="shared" si="5"/>
        <v>0</v>
      </c>
      <c r="H32" s="138">
        <f t="shared" si="5"/>
        <v>0</v>
      </c>
      <c r="I32" s="138">
        <f t="shared" si="5"/>
        <v>0</v>
      </c>
      <c r="J32" s="138">
        <f t="shared" si="5"/>
        <v>0</v>
      </c>
      <c r="K32" s="138">
        <f t="shared" si="5"/>
        <v>0</v>
      </c>
      <c r="L32" s="138">
        <f t="shared" si="5"/>
        <v>0</v>
      </c>
      <c r="M32" s="138">
        <f t="shared" si="5"/>
        <v>0</v>
      </c>
      <c r="N32" s="138">
        <f t="shared" si="5"/>
        <v>0</v>
      </c>
      <c r="O32" s="138">
        <f t="shared" si="5"/>
        <v>0</v>
      </c>
      <c r="P32" s="39"/>
      <c r="Q32" s="33"/>
      <c r="R32" s="33"/>
      <c r="S32" s="40"/>
      <c r="T32" s="33"/>
      <c r="U32" s="39"/>
    </row>
    <row r="33" spans="1:21" ht="24.6" customHeight="1" x14ac:dyDescent="0.25">
      <c r="A33" s="42"/>
      <c r="B33" s="43" t="s">
        <v>2</v>
      </c>
      <c r="C33" s="146" t="s">
        <v>193</v>
      </c>
      <c r="D33" s="146" t="s">
        <v>194</v>
      </c>
      <c r="E33" s="146" t="s">
        <v>195</v>
      </c>
      <c r="F33" s="146" t="s">
        <v>197</v>
      </c>
      <c r="G33" s="146" t="s">
        <v>199</v>
      </c>
      <c r="H33" s="146" t="s">
        <v>196</v>
      </c>
      <c r="I33" s="147" t="s">
        <v>200</v>
      </c>
      <c r="J33" s="137" t="s">
        <v>217</v>
      </c>
      <c r="K33" s="137" t="s">
        <v>218</v>
      </c>
      <c r="L33" s="137" t="s">
        <v>219</v>
      </c>
      <c r="M33" s="137" t="s">
        <v>220</v>
      </c>
      <c r="N33" s="137" t="s">
        <v>221</v>
      </c>
      <c r="O33" s="137" t="s">
        <v>222</v>
      </c>
      <c r="P33" s="39"/>
      <c r="Q33" s="33"/>
      <c r="R33" s="33"/>
      <c r="U33" s="39"/>
    </row>
    <row r="34" spans="1:21" ht="15" customHeight="1" x14ac:dyDescent="0.25">
      <c r="A34" s="46">
        <v>1</v>
      </c>
      <c r="B34" s="47" t="s">
        <v>156</v>
      </c>
      <c r="C34" s="138"/>
      <c r="D34" s="138"/>
      <c r="E34" s="138"/>
      <c r="F34" s="138">
        <f>F3*$R$3</f>
        <v>0</v>
      </c>
      <c r="G34" s="138"/>
      <c r="H34" s="138"/>
      <c r="I34" s="138">
        <f>I3*$R$3</f>
        <v>0</v>
      </c>
      <c r="J34" s="138"/>
      <c r="K34" s="138"/>
      <c r="L34" s="138"/>
      <c r="M34" s="138"/>
      <c r="N34" s="138"/>
      <c r="O34" s="138"/>
      <c r="P34" s="39"/>
      <c r="Q34" s="33"/>
      <c r="R34" s="33"/>
      <c r="U34" s="39"/>
    </row>
    <row r="35" spans="1:21" ht="15" customHeight="1" x14ac:dyDescent="0.25">
      <c r="A35" s="46">
        <f t="shared" ref="A35:A52" si="6">A34+1</f>
        <v>2</v>
      </c>
      <c r="B35" s="47" t="s">
        <v>205</v>
      </c>
      <c r="C35" s="138"/>
      <c r="D35" s="138"/>
      <c r="E35" s="138"/>
      <c r="F35" s="138">
        <f>F4*$R$4</f>
        <v>0</v>
      </c>
      <c r="G35" s="138"/>
      <c r="H35" s="138"/>
      <c r="I35" s="138">
        <f>I4*$R$4</f>
        <v>0</v>
      </c>
      <c r="J35" s="138"/>
      <c r="K35" s="138"/>
      <c r="L35" s="138"/>
      <c r="M35" s="138"/>
      <c r="N35" s="138"/>
      <c r="O35" s="138"/>
      <c r="P35" s="39"/>
      <c r="Q35" s="33"/>
      <c r="R35" s="33"/>
      <c r="U35" s="39"/>
    </row>
    <row r="36" spans="1:21" ht="15" customHeight="1" x14ac:dyDescent="0.25">
      <c r="A36" s="46">
        <f t="shared" si="6"/>
        <v>3</v>
      </c>
      <c r="B36" s="47" t="s">
        <v>5</v>
      </c>
      <c r="C36" s="138"/>
      <c r="D36" s="138"/>
      <c r="E36" s="138"/>
      <c r="F36" s="138">
        <f>F5*$R$5</f>
        <v>0</v>
      </c>
      <c r="G36" s="138"/>
      <c r="H36" s="138"/>
      <c r="I36" s="138">
        <f>I5*$R$5</f>
        <v>0</v>
      </c>
      <c r="J36" s="138"/>
      <c r="K36" s="138"/>
      <c r="L36" s="138"/>
      <c r="M36" s="138"/>
      <c r="N36" s="138"/>
      <c r="O36" s="138"/>
      <c r="P36" s="39"/>
      <c r="Q36" s="33"/>
      <c r="R36" s="33"/>
      <c r="U36" s="39"/>
    </row>
    <row r="37" spans="1:21" ht="15" customHeight="1" x14ac:dyDescent="0.25">
      <c r="A37" s="51">
        <f t="shared" si="6"/>
        <v>4</v>
      </c>
      <c r="B37" s="52" t="s">
        <v>6</v>
      </c>
      <c r="C37" s="139"/>
      <c r="D37" s="139"/>
      <c r="E37" s="139"/>
      <c r="F37" s="139">
        <f>F6*$R$6</f>
        <v>0</v>
      </c>
      <c r="G37" s="139"/>
      <c r="H37" s="139"/>
      <c r="I37" s="138">
        <f>I6*$R$6</f>
        <v>0</v>
      </c>
      <c r="J37" s="138"/>
      <c r="K37" s="138"/>
      <c r="L37" s="138"/>
      <c r="M37" s="138"/>
      <c r="N37" s="138"/>
      <c r="O37" s="138"/>
      <c r="P37" s="39"/>
      <c r="Q37" s="33"/>
      <c r="R37" s="33"/>
      <c r="U37" s="39"/>
    </row>
    <row r="38" spans="1:21" ht="15" customHeight="1" x14ac:dyDescent="0.25">
      <c r="A38" s="55">
        <f t="shared" si="6"/>
        <v>5</v>
      </c>
      <c r="B38" s="56" t="s">
        <v>134</v>
      </c>
      <c r="C38" s="148">
        <f>C7*$R$7</f>
        <v>0</v>
      </c>
      <c r="D38" s="148"/>
      <c r="E38" s="148">
        <f>E7*$R$7</f>
        <v>0</v>
      </c>
      <c r="F38" s="148"/>
      <c r="G38" s="148"/>
      <c r="H38" s="148">
        <f>H7*$R$7</f>
        <v>0</v>
      </c>
      <c r="I38" s="151">
        <f>I7*$R$7</f>
        <v>0</v>
      </c>
      <c r="J38" s="151">
        <f t="shared" ref="J38:O38" si="7">J7*$R$7</f>
        <v>0</v>
      </c>
      <c r="K38" s="151">
        <f t="shared" si="7"/>
        <v>0</v>
      </c>
      <c r="L38" s="151">
        <f t="shared" si="7"/>
        <v>0</v>
      </c>
      <c r="M38" s="151">
        <f t="shared" si="7"/>
        <v>0</v>
      </c>
      <c r="N38" s="151">
        <f t="shared" si="7"/>
        <v>0</v>
      </c>
      <c r="O38" s="151">
        <f t="shared" si="7"/>
        <v>0</v>
      </c>
      <c r="P38" s="39"/>
      <c r="Q38" s="33"/>
      <c r="R38" s="33"/>
      <c r="U38" s="39"/>
    </row>
    <row r="39" spans="1:21" ht="15" customHeight="1" x14ac:dyDescent="0.25">
      <c r="A39" s="59">
        <f t="shared" si="6"/>
        <v>6</v>
      </c>
      <c r="B39" s="60" t="s">
        <v>135</v>
      </c>
      <c r="C39" s="149">
        <f>C8*$R$8</f>
        <v>0</v>
      </c>
      <c r="D39" s="149"/>
      <c r="E39" s="149">
        <f>E8*$R$8</f>
        <v>0</v>
      </c>
      <c r="F39" s="149"/>
      <c r="G39" s="149"/>
      <c r="H39" s="149">
        <f>H8*$R$8</f>
        <v>0</v>
      </c>
      <c r="I39" s="149">
        <f>I8*$R$8</f>
        <v>0</v>
      </c>
      <c r="J39" s="149">
        <f t="shared" ref="J39:O39" si="8">J8*$R$8</f>
        <v>0</v>
      </c>
      <c r="K39" s="149">
        <f t="shared" si="8"/>
        <v>0</v>
      </c>
      <c r="L39" s="149">
        <f t="shared" si="8"/>
        <v>0</v>
      </c>
      <c r="M39" s="149">
        <f t="shared" si="8"/>
        <v>0</v>
      </c>
      <c r="N39" s="149">
        <f t="shared" si="8"/>
        <v>0</v>
      </c>
      <c r="O39" s="149">
        <f t="shared" si="8"/>
        <v>0</v>
      </c>
      <c r="P39" s="39"/>
      <c r="Q39" s="33"/>
      <c r="R39" s="33"/>
      <c r="U39" s="39"/>
    </row>
    <row r="40" spans="1:21" ht="15" customHeight="1" x14ac:dyDescent="0.25">
      <c r="A40" s="46">
        <f t="shared" si="6"/>
        <v>7</v>
      </c>
      <c r="B40" s="47" t="s">
        <v>49</v>
      </c>
      <c r="C40" s="138">
        <f>C9*$R$9</f>
        <v>0</v>
      </c>
      <c r="D40" s="138"/>
      <c r="E40" s="138">
        <f>E9*$R$9</f>
        <v>0</v>
      </c>
      <c r="F40" s="138"/>
      <c r="G40" s="138"/>
      <c r="H40" s="138"/>
      <c r="I40" s="138">
        <f>I9*$R$9</f>
        <v>0</v>
      </c>
      <c r="J40" s="138">
        <f t="shared" ref="J40:O40" si="9">J9*$R$9</f>
        <v>0</v>
      </c>
      <c r="K40" s="138">
        <f t="shared" si="9"/>
        <v>0</v>
      </c>
      <c r="L40" s="138">
        <f t="shared" si="9"/>
        <v>0</v>
      </c>
      <c r="M40" s="138">
        <f t="shared" si="9"/>
        <v>0</v>
      </c>
      <c r="N40" s="138">
        <f t="shared" si="9"/>
        <v>0</v>
      </c>
      <c r="O40" s="138">
        <f t="shared" si="9"/>
        <v>0</v>
      </c>
      <c r="P40" s="39"/>
      <c r="Q40" s="33"/>
      <c r="R40" s="33"/>
      <c r="S40" s="40"/>
      <c r="T40" s="33"/>
      <c r="U40" s="39"/>
    </row>
    <row r="41" spans="1:21" ht="15" customHeight="1" x14ac:dyDescent="0.25">
      <c r="A41" s="46">
        <f t="shared" si="6"/>
        <v>8</v>
      </c>
      <c r="B41" s="47" t="s">
        <v>122</v>
      </c>
      <c r="C41" s="138">
        <f>C10*$R$10</f>
        <v>0</v>
      </c>
      <c r="D41" s="138"/>
      <c r="E41" s="138">
        <f>E10*$R$10</f>
        <v>0</v>
      </c>
      <c r="F41" s="138"/>
      <c r="G41" s="138"/>
      <c r="H41" s="138"/>
      <c r="I41" s="138">
        <f>I10*$R$10</f>
        <v>0</v>
      </c>
      <c r="J41" s="138">
        <f t="shared" ref="J41:O41" si="10">J10*$R$10</f>
        <v>0</v>
      </c>
      <c r="K41" s="138">
        <f t="shared" si="10"/>
        <v>0</v>
      </c>
      <c r="L41" s="138">
        <f t="shared" si="10"/>
        <v>0</v>
      </c>
      <c r="M41" s="138">
        <f t="shared" si="10"/>
        <v>0</v>
      </c>
      <c r="N41" s="138">
        <f t="shared" si="10"/>
        <v>0</v>
      </c>
      <c r="O41" s="138">
        <f t="shared" si="10"/>
        <v>0</v>
      </c>
      <c r="P41" s="39"/>
      <c r="Q41" s="33"/>
      <c r="R41" s="33"/>
      <c r="S41" s="40"/>
      <c r="T41" s="33"/>
      <c r="U41" s="39"/>
    </row>
    <row r="42" spans="1:21" ht="15" customHeight="1" x14ac:dyDescent="0.25">
      <c r="A42" s="51">
        <f t="shared" si="6"/>
        <v>9</v>
      </c>
      <c r="B42" s="52" t="s">
        <v>56</v>
      </c>
      <c r="C42" s="139">
        <f>C11*$R$11</f>
        <v>0</v>
      </c>
      <c r="D42" s="139"/>
      <c r="E42" s="139">
        <f>E11*$R$11</f>
        <v>0</v>
      </c>
      <c r="F42" s="139"/>
      <c r="G42" s="139"/>
      <c r="H42" s="139"/>
      <c r="I42" s="139">
        <f>I11*$R$11</f>
        <v>0</v>
      </c>
      <c r="J42" s="139">
        <f t="shared" ref="J42:O42" si="11">J11*$R$11</f>
        <v>0</v>
      </c>
      <c r="K42" s="139">
        <f t="shared" si="11"/>
        <v>0</v>
      </c>
      <c r="L42" s="139">
        <f t="shared" si="11"/>
        <v>0</v>
      </c>
      <c r="M42" s="139">
        <f t="shared" si="11"/>
        <v>0</v>
      </c>
      <c r="N42" s="139">
        <f t="shared" si="11"/>
        <v>0</v>
      </c>
      <c r="O42" s="139">
        <f t="shared" si="11"/>
        <v>0</v>
      </c>
      <c r="P42" s="39"/>
      <c r="Q42" s="33"/>
      <c r="R42" s="33"/>
      <c r="S42" s="40"/>
      <c r="T42" s="33"/>
      <c r="U42" s="39"/>
    </row>
    <row r="43" spans="1:21" ht="15" customHeight="1" x14ac:dyDescent="0.25">
      <c r="A43" s="55">
        <f t="shared" si="6"/>
        <v>10</v>
      </c>
      <c r="B43" s="56" t="s">
        <v>140</v>
      </c>
      <c r="C43" s="148"/>
      <c r="D43" s="148"/>
      <c r="E43" s="148">
        <f>E12*$R$12</f>
        <v>0</v>
      </c>
      <c r="F43" s="148"/>
      <c r="G43" s="148">
        <f>G12*$R$12</f>
        <v>0</v>
      </c>
      <c r="H43" s="148">
        <f t="shared" ref="H43:I43" si="12">H12*$R$12</f>
        <v>0</v>
      </c>
      <c r="I43" s="148">
        <f t="shared" si="12"/>
        <v>0</v>
      </c>
      <c r="J43" s="148">
        <f>J12*$R$12</f>
        <v>0</v>
      </c>
      <c r="K43" s="148"/>
      <c r="L43" s="148"/>
      <c r="M43" s="148"/>
      <c r="N43" s="148"/>
      <c r="O43" s="148"/>
      <c r="P43" s="39"/>
      <c r="Q43" s="33"/>
      <c r="R43" s="33"/>
      <c r="S43" s="40"/>
      <c r="T43" s="33"/>
      <c r="U43" s="39"/>
    </row>
    <row r="44" spans="1:21" ht="15" customHeight="1" x14ac:dyDescent="0.25">
      <c r="A44" s="59">
        <f t="shared" si="6"/>
        <v>11</v>
      </c>
      <c r="B44" s="60" t="s">
        <v>141</v>
      </c>
      <c r="C44" s="149"/>
      <c r="D44" s="149"/>
      <c r="E44" s="149">
        <f>E13*$R$13</f>
        <v>0</v>
      </c>
      <c r="F44" s="149"/>
      <c r="G44" s="148">
        <f>G13*$R$13</f>
        <v>0</v>
      </c>
      <c r="H44" s="148">
        <f t="shared" ref="H44:I44" si="13">H13*$R$13</f>
        <v>0</v>
      </c>
      <c r="I44" s="148">
        <f t="shared" si="13"/>
        <v>0</v>
      </c>
      <c r="J44" s="148">
        <f>J13*$R$13</f>
        <v>0</v>
      </c>
      <c r="K44" s="149"/>
      <c r="L44" s="149"/>
      <c r="M44" s="149"/>
      <c r="N44" s="149"/>
      <c r="O44" s="149"/>
      <c r="P44" s="39"/>
      <c r="Q44" s="33"/>
      <c r="R44" s="33"/>
      <c r="S44" s="40"/>
      <c r="T44" s="33"/>
      <c r="U44" s="39"/>
    </row>
    <row r="45" spans="1:21" ht="15" customHeight="1" x14ac:dyDescent="0.25">
      <c r="A45" s="46">
        <f t="shared" si="6"/>
        <v>12</v>
      </c>
      <c r="B45" s="47" t="s">
        <v>143</v>
      </c>
      <c r="C45" s="138">
        <f>C14*$R$14</f>
        <v>0</v>
      </c>
      <c r="D45" s="138">
        <f>D14*$R$14</f>
        <v>0</v>
      </c>
      <c r="E45" s="138">
        <f>E14*$R$14</f>
        <v>0</v>
      </c>
      <c r="F45" s="138">
        <f t="shared" ref="F45:O45" si="14">F14*$R$14</f>
        <v>0</v>
      </c>
      <c r="G45" s="138">
        <f t="shared" si="14"/>
        <v>0</v>
      </c>
      <c r="H45" s="138">
        <f t="shared" si="14"/>
        <v>0</v>
      </c>
      <c r="I45" s="138">
        <f t="shared" si="14"/>
        <v>0</v>
      </c>
      <c r="J45" s="138">
        <f t="shared" si="14"/>
        <v>0</v>
      </c>
      <c r="K45" s="138">
        <f t="shared" si="14"/>
        <v>0</v>
      </c>
      <c r="L45" s="138">
        <f t="shared" si="14"/>
        <v>0</v>
      </c>
      <c r="M45" s="138">
        <f t="shared" si="14"/>
        <v>0</v>
      </c>
      <c r="N45" s="138">
        <f t="shared" si="14"/>
        <v>0</v>
      </c>
      <c r="O45" s="138">
        <f t="shared" si="14"/>
        <v>0</v>
      </c>
      <c r="P45" s="39"/>
      <c r="Q45" s="33"/>
      <c r="R45" s="33"/>
      <c r="S45" s="40"/>
      <c r="T45" s="33"/>
      <c r="U45" s="39"/>
    </row>
    <row r="46" spans="1:21" ht="15" customHeight="1" x14ac:dyDescent="0.25">
      <c r="A46" s="51">
        <f t="shared" si="6"/>
        <v>13</v>
      </c>
      <c r="B46" s="52" t="s">
        <v>142</v>
      </c>
      <c r="C46" s="138">
        <f>C15*$R$15</f>
        <v>0</v>
      </c>
      <c r="D46" s="138">
        <f>D15*$R$15</f>
        <v>0</v>
      </c>
      <c r="E46" s="138">
        <f>E15*$R$15</f>
        <v>0</v>
      </c>
      <c r="F46" s="138">
        <f t="shared" ref="F46:O46" si="15">F15*$R$15</f>
        <v>0</v>
      </c>
      <c r="G46" s="138">
        <f t="shared" si="15"/>
        <v>0</v>
      </c>
      <c r="H46" s="138">
        <f t="shared" si="15"/>
        <v>0</v>
      </c>
      <c r="I46" s="138">
        <f t="shared" si="15"/>
        <v>0</v>
      </c>
      <c r="J46" s="138">
        <f t="shared" si="15"/>
        <v>0</v>
      </c>
      <c r="K46" s="138">
        <f t="shared" si="15"/>
        <v>0</v>
      </c>
      <c r="L46" s="138">
        <f t="shared" si="15"/>
        <v>0</v>
      </c>
      <c r="M46" s="138">
        <f t="shared" si="15"/>
        <v>0</v>
      </c>
      <c r="N46" s="138">
        <f t="shared" si="15"/>
        <v>0</v>
      </c>
      <c r="O46" s="138">
        <f t="shared" si="15"/>
        <v>0</v>
      </c>
      <c r="P46" s="39"/>
      <c r="Q46" s="33"/>
      <c r="R46" s="33"/>
      <c r="S46" s="40"/>
      <c r="T46" s="33"/>
      <c r="U46" s="39"/>
    </row>
    <row r="47" spans="1:21" ht="15" customHeight="1" x14ac:dyDescent="0.25">
      <c r="A47" s="62">
        <f t="shared" si="6"/>
        <v>14</v>
      </c>
      <c r="B47" s="63" t="s">
        <v>76</v>
      </c>
      <c r="C47" s="150">
        <f t="shared" ref="C47:D47" si="16">C16*$R$16</f>
        <v>0</v>
      </c>
      <c r="D47" s="150">
        <f t="shared" si="16"/>
        <v>0</v>
      </c>
      <c r="E47" s="150">
        <f>E16*$R$16</f>
        <v>0</v>
      </c>
      <c r="F47" s="150">
        <f t="shared" ref="F47:H47" si="17">F16*$R$16</f>
        <v>0</v>
      </c>
      <c r="G47" s="150">
        <f t="shared" si="17"/>
        <v>0</v>
      </c>
      <c r="H47" s="150">
        <f t="shared" si="17"/>
        <v>0</v>
      </c>
      <c r="I47" s="150">
        <f>I16*$R$16</f>
        <v>0</v>
      </c>
      <c r="J47" s="150">
        <f t="shared" ref="J47:O47" si="18">J16*$R$16</f>
        <v>0</v>
      </c>
      <c r="K47" s="150">
        <f t="shared" si="18"/>
        <v>0</v>
      </c>
      <c r="L47" s="150">
        <f t="shared" si="18"/>
        <v>0</v>
      </c>
      <c r="M47" s="150">
        <f t="shared" si="18"/>
        <v>0</v>
      </c>
      <c r="N47" s="150">
        <f t="shared" si="18"/>
        <v>0</v>
      </c>
      <c r="O47" s="150">
        <f t="shared" si="18"/>
        <v>0</v>
      </c>
      <c r="P47" s="39"/>
      <c r="Q47" s="33"/>
      <c r="R47" s="33"/>
      <c r="S47" s="40"/>
      <c r="T47" s="33"/>
      <c r="U47" s="39"/>
    </row>
    <row r="48" spans="1:21" ht="15" customHeight="1" x14ac:dyDescent="0.25">
      <c r="A48" s="46">
        <f t="shared" si="6"/>
        <v>15</v>
      </c>
      <c r="B48" s="47" t="s">
        <v>144</v>
      </c>
      <c r="C48" s="138">
        <f>C17*$R$17</f>
        <v>0</v>
      </c>
      <c r="D48" s="138">
        <f t="shared" ref="D48:H48" si="19">D17*$R$17</f>
        <v>0</v>
      </c>
      <c r="E48" s="138">
        <f t="shared" si="19"/>
        <v>0</v>
      </c>
      <c r="F48" s="138">
        <f t="shared" si="19"/>
        <v>0</v>
      </c>
      <c r="G48" s="138">
        <f t="shared" si="19"/>
        <v>0</v>
      </c>
      <c r="H48" s="138">
        <f t="shared" si="19"/>
        <v>0</v>
      </c>
      <c r="I48" s="138">
        <f>I17*$R$17</f>
        <v>0</v>
      </c>
      <c r="J48" s="138">
        <f t="shared" ref="J48:O48" si="20">J17*$R$17</f>
        <v>0</v>
      </c>
      <c r="K48" s="138">
        <f t="shared" si="20"/>
        <v>0</v>
      </c>
      <c r="L48" s="138">
        <f t="shared" si="20"/>
        <v>0</v>
      </c>
      <c r="M48" s="138">
        <f t="shared" si="20"/>
        <v>0</v>
      </c>
      <c r="N48" s="138">
        <f t="shared" si="20"/>
        <v>0</v>
      </c>
      <c r="O48" s="138">
        <f t="shared" si="20"/>
        <v>0</v>
      </c>
      <c r="P48" s="39"/>
      <c r="Q48" s="33"/>
      <c r="R48" s="33"/>
      <c r="S48" s="40"/>
      <c r="T48" s="33"/>
      <c r="U48" s="39"/>
    </row>
    <row r="49" spans="1:21" ht="15" customHeight="1" x14ac:dyDescent="0.25">
      <c r="A49" s="51">
        <f t="shared" si="6"/>
        <v>16</v>
      </c>
      <c r="B49" s="52" t="s">
        <v>145</v>
      </c>
      <c r="C49" s="139">
        <f>C18*$R$18</f>
        <v>0</v>
      </c>
      <c r="D49" s="139">
        <f t="shared" ref="D49:H49" si="21">D18*$R$18</f>
        <v>0</v>
      </c>
      <c r="E49" s="139">
        <f t="shared" si="21"/>
        <v>0</v>
      </c>
      <c r="F49" s="139">
        <f t="shared" si="21"/>
        <v>0</v>
      </c>
      <c r="G49" s="139">
        <f t="shared" si="21"/>
        <v>0</v>
      </c>
      <c r="H49" s="139">
        <f t="shared" si="21"/>
        <v>0</v>
      </c>
      <c r="I49" s="139">
        <f>I18*$R$18</f>
        <v>0</v>
      </c>
      <c r="J49" s="139">
        <f t="shared" ref="J49:O49" si="22">J18*$R$18</f>
        <v>0</v>
      </c>
      <c r="K49" s="139">
        <f t="shared" si="22"/>
        <v>0</v>
      </c>
      <c r="L49" s="139">
        <f t="shared" si="22"/>
        <v>0</v>
      </c>
      <c r="M49" s="139">
        <f t="shared" si="22"/>
        <v>0</v>
      </c>
      <c r="N49" s="139">
        <f t="shared" si="22"/>
        <v>0</v>
      </c>
      <c r="O49" s="139">
        <f t="shared" si="22"/>
        <v>0</v>
      </c>
      <c r="P49" s="39"/>
      <c r="Q49" s="33"/>
      <c r="R49" s="33"/>
      <c r="S49" s="40"/>
      <c r="T49" s="33"/>
      <c r="U49" s="39"/>
    </row>
    <row r="50" spans="1:21" ht="15" customHeight="1" x14ac:dyDescent="0.25">
      <c r="A50" s="55">
        <f>A49+1</f>
        <v>17</v>
      </c>
      <c r="B50" s="56" t="s">
        <v>146</v>
      </c>
      <c r="C50" s="148">
        <f>C19*$R$19</f>
        <v>0</v>
      </c>
      <c r="D50" s="148">
        <f t="shared" ref="D50:O50" si="23">D19*$R$19</f>
        <v>0</v>
      </c>
      <c r="E50" s="148">
        <f t="shared" si="23"/>
        <v>0</v>
      </c>
      <c r="F50" s="148">
        <f t="shared" si="23"/>
        <v>0</v>
      </c>
      <c r="G50" s="148">
        <f t="shared" si="23"/>
        <v>0</v>
      </c>
      <c r="H50" s="148">
        <f t="shared" si="23"/>
        <v>0</v>
      </c>
      <c r="I50" s="148">
        <f t="shared" si="23"/>
        <v>0</v>
      </c>
      <c r="J50" s="148">
        <f t="shared" si="23"/>
        <v>0</v>
      </c>
      <c r="K50" s="148">
        <f t="shared" si="23"/>
        <v>0</v>
      </c>
      <c r="L50" s="148">
        <f t="shared" si="23"/>
        <v>0</v>
      </c>
      <c r="M50" s="148">
        <f t="shared" si="23"/>
        <v>0</v>
      </c>
      <c r="N50" s="148">
        <f t="shared" si="23"/>
        <v>0</v>
      </c>
      <c r="O50" s="148">
        <f t="shared" si="23"/>
        <v>0</v>
      </c>
      <c r="P50" s="39"/>
      <c r="Q50" s="33"/>
      <c r="R50" s="33"/>
      <c r="S50" s="40"/>
      <c r="T50" s="33"/>
      <c r="U50" s="39"/>
    </row>
    <row r="51" spans="1:21" ht="15" customHeight="1" x14ac:dyDescent="0.25">
      <c r="A51" s="55">
        <f>A50+1</f>
        <v>18</v>
      </c>
      <c r="B51" s="60" t="s">
        <v>147</v>
      </c>
      <c r="C51" s="149">
        <f>C20*$R$20</f>
        <v>0</v>
      </c>
      <c r="D51" s="149">
        <f t="shared" ref="D51:O51" si="24">D20*$R$20</f>
        <v>0</v>
      </c>
      <c r="E51" s="149">
        <f t="shared" si="24"/>
        <v>0</v>
      </c>
      <c r="F51" s="149">
        <f t="shared" si="24"/>
        <v>0</v>
      </c>
      <c r="G51" s="149">
        <f t="shared" si="24"/>
        <v>0</v>
      </c>
      <c r="H51" s="149">
        <f t="shared" si="24"/>
        <v>0</v>
      </c>
      <c r="I51" s="149">
        <f t="shared" si="24"/>
        <v>0</v>
      </c>
      <c r="J51" s="149">
        <f t="shared" si="24"/>
        <v>0</v>
      </c>
      <c r="K51" s="149">
        <f t="shared" si="24"/>
        <v>0</v>
      </c>
      <c r="L51" s="149">
        <f t="shared" si="24"/>
        <v>0</v>
      </c>
      <c r="M51" s="149">
        <f t="shared" si="24"/>
        <v>0</v>
      </c>
      <c r="N51" s="149">
        <f t="shared" si="24"/>
        <v>0</v>
      </c>
      <c r="O51" s="149">
        <f t="shared" si="24"/>
        <v>0</v>
      </c>
      <c r="P51" s="39"/>
      <c r="Q51" s="33"/>
      <c r="R51" s="33"/>
      <c r="S51" s="40"/>
      <c r="T51" s="33"/>
      <c r="U51" s="39"/>
    </row>
    <row r="52" spans="1:21" ht="15" customHeight="1" x14ac:dyDescent="0.25">
      <c r="A52" s="66">
        <f t="shared" si="6"/>
        <v>19</v>
      </c>
      <c r="B52" s="67" t="s">
        <v>114</v>
      </c>
      <c r="C52" s="145">
        <f t="shared" ref="C52:D52" si="25">C21*$R$21</f>
        <v>0</v>
      </c>
      <c r="D52" s="145">
        <f t="shared" si="25"/>
        <v>0</v>
      </c>
      <c r="E52" s="145">
        <f>E21*$R$21</f>
        <v>0</v>
      </c>
      <c r="F52" s="145">
        <f t="shared" ref="F52:H52" si="26">F21*$R$21</f>
        <v>0</v>
      </c>
      <c r="G52" s="145">
        <f t="shared" si="26"/>
        <v>0</v>
      </c>
      <c r="H52" s="145">
        <f t="shared" si="26"/>
        <v>0</v>
      </c>
      <c r="I52" s="145">
        <f>I21*$R$21</f>
        <v>0</v>
      </c>
      <c r="J52" s="145">
        <f t="shared" ref="J52:O52" si="27">J21*$R$21</f>
        <v>0</v>
      </c>
      <c r="K52" s="145">
        <f t="shared" si="27"/>
        <v>0</v>
      </c>
      <c r="L52" s="145">
        <f t="shared" si="27"/>
        <v>0</v>
      </c>
      <c r="M52" s="145">
        <f t="shared" si="27"/>
        <v>0</v>
      </c>
      <c r="N52" s="145">
        <f t="shared" si="27"/>
        <v>0</v>
      </c>
      <c r="O52" s="145">
        <f t="shared" si="27"/>
        <v>0</v>
      </c>
      <c r="P52" s="39"/>
      <c r="Q52" s="33"/>
      <c r="R52" s="33"/>
      <c r="S52" s="40"/>
      <c r="T52" s="33"/>
      <c r="U52" s="39"/>
    </row>
    <row r="53" spans="1:21" ht="15" customHeight="1" x14ac:dyDescent="0.25">
      <c r="A53" s="9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3"/>
      <c r="R53" s="33"/>
      <c r="S53" s="40"/>
      <c r="T53" s="33"/>
      <c r="U53" s="39"/>
    </row>
    <row r="54" spans="1:21" ht="15" customHeight="1" x14ac:dyDescent="0.25">
      <c r="A54" s="9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3"/>
      <c r="R54" s="33"/>
      <c r="S54" s="40"/>
      <c r="T54" s="33"/>
      <c r="U54" s="39"/>
    </row>
    <row r="55" spans="1:21" ht="15" customHeight="1" x14ac:dyDescent="0.25">
      <c r="A55" s="98"/>
      <c r="B55" s="39"/>
      <c r="C55" s="39"/>
      <c r="D55" s="39"/>
      <c r="E55" s="39"/>
      <c r="F55" s="39"/>
      <c r="G55" s="39" t="s">
        <v>3</v>
      </c>
      <c r="H55" s="39"/>
      <c r="I55" s="39"/>
      <c r="J55" s="39"/>
      <c r="K55" s="39"/>
      <c r="L55" s="39"/>
      <c r="M55" s="39"/>
      <c r="N55" s="39"/>
      <c r="O55" s="39"/>
      <c r="P55" s="39"/>
      <c r="Q55" s="33"/>
      <c r="R55" s="33"/>
      <c r="S55" s="40"/>
      <c r="T55" s="33"/>
      <c r="U55" s="39"/>
    </row>
    <row r="56" spans="1:21" x14ac:dyDescent="0.25">
      <c r="A56" s="98"/>
      <c r="B56" s="39"/>
      <c r="C56" s="33"/>
      <c r="D56" s="33">
        <f>E56*SALE!E9</f>
        <v>419736000.00000006</v>
      </c>
      <c r="E56" s="82">
        <f>SUM(E57:E63)</f>
        <v>349.78000000000003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T56" s="33"/>
      <c r="U56" s="40"/>
    </row>
    <row r="57" spans="1:21" x14ac:dyDescent="0.25">
      <c r="A57" s="98"/>
      <c r="B57" s="86" t="s">
        <v>105</v>
      </c>
      <c r="C57" s="82">
        <f>'DDD1'!C57</f>
        <v>23</v>
      </c>
      <c r="D57" s="87" t="s">
        <v>40</v>
      </c>
      <c r="E57" s="82">
        <f>C57*4.7</f>
        <v>108.10000000000001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T57" s="33"/>
      <c r="U57" s="40"/>
    </row>
    <row r="58" spans="1:21" x14ac:dyDescent="0.25">
      <c r="A58" s="98"/>
      <c r="B58" s="81" t="s">
        <v>123</v>
      </c>
      <c r="C58" s="89">
        <f>'DDD1'!C71</f>
        <v>3</v>
      </c>
      <c r="D58" s="85" t="s">
        <v>40</v>
      </c>
      <c r="E58" s="89">
        <f>C58*3</f>
        <v>9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T58" s="33"/>
      <c r="U58" s="40"/>
    </row>
    <row r="59" spans="1:21" x14ac:dyDescent="0.25">
      <c r="A59" s="98"/>
      <c r="B59" s="81" t="s">
        <v>125</v>
      </c>
      <c r="C59" s="89">
        <f>'DDD1'!C123</f>
        <v>77.25</v>
      </c>
      <c r="D59" s="136" t="s">
        <v>40</v>
      </c>
      <c r="E59" s="89">
        <f>C59*1</f>
        <v>77.25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T59" s="33"/>
      <c r="U59" s="40"/>
    </row>
    <row r="60" spans="1:21" ht="15" customHeight="1" x14ac:dyDescent="0.25">
      <c r="A60" s="98"/>
      <c r="B60" s="81" t="s">
        <v>124</v>
      </c>
      <c r="C60" s="89">
        <f>'DDD1'!C124</f>
        <v>18</v>
      </c>
      <c r="D60" s="85" t="s">
        <v>40</v>
      </c>
      <c r="E60" s="82">
        <f>C60*1.9</f>
        <v>34.199999999999996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T60" s="33"/>
      <c r="U60" s="40"/>
    </row>
    <row r="61" spans="1:21" x14ac:dyDescent="0.25">
      <c r="A61" s="98"/>
      <c r="B61" s="95" t="s">
        <v>154</v>
      </c>
      <c r="C61" s="89">
        <f>'DDD1'!C157</f>
        <v>9</v>
      </c>
      <c r="D61" s="85" t="s">
        <v>40</v>
      </c>
      <c r="E61" s="89">
        <f>C61*3.67</f>
        <v>33.03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T61" s="33"/>
      <c r="U61" s="40"/>
    </row>
    <row r="62" spans="1:21" x14ac:dyDescent="0.25">
      <c r="A62" s="98"/>
      <c r="B62" s="81" t="s">
        <v>201</v>
      </c>
      <c r="C62" s="89">
        <f>IF(SALE!$D$15="SAYANEH",'DDD1'!C171,0)</f>
        <v>12</v>
      </c>
      <c r="D62" s="85" t="s">
        <v>40</v>
      </c>
      <c r="E62" s="82">
        <f>C62*4.2</f>
        <v>50.400000000000006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T62" s="33"/>
      <c r="U62" s="40"/>
    </row>
    <row r="63" spans="1:21" x14ac:dyDescent="0.25">
      <c r="A63" s="98"/>
      <c r="B63" s="81" t="s">
        <v>202</v>
      </c>
      <c r="C63" s="89">
        <f>IF(SALE!$D$15="SAYANEH",'DDD1'!C172,0)</f>
        <v>9</v>
      </c>
      <c r="D63" s="85" t="s">
        <v>40</v>
      </c>
      <c r="E63" s="82">
        <f>C63*4.2</f>
        <v>37.800000000000004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T63" s="33"/>
      <c r="U63" s="40"/>
    </row>
    <row r="64" spans="1:21" x14ac:dyDescent="0.25">
      <c r="A64" s="98"/>
      <c r="B64" s="81" t="s">
        <v>203</v>
      </c>
      <c r="C64" s="89">
        <f>IF(SALE!$D$15="PAVLION",'DDD1'!C182,0)</f>
        <v>0</v>
      </c>
      <c r="D64" s="85" t="s">
        <v>40</v>
      </c>
      <c r="E64" s="82">
        <f>C64*4.2</f>
        <v>0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T64" s="33"/>
      <c r="U64" s="40"/>
    </row>
    <row r="65" spans="1:21" x14ac:dyDescent="0.25">
      <c r="A65" s="98"/>
      <c r="B65" s="81" t="s">
        <v>204</v>
      </c>
      <c r="C65" s="89">
        <f>IF(SALE!$D$15="PAVLION",'DDD1'!C183,0)</f>
        <v>0</v>
      </c>
      <c r="D65" s="85" t="s">
        <v>40</v>
      </c>
      <c r="E65" s="82">
        <f>C65*4.2</f>
        <v>0</v>
      </c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T65" s="33"/>
      <c r="U65" s="33"/>
    </row>
    <row r="66" spans="1:21" x14ac:dyDescent="0.25">
      <c r="A66" s="9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40"/>
      <c r="T66" s="33"/>
    </row>
    <row r="67" spans="1:21" x14ac:dyDescent="0.25">
      <c r="A67" s="98"/>
      <c r="B67" s="114" t="s">
        <v>193</v>
      </c>
      <c r="C67" s="114">
        <f>C32</f>
        <v>0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U67" s="33"/>
    </row>
    <row r="68" spans="1:21" x14ac:dyDescent="0.25">
      <c r="A68" s="98"/>
      <c r="B68" s="132" t="s">
        <v>194</v>
      </c>
      <c r="C68" s="115">
        <f>D32</f>
        <v>0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U68" s="101"/>
    </row>
    <row r="69" spans="1:21" x14ac:dyDescent="0.25">
      <c r="A69" s="98"/>
      <c r="B69" s="114" t="s">
        <v>195</v>
      </c>
      <c r="C69" s="114">
        <f>E32</f>
        <v>0</v>
      </c>
    </row>
    <row r="70" spans="1:21" x14ac:dyDescent="0.25">
      <c r="A70" s="98"/>
      <c r="B70" s="132" t="s">
        <v>197</v>
      </c>
      <c r="C70" s="115">
        <f>F32</f>
        <v>0</v>
      </c>
      <c r="U70" s="40"/>
    </row>
    <row r="71" spans="1:21" x14ac:dyDescent="0.25">
      <c r="A71" s="98"/>
      <c r="B71" s="114" t="s">
        <v>196</v>
      </c>
      <c r="C71" s="114">
        <f>H32</f>
        <v>0</v>
      </c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U71" s="40"/>
    </row>
    <row r="72" spans="1:21" x14ac:dyDescent="0.25">
      <c r="A72" s="98"/>
      <c r="B72" s="132" t="s">
        <v>199</v>
      </c>
      <c r="C72" s="116">
        <f>G32</f>
        <v>0</v>
      </c>
      <c r="Q72" s="103"/>
      <c r="R72" s="104"/>
      <c r="S72" s="104"/>
      <c r="U72" s="40"/>
    </row>
    <row r="73" spans="1:21" x14ac:dyDescent="0.25">
      <c r="A73" s="98"/>
      <c r="B73" s="133" t="s">
        <v>200</v>
      </c>
      <c r="C73" s="114">
        <f>I32</f>
        <v>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98"/>
      <c r="R73" s="98"/>
      <c r="S73" s="98"/>
      <c r="T73" s="33"/>
      <c r="U73" s="40"/>
    </row>
    <row r="74" spans="1:21" ht="15" customHeight="1" x14ac:dyDescent="0.25">
      <c r="A74" s="98"/>
      <c r="B74" s="165" t="s">
        <v>217</v>
      </c>
      <c r="C74" s="116">
        <f>J32</f>
        <v>0</v>
      </c>
      <c r="Q74" s="106"/>
      <c r="R74" s="106"/>
      <c r="S74" s="106"/>
      <c r="T74" s="33"/>
      <c r="U74" s="40"/>
    </row>
    <row r="75" spans="1:21" x14ac:dyDescent="0.25">
      <c r="A75" s="98"/>
      <c r="B75" s="114" t="s">
        <v>218</v>
      </c>
      <c r="C75" s="116">
        <f>K32</f>
        <v>0</v>
      </c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99"/>
      <c r="R75" s="99"/>
      <c r="S75" s="100"/>
      <c r="U75" s="33"/>
    </row>
    <row r="76" spans="1:21" x14ac:dyDescent="0.25">
      <c r="A76" s="98"/>
      <c r="B76" s="132" t="s">
        <v>219</v>
      </c>
      <c r="C76" s="115">
        <f>L32</f>
        <v>0</v>
      </c>
      <c r="U76" s="33"/>
    </row>
    <row r="77" spans="1:21" x14ac:dyDescent="0.25">
      <c r="A77" s="98"/>
      <c r="B77" s="114" t="s">
        <v>220</v>
      </c>
      <c r="C77" s="114">
        <f>(Q2*1900000)+(Q2*0.7*1200000)</f>
        <v>0</v>
      </c>
    </row>
    <row r="78" spans="1:21" x14ac:dyDescent="0.25">
      <c r="A78" s="98"/>
      <c r="B78" s="132" t="s">
        <v>221</v>
      </c>
      <c r="C78" s="116">
        <f>N32</f>
        <v>0</v>
      </c>
      <c r="U78" s="101"/>
    </row>
    <row r="79" spans="1:21" x14ac:dyDescent="0.25">
      <c r="A79" s="98"/>
      <c r="B79" s="133" t="s">
        <v>222</v>
      </c>
      <c r="C79" s="114">
        <f>O32</f>
        <v>0</v>
      </c>
    </row>
    <row r="80" spans="1:21" x14ac:dyDescent="0.25">
      <c r="A80" s="34"/>
      <c r="U80" s="40"/>
    </row>
    <row r="81" spans="1:21" x14ac:dyDescent="0.25">
      <c r="A81" s="98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T81" s="33"/>
      <c r="U81" s="40"/>
    </row>
    <row r="82" spans="1:21" x14ac:dyDescent="0.25">
      <c r="A82" s="98"/>
      <c r="B82" s="114" t="s">
        <v>223</v>
      </c>
      <c r="C82" s="114">
        <f>C67+C73</f>
        <v>0</v>
      </c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8"/>
      <c r="R82" s="109"/>
      <c r="S82" s="109"/>
      <c r="T82" s="33"/>
      <c r="U82" s="40"/>
    </row>
    <row r="83" spans="1:21" x14ac:dyDescent="0.25">
      <c r="B83" s="132" t="s">
        <v>194</v>
      </c>
      <c r="C83" s="115">
        <f>C68</f>
        <v>0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U83" s="40"/>
    </row>
    <row r="84" spans="1:21" x14ac:dyDescent="0.25">
      <c r="A84" s="98"/>
      <c r="B84" s="114" t="s">
        <v>195</v>
      </c>
      <c r="C84" s="114">
        <f>C69+C70+C71</f>
        <v>0</v>
      </c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</row>
    <row r="85" spans="1:21" x14ac:dyDescent="0.25">
      <c r="A85" s="98"/>
      <c r="B85" s="132" t="s">
        <v>199</v>
      </c>
      <c r="C85" s="116">
        <f>C72</f>
        <v>0</v>
      </c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</row>
    <row r="86" spans="1:21" x14ac:dyDescent="0.25">
      <c r="A86" s="98"/>
      <c r="B86" s="165" t="s">
        <v>217</v>
      </c>
      <c r="C86" s="116">
        <f t="shared" ref="C86:C91" si="28">C74</f>
        <v>0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</row>
    <row r="87" spans="1:21" x14ac:dyDescent="0.25">
      <c r="A87" s="98"/>
      <c r="B87" s="114" t="s">
        <v>218</v>
      </c>
      <c r="C87" s="116">
        <f t="shared" si="28"/>
        <v>0</v>
      </c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</row>
    <row r="88" spans="1:21" x14ac:dyDescent="0.25">
      <c r="A88" s="98"/>
      <c r="B88" s="132" t="s">
        <v>219</v>
      </c>
      <c r="C88" s="115">
        <f t="shared" si="28"/>
        <v>0</v>
      </c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</row>
    <row r="89" spans="1:21" x14ac:dyDescent="0.25">
      <c r="B89" s="114" t="s">
        <v>220</v>
      </c>
      <c r="C89" s="114">
        <f t="shared" si="28"/>
        <v>0</v>
      </c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</row>
    <row r="90" spans="1:21" x14ac:dyDescent="0.25">
      <c r="B90" s="132" t="s">
        <v>221</v>
      </c>
      <c r="C90" s="116">
        <f t="shared" si="28"/>
        <v>0</v>
      </c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</row>
    <row r="91" spans="1:21" x14ac:dyDescent="0.25">
      <c r="B91" s="133" t="s">
        <v>222</v>
      </c>
      <c r="C91" s="114">
        <f t="shared" si="28"/>
        <v>0</v>
      </c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</row>
    <row r="92" spans="1:21" x14ac:dyDescent="0.25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</row>
    <row r="93" spans="1:21" x14ac:dyDescent="0.25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</row>
    <row r="94" spans="1:21" x14ac:dyDescent="0.25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</row>
    <row r="95" spans="1:21" x14ac:dyDescent="0.25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</row>
    <row r="96" spans="1:21" x14ac:dyDescent="0.25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U96" s="40"/>
    </row>
    <row r="97" spans="1:21" x14ac:dyDescent="0.25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U97" s="40"/>
    </row>
    <row r="98" spans="1:21" x14ac:dyDescent="0.25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U98" s="40"/>
    </row>
    <row r="99" spans="1:21" x14ac:dyDescent="0.25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U99" s="40"/>
    </row>
    <row r="100" spans="1:21" x14ac:dyDescent="0.25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U100" s="40"/>
    </row>
    <row r="101" spans="1:21" x14ac:dyDescent="0.25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U101" s="40"/>
    </row>
    <row r="102" spans="1:21" x14ac:dyDescent="0.25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U102" s="40"/>
    </row>
    <row r="103" spans="1:21" x14ac:dyDescent="0.25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U103" s="40"/>
    </row>
    <row r="104" spans="1:21" x14ac:dyDescent="0.25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U104" s="40"/>
    </row>
    <row r="105" spans="1:21" x14ac:dyDescent="0.25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U105" s="40"/>
    </row>
    <row r="106" spans="1:21" x14ac:dyDescent="0.25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U106" s="40"/>
    </row>
    <row r="107" spans="1:21" x14ac:dyDescent="0.25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U107" s="40"/>
    </row>
    <row r="108" spans="1:21" x14ac:dyDescent="0.25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U108" s="40"/>
    </row>
    <row r="109" spans="1:21" x14ac:dyDescent="0.25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U109" s="40"/>
    </row>
    <row r="110" spans="1:21" x14ac:dyDescent="0.25">
      <c r="A110" s="98"/>
      <c r="Q110" s="98"/>
      <c r="R110" s="98"/>
      <c r="S110" s="111"/>
    </row>
    <row r="111" spans="1:21" x14ac:dyDescent="0.25">
      <c r="A111" s="98"/>
      <c r="Q111" s="98"/>
      <c r="R111" s="98"/>
      <c r="S111" s="111"/>
    </row>
    <row r="112" spans="1:21" x14ac:dyDescent="0.25">
      <c r="A112" s="98"/>
      <c r="Q112" s="98"/>
      <c r="R112" s="98"/>
      <c r="S112" s="111"/>
    </row>
    <row r="113" spans="1:19" x14ac:dyDescent="0.25">
      <c r="A113" s="98"/>
      <c r="Q113" s="98"/>
      <c r="R113" s="98"/>
      <c r="S113" s="111"/>
    </row>
    <row r="114" spans="1:19" x14ac:dyDescent="0.25">
      <c r="A114" s="98"/>
      <c r="Q114" s="98"/>
      <c r="R114" s="98"/>
      <c r="S114" s="111"/>
    </row>
    <row r="115" spans="1:19" x14ac:dyDescent="0.25">
      <c r="A115" s="98"/>
      <c r="Q115" s="98"/>
      <c r="R115" s="98"/>
      <c r="S115" s="111"/>
    </row>
  </sheetData>
  <sheetProtection formatCells="0" formatColumns="0" formatRows="0" insertColumns="0" insertRows="0" insertHyperlinks="0" deleteColumns="0" deleteRows="0" sort="0" autoFilter="0" pivotTables="0"/>
  <mergeCells count="15">
    <mergeCell ref="S27:T27"/>
    <mergeCell ref="S28:T28"/>
    <mergeCell ref="S29:T29"/>
    <mergeCell ref="T19:T20"/>
    <mergeCell ref="S22:T22"/>
    <mergeCell ref="S23:T23"/>
    <mergeCell ref="S24:T24"/>
    <mergeCell ref="S25:T25"/>
    <mergeCell ref="S26:T26"/>
    <mergeCell ref="T17:T18"/>
    <mergeCell ref="T3:T6"/>
    <mergeCell ref="T7:T8"/>
    <mergeCell ref="T9:T11"/>
    <mergeCell ref="T12:T13"/>
    <mergeCell ref="T14:T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6"/>
  <sheetViews>
    <sheetView rightToLeft="1" topLeftCell="A4" zoomScale="110" zoomScaleNormal="110" workbookViewId="0">
      <selection activeCell="I18" sqref="I18"/>
    </sheetView>
  </sheetViews>
  <sheetFormatPr defaultColWidth="9.140625" defaultRowHeight="15" x14ac:dyDescent="0.25"/>
  <cols>
    <col min="1" max="1" width="1.7109375" style="1" customWidth="1"/>
    <col min="2" max="2" width="2.7109375" style="14" customWidth="1"/>
    <col min="3" max="3" width="21.42578125" style="14" customWidth="1"/>
    <col min="4" max="4" width="17.5703125" style="15" customWidth="1"/>
    <col min="5" max="5" width="15.7109375" style="14" customWidth="1"/>
    <col min="6" max="6" width="11.140625" style="171" customWidth="1"/>
    <col min="7" max="7" width="7.7109375" style="3" customWidth="1"/>
    <col min="8" max="8" width="2.7109375" style="8" customWidth="1"/>
    <col min="9" max="9" width="13.7109375" style="8" customWidth="1"/>
    <col min="10" max="10" width="12.7109375" style="8" customWidth="1"/>
    <col min="11" max="11" width="12.140625" style="8" customWidth="1"/>
    <col min="12" max="13" width="12.7109375" style="8" customWidth="1"/>
    <col min="14" max="15" width="9.28515625" style="8" customWidth="1"/>
    <col min="16" max="16" width="9.28515625" style="9" customWidth="1"/>
    <col min="17" max="18" width="9.28515625" style="12" customWidth="1"/>
    <col min="19" max="24" width="9.28515625" style="4" customWidth="1"/>
    <col min="25" max="52" width="9.28515625" style="1" customWidth="1"/>
    <col min="53" max="53" width="27.140625" style="1" customWidth="1"/>
    <col min="54" max="54" width="15.85546875" style="157" customWidth="1"/>
    <col min="55" max="58" width="9.28515625" style="1" customWidth="1"/>
    <col min="59" max="16384" width="9.140625" style="1"/>
  </cols>
  <sheetData>
    <row r="1" spans="1:60" ht="9.75" customHeight="1" thickBot="1" x14ac:dyDescent="0.3">
      <c r="A1" s="21"/>
      <c r="B1" s="21"/>
      <c r="C1" s="21"/>
      <c r="D1" s="21"/>
      <c r="E1" s="21"/>
      <c r="F1" s="167"/>
      <c r="G1" s="167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60" ht="15" customHeight="1" thickBot="1" x14ac:dyDescent="0.3">
      <c r="A2" s="21"/>
      <c r="B2" s="196"/>
      <c r="C2" s="197"/>
      <c r="D2" s="198"/>
      <c r="E2" s="199"/>
      <c r="F2" s="200"/>
      <c r="G2" s="201"/>
      <c r="H2" s="202"/>
      <c r="I2" s="21"/>
      <c r="J2" s="19"/>
      <c r="K2" s="19"/>
      <c r="L2" s="19"/>
      <c r="M2" s="19"/>
      <c r="N2" s="17"/>
      <c r="O2" s="19"/>
      <c r="P2" s="20"/>
      <c r="Q2" s="21"/>
      <c r="R2" s="21"/>
      <c r="S2" s="19"/>
      <c r="T2" s="19"/>
      <c r="U2" s="19"/>
      <c r="V2" s="20"/>
      <c r="W2" s="22"/>
      <c r="X2" s="23"/>
      <c r="Y2" s="21"/>
      <c r="Z2" s="21"/>
      <c r="AZ2" s="155" t="s">
        <v>209</v>
      </c>
      <c r="BA2" s="156" t="s">
        <v>212</v>
      </c>
      <c r="BB2" s="159" t="s">
        <v>152</v>
      </c>
      <c r="BC2" s="13"/>
      <c r="BD2" s="5"/>
      <c r="BE2" s="6"/>
      <c r="BF2" s="7"/>
      <c r="BG2" s="6"/>
      <c r="BH2" s="6"/>
    </row>
    <row r="3" spans="1:60" ht="30" customHeight="1" x14ac:dyDescent="0.25">
      <c r="A3" s="21"/>
      <c r="B3" s="203"/>
      <c r="C3" s="432" t="s">
        <v>240</v>
      </c>
      <c r="D3" s="433"/>
      <c r="E3" s="433"/>
      <c r="F3" s="440" t="s">
        <v>98</v>
      </c>
      <c r="G3" s="441"/>
      <c r="H3" s="204"/>
      <c r="I3" s="21"/>
      <c r="J3" s="19"/>
      <c r="K3" s="19"/>
      <c r="L3" s="19"/>
      <c r="M3" s="19"/>
      <c r="N3" s="24"/>
      <c r="O3" s="20"/>
      <c r="P3" s="20"/>
      <c r="Q3" s="22"/>
      <c r="R3" s="21"/>
      <c r="S3" s="25"/>
      <c r="T3" s="25"/>
      <c r="U3" s="25"/>
      <c r="V3" s="20"/>
      <c r="W3" s="22"/>
      <c r="X3" s="23"/>
      <c r="Y3" s="19"/>
      <c r="Z3" s="21"/>
      <c r="AZ3" s="163" t="s">
        <v>215</v>
      </c>
      <c r="BA3" s="156" t="s">
        <v>213</v>
      </c>
      <c r="BB3" s="158" t="s">
        <v>138</v>
      </c>
      <c r="BD3" s="11"/>
      <c r="BE3" s="6"/>
      <c r="BF3" s="6"/>
      <c r="BG3" s="6"/>
      <c r="BH3" s="6"/>
    </row>
    <row r="4" spans="1:60" ht="20.100000000000001" customHeight="1" x14ac:dyDescent="0.25">
      <c r="A4" s="21"/>
      <c r="B4" s="203"/>
      <c r="C4" s="152" t="s">
        <v>118</v>
      </c>
      <c r="D4" s="153" t="s">
        <v>0</v>
      </c>
      <c r="E4" s="221" t="s">
        <v>1</v>
      </c>
      <c r="F4" s="363" t="s">
        <v>100</v>
      </c>
      <c r="G4" s="364">
        <v>7</v>
      </c>
      <c r="H4" s="204"/>
      <c r="I4" s="21"/>
      <c r="J4" s="19"/>
      <c r="K4" s="19"/>
      <c r="L4" s="19"/>
      <c r="M4" s="19"/>
      <c r="N4" s="17"/>
      <c r="O4" s="19"/>
      <c r="P4" s="20"/>
      <c r="Q4" s="21"/>
      <c r="R4" s="21"/>
      <c r="S4" s="19"/>
      <c r="T4" s="19"/>
      <c r="U4" s="19"/>
      <c r="V4" s="20"/>
      <c r="W4" s="22"/>
      <c r="X4" s="23"/>
      <c r="Y4" s="21"/>
      <c r="Z4" s="21"/>
      <c r="AK4" s="418" t="str">
        <f>IF(AND(AL7&lt;=6,AL8&gt;12),"NOT IN RANGE",IF(AND(AL7&gt;6,AL7&lt;=8,AL8&gt;9),"NOT IN RANGE",IF(AND(AL7&gt;8,AL7&lt;=10,AL8&gt;4),"NOT IN RANGE",IF(AND(AL7&gt;10,AL7&lt;=50,AL8&gt;1),"NOT IN RANGE","CORRECT RANGE"))))</f>
        <v>CORRECT RANGE</v>
      </c>
      <c r="AL4" s="419"/>
      <c r="AM4" s="419"/>
      <c r="BA4" s="162" t="s">
        <v>214</v>
      </c>
      <c r="BB4" s="158" t="s">
        <v>139</v>
      </c>
      <c r="BD4" s="11"/>
      <c r="BE4" s="6"/>
      <c r="BF4" s="6"/>
      <c r="BG4" s="6"/>
      <c r="BH4" s="6"/>
    </row>
    <row r="5" spans="1:60" ht="20.100000000000001" customHeight="1" x14ac:dyDescent="0.25">
      <c r="A5" s="21"/>
      <c r="B5" s="185"/>
      <c r="C5" s="183" t="e">
        <f>(D5+E5)*(D8-0.25)</f>
        <v>#VALUE!</v>
      </c>
      <c r="D5" s="182">
        <v>2</v>
      </c>
      <c r="E5" s="182" t="str">
        <f>IF(AND(D9&gt;2,D9&lt;=4.2),0,IF(AND(D9&gt;4.2,D9&lt;=8),1,IF(AND(D9&gt;8,D9&lt;=12),2,IF(AND(D9&gt;12,D9&lt;=16),3,IF(AND(D9&gt;16,D9&lt;=20),4,IF(AND(D9&gt;20,D9&lt;=24),5,IF(AND(D9&gt;24,D9&lt;=28),6,IF(AND(D9&gt;28,D9&lt;=32),7,IF(AND(D9&gt;32,D9&lt;=36),8,IF(AND(D9&gt;36,D9&lt;=40),9,IF(AND(D9&gt;40,D9&lt;=44),10,IF(AND(D9&gt;44,D9&lt;=48),11,IF(AND(D9&gt;48,D9&lt;=52),12,"NOT VALID")))))))))))))</f>
        <v>NOT VALID</v>
      </c>
      <c r="F5" s="363" t="s">
        <v>101</v>
      </c>
      <c r="G5" s="364">
        <v>15</v>
      </c>
      <c r="H5" s="204"/>
      <c r="I5" s="21"/>
      <c r="J5" s="19"/>
      <c r="K5" s="19"/>
      <c r="L5" s="19"/>
      <c r="M5" s="19"/>
      <c r="N5" s="24"/>
      <c r="O5" s="20"/>
      <c r="P5" s="20"/>
      <c r="Q5" s="22"/>
      <c r="R5" s="21"/>
      <c r="S5" s="21"/>
      <c r="T5" s="21"/>
      <c r="U5" s="21"/>
      <c r="V5" s="21"/>
      <c r="W5" s="21"/>
      <c r="X5" s="21"/>
      <c r="Y5" s="21"/>
      <c r="Z5" s="21"/>
      <c r="AK5" s="418"/>
      <c r="AL5" s="419"/>
      <c r="AM5" s="419"/>
      <c r="BA5" s="10"/>
      <c r="BC5" s="6"/>
      <c r="BD5" s="11"/>
      <c r="BE5" s="6"/>
      <c r="BF5" s="6"/>
      <c r="BG5" s="6"/>
      <c r="BH5" s="6"/>
    </row>
    <row r="6" spans="1:60" ht="20.100000000000001" customHeight="1" x14ac:dyDescent="0.25">
      <c r="A6" s="21"/>
      <c r="B6" s="185"/>
      <c r="C6" s="420" t="str">
        <f>IF(AND(D8&lt;=6,D9&gt;12),"NOT IN RANGE",IF(AND(D8&gt;6,D8&lt;=8,D9&gt;9),"NOT IN RANGE",IF(AND(D8&gt;8,D8&lt;=12,D9&gt;6),"NOT IN RANGE",IF(AND(D8&gt;12,D8&lt;=50,D9&gt;1),"NOT IN RANGE","CORRECT RANGE"))))</f>
        <v>CORRECT RANGE</v>
      </c>
      <c r="D6" s="421"/>
      <c r="E6" s="422"/>
      <c r="F6" s="363" t="s">
        <v>102</v>
      </c>
      <c r="G6" s="364">
        <v>20</v>
      </c>
      <c r="H6" s="204"/>
      <c r="I6" s="21"/>
      <c r="J6" s="19"/>
      <c r="K6" s="19"/>
      <c r="L6" s="19"/>
      <c r="M6" s="19"/>
      <c r="N6" s="17"/>
      <c r="O6" s="19"/>
      <c r="P6" s="20"/>
      <c r="Q6" s="21"/>
      <c r="R6" s="21"/>
      <c r="S6" s="19"/>
      <c r="T6" s="19"/>
      <c r="U6" s="19"/>
      <c r="V6" s="20"/>
      <c r="W6" s="22"/>
      <c r="X6" s="23"/>
      <c r="Y6" s="21"/>
      <c r="Z6" s="21"/>
      <c r="AK6" s="418"/>
      <c r="AL6" s="419"/>
      <c r="AM6" s="419"/>
      <c r="AZ6" s="160" t="s">
        <v>181</v>
      </c>
      <c r="BA6" s="10"/>
      <c r="BC6" s="6"/>
      <c r="BD6" s="11"/>
      <c r="BE6" s="6"/>
      <c r="BF6" s="6"/>
      <c r="BG6" s="6"/>
      <c r="BH6" s="6"/>
    </row>
    <row r="7" spans="1:60" ht="20.100000000000001" customHeight="1" x14ac:dyDescent="0.25">
      <c r="A7" s="21"/>
      <c r="B7" s="185"/>
      <c r="C7" s="423"/>
      <c r="D7" s="424"/>
      <c r="E7" s="425"/>
      <c r="F7" s="363" t="s">
        <v>103</v>
      </c>
      <c r="G7" s="364">
        <v>45</v>
      </c>
      <c r="H7" s="204"/>
      <c r="I7" s="21"/>
      <c r="J7" s="19"/>
      <c r="K7" s="19"/>
      <c r="L7" s="19"/>
      <c r="M7" s="19"/>
      <c r="N7" s="24"/>
      <c r="O7" s="20"/>
      <c r="P7" s="20"/>
      <c r="Q7" s="22"/>
      <c r="R7" s="21"/>
      <c r="S7" s="25"/>
      <c r="T7" s="25"/>
      <c r="U7" s="25"/>
      <c r="V7" s="20"/>
      <c r="W7" s="22"/>
      <c r="X7" s="23"/>
      <c r="Y7" s="19"/>
      <c r="Z7" s="21"/>
      <c r="AZ7" s="161" t="s">
        <v>182</v>
      </c>
      <c r="BA7" s="5"/>
      <c r="BC7" s="6"/>
      <c r="BD7" s="11"/>
      <c r="BE7" s="6"/>
      <c r="BF7" s="6"/>
      <c r="BG7" s="6"/>
      <c r="BH7" s="6"/>
    </row>
    <row r="8" spans="1:60" ht="20.100000000000001" customHeight="1" x14ac:dyDescent="0.25">
      <c r="A8" s="21"/>
      <c r="B8" s="185"/>
      <c r="C8" s="166" t="s">
        <v>224</v>
      </c>
      <c r="D8" s="222">
        <f>'پیش فاکتور سقف متحرک'!B13/100</f>
        <v>0</v>
      </c>
      <c r="E8" s="176" t="s">
        <v>153</v>
      </c>
      <c r="F8" s="363" t="s">
        <v>104</v>
      </c>
      <c r="G8" s="364"/>
      <c r="H8" s="204"/>
      <c r="I8" s="21"/>
      <c r="J8" s="19"/>
      <c r="K8" s="19"/>
      <c r="L8" s="19"/>
      <c r="M8" s="19"/>
      <c r="N8" s="17"/>
      <c r="O8" s="19"/>
      <c r="P8" s="20"/>
      <c r="Q8" s="21"/>
      <c r="R8" s="21"/>
      <c r="S8" s="19"/>
      <c r="T8" s="19"/>
      <c r="U8" s="19"/>
      <c r="V8" s="20"/>
      <c r="W8" s="22"/>
      <c r="X8" s="23"/>
      <c r="Y8" s="21"/>
      <c r="Z8" s="21"/>
      <c r="AZ8" s="160" t="s">
        <v>183</v>
      </c>
      <c r="BA8" s="5"/>
      <c r="BC8" s="6"/>
      <c r="BD8" s="11"/>
      <c r="BE8" s="6"/>
      <c r="BF8" s="6"/>
      <c r="BG8" s="6"/>
      <c r="BH8" s="6"/>
    </row>
    <row r="9" spans="1:60" ht="20.100000000000001" customHeight="1" x14ac:dyDescent="0.25">
      <c r="A9" s="21"/>
      <c r="B9" s="185"/>
      <c r="C9" s="166" t="s">
        <v>117</v>
      </c>
      <c r="D9" s="222">
        <f>'پیش فاکتور سقف متحرک'!C13/100</f>
        <v>0</v>
      </c>
      <c r="E9" s="177">
        <f>'پیش فاکتور سقف متحرک'!C24</f>
        <v>2200000</v>
      </c>
      <c r="F9" s="434" t="s">
        <v>120</v>
      </c>
      <c r="G9" s="435"/>
      <c r="H9" s="204"/>
      <c r="I9" s="19"/>
      <c r="J9" s="19"/>
      <c r="K9" s="19"/>
      <c r="L9" s="19"/>
      <c r="M9" s="19"/>
      <c r="N9" s="24"/>
      <c r="O9" s="20"/>
      <c r="P9" s="20"/>
      <c r="Q9" s="22"/>
      <c r="R9" s="21"/>
      <c r="S9" s="21"/>
      <c r="T9" s="21"/>
      <c r="U9" s="21"/>
      <c r="V9" s="21"/>
      <c r="W9" s="21"/>
      <c r="X9" s="21"/>
      <c r="Y9" s="21"/>
      <c r="Z9" s="21"/>
    </row>
    <row r="10" spans="1:60" ht="20.100000000000001" customHeight="1" x14ac:dyDescent="0.25">
      <c r="A10" s="21"/>
      <c r="B10" s="185"/>
      <c r="C10" s="166" t="s">
        <v>119</v>
      </c>
      <c r="D10" s="223">
        <f>'پیش فاکتور سقف متحرک'!D13</f>
        <v>0</v>
      </c>
      <c r="E10" s="176" t="s">
        <v>155</v>
      </c>
      <c r="F10" s="436">
        <f>D8*D9*D10</f>
        <v>0</v>
      </c>
      <c r="G10" s="437"/>
      <c r="H10" s="204"/>
      <c r="I10" s="19"/>
      <c r="J10" s="19"/>
      <c r="K10" s="19"/>
      <c r="L10" s="19"/>
      <c r="M10" s="19"/>
      <c r="N10" s="17"/>
      <c r="O10" s="19"/>
      <c r="P10" s="20"/>
      <c r="Q10" s="21"/>
      <c r="R10" s="21"/>
      <c r="S10" s="19"/>
      <c r="T10" s="19"/>
      <c r="U10" s="19"/>
      <c r="V10" s="20"/>
      <c r="W10" s="22"/>
      <c r="X10" s="23"/>
      <c r="Y10" s="21"/>
      <c r="Z10" s="21"/>
      <c r="AA10" s="214">
        <v>100</v>
      </c>
      <c r="AB10" s="211" t="s">
        <v>229</v>
      </c>
      <c r="AC10" s="214">
        <v>100</v>
      </c>
      <c r="AD10" s="210" t="s">
        <v>228</v>
      </c>
      <c r="AE10" s="212" t="s">
        <v>235</v>
      </c>
    </row>
    <row r="11" spans="1:60" ht="20.100000000000001" hidden="1" customHeight="1" x14ac:dyDescent="0.2">
      <c r="A11" s="21"/>
      <c r="B11" s="185"/>
      <c r="C11" s="2"/>
      <c r="D11" s="175"/>
      <c r="E11" s="178"/>
      <c r="F11" s="434" t="s">
        <v>99</v>
      </c>
      <c r="G11" s="435"/>
      <c r="H11" s="204"/>
      <c r="I11" s="19"/>
      <c r="J11" s="154"/>
      <c r="K11" s="19"/>
      <c r="L11" s="19"/>
      <c r="M11" s="19"/>
      <c r="N11" s="24"/>
      <c r="O11" s="20"/>
      <c r="P11" s="20"/>
      <c r="Q11" s="22"/>
      <c r="R11" s="21"/>
      <c r="S11" s="25"/>
      <c r="T11" s="25"/>
      <c r="U11" s="25"/>
      <c r="V11" s="20"/>
      <c r="W11" s="22"/>
      <c r="X11" s="23"/>
      <c r="Y11" s="19"/>
      <c r="Z11" s="21"/>
      <c r="AA11" s="214"/>
      <c r="AB11" s="25"/>
      <c r="AC11" s="214"/>
      <c r="AD11" s="22"/>
      <c r="AE11" s="22"/>
    </row>
    <row r="12" spans="1:60" ht="20.100000000000001" hidden="1" customHeight="1" x14ac:dyDescent="0.2">
      <c r="A12" s="21"/>
      <c r="B12" s="185"/>
      <c r="C12" s="2"/>
      <c r="D12" s="175"/>
      <c r="E12" s="178"/>
      <c r="F12" s="428" t="e">
        <f>'A2'!S22</f>
        <v>#VALUE!</v>
      </c>
      <c r="G12" s="429"/>
      <c r="H12" s="205"/>
      <c r="I12" s="19"/>
      <c r="J12" s="19"/>
      <c r="K12" s="19"/>
      <c r="L12" s="19"/>
      <c r="M12" s="19"/>
      <c r="N12" s="17"/>
      <c r="O12" s="19"/>
      <c r="P12" s="20"/>
      <c r="Q12" s="21"/>
      <c r="R12" s="21"/>
      <c r="S12" s="19"/>
      <c r="T12" s="19"/>
      <c r="U12" s="19"/>
      <c r="V12" s="20"/>
      <c r="W12" s="22"/>
      <c r="X12" s="23"/>
      <c r="Y12" s="21"/>
      <c r="Z12" s="21"/>
      <c r="AA12" s="214">
        <v>110</v>
      </c>
      <c r="AB12" s="211" t="s">
        <v>230</v>
      </c>
      <c r="AC12" s="214">
        <v>105</v>
      </c>
      <c r="AD12" s="210" t="s">
        <v>225</v>
      </c>
      <c r="AE12" s="22"/>
    </row>
    <row r="13" spans="1:60" ht="20.100000000000001" hidden="1" customHeight="1" x14ac:dyDescent="0.25">
      <c r="A13" s="21"/>
      <c r="B13" s="185"/>
      <c r="C13" s="184"/>
      <c r="D13" s="174" t="s">
        <v>137</v>
      </c>
      <c r="E13" s="176"/>
      <c r="F13" s="438" t="e">
        <f>(F12*F10)</f>
        <v>#VALUE!</v>
      </c>
      <c r="G13" s="439"/>
      <c r="H13" s="204"/>
      <c r="I13" s="19"/>
      <c r="J13" s="19"/>
      <c r="K13" s="19"/>
      <c r="L13" s="19"/>
      <c r="M13" s="19"/>
      <c r="N13" s="24"/>
      <c r="O13" s="20"/>
      <c r="P13" s="20"/>
      <c r="Q13" s="22"/>
      <c r="R13" s="21"/>
      <c r="S13" s="21"/>
      <c r="T13" s="21"/>
      <c r="U13" s="21"/>
      <c r="V13" s="21"/>
      <c r="W13" s="21"/>
      <c r="X13" s="21"/>
      <c r="Y13" s="21"/>
      <c r="Z13" s="21"/>
      <c r="AA13" s="214">
        <v>140</v>
      </c>
      <c r="AB13" s="213" t="s">
        <v>231</v>
      </c>
      <c r="AC13" s="214">
        <v>125</v>
      </c>
      <c r="AD13" s="210" t="s">
        <v>226</v>
      </c>
      <c r="AE13" s="22"/>
    </row>
    <row r="14" spans="1:60" ht="20.100000000000001" hidden="1" customHeight="1" x14ac:dyDescent="0.25">
      <c r="A14" s="21"/>
      <c r="B14" s="185"/>
      <c r="C14" s="184"/>
      <c r="D14" s="430" t="e">
        <f>IF(AND(D17="ALUMINUM RAIL  140"),F14,IF(AND(D17="ALUMINUM+STEEL"),F14*0.8,0))</f>
        <v>#VALUE!</v>
      </c>
      <c r="E14" s="431"/>
      <c r="F14" s="428" t="e">
        <f>F13*1.15</f>
        <v>#VALUE!</v>
      </c>
      <c r="G14" s="429"/>
      <c r="H14" s="204"/>
      <c r="I14" s="19"/>
      <c r="J14" s="19"/>
      <c r="K14" s="19"/>
      <c r="L14" s="19"/>
      <c r="M14" s="19"/>
      <c r="N14" s="24"/>
      <c r="O14" s="20"/>
      <c r="P14" s="20"/>
      <c r="Q14" s="22"/>
      <c r="R14" s="21"/>
      <c r="S14" s="19"/>
      <c r="T14" s="19"/>
      <c r="U14" s="19"/>
      <c r="V14" s="20"/>
      <c r="W14" s="22"/>
      <c r="X14" s="23"/>
      <c r="Y14" s="21"/>
      <c r="Z14" s="21"/>
      <c r="AA14" s="214">
        <v>115</v>
      </c>
      <c r="AB14" s="211" t="s">
        <v>232</v>
      </c>
      <c r="AC14" s="214">
        <v>112</v>
      </c>
      <c r="AD14" s="210" t="s">
        <v>227</v>
      </c>
      <c r="AE14" s="22"/>
    </row>
    <row r="15" spans="1:60" ht="20.100000000000001" customHeight="1" x14ac:dyDescent="0.25">
      <c r="A15" s="21"/>
      <c r="B15" s="185"/>
      <c r="C15" s="219" t="s">
        <v>238</v>
      </c>
      <c r="D15" s="218" t="str">
        <f>'پیش فاکتور سقف متحرک'!E13</f>
        <v>-----</v>
      </c>
      <c r="E15" s="177">
        <f>'پیش فاکتور سقف متحرک'!C25</f>
        <v>700000</v>
      </c>
      <c r="F15" s="434" t="s">
        <v>99</v>
      </c>
      <c r="G15" s="435"/>
      <c r="H15" s="204"/>
      <c r="I15" s="31"/>
      <c r="J15" s="19"/>
      <c r="K15" s="19"/>
      <c r="L15" s="19"/>
      <c r="M15" s="19"/>
      <c r="N15" s="17"/>
      <c r="O15" s="19"/>
      <c r="P15" s="20"/>
      <c r="Q15" s="21"/>
      <c r="R15" s="21"/>
      <c r="S15" s="25"/>
      <c r="T15" s="25"/>
      <c r="U15" s="25"/>
      <c r="V15" s="20"/>
      <c r="W15" s="22"/>
      <c r="X15" s="23"/>
      <c r="Y15" s="19"/>
      <c r="Z15" s="21"/>
      <c r="AA15" s="214">
        <v>110</v>
      </c>
      <c r="AB15" s="25"/>
      <c r="AC15" s="25"/>
      <c r="AD15" s="20"/>
      <c r="AE15" s="22"/>
    </row>
    <row r="16" spans="1:60" ht="20.100000000000001" customHeight="1" x14ac:dyDescent="0.25">
      <c r="A16" s="21"/>
      <c r="B16" s="185"/>
      <c r="C16" s="219" t="s">
        <v>239</v>
      </c>
      <c r="D16" s="218" t="str">
        <f>'پیش فاکتور سقف متحرک'!F13</f>
        <v>Nothing</v>
      </c>
      <c r="E16" s="177" t="s">
        <v>198</v>
      </c>
      <c r="F16" s="426" t="e">
        <f>F18/F10</f>
        <v>#DIV/0!</v>
      </c>
      <c r="G16" s="427"/>
      <c r="H16" s="204"/>
      <c r="I16" s="31"/>
      <c r="J16" s="19"/>
      <c r="K16" s="19"/>
      <c r="L16" s="19"/>
      <c r="M16" s="19"/>
      <c r="N16" s="17"/>
      <c r="O16" s="19"/>
      <c r="P16" s="20"/>
      <c r="Q16" s="21"/>
      <c r="R16" s="21"/>
      <c r="S16" s="19"/>
      <c r="T16" s="19"/>
      <c r="U16" s="19"/>
      <c r="V16" s="20"/>
      <c r="W16" s="22"/>
      <c r="X16" s="23"/>
      <c r="Y16" s="21"/>
      <c r="Z16" s="21"/>
      <c r="AA16" s="214">
        <v>110</v>
      </c>
      <c r="AB16" s="19"/>
      <c r="AC16" s="25"/>
      <c r="AD16" s="20"/>
      <c r="AE16" s="22"/>
      <c r="BB16" s="216" t="s">
        <v>236</v>
      </c>
    </row>
    <row r="17" spans="1:54" ht="20.100000000000001" customHeight="1" x14ac:dyDescent="0.25">
      <c r="A17" s="21"/>
      <c r="B17" s="185"/>
      <c r="C17" s="166" t="s">
        <v>208</v>
      </c>
      <c r="D17" s="220" t="s">
        <v>210</v>
      </c>
      <c r="E17" s="179">
        <f>'پیش فاکتور سقف متحرک'!C26</f>
        <v>450000</v>
      </c>
      <c r="F17" s="434" t="s">
        <v>121</v>
      </c>
      <c r="G17" s="435"/>
      <c r="H17" s="204"/>
      <c r="I17" s="31"/>
      <c r="J17" s="19"/>
      <c r="K17" s="19"/>
      <c r="L17" s="19"/>
      <c r="M17" s="19"/>
      <c r="N17" s="17"/>
      <c r="O17" s="19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4">
        <v>110</v>
      </c>
      <c r="AB17" s="25"/>
      <c r="AC17" s="25"/>
      <c r="AD17" s="20"/>
      <c r="AE17" s="22"/>
      <c r="BB17" s="217" t="s">
        <v>237</v>
      </c>
    </row>
    <row r="18" spans="1:54" ht="20.100000000000001" customHeight="1" x14ac:dyDescent="0.25">
      <c r="A18" s="21"/>
      <c r="B18" s="185"/>
      <c r="C18" s="166" t="s">
        <v>211</v>
      </c>
      <c r="D18" s="416" t="s">
        <v>216</v>
      </c>
      <c r="E18" s="417"/>
      <c r="F18" s="426">
        <f>IF(AND(D15="sayaneh",D16="mana"),D14*1.05,IF(AND(D15="sayaneh",D16="shana"),D14*1.25,IF(AND(D15="sayaneh",D16="mah sayeh"),D14*1.1,IF(AND(D15="pavlion",D16="atin"),D14*1.1,IF(AND(D15="pavlion",D16="atin plus"),D14*1.4,IF(AND(D15="pavlion",D16="paina"),D14*1.15,IF(AND(D15="pavlion",D16="horno"),D14*1.35,IF(AND(D15="pavlion",D16="aavan"),D14*0.95,IF(AND(D15="pavlion",D16="Nothing"),D14*1,IF(AND(D15="sayaneh",D16="Nothing"),D14*1,IF(AND(D15="roof level",D16="Nothing"),D14*1,0)))))))))))</f>
        <v>0</v>
      </c>
      <c r="G18" s="427"/>
      <c r="H18" s="204"/>
      <c r="I18" s="31"/>
      <c r="J18" s="19"/>
      <c r="K18" s="19"/>
      <c r="L18" s="19"/>
      <c r="M18" s="19"/>
      <c r="N18" s="17"/>
      <c r="O18" s="19"/>
      <c r="P18" s="20"/>
      <c r="Q18" s="21"/>
      <c r="R18" s="21"/>
      <c r="S18" s="19"/>
      <c r="T18" s="19"/>
      <c r="U18" s="19"/>
      <c r="V18" s="20"/>
      <c r="W18" s="22"/>
      <c r="X18" s="23"/>
      <c r="Y18" s="21"/>
      <c r="Z18" s="21"/>
      <c r="AA18" s="214">
        <v>110</v>
      </c>
      <c r="AB18" s="25"/>
      <c r="AC18" s="25"/>
      <c r="AD18" s="20"/>
      <c r="AE18" s="22"/>
      <c r="BB18" s="210" t="s">
        <v>225</v>
      </c>
    </row>
    <row r="19" spans="1:54" ht="15" customHeight="1" x14ac:dyDescent="0.25">
      <c r="A19" s="32" t="s">
        <v>3</v>
      </c>
      <c r="B19" s="185"/>
      <c r="C19" s="185"/>
      <c r="D19" s="173"/>
      <c r="E19" s="173"/>
      <c r="F19" s="173"/>
      <c r="G19" s="186"/>
      <c r="H19" s="186"/>
      <c r="I19" s="19"/>
      <c r="J19" s="19"/>
      <c r="K19" s="19"/>
      <c r="L19" s="19"/>
      <c r="M19" s="19"/>
      <c r="N19" s="24"/>
      <c r="O19" s="20"/>
      <c r="P19" s="20"/>
      <c r="Q19" s="22"/>
      <c r="R19" s="21"/>
      <c r="S19" s="25"/>
      <c r="T19" s="25"/>
      <c r="U19" s="25"/>
      <c r="V19" s="20"/>
      <c r="W19" s="22"/>
      <c r="X19" s="23"/>
      <c r="Y19" s="19"/>
      <c r="Z19" s="21"/>
      <c r="AA19" s="214">
        <v>135</v>
      </c>
      <c r="AB19" s="211" t="s">
        <v>233</v>
      </c>
      <c r="AC19" s="25"/>
      <c r="AD19" s="211"/>
      <c r="AE19" s="22"/>
      <c r="BB19" s="210" t="s">
        <v>226</v>
      </c>
    </row>
    <row r="20" spans="1:54" ht="20.100000000000001" customHeight="1" x14ac:dyDescent="0.25">
      <c r="A20" s="21"/>
      <c r="B20" s="185"/>
      <c r="C20" s="187"/>
      <c r="D20" s="18"/>
      <c r="E20" s="16"/>
      <c r="F20" s="168"/>
      <c r="G20" s="188"/>
      <c r="H20" s="186"/>
      <c r="I20" s="19"/>
      <c r="J20" s="19"/>
      <c r="K20" s="19"/>
      <c r="L20" s="19"/>
      <c r="M20" s="19"/>
      <c r="N20" s="17"/>
      <c r="O20" s="19"/>
      <c r="P20" s="20"/>
      <c r="Q20" s="21"/>
      <c r="R20" s="21"/>
      <c r="S20" s="19"/>
      <c r="T20" s="19"/>
      <c r="U20" s="19"/>
      <c r="V20" s="20"/>
      <c r="W20" s="22"/>
      <c r="X20" s="23"/>
      <c r="Y20" s="21"/>
      <c r="Z20" s="21"/>
      <c r="AA20" s="214">
        <v>95</v>
      </c>
      <c r="AB20" s="211" t="s">
        <v>234</v>
      </c>
      <c r="AC20" s="25"/>
      <c r="AD20" s="213"/>
      <c r="AE20" s="22"/>
      <c r="BB20" s="210" t="s">
        <v>227</v>
      </c>
    </row>
    <row r="21" spans="1:54" ht="20.100000000000001" customHeight="1" x14ac:dyDescent="0.25">
      <c r="A21" s="21"/>
      <c r="B21" s="185"/>
      <c r="C21" s="187"/>
      <c r="D21" s="18"/>
      <c r="E21" s="16"/>
      <c r="F21" s="168"/>
      <c r="G21" s="188"/>
      <c r="H21" s="186"/>
      <c r="I21" s="19"/>
      <c r="J21" s="19"/>
      <c r="K21" s="19"/>
      <c r="L21" s="19"/>
      <c r="M21" s="19"/>
      <c r="N21" s="24"/>
      <c r="O21" s="20"/>
      <c r="P21" s="20"/>
      <c r="Q21" s="22"/>
      <c r="R21" s="21"/>
      <c r="S21" s="21"/>
      <c r="T21" s="21"/>
      <c r="U21" s="21"/>
      <c r="V21" s="21"/>
      <c r="W21" s="21"/>
      <c r="X21" s="21"/>
      <c r="Y21" s="21"/>
      <c r="Z21" s="21"/>
      <c r="BB21" s="217" t="s">
        <v>237</v>
      </c>
    </row>
    <row r="22" spans="1:54" ht="20.100000000000001" customHeight="1" x14ac:dyDescent="0.25">
      <c r="A22" s="21"/>
      <c r="B22" s="185"/>
      <c r="C22" s="187"/>
      <c r="D22" s="18"/>
      <c r="E22" s="16"/>
      <c r="F22" s="168"/>
      <c r="G22" s="188"/>
      <c r="H22" s="186"/>
      <c r="I22" s="19"/>
      <c r="J22" s="19"/>
      <c r="K22" s="19"/>
      <c r="L22" s="19"/>
      <c r="M22" s="19"/>
      <c r="N22" s="17"/>
      <c r="O22" s="19"/>
      <c r="P22" s="20"/>
      <c r="Q22" s="21"/>
      <c r="R22" s="21"/>
      <c r="S22" s="19"/>
      <c r="T22" s="19"/>
      <c r="U22" s="19"/>
      <c r="V22" s="20"/>
      <c r="W22" s="22"/>
      <c r="X22" s="23"/>
      <c r="Y22" s="21"/>
      <c r="Z22" s="21"/>
      <c r="BB22" s="211" t="s">
        <v>230</v>
      </c>
    </row>
    <row r="23" spans="1:54" ht="20.100000000000001" customHeight="1" x14ac:dyDescent="0.25">
      <c r="A23" s="21"/>
      <c r="B23" s="185"/>
      <c r="C23" s="187"/>
      <c r="D23" s="18"/>
      <c r="E23" s="16"/>
      <c r="F23" s="168"/>
      <c r="G23" s="188"/>
      <c r="H23" s="186"/>
      <c r="I23" s="19"/>
      <c r="J23" s="19"/>
      <c r="K23" s="19"/>
      <c r="L23" s="19"/>
      <c r="M23" s="19"/>
      <c r="N23" s="24"/>
      <c r="O23" s="20"/>
      <c r="P23" s="20"/>
      <c r="Q23" s="22"/>
      <c r="R23" s="21"/>
      <c r="S23" s="25"/>
      <c r="T23" s="25"/>
      <c r="U23" s="25"/>
      <c r="V23" s="20"/>
      <c r="W23" s="22"/>
      <c r="X23" s="23"/>
      <c r="Y23" s="19"/>
      <c r="Z23" s="21"/>
      <c r="BB23" s="215" t="s">
        <v>231</v>
      </c>
    </row>
    <row r="24" spans="1:54" ht="15.95" customHeight="1" x14ac:dyDescent="0.25">
      <c r="A24" s="21"/>
      <c r="B24" s="206"/>
      <c r="C24" s="189"/>
      <c r="D24" s="28"/>
      <c r="E24" s="27"/>
      <c r="F24" s="26"/>
      <c r="G24" s="188"/>
      <c r="H24" s="186"/>
      <c r="I24" s="19"/>
      <c r="J24" s="19"/>
      <c r="K24" s="19"/>
      <c r="L24" s="19"/>
      <c r="M24" s="19"/>
      <c r="N24" s="17"/>
      <c r="O24" s="19"/>
      <c r="P24" s="20"/>
      <c r="Q24" s="21"/>
      <c r="R24" s="21"/>
      <c r="S24" s="19"/>
      <c r="T24" s="19"/>
      <c r="U24" s="19"/>
      <c r="V24" s="20"/>
      <c r="W24" s="22"/>
      <c r="X24" s="23"/>
      <c r="Y24" s="21"/>
      <c r="Z24" s="21"/>
      <c r="BB24" s="211" t="s">
        <v>232</v>
      </c>
    </row>
    <row r="25" spans="1:54" ht="15.95" customHeight="1" x14ac:dyDescent="0.25">
      <c r="A25" s="21"/>
      <c r="B25" s="206"/>
      <c r="C25" s="189"/>
      <c r="D25" s="28"/>
      <c r="E25" s="27"/>
      <c r="F25" s="26"/>
      <c r="G25" s="188"/>
      <c r="H25" s="186"/>
      <c r="I25" s="19"/>
      <c r="J25" s="19"/>
      <c r="K25" s="19"/>
      <c r="L25" s="19"/>
      <c r="M25" s="19"/>
      <c r="N25" s="24"/>
      <c r="O25" s="20"/>
      <c r="P25" s="20"/>
      <c r="Q25" s="22"/>
      <c r="R25" s="21"/>
      <c r="S25" s="21"/>
      <c r="T25" s="21"/>
      <c r="U25" s="21"/>
      <c r="V25" s="21"/>
      <c r="W25" s="21"/>
      <c r="X25" s="21"/>
      <c r="Y25" s="21"/>
      <c r="Z25" s="21"/>
      <c r="BB25" s="211" t="s">
        <v>233</v>
      </c>
    </row>
    <row r="26" spans="1:54" ht="15.95" customHeight="1" x14ac:dyDescent="0.25">
      <c r="A26" s="21"/>
      <c r="B26" s="203"/>
      <c r="C26" s="189"/>
      <c r="D26" s="28"/>
      <c r="E26" s="27"/>
      <c r="F26" s="26"/>
      <c r="G26" s="190"/>
      <c r="H26" s="186"/>
      <c r="I26" s="19"/>
      <c r="J26" s="19"/>
      <c r="K26" s="19"/>
      <c r="L26" s="19"/>
      <c r="M26" s="19"/>
      <c r="N26" s="17"/>
      <c r="O26" s="19"/>
      <c r="P26" s="20"/>
      <c r="Q26" s="21"/>
      <c r="R26" s="21"/>
      <c r="S26" s="19"/>
      <c r="T26" s="19"/>
      <c r="U26" s="19"/>
      <c r="V26" s="20"/>
      <c r="W26" s="22"/>
      <c r="X26" s="23"/>
      <c r="Y26" s="21"/>
      <c r="Z26" s="21"/>
      <c r="BB26" s="211" t="s">
        <v>234</v>
      </c>
    </row>
    <row r="27" spans="1:54" ht="15.95" customHeight="1" x14ac:dyDescent="0.25">
      <c r="A27" s="21"/>
      <c r="B27" s="203"/>
      <c r="C27" s="189"/>
      <c r="D27" s="28"/>
      <c r="E27" s="27"/>
      <c r="F27" s="26"/>
      <c r="G27" s="190"/>
      <c r="H27" s="186"/>
      <c r="I27" s="19"/>
      <c r="J27" s="19"/>
      <c r="K27" s="19"/>
      <c r="L27" s="19"/>
      <c r="M27" s="19"/>
      <c r="N27" s="24"/>
      <c r="O27" s="20"/>
      <c r="P27" s="20"/>
      <c r="Q27" s="22"/>
      <c r="R27" s="21"/>
      <c r="S27" s="25"/>
      <c r="T27" s="25"/>
      <c r="U27" s="25"/>
      <c r="V27" s="20"/>
      <c r="W27" s="22"/>
      <c r="X27" s="23"/>
      <c r="Y27" s="19"/>
      <c r="Z27" s="21"/>
      <c r="BB27" s="211"/>
    </row>
    <row r="28" spans="1:54" ht="15.95" customHeight="1" x14ac:dyDescent="0.25">
      <c r="A28" s="21"/>
      <c r="B28" s="203"/>
      <c r="C28" s="189"/>
      <c r="D28" s="28"/>
      <c r="E28" s="27"/>
      <c r="F28" s="26"/>
      <c r="G28" s="190"/>
      <c r="H28" s="186"/>
      <c r="I28" s="19"/>
      <c r="J28" s="19"/>
      <c r="K28" s="19"/>
      <c r="L28" s="19"/>
      <c r="M28" s="19"/>
      <c r="N28" s="17"/>
      <c r="O28" s="19"/>
      <c r="P28" s="20"/>
      <c r="Q28" s="21"/>
      <c r="R28" s="21"/>
      <c r="S28" s="19"/>
      <c r="T28" s="19"/>
      <c r="U28" s="19"/>
      <c r="V28" s="20"/>
      <c r="W28" s="22"/>
      <c r="X28" s="23"/>
      <c r="Y28" s="21"/>
      <c r="Z28" s="21"/>
    </row>
    <row r="29" spans="1:54" ht="15.95" customHeight="1" x14ac:dyDescent="0.25">
      <c r="A29" s="21"/>
      <c r="B29" s="203"/>
      <c r="C29" s="189"/>
      <c r="D29" s="28"/>
      <c r="E29" s="27"/>
      <c r="F29" s="26"/>
      <c r="G29" s="190"/>
      <c r="H29" s="186"/>
      <c r="I29" s="19"/>
      <c r="J29" s="19"/>
      <c r="K29" s="19"/>
      <c r="L29" s="19"/>
      <c r="M29" s="19"/>
      <c r="N29" s="24"/>
      <c r="O29" s="20"/>
      <c r="P29" s="20"/>
      <c r="Q29" s="22"/>
      <c r="R29" s="21"/>
      <c r="S29" s="21"/>
      <c r="T29" s="21"/>
      <c r="U29" s="21"/>
      <c r="V29" s="21"/>
      <c r="W29" s="21"/>
      <c r="X29" s="21"/>
      <c r="Y29" s="21"/>
      <c r="Z29" s="21"/>
    </row>
    <row r="30" spans="1:54" ht="15.95" customHeight="1" x14ac:dyDescent="0.25">
      <c r="A30" s="21"/>
      <c r="B30" s="203"/>
      <c r="C30" s="189"/>
      <c r="D30" s="28"/>
      <c r="E30" s="27"/>
      <c r="F30" s="26"/>
      <c r="G30" s="190"/>
      <c r="H30" s="186"/>
      <c r="I30" s="19"/>
      <c r="J30" s="19"/>
      <c r="K30" s="19"/>
      <c r="L30" s="19"/>
      <c r="M30" s="19"/>
      <c r="N30" s="17"/>
      <c r="O30" s="19"/>
      <c r="P30" s="20"/>
      <c r="Q30" s="21"/>
      <c r="R30" s="21"/>
      <c r="S30" s="19"/>
      <c r="T30" s="19"/>
      <c r="U30" s="19"/>
      <c r="V30" s="20"/>
      <c r="W30" s="22"/>
      <c r="X30" s="23"/>
      <c r="Y30" s="21"/>
      <c r="Z30" s="21"/>
    </row>
    <row r="31" spans="1:54" ht="15.95" customHeight="1" x14ac:dyDescent="0.25">
      <c r="A31" s="21"/>
      <c r="B31" s="203"/>
      <c r="C31" s="189"/>
      <c r="D31" s="28"/>
      <c r="E31" s="27"/>
      <c r="F31" s="26"/>
      <c r="G31" s="190"/>
      <c r="H31" s="186"/>
      <c r="I31" s="19"/>
      <c r="J31" s="19"/>
      <c r="K31" s="19"/>
      <c r="L31" s="19"/>
      <c r="M31" s="19"/>
      <c r="N31" s="24"/>
      <c r="O31" s="20"/>
      <c r="P31" s="20"/>
      <c r="Q31" s="22"/>
      <c r="R31" s="21"/>
      <c r="S31" s="25"/>
      <c r="T31" s="25"/>
      <c r="U31" s="25"/>
      <c r="V31" s="20"/>
      <c r="W31" s="22"/>
      <c r="X31" s="23"/>
      <c r="Y31" s="19"/>
      <c r="Z31" s="21"/>
    </row>
    <row r="32" spans="1:54" ht="15.95" customHeight="1" x14ac:dyDescent="0.25">
      <c r="A32" s="21"/>
      <c r="B32" s="203"/>
      <c r="C32" s="189"/>
      <c r="D32" s="28"/>
      <c r="E32" s="27"/>
      <c r="F32" s="26"/>
      <c r="G32" s="190"/>
      <c r="H32" s="186"/>
      <c r="I32" s="19"/>
      <c r="J32" s="19"/>
      <c r="K32" s="19"/>
      <c r="L32" s="19"/>
      <c r="M32" s="19"/>
      <c r="N32" s="17"/>
      <c r="O32" s="19"/>
      <c r="P32" s="20"/>
      <c r="Q32" s="21"/>
      <c r="R32" s="21"/>
      <c r="S32" s="19"/>
      <c r="T32" s="19"/>
      <c r="U32" s="19"/>
      <c r="V32" s="20"/>
      <c r="W32" s="22"/>
      <c r="X32" s="23"/>
      <c r="Y32" s="21"/>
      <c r="Z32" s="21"/>
    </row>
    <row r="33" spans="1:26" ht="15.95" customHeight="1" x14ac:dyDescent="0.25">
      <c r="A33" s="21"/>
      <c r="B33" s="203"/>
      <c r="C33" s="189"/>
      <c r="D33" s="28"/>
      <c r="E33" s="27"/>
      <c r="F33" s="26"/>
      <c r="G33" s="190"/>
      <c r="H33" s="186"/>
      <c r="I33" s="19"/>
      <c r="J33" s="19"/>
      <c r="K33" s="19"/>
      <c r="L33" s="19"/>
      <c r="M33" s="19"/>
      <c r="N33" s="24"/>
      <c r="O33" s="20"/>
      <c r="P33" s="20"/>
      <c r="Q33" s="22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95" customHeight="1" x14ac:dyDescent="0.25">
      <c r="A34" s="21"/>
      <c r="B34" s="206"/>
      <c r="C34" s="189"/>
      <c r="D34" s="28"/>
      <c r="E34" s="27"/>
      <c r="F34" s="26"/>
      <c r="G34" s="190"/>
      <c r="H34" s="186"/>
      <c r="I34" s="19"/>
      <c r="J34" s="19"/>
      <c r="K34" s="19"/>
      <c r="L34" s="19"/>
      <c r="M34" s="19"/>
      <c r="N34" s="17"/>
      <c r="O34" s="19"/>
      <c r="P34" s="20"/>
      <c r="Q34" s="21"/>
      <c r="R34" s="21"/>
      <c r="S34" s="19"/>
      <c r="T34" s="19"/>
      <c r="U34" s="19"/>
      <c r="V34" s="20"/>
      <c r="W34" s="22"/>
      <c r="X34" s="23"/>
      <c r="Y34" s="21"/>
      <c r="Z34" s="21"/>
    </row>
    <row r="35" spans="1:26" ht="15.95" customHeight="1" thickBot="1" x14ac:dyDescent="0.3">
      <c r="A35" s="21"/>
      <c r="B35" s="203"/>
      <c r="C35" s="191"/>
      <c r="D35" s="192"/>
      <c r="E35" s="193"/>
      <c r="F35" s="194"/>
      <c r="G35" s="195"/>
      <c r="H35" s="186"/>
      <c r="I35" s="19"/>
      <c r="J35" s="19"/>
      <c r="K35" s="19"/>
      <c r="L35" s="19"/>
      <c r="M35" s="19"/>
      <c r="N35" s="24"/>
      <c r="O35" s="20"/>
      <c r="P35" s="20"/>
      <c r="Q35" s="22"/>
      <c r="R35" s="21"/>
      <c r="S35" s="25"/>
      <c r="T35" s="25"/>
      <c r="U35" s="25"/>
      <c r="V35" s="20"/>
      <c r="W35" s="22"/>
      <c r="X35" s="23"/>
      <c r="Y35" s="19"/>
      <c r="Z35" s="21"/>
    </row>
    <row r="36" spans="1:26" ht="15.95" customHeight="1" thickBot="1" x14ac:dyDescent="0.3">
      <c r="A36" s="21"/>
      <c r="B36" s="207"/>
      <c r="C36" s="208"/>
      <c r="D36" s="208"/>
      <c r="E36" s="208"/>
      <c r="F36" s="208"/>
      <c r="G36" s="208"/>
      <c r="H36" s="209"/>
      <c r="I36" s="19"/>
      <c r="J36" s="19"/>
      <c r="K36" s="19"/>
      <c r="L36" s="19"/>
      <c r="M36" s="19"/>
      <c r="N36" s="17"/>
      <c r="O36" s="19"/>
      <c r="P36" s="20"/>
      <c r="Q36" s="21"/>
      <c r="R36" s="21"/>
      <c r="S36" s="19"/>
      <c r="T36" s="19"/>
      <c r="U36" s="19"/>
      <c r="V36" s="20"/>
      <c r="W36" s="22"/>
      <c r="X36" s="23"/>
      <c r="Y36" s="21"/>
      <c r="Z36" s="21"/>
    </row>
    <row r="37" spans="1:26" ht="15.95" customHeight="1" x14ac:dyDescent="0.25">
      <c r="A37" s="21"/>
      <c r="B37" s="27"/>
      <c r="C37" s="27"/>
      <c r="D37" s="28"/>
      <c r="E37" s="27"/>
      <c r="F37" s="168"/>
      <c r="G37" s="169"/>
      <c r="H37" s="29"/>
      <c r="I37" s="19"/>
      <c r="J37" s="19"/>
      <c r="K37" s="19"/>
      <c r="L37" s="19"/>
      <c r="M37" s="19"/>
      <c r="N37" s="24"/>
      <c r="O37" s="20"/>
      <c r="P37" s="20"/>
      <c r="Q37" s="22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21"/>
      <c r="B38" s="27"/>
      <c r="C38" s="27"/>
      <c r="D38" s="28"/>
      <c r="E38" s="27"/>
      <c r="F38" s="168"/>
      <c r="G38" s="169"/>
      <c r="H38" s="29"/>
      <c r="I38" s="19"/>
      <c r="J38" s="19"/>
      <c r="K38" s="19"/>
      <c r="L38" s="19"/>
      <c r="M38" s="19"/>
      <c r="N38" s="17"/>
      <c r="O38" s="19"/>
      <c r="P38" s="20"/>
      <c r="Q38" s="21"/>
      <c r="R38" s="21"/>
      <c r="S38" s="19"/>
      <c r="T38" s="19"/>
      <c r="U38" s="19"/>
      <c r="V38" s="20"/>
      <c r="W38" s="22"/>
      <c r="X38" s="23"/>
      <c r="Y38" s="21"/>
      <c r="Z38" s="21"/>
    </row>
    <row r="39" spans="1:26" x14ac:dyDescent="0.25">
      <c r="A39" s="21"/>
      <c r="B39" s="27"/>
      <c r="C39" s="27"/>
      <c r="D39" s="28"/>
      <c r="E39" s="27"/>
      <c r="F39" s="168"/>
      <c r="G39" s="170"/>
      <c r="H39" s="19"/>
      <c r="I39" s="19"/>
      <c r="J39" s="19"/>
      <c r="K39" s="19"/>
      <c r="L39" s="19"/>
      <c r="M39" s="19"/>
      <c r="N39" s="24"/>
      <c r="O39" s="20"/>
      <c r="P39" s="20"/>
      <c r="Q39" s="22"/>
      <c r="R39" s="21"/>
      <c r="S39" s="25"/>
      <c r="T39" s="25"/>
      <c r="U39" s="25"/>
      <c r="V39" s="20"/>
      <c r="W39" s="22"/>
      <c r="X39" s="23"/>
      <c r="Y39" s="19"/>
      <c r="Z39" s="21"/>
    </row>
    <row r="40" spans="1:26" x14ac:dyDescent="0.25">
      <c r="A40" s="21"/>
      <c r="B40" s="27"/>
      <c r="C40" s="27"/>
      <c r="D40" s="28"/>
      <c r="E40" s="27"/>
      <c r="F40" s="168"/>
      <c r="G40" s="170"/>
      <c r="H40" s="19"/>
      <c r="I40" s="19"/>
      <c r="J40" s="19"/>
      <c r="K40" s="19"/>
      <c r="L40" s="19"/>
      <c r="M40" s="19"/>
      <c r="N40" s="17"/>
      <c r="O40" s="19"/>
      <c r="P40" s="20"/>
      <c r="Q40" s="21"/>
      <c r="R40" s="21"/>
      <c r="S40" s="19"/>
      <c r="T40" s="19"/>
      <c r="U40" s="19"/>
      <c r="V40" s="20"/>
      <c r="W40" s="22"/>
      <c r="X40" s="23"/>
      <c r="Y40" s="21"/>
      <c r="Z40" s="21"/>
    </row>
    <row r="41" spans="1:26" x14ac:dyDescent="0.25">
      <c r="A41" s="21"/>
      <c r="B41" s="27"/>
      <c r="C41" s="27"/>
      <c r="D41" s="28"/>
      <c r="E41" s="27"/>
      <c r="F41" s="168"/>
      <c r="G41" s="170"/>
      <c r="H41" s="19"/>
      <c r="I41" s="19"/>
      <c r="J41" s="19"/>
      <c r="K41" s="19"/>
      <c r="L41" s="19"/>
      <c r="M41" s="19"/>
      <c r="N41" s="24"/>
      <c r="O41" s="20"/>
      <c r="P41" s="20"/>
      <c r="Q41" s="22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21"/>
      <c r="B42" s="27"/>
      <c r="C42" s="27"/>
      <c r="D42" s="28"/>
      <c r="E42" s="27"/>
      <c r="F42" s="168"/>
      <c r="G42" s="170"/>
      <c r="H42" s="19"/>
      <c r="I42" s="19"/>
      <c r="J42" s="19"/>
      <c r="K42" s="19"/>
      <c r="L42" s="19"/>
      <c r="M42" s="19"/>
      <c r="N42" s="17"/>
      <c r="O42" s="19"/>
      <c r="P42" s="20"/>
      <c r="Q42" s="21"/>
      <c r="R42" s="21"/>
      <c r="S42" s="19"/>
      <c r="T42" s="19"/>
      <c r="U42" s="19"/>
      <c r="V42" s="20"/>
      <c r="W42" s="22"/>
      <c r="X42" s="23"/>
      <c r="Y42" s="21"/>
      <c r="Z42" s="21"/>
    </row>
    <row r="43" spans="1:26" x14ac:dyDescent="0.25">
      <c r="A43" s="21"/>
      <c r="B43" s="27"/>
      <c r="C43" s="27"/>
      <c r="D43" s="28"/>
      <c r="E43" s="27"/>
      <c r="F43" s="168"/>
      <c r="G43" s="170"/>
      <c r="H43" s="19"/>
      <c r="I43" s="19"/>
      <c r="J43" s="19"/>
      <c r="K43" s="19"/>
      <c r="L43" s="19"/>
      <c r="M43" s="19"/>
      <c r="N43" s="24"/>
      <c r="O43" s="20"/>
      <c r="P43" s="20"/>
      <c r="Q43" s="22"/>
      <c r="R43" s="21"/>
      <c r="S43" s="25"/>
      <c r="T43" s="25"/>
      <c r="U43" s="25"/>
      <c r="V43" s="20"/>
      <c r="W43" s="22"/>
      <c r="X43" s="23"/>
      <c r="Y43" s="19"/>
      <c r="Z43" s="21"/>
    </row>
    <row r="44" spans="1:26" x14ac:dyDescent="0.25">
      <c r="A44" s="21"/>
      <c r="B44" s="27"/>
      <c r="C44" s="27"/>
      <c r="D44" s="28"/>
      <c r="E44" s="27"/>
      <c r="F44" s="168"/>
      <c r="G44" s="170"/>
      <c r="H44" s="19"/>
      <c r="I44" s="19"/>
      <c r="J44" s="19"/>
      <c r="K44" s="19"/>
      <c r="L44" s="19"/>
      <c r="M44" s="19"/>
      <c r="N44" s="17"/>
      <c r="O44" s="19"/>
      <c r="P44" s="20"/>
      <c r="Q44" s="21"/>
      <c r="R44" s="21"/>
      <c r="S44" s="19"/>
      <c r="T44" s="19"/>
      <c r="U44" s="19"/>
      <c r="V44" s="20"/>
      <c r="W44" s="22"/>
      <c r="X44" s="23"/>
      <c r="Y44" s="21"/>
      <c r="Z44" s="21"/>
    </row>
    <row r="45" spans="1:26" x14ac:dyDescent="0.25">
      <c r="A45" s="21"/>
      <c r="B45" s="27"/>
      <c r="C45" s="27"/>
      <c r="D45" s="28"/>
      <c r="E45" s="27"/>
      <c r="F45" s="168"/>
      <c r="G45" s="170"/>
      <c r="H45" s="19"/>
      <c r="I45" s="19"/>
      <c r="J45" s="19"/>
      <c r="K45" s="19"/>
      <c r="L45" s="19"/>
      <c r="M45" s="19"/>
      <c r="N45" s="24"/>
      <c r="O45" s="20"/>
      <c r="P45" s="20"/>
      <c r="Q45" s="22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1"/>
      <c r="B46" s="27"/>
      <c r="C46" s="27"/>
      <c r="D46" s="30"/>
      <c r="E46" s="27"/>
      <c r="F46" s="168"/>
      <c r="G46" s="167"/>
      <c r="H46" s="19"/>
      <c r="I46" s="19"/>
      <c r="J46" s="19"/>
      <c r="K46" s="19"/>
      <c r="L46" s="19"/>
      <c r="M46" s="19"/>
      <c r="N46" s="17"/>
      <c r="O46" s="19"/>
      <c r="P46" s="20"/>
      <c r="Q46" s="21"/>
      <c r="R46" s="21"/>
      <c r="S46" s="19"/>
      <c r="T46" s="19"/>
      <c r="U46" s="19"/>
      <c r="V46" s="20"/>
      <c r="W46" s="22"/>
      <c r="X46" s="23"/>
      <c r="Y46" s="21"/>
      <c r="Z46" s="21"/>
    </row>
    <row r="47" spans="1:26" x14ac:dyDescent="0.25">
      <c r="A47" s="21"/>
      <c r="B47" s="27"/>
      <c r="C47" s="27"/>
      <c r="D47" s="30"/>
      <c r="E47" s="27"/>
      <c r="F47" s="168"/>
      <c r="G47" s="167"/>
      <c r="H47" s="19"/>
      <c r="I47" s="19"/>
      <c r="J47" s="19"/>
      <c r="K47" s="19"/>
      <c r="L47" s="19"/>
      <c r="M47" s="19"/>
      <c r="N47" s="24"/>
      <c r="O47" s="20"/>
      <c r="P47" s="20"/>
      <c r="Q47" s="22"/>
      <c r="R47" s="21"/>
      <c r="S47" s="25"/>
      <c r="T47" s="25"/>
      <c r="U47" s="25"/>
      <c r="V47" s="20"/>
      <c r="W47" s="22"/>
      <c r="X47" s="23"/>
      <c r="Y47" s="19"/>
      <c r="Z47" s="21"/>
    </row>
    <row r="48" spans="1:26" x14ac:dyDescent="0.25">
      <c r="A48" s="21"/>
      <c r="B48" s="27"/>
      <c r="C48" s="27"/>
      <c r="D48" s="30"/>
      <c r="E48" s="27"/>
      <c r="F48" s="168"/>
      <c r="G48" s="167"/>
      <c r="H48" s="19"/>
      <c r="I48" s="19"/>
      <c r="J48" s="19"/>
      <c r="K48" s="19"/>
      <c r="L48" s="19"/>
      <c r="M48" s="19"/>
      <c r="N48" s="17"/>
      <c r="O48" s="19"/>
      <c r="P48" s="20"/>
      <c r="Q48" s="21"/>
      <c r="R48" s="21"/>
      <c r="S48" s="19"/>
      <c r="T48" s="19"/>
      <c r="U48" s="19"/>
      <c r="V48" s="20"/>
      <c r="W48" s="22"/>
      <c r="X48" s="23"/>
      <c r="Y48" s="21"/>
      <c r="Z48" s="21"/>
    </row>
    <row r="49" spans="1:26" x14ac:dyDescent="0.25">
      <c r="A49" s="21"/>
      <c r="B49" s="27"/>
      <c r="C49" s="27"/>
      <c r="D49" s="30"/>
      <c r="E49" s="27"/>
      <c r="F49" s="168"/>
      <c r="G49" s="167"/>
      <c r="H49" s="19"/>
      <c r="I49" s="19"/>
      <c r="J49" s="19"/>
      <c r="K49" s="19"/>
      <c r="L49" s="19"/>
      <c r="M49" s="19"/>
      <c r="N49" s="24"/>
      <c r="O49" s="20"/>
      <c r="P49" s="20"/>
      <c r="Q49" s="22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21"/>
      <c r="B50" s="27"/>
      <c r="C50" s="27"/>
      <c r="D50" s="30"/>
      <c r="E50" s="27"/>
      <c r="F50" s="168"/>
      <c r="G50" s="167"/>
      <c r="H50" s="19"/>
      <c r="I50" s="19"/>
      <c r="J50" s="19"/>
      <c r="K50" s="19"/>
      <c r="L50" s="19"/>
      <c r="M50" s="19"/>
      <c r="N50" s="17"/>
      <c r="O50" s="19"/>
      <c r="P50" s="20"/>
      <c r="Q50" s="21"/>
      <c r="R50" s="21"/>
      <c r="S50" s="19"/>
      <c r="T50" s="19"/>
      <c r="U50" s="19"/>
      <c r="V50" s="20"/>
      <c r="W50" s="22"/>
      <c r="X50" s="23"/>
      <c r="Y50" s="21"/>
      <c r="Z50" s="21"/>
    </row>
    <row r="51" spans="1:26" x14ac:dyDescent="0.25">
      <c r="A51" s="21"/>
      <c r="B51" s="27"/>
      <c r="C51" s="27"/>
      <c r="D51" s="30"/>
      <c r="E51" s="27"/>
      <c r="F51" s="168"/>
      <c r="G51" s="167"/>
      <c r="H51" s="19"/>
      <c r="I51" s="19"/>
      <c r="J51" s="19"/>
      <c r="K51" s="19"/>
      <c r="L51" s="19"/>
      <c r="M51" s="19"/>
      <c r="N51" s="24"/>
      <c r="O51" s="20"/>
      <c r="P51" s="20"/>
      <c r="Q51" s="22"/>
      <c r="R51" s="21"/>
      <c r="S51" s="25"/>
      <c r="T51" s="25"/>
      <c r="U51" s="25"/>
      <c r="V51" s="20"/>
      <c r="W51" s="22"/>
      <c r="X51" s="23"/>
      <c r="Y51" s="19"/>
      <c r="Z51" s="21"/>
    </row>
    <row r="52" spans="1:26" x14ac:dyDescent="0.25">
      <c r="A52" s="21"/>
      <c r="B52" s="27"/>
      <c r="C52" s="27"/>
      <c r="D52" s="30"/>
      <c r="F52" s="168"/>
      <c r="G52" s="167"/>
      <c r="H52" s="19"/>
      <c r="I52" s="19"/>
      <c r="J52" s="19"/>
      <c r="K52" s="19"/>
      <c r="L52" s="19"/>
      <c r="M52" s="19"/>
      <c r="N52" s="17"/>
      <c r="O52" s="19"/>
      <c r="P52" s="20"/>
      <c r="Q52" s="21"/>
      <c r="R52" s="21"/>
      <c r="S52" s="19"/>
      <c r="T52" s="19"/>
      <c r="U52" s="19"/>
      <c r="V52" s="20"/>
      <c r="W52" s="22"/>
      <c r="X52" s="23"/>
      <c r="Y52" s="21"/>
      <c r="Z52" s="21"/>
    </row>
    <row r="53" spans="1:26" x14ac:dyDescent="0.25">
      <c r="A53" s="21"/>
      <c r="B53" s="27"/>
      <c r="C53" s="27"/>
      <c r="D53" s="30"/>
      <c r="F53" s="168"/>
      <c r="G53" s="167"/>
      <c r="H53" s="19"/>
      <c r="I53" s="19"/>
      <c r="J53" s="19"/>
      <c r="K53" s="19"/>
      <c r="L53" s="19"/>
      <c r="M53" s="19"/>
      <c r="N53" s="24"/>
      <c r="O53" s="20"/>
      <c r="P53" s="20"/>
      <c r="Q53" s="22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5">
      <c r="A54" s="21"/>
      <c r="B54" s="27"/>
      <c r="C54" s="27"/>
      <c r="D54" s="30"/>
      <c r="F54" s="168"/>
      <c r="G54" s="167"/>
      <c r="H54" s="19"/>
      <c r="I54" s="19"/>
      <c r="J54" s="19"/>
      <c r="K54" s="19"/>
      <c r="L54" s="19"/>
      <c r="M54" s="19"/>
      <c r="N54" s="17"/>
      <c r="O54" s="19"/>
      <c r="P54" s="20"/>
      <c r="Q54" s="21"/>
      <c r="R54" s="21"/>
      <c r="S54" s="19"/>
      <c r="T54" s="19"/>
      <c r="U54" s="19"/>
      <c r="V54" s="20"/>
      <c r="W54" s="22"/>
      <c r="X54" s="23"/>
      <c r="Y54" s="21"/>
      <c r="Z54" s="21"/>
    </row>
    <row r="55" spans="1:26" x14ac:dyDescent="0.25">
      <c r="A55" s="21"/>
      <c r="B55" s="27"/>
      <c r="C55" s="27"/>
      <c r="D55" s="30"/>
      <c r="F55" s="168"/>
      <c r="G55" s="167"/>
      <c r="H55" s="19"/>
      <c r="I55" s="19"/>
      <c r="J55" s="19"/>
      <c r="K55" s="19"/>
      <c r="L55" s="19"/>
      <c r="M55" s="19"/>
      <c r="N55" s="19"/>
      <c r="O55" s="19"/>
      <c r="P55" s="20"/>
      <c r="Q55" s="22"/>
      <c r="R55" s="22"/>
      <c r="S55" s="25"/>
      <c r="T55" s="25"/>
      <c r="U55" s="25"/>
      <c r="V55" s="20"/>
      <c r="W55" s="22"/>
      <c r="X55" s="23"/>
      <c r="Y55" s="19"/>
      <c r="Z55" s="21"/>
    </row>
    <row r="56" spans="1:26" x14ac:dyDescent="0.25">
      <c r="S56" s="19"/>
      <c r="T56" s="19"/>
      <c r="U56" s="19"/>
      <c r="V56" s="20"/>
      <c r="W56" s="22"/>
      <c r="X56" s="23"/>
      <c r="Y56" s="21"/>
      <c r="Z56" s="21"/>
    </row>
  </sheetData>
  <sheetProtection formatCells="0" formatColumns="0" formatRows="0"/>
  <mergeCells count="16">
    <mergeCell ref="F10:G10"/>
    <mergeCell ref="C3:E3"/>
    <mergeCell ref="F3:G3"/>
    <mergeCell ref="AK4:AM6"/>
    <mergeCell ref="C6:E7"/>
    <mergeCell ref="F9:G9"/>
    <mergeCell ref="F16:G16"/>
    <mergeCell ref="F17:G17"/>
    <mergeCell ref="D18:E18"/>
    <mergeCell ref="F18:G18"/>
    <mergeCell ref="F11:G11"/>
    <mergeCell ref="F12:G12"/>
    <mergeCell ref="F13:G13"/>
    <mergeCell ref="D14:E14"/>
    <mergeCell ref="F14:G14"/>
    <mergeCell ref="F15:G15"/>
  </mergeCells>
  <conditionalFormatting sqref="C6">
    <cfRule type="cellIs" dxfId="20" priority="3" operator="equal">
      <formula>"NOT IN RANGE"</formula>
    </cfRule>
    <cfRule type="cellIs" dxfId="19" priority="4" operator="equal">
      <formula>"CORRECT RANGE"</formula>
    </cfRule>
  </conditionalFormatting>
  <conditionalFormatting sqref="AK4">
    <cfRule type="cellIs" dxfId="18" priority="1" operator="equal">
      <formula>"NOT IN RANGE"</formula>
    </cfRule>
    <cfRule type="cellIs" dxfId="17" priority="2" operator="equal">
      <formula>"CORRECT RANGE"</formula>
    </cfRule>
  </conditionalFormatting>
  <dataValidations count="3">
    <dataValidation type="list" allowBlank="1" showInputMessage="1" showErrorMessage="1" sqref="D16" xr:uid="{00000000-0002-0000-0100-000000000000}">
      <formula1>$BB$16:$BB$26</formula1>
    </dataValidation>
    <dataValidation type="list" allowBlank="1" showInputMessage="1" showErrorMessage="1" sqref="D15" xr:uid="{00000000-0002-0000-0100-000001000000}">
      <formula1>$BB$2:$BB$4</formula1>
    </dataValidation>
    <dataValidation type="list" allowBlank="1" showInputMessage="1" showErrorMessage="1" sqref="D17" xr:uid="{00000000-0002-0000-0100-000002000000}">
      <formula1>$AZ$2:$AZ$3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97"/>
  <sheetViews>
    <sheetView rightToLeft="1" workbookViewId="0">
      <selection activeCell="J19" sqref="J19"/>
    </sheetView>
  </sheetViews>
  <sheetFormatPr defaultRowHeight="15" x14ac:dyDescent="0.25"/>
  <cols>
    <col min="1" max="1" width="2.85546875" customWidth="1"/>
    <col min="2" max="2" width="25.28515625" customWidth="1"/>
    <col min="3" max="5" width="11" customWidth="1"/>
    <col min="6" max="6" width="12" customWidth="1"/>
    <col min="8" max="8" width="24.140625" customWidth="1"/>
    <col min="11" max="11" width="11.42578125" customWidth="1"/>
    <col min="12" max="12" width="10.42578125" customWidth="1"/>
  </cols>
  <sheetData>
    <row r="1" spans="1:12" x14ac:dyDescent="0.25">
      <c r="A1" s="134"/>
      <c r="B1" s="134"/>
      <c r="C1" s="134"/>
      <c r="D1" s="134"/>
      <c r="E1" s="134"/>
      <c r="F1" s="134"/>
    </row>
    <row r="2" spans="1:12" ht="15" customHeight="1" x14ac:dyDescent="0.25">
      <c r="B2" s="72"/>
      <c r="C2" s="72"/>
      <c r="D2" s="72"/>
      <c r="E2" s="72"/>
      <c r="F2" s="72"/>
      <c r="H2" s="75"/>
      <c r="I2" s="72"/>
      <c r="J2" s="72"/>
      <c r="K2" s="72"/>
      <c r="L2" s="72"/>
    </row>
    <row r="3" spans="1:12" ht="15" customHeight="1" x14ac:dyDescent="0.25">
      <c r="B3" s="76" t="s">
        <v>137</v>
      </c>
      <c r="C3" s="590" t="s">
        <v>158</v>
      </c>
      <c r="D3" s="590"/>
      <c r="E3" s="590"/>
      <c r="F3" s="78"/>
      <c r="H3" s="76" t="s">
        <v>136</v>
      </c>
      <c r="I3" s="593" t="s">
        <v>157</v>
      </c>
      <c r="J3" s="594"/>
      <c r="K3" s="595"/>
      <c r="L3" s="77"/>
    </row>
    <row r="4" spans="1:12" ht="15" customHeight="1" x14ac:dyDescent="0.25">
      <c r="B4" s="229" t="s">
        <v>180</v>
      </c>
      <c r="C4" s="79" t="s">
        <v>4</v>
      </c>
      <c r="D4" s="79" t="s">
        <v>15</v>
      </c>
      <c r="E4" s="80" t="s">
        <v>16</v>
      </c>
      <c r="F4" s="78" t="s">
        <v>3</v>
      </c>
      <c r="H4" s="229" t="s">
        <v>179</v>
      </c>
      <c r="I4" s="79" t="s">
        <v>4</v>
      </c>
      <c r="J4" s="79" t="s">
        <v>15</v>
      </c>
      <c r="K4" s="80" t="s">
        <v>16</v>
      </c>
      <c r="L4" s="78"/>
    </row>
    <row r="5" spans="1:12" ht="15" customHeight="1" x14ac:dyDescent="0.25">
      <c r="B5" s="81" t="s">
        <v>17</v>
      </c>
      <c r="C5" s="82">
        <v>1</v>
      </c>
      <c r="D5" s="83" t="s">
        <v>18</v>
      </c>
      <c r="E5" s="78">
        <f>F5*C5</f>
        <v>1050000</v>
      </c>
      <c r="F5" s="117">
        <v>1050000</v>
      </c>
      <c r="H5" s="81" t="s">
        <v>17</v>
      </c>
      <c r="I5" s="82">
        <v>1</v>
      </c>
      <c r="J5" s="83" t="s">
        <v>18</v>
      </c>
      <c r="K5" s="78">
        <f>L5*I5</f>
        <v>1250000</v>
      </c>
      <c r="L5" s="117">
        <v>1250000</v>
      </c>
    </row>
    <row r="6" spans="1:12" ht="15" customHeight="1" x14ac:dyDescent="0.25">
      <c r="B6" s="81" t="s">
        <v>186</v>
      </c>
      <c r="C6" s="82">
        <v>1</v>
      </c>
      <c r="D6" s="83" t="s">
        <v>18</v>
      </c>
      <c r="E6" s="78">
        <f t="shared" ref="E6:E12" si="0">F6*C6</f>
        <v>680000</v>
      </c>
      <c r="F6" s="117">
        <v>680000</v>
      </c>
      <c r="H6" s="81" t="s">
        <v>19</v>
      </c>
      <c r="I6" s="82">
        <v>1</v>
      </c>
      <c r="J6" s="83" t="s">
        <v>18</v>
      </c>
      <c r="K6" s="78">
        <f t="shared" ref="K6:K12" si="1">L6*I6</f>
        <v>680000</v>
      </c>
      <c r="L6" s="117">
        <v>680000</v>
      </c>
    </row>
    <row r="7" spans="1:12" ht="15" customHeight="1" x14ac:dyDescent="0.25">
      <c r="B7" s="81" t="s">
        <v>20</v>
      </c>
      <c r="C7" s="82">
        <v>2</v>
      </c>
      <c r="D7" s="83" t="s">
        <v>18</v>
      </c>
      <c r="E7" s="78">
        <f t="shared" si="0"/>
        <v>120000</v>
      </c>
      <c r="F7" s="117">
        <v>60000</v>
      </c>
      <c r="H7" s="81" t="s">
        <v>20</v>
      </c>
      <c r="I7" s="82">
        <v>2</v>
      </c>
      <c r="J7" s="83" t="s">
        <v>18</v>
      </c>
      <c r="K7" s="78">
        <f t="shared" si="1"/>
        <v>120000</v>
      </c>
      <c r="L7" s="117">
        <v>60000</v>
      </c>
    </row>
    <row r="8" spans="1:12" ht="15" customHeight="1" x14ac:dyDescent="0.25">
      <c r="B8" s="81" t="s">
        <v>21</v>
      </c>
      <c r="C8" s="82">
        <v>1</v>
      </c>
      <c r="D8" s="83" t="s">
        <v>18</v>
      </c>
      <c r="E8" s="78">
        <f t="shared" si="0"/>
        <v>250000</v>
      </c>
      <c r="F8" s="117">
        <v>250000</v>
      </c>
      <c r="H8" s="81" t="s">
        <v>21</v>
      </c>
      <c r="I8" s="82">
        <v>2</v>
      </c>
      <c r="J8" s="83" t="s">
        <v>18</v>
      </c>
      <c r="K8" s="78">
        <f t="shared" si="1"/>
        <v>500000</v>
      </c>
      <c r="L8" s="117">
        <v>250000</v>
      </c>
    </row>
    <row r="9" spans="1:12" ht="15" customHeight="1" x14ac:dyDescent="0.25">
      <c r="B9" s="81" t="s">
        <v>22</v>
      </c>
      <c r="C9" s="82">
        <v>2</v>
      </c>
      <c r="D9" s="83" t="s">
        <v>18</v>
      </c>
      <c r="E9" s="78">
        <f t="shared" si="0"/>
        <v>24000</v>
      </c>
      <c r="F9" s="117">
        <v>12000</v>
      </c>
      <c r="H9" s="81" t="s">
        <v>22</v>
      </c>
      <c r="I9" s="82">
        <v>2</v>
      </c>
      <c r="J9" s="83" t="s">
        <v>18</v>
      </c>
      <c r="K9" s="78">
        <f t="shared" si="1"/>
        <v>24000</v>
      </c>
      <c r="L9" s="117">
        <v>12000</v>
      </c>
    </row>
    <row r="10" spans="1:12" ht="15" customHeight="1" x14ac:dyDescent="0.25">
      <c r="B10" s="81" t="s">
        <v>23</v>
      </c>
      <c r="C10" s="82">
        <v>8</v>
      </c>
      <c r="D10" s="83" t="s">
        <v>18</v>
      </c>
      <c r="E10" s="78">
        <f t="shared" si="0"/>
        <v>48000</v>
      </c>
      <c r="F10" s="117">
        <v>6000</v>
      </c>
      <c r="H10" s="81" t="s">
        <v>23</v>
      </c>
      <c r="I10" s="82">
        <v>8</v>
      </c>
      <c r="J10" s="83" t="s">
        <v>18</v>
      </c>
      <c r="K10" s="78">
        <f t="shared" si="1"/>
        <v>48000</v>
      </c>
      <c r="L10" s="117">
        <v>6000</v>
      </c>
    </row>
    <row r="11" spans="1:12" ht="15" customHeight="1" x14ac:dyDescent="0.25">
      <c r="B11" s="81" t="s">
        <v>159</v>
      </c>
      <c r="C11" s="82">
        <v>2</v>
      </c>
      <c r="D11" s="83" t="s">
        <v>18</v>
      </c>
      <c r="E11" s="78">
        <f t="shared" si="0"/>
        <v>20000</v>
      </c>
      <c r="F11" s="117">
        <v>10000</v>
      </c>
      <c r="H11" s="81" t="s">
        <v>159</v>
      </c>
      <c r="I11" s="82">
        <v>2</v>
      </c>
      <c r="J11" s="83" t="s">
        <v>18</v>
      </c>
      <c r="K11" s="78">
        <f t="shared" si="1"/>
        <v>20000</v>
      </c>
      <c r="L11" s="117">
        <v>10000</v>
      </c>
    </row>
    <row r="12" spans="1:12" ht="15" customHeight="1" x14ac:dyDescent="0.25">
      <c r="B12" s="81" t="s">
        <v>106</v>
      </c>
      <c r="C12" s="82">
        <v>1.8</v>
      </c>
      <c r="D12" s="85" t="s">
        <v>107</v>
      </c>
      <c r="E12" s="78">
        <f t="shared" si="0"/>
        <v>450000</v>
      </c>
      <c r="F12" s="117">
        <f>'AAA1'!$T$2</f>
        <v>250000</v>
      </c>
      <c r="H12" s="81" t="s">
        <v>106</v>
      </c>
      <c r="I12" s="82">
        <v>2.5</v>
      </c>
      <c r="J12" s="85" t="s">
        <v>107</v>
      </c>
      <c r="K12" s="78">
        <f t="shared" si="1"/>
        <v>625000</v>
      </c>
      <c r="L12" s="117">
        <f>'AAA1'!$T$2</f>
        <v>250000</v>
      </c>
    </row>
    <row r="13" spans="1:12" ht="15" customHeight="1" x14ac:dyDescent="0.25">
      <c r="B13" s="120"/>
      <c r="C13" s="591">
        <f>SUM(E5:E13)</f>
        <v>2642000</v>
      </c>
      <c r="D13" s="592"/>
      <c r="E13" s="592"/>
      <c r="F13" s="121"/>
      <c r="H13" s="81"/>
      <c r="I13" s="591">
        <f>SUM(K5:K13)</f>
        <v>3267000</v>
      </c>
      <c r="J13" s="592"/>
      <c r="K13" s="592"/>
      <c r="L13" s="78"/>
    </row>
    <row r="14" spans="1:12" ht="15" customHeight="1" x14ac:dyDescent="0.25">
      <c r="B14" s="74"/>
      <c r="C14" s="72"/>
      <c r="D14" s="72"/>
      <c r="E14" s="72"/>
      <c r="F14" s="72"/>
      <c r="H14" s="72"/>
      <c r="I14" s="72"/>
      <c r="J14" s="72"/>
      <c r="K14" s="72"/>
      <c r="L14" s="72"/>
    </row>
    <row r="15" spans="1:12" ht="15.75" x14ac:dyDescent="0.25">
      <c r="B15" s="81"/>
      <c r="C15" s="590" t="s">
        <v>160</v>
      </c>
      <c r="D15" s="590"/>
      <c r="E15" s="590"/>
      <c r="F15" s="78"/>
    </row>
    <row r="16" spans="1:12" x14ac:dyDescent="0.25">
      <c r="B16" s="229" t="s">
        <v>5</v>
      </c>
      <c r="C16" s="79" t="s">
        <v>4</v>
      </c>
      <c r="D16" s="79" t="s">
        <v>15</v>
      </c>
      <c r="E16" s="80" t="s">
        <v>16</v>
      </c>
      <c r="F16" s="78"/>
    </row>
    <row r="17" spans="2:6" x14ac:dyDescent="0.25">
      <c r="B17" s="81" t="s">
        <v>24</v>
      </c>
      <c r="C17" s="82">
        <v>2</v>
      </c>
      <c r="D17" s="83" t="s">
        <v>18</v>
      </c>
      <c r="E17" s="78">
        <f>F17*C17</f>
        <v>260000</v>
      </c>
      <c r="F17" s="117">
        <v>130000</v>
      </c>
    </row>
    <row r="18" spans="2:6" x14ac:dyDescent="0.25">
      <c r="B18" s="81" t="s">
        <v>187</v>
      </c>
      <c r="C18" s="82">
        <v>2</v>
      </c>
      <c r="D18" s="83" t="s">
        <v>18</v>
      </c>
      <c r="E18" s="78">
        <f t="shared" ref="E18:E32" si="2">F18*C18</f>
        <v>160000</v>
      </c>
      <c r="F18" s="117">
        <v>80000</v>
      </c>
    </row>
    <row r="19" spans="2:6" x14ac:dyDescent="0.25">
      <c r="B19" s="81" t="s">
        <v>26</v>
      </c>
      <c r="C19" s="82">
        <v>2</v>
      </c>
      <c r="D19" s="83" t="s">
        <v>18</v>
      </c>
      <c r="E19" s="78">
        <f t="shared" si="2"/>
        <v>700000</v>
      </c>
      <c r="F19" s="117">
        <v>350000</v>
      </c>
    </row>
    <row r="20" spans="2:6" x14ac:dyDescent="0.25">
      <c r="B20" s="81" t="s">
        <v>27</v>
      </c>
      <c r="C20" s="82">
        <v>1</v>
      </c>
      <c r="D20" s="83" t="s">
        <v>18</v>
      </c>
      <c r="E20" s="78">
        <f t="shared" si="2"/>
        <v>110000</v>
      </c>
      <c r="F20" s="117">
        <v>110000</v>
      </c>
    </row>
    <row r="21" spans="2:6" x14ac:dyDescent="0.25">
      <c r="B21" s="81" t="s">
        <v>28</v>
      </c>
      <c r="C21" s="82">
        <v>1</v>
      </c>
      <c r="D21" s="83" t="s">
        <v>18</v>
      </c>
      <c r="E21" s="78">
        <f t="shared" si="2"/>
        <v>400000</v>
      </c>
      <c r="F21" s="117">
        <v>400000</v>
      </c>
    </row>
    <row r="22" spans="2:6" x14ac:dyDescent="0.25">
      <c r="B22" s="81" t="s">
        <v>29</v>
      </c>
      <c r="C22" s="82">
        <v>1</v>
      </c>
      <c r="D22" s="83" t="s">
        <v>18</v>
      </c>
      <c r="E22" s="78">
        <f t="shared" si="2"/>
        <v>250000</v>
      </c>
      <c r="F22" s="117">
        <v>250000</v>
      </c>
    </row>
    <row r="23" spans="2:6" x14ac:dyDescent="0.25">
      <c r="B23" s="81" t="s">
        <v>30</v>
      </c>
      <c r="C23" s="82">
        <v>2</v>
      </c>
      <c r="D23" s="83" t="s">
        <v>18</v>
      </c>
      <c r="E23" s="78">
        <f t="shared" si="2"/>
        <v>50000</v>
      </c>
      <c r="F23" s="117">
        <v>25000</v>
      </c>
    </row>
    <row r="24" spans="2:6" x14ac:dyDescent="0.25">
      <c r="B24" s="81" t="s">
        <v>31</v>
      </c>
      <c r="C24" s="82">
        <v>8</v>
      </c>
      <c r="D24" s="83" t="s">
        <v>18</v>
      </c>
      <c r="E24" s="78">
        <f t="shared" si="2"/>
        <v>40000</v>
      </c>
      <c r="F24" s="117">
        <v>5000</v>
      </c>
    </row>
    <row r="25" spans="2:6" x14ac:dyDescent="0.25">
      <c r="B25" s="81" t="s">
        <v>32</v>
      </c>
      <c r="C25" s="82">
        <v>1</v>
      </c>
      <c r="D25" s="83" t="s">
        <v>18</v>
      </c>
      <c r="E25" s="78">
        <f t="shared" si="2"/>
        <v>100000</v>
      </c>
      <c r="F25" s="117">
        <v>100000</v>
      </c>
    </row>
    <row r="26" spans="2:6" x14ac:dyDescent="0.25">
      <c r="B26" s="81" t="s">
        <v>108</v>
      </c>
      <c r="C26" s="82">
        <v>2</v>
      </c>
      <c r="D26" s="83" t="s">
        <v>18</v>
      </c>
      <c r="E26" s="78">
        <f t="shared" si="2"/>
        <v>20000</v>
      </c>
      <c r="F26" s="117">
        <v>10000</v>
      </c>
    </row>
    <row r="27" spans="2:6" ht="24" x14ac:dyDescent="0.25">
      <c r="B27" s="81" t="s">
        <v>33</v>
      </c>
      <c r="C27" s="82">
        <v>8</v>
      </c>
      <c r="D27" s="83" t="s">
        <v>18</v>
      </c>
      <c r="E27" s="78">
        <f t="shared" si="2"/>
        <v>80000</v>
      </c>
      <c r="F27" s="117">
        <v>10000</v>
      </c>
    </row>
    <row r="28" spans="2:6" ht="24" x14ac:dyDescent="0.25">
      <c r="B28" s="81" t="s">
        <v>162</v>
      </c>
      <c r="C28" s="82">
        <v>4</v>
      </c>
      <c r="D28" s="83" t="s">
        <v>18</v>
      </c>
      <c r="E28" s="78">
        <f t="shared" si="2"/>
        <v>40000</v>
      </c>
      <c r="F28" s="117">
        <v>10000</v>
      </c>
    </row>
    <row r="29" spans="2:6" x14ac:dyDescent="0.25">
      <c r="B29" s="81" t="s">
        <v>34</v>
      </c>
      <c r="C29" s="82">
        <v>2</v>
      </c>
      <c r="D29" s="83" t="s">
        <v>18</v>
      </c>
      <c r="E29" s="78">
        <f t="shared" si="2"/>
        <v>40000</v>
      </c>
      <c r="F29" s="117">
        <v>20000</v>
      </c>
    </row>
    <row r="30" spans="2:6" ht="24" x14ac:dyDescent="0.25">
      <c r="B30" s="81" t="s">
        <v>35</v>
      </c>
      <c r="C30" s="82">
        <v>8</v>
      </c>
      <c r="D30" s="83" t="s">
        <v>18</v>
      </c>
      <c r="E30" s="78">
        <f t="shared" si="2"/>
        <v>120000</v>
      </c>
      <c r="F30" s="117">
        <v>15000</v>
      </c>
    </row>
    <row r="31" spans="2:6" x14ac:dyDescent="0.25">
      <c r="B31" s="81" t="s">
        <v>36</v>
      </c>
      <c r="C31" s="82">
        <v>3</v>
      </c>
      <c r="D31" s="83" t="s">
        <v>18</v>
      </c>
      <c r="E31" s="78">
        <f t="shared" si="2"/>
        <v>30000</v>
      </c>
      <c r="F31" s="117">
        <v>10000</v>
      </c>
    </row>
    <row r="32" spans="2:6" x14ac:dyDescent="0.25">
      <c r="B32" s="81" t="s">
        <v>37</v>
      </c>
      <c r="C32" s="82">
        <v>1</v>
      </c>
      <c r="D32" s="83" t="s">
        <v>18</v>
      </c>
      <c r="E32" s="78">
        <f t="shared" si="2"/>
        <v>5000</v>
      </c>
      <c r="F32" s="117">
        <v>5000</v>
      </c>
    </row>
    <row r="33" spans="2:6" ht="21" x14ac:dyDescent="0.25">
      <c r="B33" s="81"/>
      <c r="C33" s="591">
        <f>SUM(E17:E32)</f>
        <v>2405000</v>
      </c>
      <c r="D33" s="592"/>
      <c r="E33" s="592"/>
      <c r="F33" s="78"/>
    </row>
    <row r="34" spans="2:6" x14ac:dyDescent="0.25">
      <c r="B34" s="74"/>
      <c r="C34" s="74"/>
      <c r="D34" s="74"/>
      <c r="E34" s="74"/>
      <c r="F34" s="74"/>
    </row>
    <row r="35" spans="2:6" ht="15.75" x14ac:dyDescent="0.25">
      <c r="B35" s="81"/>
      <c r="C35" s="590" t="s">
        <v>161</v>
      </c>
      <c r="D35" s="590"/>
      <c r="E35" s="590"/>
      <c r="F35" s="78"/>
    </row>
    <row r="36" spans="2:6" x14ac:dyDescent="0.25">
      <c r="B36" s="229" t="s">
        <v>6</v>
      </c>
      <c r="C36" s="79" t="s">
        <v>4</v>
      </c>
      <c r="D36" s="79" t="s">
        <v>15</v>
      </c>
      <c r="E36" s="80" t="s">
        <v>16</v>
      </c>
      <c r="F36" s="78"/>
    </row>
    <row r="37" spans="2:6" x14ac:dyDescent="0.25">
      <c r="B37" s="81" t="s">
        <v>24</v>
      </c>
      <c r="C37" s="82">
        <v>2</v>
      </c>
      <c r="D37" s="83" t="s">
        <v>18</v>
      </c>
      <c r="E37" s="78">
        <f>F37*C37</f>
        <v>260000</v>
      </c>
      <c r="F37" s="117">
        <v>130000</v>
      </c>
    </row>
    <row r="38" spans="2:6" x14ac:dyDescent="0.25">
      <c r="B38" s="81" t="s">
        <v>25</v>
      </c>
      <c r="C38" s="82">
        <v>2</v>
      </c>
      <c r="D38" s="83" t="s">
        <v>18</v>
      </c>
      <c r="E38" s="78">
        <f t="shared" ref="E38:E52" si="3">F38*C38</f>
        <v>160000</v>
      </c>
      <c r="F38" s="117">
        <v>80000</v>
      </c>
    </row>
    <row r="39" spans="2:6" x14ac:dyDescent="0.25">
      <c r="B39" s="81" t="s">
        <v>26</v>
      </c>
      <c r="C39" s="82">
        <v>2</v>
      </c>
      <c r="D39" s="83" t="s">
        <v>18</v>
      </c>
      <c r="E39" s="78">
        <f t="shared" si="3"/>
        <v>700000</v>
      </c>
      <c r="F39" s="117">
        <v>350000</v>
      </c>
    </row>
    <row r="40" spans="2:6" x14ac:dyDescent="0.25">
      <c r="B40" s="81" t="s">
        <v>38</v>
      </c>
      <c r="C40" s="82">
        <v>1</v>
      </c>
      <c r="D40" s="83" t="s">
        <v>18</v>
      </c>
      <c r="E40" s="78">
        <f t="shared" si="3"/>
        <v>150000</v>
      </c>
      <c r="F40" s="117">
        <v>150000</v>
      </c>
    </row>
    <row r="41" spans="2:6" x14ac:dyDescent="0.25">
      <c r="B41" s="81" t="s">
        <v>28</v>
      </c>
      <c r="C41" s="82">
        <v>2</v>
      </c>
      <c r="D41" s="83" t="s">
        <v>18</v>
      </c>
      <c r="E41" s="78">
        <f t="shared" si="3"/>
        <v>800000</v>
      </c>
      <c r="F41" s="117">
        <v>400000</v>
      </c>
    </row>
    <row r="42" spans="2:6" x14ac:dyDescent="0.25">
      <c r="B42" s="81" t="s">
        <v>29</v>
      </c>
      <c r="C42" s="82">
        <v>1</v>
      </c>
      <c r="D42" s="83" t="s">
        <v>18</v>
      </c>
      <c r="E42" s="78">
        <f t="shared" si="3"/>
        <v>250000</v>
      </c>
      <c r="F42" s="117">
        <v>250000</v>
      </c>
    </row>
    <row r="43" spans="2:6" x14ac:dyDescent="0.25">
      <c r="B43" s="81" t="s">
        <v>30</v>
      </c>
      <c r="C43" s="82">
        <v>2</v>
      </c>
      <c r="D43" s="83" t="s">
        <v>18</v>
      </c>
      <c r="E43" s="78">
        <f t="shared" si="3"/>
        <v>50000</v>
      </c>
      <c r="F43" s="117">
        <v>25000</v>
      </c>
    </row>
    <row r="44" spans="2:6" x14ac:dyDescent="0.25">
      <c r="B44" s="81" t="s">
        <v>31</v>
      </c>
      <c r="C44" s="82">
        <v>8</v>
      </c>
      <c r="D44" s="83" t="s">
        <v>18</v>
      </c>
      <c r="E44" s="78">
        <f t="shared" si="3"/>
        <v>40000</v>
      </c>
      <c r="F44" s="117">
        <v>5000</v>
      </c>
    </row>
    <row r="45" spans="2:6" x14ac:dyDescent="0.25">
      <c r="B45" s="81" t="s">
        <v>32</v>
      </c>
      <c r="C45" s="82">
        <v>1</v>
      </c>
      <c r="D45" s="83" t="s">
        <v>18</v>
      </c>
      <c r="E45" s="78">
        <f t="shared" si="3"/>
        <v>100000</v>
      </c>
      <c r="F45" s="117">
        <v>100000</v>
      </c>
    </row>
    <row r="46" spans="2:6" x14ac:dyDescent="0.25">
      <c r="B46" s="81" t="s">
        <v>108</v>
      </c>
      <c r="C46" s="82">
        <v>2</v>
      </c>
      <c r="D46" s="83" t="s">
        <v>18</v>
      </c>
      <c r="E46" s="78">
        <f t="shared" si="3"/>
        <v>20000</v>
      </c>
      <c r="F46" s="117">
        <v>10000</v>
      </c>
    </row>
    <row r="47" spans="2:6" ht="24" x14ac:dyDescent="0.25">
      <c r="B47" s="81" t="s">
        <v>33</v>
      </c>
      <c r="C47" s="82">
        <v>8</v>
      </c>
      <c r="D47" s="83" t="s">
        <v>18</v>
      </c>
      <c r="E47" s="78">
        <f t="shared" si="3"/>
        <v>80000</v>
      </c>
      <c r="F47" s="117">
        <v>10000</v>
      </c>
    </row>
    <row r="48" spans="2:6" ht="24" x14ac:dyDescent="0.25">
      <c r="B48" s="81" t="s">
        <v>162</v>
      </c>
      <c r="C48" s="82">
        <v>4</v>
      </c>
      <c r="D48" s="83" t="s">
        <v>18</v>
      </c>
      <c r="E48" s="78">
        <f t="shared" si="3"/>
        <v>40000</v>
      </c>
      <c r="F48" s="117">
        <v>10000</v>
      </c>
    </row>
    <row r="49" spans="2:12" x14ac:dyDescent="0.25">
      <c r="B49" s="81" t="s">
        <v>34</v>
      </c>
      <c r="C49" s="82">
        <v>2</v>
      </c>
      <c r="D49" s="83" t="s">
        <v>18</v>
      </c>
      <c r="E49" s="78">
        <f t="shared" si="3"/>
        <v>40000</v>
      </c>
      <c r="F49" s="117">
        <v>20000</v>
      </c>
    </row>
    <row r="50" spans="2:12" ht="24" x14ac:dyDescent="0.25">
      <c r="B50" s="81" t="s">
        <v>35</v>
      </c>
      <c r="C50" s="82">
        <v>8</v>
      </c>
      <c r="D50" s="83" t="s">
        <v>18</v>
      </c>
      <c r="E50" s="78">
        <f t="shared" si="3"/>
        <v>120000</v>
      </c>
      <c r="F50" s="117">
        <v>15000</v>
      </c>
    </row>
    <row r="51" spans="2:12" x14ac:dyDescent="0.25">
      <c r="B51" s="81" t="s">
        <v>36</v>
      </c>
      <c r="C51" s="82">
        <v>3</v>
      </c>
      <c r="D51" s="83" t="s">
        <v>18</v>
      </c>
      <c r="E51" s="78">
        <f t="shared" si="3"/>
        <v>30000</v>
      </c>
      <c r="F51" s="117">
        <v>10000</v>
      </c>
    </row>
    <row r="52" spans="2:12" x14ac:dyDescent="0.25">
      <c r="B52" s="81" t="s">
        <v>37</v>
      </c>
      <c r="C52" s="82">
        <v>1</v>
      </c>
      <c r="D52" s="83" t="s">
        <v>18</v>
      </c>
      <c r="E52" s="78">
        <f t="shared" si="3"/>
        <v>5000</v>
      </c>
      <c r="F52" s="117">
        <v>5000</v>
      </c>
    </row>
    <row r="53" spans="2:12" ht="21" x14ac:dyDescent="0.25">
      <c r="B53" s="81"/>
      <c r="C53" s="591">
        <f>SUM(E37:E52)</f>
        <v>2845000</v>
      </c>
      <c r="D53" s="592"/>
      <c r="E53" s="592"/>
      <c r="F53" s="78"/>
    </row>
    <row r="54" spans="2:12" x14ac:dyDescent="0.25">
      <c r="B54" s="72"/>
      <c r="C54" s="72"/>
      <c r="D54" s="72"/>
      <c r="E54" s="72"/>
      <c r="F54" s="72"/>
    </row>
    <row r="55" spans="2:12" ht="21" x14ac:dyDescent="0.25">
      <c r="B55" s="76" t="s">
        <v>137</v>
      </c>
      <c r="C55" s="596" t="s">
        <v>163</v>
      </c>
      <c r="D55" s="596"/>
      <c r="E55" s="596"/>
      <c r="F55" s="78"/>
      <c r="H55" s="76" t="s">
        <v>136</v>
      </c>
      <c r="I55" s="596" t="s">
        <v>163</v>
      </c>
      <c r="J55" s="596"/>
      <c r="K55" s="596"/>
      <c r="L55" s="78"/>
    </row>
    <row r="56" spans="2:12" x14ac:dyDescent="0.25">
      <c r="B56" s="229"/>
      <c r="C56" s="79" t="s">
        <v>4</v>
      </c>
      <c r="D56" s="79" t="s">
        <v>15</v>
      </c>
      <c r="E56" s="80" t="s">
        <v>16</v>
      </c>
      <c r="F56" s="78"/>
      <c r="H56" s="229"/>
      <c r="I56" s="79" t="s">
        <v>4</v>
      </c>
      <c r="J56" s="79" t="s">
        <v>15</v>
      </c>
      <c r="K56" s="80" t="s">
        <v>16</v>
      </c>
      <c r="L56" s="78"/>
    </row>
    <row r="57" spans="2:12" x14ac:dyDescent="0.25">
      <c r="B57" s="86" t="s">
        <v>105</v>
      </c>
      <c r="C57" s="82">
        <f>SALE!C5</f>
        <v>23</v>
      </c>
      <c r="D57" s="87" t="s">
        <v>40</v>
      </c>
      <c r="E57" s="78">
        <f>F57*C57</f>
        <v>129720000</v>
      </c>
      <c r="F57" s="88">
        <f>SALE!E9*4.7</f>
        <v>5640000</v>
      </c>
      <c r="H57" s="86" t="s">
        <v>105</v>
      </c>
      <c r="I57" s="82">
        <f>SALE!C5</f>
        <v>23</v>
      </c>
      <c r="J57" s="87" t="s">
        <v>40</v>
      </c>
      <c r="K57" s="78">
        <f>L57*I57</f>
        <v>184920000</v>
      </c>
      <c r="L57" s="88">
        <f>SALE!E9*6.7</f>
        <v>8040000</v>
      </c>
    </row>
    <row r="58" spans="2:12" x14ac:dyDescent="0.25">
      <c r="B58" s="86" t="s">
        <v>39</v>
      </c>
      <c r="C58" s="89">
        <f>(((SALE!$D$8-0.25)*2)+0.52)*(SALE!$E$5+SALE!$D$5)</f>
        <v>48.08</v>
      </c>
      <c r="D58" s="87" t="s">
        <v>40</v>
      </c>
      <c r="E58" s="78">
        <f t="shared" ref="E58:E66" si="4">F58*C58</f>
        <v>38464000</v>
      </c>
      <c r="F58" s="117">
        <v>800000</v>
      </c>
      <c r="H58" s="86" t="s">
        <v>39</v>
      </c>
      <c r="I58" s="89">
        <f>(((SALE!$D$8-0.25)*2)+0.52)*(SALE!$E$5+SALE!$D$5)</f>
        <v>48.08</v>
      </c>
      <c r="J58" s="87" t="s">
        <v>40</v>
      </c>
      <c r="K58" s="78">
        <f t="shared" ref="K58:K66" si="5">L58*I58</f>
        <v>38464000</v>
      </c>
      <c r="L58" s="117">
        <v>800000</v>
      </c>
    </row>
    <row r="59" spans="2:12" x14ac:dyDescent="0.25">
      <c r="B59" s="81" t="s">
        <v>43</v>
      </c>
      <c r="C59" s="89">
        <f>(SALE!$D$8-0.25)*2</f>
        <v>11.5</v>
      </c>
      <c r="D59" s="85" t="s">
        <v>40</v>
      </c>
      <c r="E59" s="78">
        <f>F59*C59</f>
        <v>3105000</v>
      </c>
      <c r="F59" s="117">
        <v>270000</v>
      </c>
      <c r="H59" s="81" t="s">
        <v>43</v>
      </c>
      <c r="I59" s="89">
        <f>(SALE!$D$8-0.25)*2</f>
        <v>11.5</v>
      </c>
      <c r="J59" s="85" t="s">
        <v>40</v>
      </c>
      <c r="K59" s="78">
        <f>L59*I59</f>
        <v>3105000</v>
      </c>
      <c r="L59" s="117">
        <v>270000</v>
      </c>
    </row>
    <row r="60" spans="2:12" x14ac:dyDescent="0.25">
      <c r="B60" s="81" t="s">
        <v>164</v>
      </c>
      <c r="C60" s="89">
        <f>(C57/0.6)+1</f>
        <v>39.333333333333336</v>
      </c>
      <c r="D60" s="85" t="s">
        <v>18</v>
      </c>
      <c r="E60" s="78">
        <f t="shared" si="4"/>
        <v>14356666.666666668</v>
      </c>
      <c r="F60" s="117">
        <v>365000</v>
      </c>
      <c r="H60" s="81" t="s">
        <v>164</v>
      </c>
      <c r="I60" s="89">
        <f>(I57/0.6)+1</f>
        <v>39.333333333333336</v>
      </c>
      <c r="J60" s="85" t="s">
        <v>18</v>
      </c>
      <c r="K60" s="78">
        <f t="shared" si="5"/>
        <v>14356666.666666668</v>
      </c>
      <c r="L60" s="117">
        <v>365000</v>
      </c>
    </row>
    <row r="61" spans="2:12" x14ac:dyDescent="0.25">
      <c r="B61" s="81" t="s">
        <v>165</v>
      </c>
      <c r="C61" s="82">
        <f>(SALE!$D$5+SALE!$E$5)*2</f>
        <v>8</v>
      </c>
      <c r="D61" s="85" t="s">
        <v>18</v>
      </c>
      <c r="E61" s="78">
        <f t="shared" si="4"/>
        <v>3080000</v>
      </c>
      <c r="F61" s="117">
        <v>385000</v>
      </c>
      <c r="H61" s="81" t="s">
        <v>165</v>
      </c>
      <c r="I61" s="82">
        <f>(SALE!$D$5+SALE!$E$5)*2</f>
        <v>8</v>
      </c>
      <c r="J61" s="85" t="s">
        <v>18</v>
      </c>
      <c r="K61" s="78">
        <f t="shared" si="5"/>
        <v>3080000</v>
      </c>
      <c r="L61" s="117">
        <v>385000</v>
      </c>
    </row>
    <row r="62" spans="2:12" x14ac:dyDescent="0.25">
      <c r="B62" s="81" t="s">
        <v>41</v>
      </c>
      <c r="C62" s="90">
        <f>(SALE!$E$5+SALE!$D$5)</f>
        <v>4</v>
      </c>
      <c r="D62" s="85" t="s">
        <v>18</v>
      </c>
      <c r="E62" s="78">
        <f>F62*C62</f>
        <v>400000</v>
      </c>
      <c r="F62" s="117">
        <v>100000</v>
      </c>
      <c r="H62" s="81" t="s">
        <v>41</v>
      </c>
      <c r="I62" s="90">
        <f>(SALE!$E$5+SALE!$D$5)</f>
        <v>4</v>
      </c>
      <c r="J62" s="85" t="s">
        <v>18</v>
      </c>
      <c r="K62" s="78">
        <f>L62*I62</f>
        <v>400000</v>
      </c>
      <c r="L62" s="117">
        <v>100000</v>
      </c>
    </row>
    <row r="63" spans="2:12" x14ac:dyDescent="0.25">
      <c r="B63" s="81" t="s">
        <v>42</v>
      </c>
      <c r="C63" s="90">
        <f>(SALE!$E$5+SALE!$D$5)</f>
        <v>4</v>
      </c>
      <c r="D63" s="85" t="s">
        <v>18</v>
      </c>
      <c r="E63" s="78">
        <f>F63*C63</f>
        <v>120000</v>
      </c>
      <c r="F63" s="117">
        <v>30000</v>
      </c>
      <c r="H63" s="81" t="s">
        <v>42</v>
      </c>
      <c r="I63" s="90">
        <f>(SALE!$E$5+SALE!$D$5)</f>
        <v>4</v>
      </c>
      <c r="J63" s="85" t="s">
        <v>18</v>
      </c>
      <c r="K63" s="78">
        <f>L63*I63</f>
        <v>120000</v>
      </c>
      <c r="L63" s="117">
        <v>30000</v>
      </c>
    </row>
    <row r="64" spans="2:12" x14ac:dyDescent="0.25">
      <c r="B64" s="81" t="s">
        <v>44</v>
      </c>
      <c r="C64" s="82">
        <f>4*(SALE!$E$5+SALE!$D$5)</f>
        <v>16</v>
      </c>
      <c r="D64" s="85" t="s">
        <v>18</v>
      </c>
      <c r="E64" s="78">
        <f t="shared" si="4"/>
        <v>160000</v>
      </c>
      <c r="F64" s="117">
        <v>10000</v>
      </c>
      <c r="H64" s="81" t="s">
        <v>44</v>
      </c>
      <c r="I64" s="82">
        <f>4*(SALE!$E$5+SALE!$D$5)</f>
        <v>16</v>
      </c>
      <c r="J64" s="85" t="s">
        <v>18</v>
      </c>
      <c r="K64" s="78">
        <f t="shared" si="5"/>
        <v>160000</v>
      </c>
      <c r="L64" s="117">
        <v>10000</v>
      </c>
    </row>
    <row r="65" spans="2:12" ht="24" x14ac:dyDescent="0.25">
      <c r="B65" s="81" t="s">
        <v>45</v>
      </c>
      <c r="C65" s="82">
        <f>4*(SALE!$E$5+SALE!$D$5)</f>
        <v>16</v>
      </c>
      <c r="D65" s="85" t="s">
        <v>18</v>
      </c>
      <c r="E65" s="78">
        <f t="shared" si="4"/>
        <v>160000</v>
      </c>
      <c r="F65" s="117">
        <v>10000</v>
      </c>
      <c r="H65" s="81" t="s">
        <v>45</v>
      </c>
      <c r="I65" s="82">
        <f>4*(SALE!$E$5+SALE!$D$5)</f>
        <v>16</v>
      </c>
      <c r="J65" s="85" t="s">
        <v>18</v>
      </c>
      <c r="K65" s="78">
        <f t="shared" si="5"/>
        <v>160000</v>
      </c>
      <c r="L65" s="117">
        <v>10000</v>
      </c>
    </row>
    <row r="66" spans="2:12" x14ac:dyDescent="0.25">
      <c r="B66" s="81" t="s">
        <v>106</v>
      </c>
      <c r="C66" s="82">
        <f>C57*4.7</f>
        <v>108.10000000000001</v>
      </c>
      <c r="D66" s="83" t="s">
        <v>107</v>
      </c>
      <c r="E66" s="78">
        <f t="shared" si="4"/>
        <v>27025000.000000004</v>
      </c>
      <c r="F66" s="117">
        <f>'AAA1'!$T$2</f>
        <v>250000</v>
      </c>
      <c r="H66" s="81" t="s">
        <v>106</v>
      </c>
      <c r="I66" s="82">
        <f>I57*6.7</f>
        <v>154.1</v>
      </c>
      <c r="J66" s="83" t="s">
        <v>107</v>
      </c>
      <c r="K66" s="78">
        <f t="shared" si="5"/>
        <v>38525000</v>
      </c>
      <c r="L66" s="117">
        <f>'AAA1'!$T$2</f>
        <v>250000</v>
      </c>
    </row>
    <row r="67" spans="2:12" ht="21" x14ac:dyDescent="0.25">
      <c r="B67" s="120">
        <f>SUM(E60:E65)</f>
        <v>18276666.666666668</v>
      </c>
      <c r="C67" s="591">
        <f>SUM(E57:E66)</f>
        <v>216590666.66666666</v>
      </c>
      <c r="D67" s="592"/>
      <c r="E67" s="592"/>
      <c r="F67" s="130">
        <f>SUM(E66)</f>
        <v>27025000.000000004</v>
      </c>
      <c r="H67" s="81"/>
      <c r="I67" s="591">
        <f>SUM(K57:K67)</f>
        <v>283290666.66666663</v>
      </c>
      <c r="J67" s="592"/>
      <c r="K67" s="592"/>
      <c r="L67" s="78"/>
    </row>
    <row r="68" spans="2:12" x14ac:dyDescent="0.25">
      <c r="B68" s="74"/>
      <c r="C68" s="74"/>
      <c r="D68" s="74"/>
      <c r="E68" s="74"/>
      <c r="F68" s="74"/>
    </row>
    <row r="69" spans="2:12" ht="15.75" x14ac:dyDescent="0.25">
      <c r="B69" s="81"/>
      <c r="C69" s="590" t="s">
        <v>166</v>
      </c>
      <c r="D69" s="590"/>
      <c r="E69" s="590"/>
      <c r="F69" s="78"/>
    </row>
    <row r="70" spans="2:12" x14ac:dyDescent="0.25">
      <c r="B70" s="229" t="s">
        <v>122</v>
      </c>
      <c r="C70" s="79" t="s">
        <v>4</v>
      </c>
      <c r="D70" s="79" t="s">
        <v>15</v>
      </c>
      <c r="E70" s="80" t="s">
        <v>16</v>
      </c>
      <c r="F70" s="78"/>
    </row>
    <row r="71" spans="2:12" x14ac:dyDescent="0.25">
      <c r="B71" s="81" t="s">
        <v>123</v>
      </c>
      <c r="C71" s="89">
        <f>(IF(AND(SALE!$D$9&lt;=4),(SALE!$D$9),IF(AND(SALE!$D$9&gt;4,SALE!$D$9&lt;=8),(SALE!$D$9/2),IF(AND(SALE!$D$9&gt;8,SALE!$D$9&lt;=12),(SALE!$D$9/3),0))))</f>
        <v>3</v>
      </c>
      <c r="D71" s="85" t="s">
        <v>40</v>
      </c>
      <c r="E71" s="78">
        <f>F71*C71</f>
        <v>10800000</v>
      </c>
      <c r="F71" s="88">
        <f>SALE!E9*3</f>
        <v>3600000</v>
      </c>
    </row>
    <row r="72" spans="2:12" x14ac:dyDescent="0.25">
      <c r="B72" s="81" t="s">
        <v>52</v>
      </c>
      <c r="C72" s="82">
        <v>2</v>
      </c>
      <c r="D72" s="85" t="s">
        <v>18</v>
      </c>
      <c r="E72" s="78">
        <f t="shared" ref="E72:E78" si="6">F72*C72</f>
        <v>300000</v>
      </c>
      <c r="F72" s="117">
        <v>150000</v>
      </c>
    </row>
    <row r="73" spans="2:12" x14ac:dyDescent="0.25">
      <c r="B73" s="81" t="s">
        <v>53</v>
      </c>
      <c r="C73" s="82">
        <v>4</v>
      </c>
      <c r="D73" s="85" t="s">
        <v>18</v>
      </c>
      <c r="E73" s="78">
        <f t="shared" si="6"/>
        <v>400000</v>
      </c>
      <c r="F73" s="117">
        <v>100000</v>
      </c>
    </row>
    <row r="74" spans="2:12" x14ac:dyDescent="0.25">
      <c r="B74" s="81" t="s">
        <v>106</v>
      </c>
      <c r="C74" s="82">
        <f>C71*3</f>
        <v>9</v>
      </c>
      <c r="D74" s="83" t="s">
        <v>107</v>
      </c>
      <c r="E74" s="78">
        <f t="shared" si="6"/>
        <v>2250000</v>
      </c>
      <c r="F74" s="117">
        <f>'AAA1'!$T$2</f>
        <v>250000</v>
      </c>
    </row>
    <row r="75" spans="2:12" x14ac:dyDescent="0.25">
      <c r="B75" s="81" t="s">
        <v>54</v>
      </c>
      <c r="C75" s="82">
        <v>4</v>
      </c>
      <c r="D75" s="85" t="s">
        <v>18</v>
      </c>
      <c r="E75" s="78">
        <f t="shared" si="6"/>
        <v>60000</v>
      </c>
      <c r="F75" s="117">
        <v>15000</v>
      </c>
    </row>
    <row r="76" spans="2:12" x14ac:dyDescent="0.25">
      <c r="B76" s="81" t="s">
        <v>44</v>
      </c>
      <c r="C76" s="82">
        <v>4</v>
      </c>
      <c r="D76" s="85" t="s">
        <v>18</v>
      </c>
      <c r="E76" s="78">
        <f t="shared" si="6"/>
        <v>40000</v>
      </c>
      <c r="F76" s="117">
        <v>10000</v>
      </c>
    </row>
    <row r="77" spans="2:12" ht="24" x14ac:dyDescent="0.25">
      <c r="B77" s="81" t="s">
        <v>45</v>
      </c>
      <c r="C77" s="82">
        <v>4</v>
      </c>
      <c r="D77" s="85" t="s">
        <v>18</v>
      </c>
      <c r="E77" s="78">
        <f t="shared" si="6"/>
        <v>40000</v>
      </c>
      <c r="F77" s="117">
        <v>10000</v>
      </c>
    </row>
    <row r="78" spans="2:12" ht="24" x14ac:dyDescent="0.25">
      <c r="B78" s="81" t="s">
        <v>55</v>
      </c>
      <c r="C78" s="82">
        <v>4</v>
      </c>
      <c r="D78" s="85" t="s">
        <v>18</v>
      </c>
      <c r="E78" s="78">
        <f t="shared" si="6"/>
        <v>24000</v>
      </c>
      <c r="F78" s="117">
        <v>6000</v>
      </c>
    </row>
    <row r="79" spans="2:12" ht="21" x14ac:dyDescent="0.25">
      <c r="B79" s="120">
        <f>SUM(E72:E73,E75:E78)</f>
        <v>864000</v>
      </c>
      <c r="C79" s="591">
        <f>SUM(E71:E78)</f>
        <v>13914000</v>
      </c>
      <c r="D79" s="592"/>
      <c r="E79" s="592"/>
      <c r="F79" s="130">
        <f>SUM(E74)</f>
        <v>2250000</v>
      </c>
    </row>
    <row r="80" spans="2:12" x14ac:dyDescent="0.25">
      <c r="B80" s="72"/>
      <c r="C80" s="72"/>
      <c r="D80" s="72"/>
      <c r="E80" s="72"/>
      <c r="F80" s="72"/>
    </row>
    <row r="81" spans="2:6" ht="15.75" x14ac:dyDescent="0.25">
      <c r="B81" s="81"/>
      <c r="C81" s="590" t="s">
        <v>167</v>
      </c>
      <c r="D81" s="590"/>
      <c r="E81" s="590"/>
      <c r="F81" s="78"/>
    </row>
    <row r="82" spans="2:6" ht="25.5" x14ac:dyDescent="0.25">
      <c r="B82" s="230" t="s">
        <v>49</v>
      </c>
      <c r="C82" s="79" t="s">
        <v>4</v>
      </c>
      <c r="D82" s="79" t="s">
        <v>15</v>
      </c>
      <c r="E82" s="80" t="s">
        <v>16</v>
      </c>
      <c r="F82" s="78"/>
    </row>
    <row r="83" spans="2:6" x14ac:dyDescent="0.25">
      <c r="B83" s="81" t="s">
        <v>50</v>
      </c>
      <c r="C83" s="82">
        <v>1</v>
      </c>
      <c r="D83" s="83" t="s">
        <v>18</v>
      </c>
      <c r="E83" s="78">
        <f>F83*C83</f>
        <v>750000</v>
      </c>
      <c r="F83" s="117">
        <v>750000</v>
      </c>
    </row>
    <row r="84" spans="2:6" x14ac:dyDescent="0.25">
      <c r="B84" s="81" t="s">
        <v>51</v>
      </c>
      <c r="C84" s="82">
        <v>2</v>
      </c>
      <c r="D84" s="83" t="s">
        <v>18</v>
      </c>
      <c r="E84" s="78">
        <f t="shared" ref="E84:E88" si="7">F84*C84</f>
        <v>850000</v>
      </c>
      <c r="F84" s="117">
        <v>425000</v>
      </c>
    </row>
    <row r="85" spans="2:6" x14ac:dyDescent="0.25">
      <c r="B85" s="81" t="s">
        <v>46</v>
      </c>
      <c r="C85" s="82">
        <v>2</v>
      </c>
      <c r="D85" s="83" t="s">
        <v>18</v>
      </c>
      <c r="E85" s="78">
        <f t="shared" si="7"/>
        <v>1500000</v>
      </c>
      <c r="F85" s="117">
        <v>750000</v>
      </c>
    </row>
    <row r="86" spans="2:6" x14ac:dyDescent="0.25">
      <c r="B86" s="81" t="s">
        <v>106</v>
      </c>
      <c r="C86" s="82">
        <v>3.5</v>
      </c>
      <c r="D86" s="83" t="s">
        <v>107</v>
      </c>
      <c r="E86" s="78">
        <f t="shared" si="7"/>
        <v>875000</v>
      </c>
      <c r="F86" s="117">
        <f>'AAA1'!$T$2</f>
        <v>250000</v>
      </c>
    </row>
    <row r="87" spans="2:6" ht="24" x14ac:dyDescent="0.25">
      <c r="B87" s="81" t="s">
        <v>47</v>
      </c>
      <c r="C87" s="82">
        <v>12</v>
      </c>
      <c r="D87" s="83" t="s">
        <v>18</v>
      </c>
      <c r="E87" s="78">
        <f t="shared" si="7"/>
        <v>120000</v>
      </c>
      <c r="F87" s="117">
        <v>10000</v>
      </c>
    </row>
    <row r="88" spans="2:6" ht="24" x14ac:dyDescent="0.25">
      <c r="B88" s="81" t="s">
        <v>48</v>
      </c>
      <c r="C88" s="82">
        <v>12</v>
      </c>
      <c r="D88" s="83" t="s">
        <v>18</v>
      </c>
      <c r="E88" s="78">
        <f t="shared" si="7"/>
        <v>240000</v>
      </c>
      <c r="F88" s="117">
        <v>20000</v>
      </c>
    </row>
    <row r="89" spans="2:6" ht="21" x14ac:dyDescent="0.25">
      <c r="B89" s="120">
        <f>SUM(E83:E85,E87:E88)</f>
        <v>3460000</v>
      </c>
      <c r="C89" s="591">
        <f>SUM(E83:E88)</f>
        <v>4335000</v>
      </c>
      <c r="D89" s="591"/>
      <c r="E89" s="591"/>
      <c r="F89" s="130">
        <f>E86</f>
        <v>875000</v>
      </c>
    </row>
    <row r="90" spans="2:6" x14ac:dyDescent="0.25">
      <c r="B90" s="74"/>
      <c r="C90" s="74"/>
      <c r="D90" s="74"/>
      <c r="E90" s="74"/>
      <c r="F90" s="74"/>
    </row>
    <row r="91" spans="2:6" x14ac:dyDescent="0.25">
      <c r="B91" s="229" t="s">
        <v>56</v>
      </c>
      <c r="C91" s="79" t="s">
        <v>4</v>
      </c>
      <c r="D91" s="79" t="s">
        <v>15</v>
      </c>
      <c r="E91" s="80" t="s">
        <v>16</v>
      </c>
      <c r="F91" s="78"/>
    </row>
    <row r="92" spans="2:6" x14ac:dyDescent="0.25">
      <c r="B92" s="81" t="s">
        <v>57</v>
      </c>
      <c r="C92" s="89">
        <f>C71</f>
        <v>3</v>
      </c>
      <c r="D92" s="85" t="s">
        <v>40</v>
      </c>
      <c r="E92" s="78">
        <f>F92*C92</f>
        <v>2610000</v>
      </c>
      <c r="F92" s="117">
        <v>870000</v>
      </c>
    </row>
    <row r="93" spans="2:6" ht="24" x14ac:dyDescent="0.25">
      <c r="B93" s="81" t="s">
        <v>191</v>
      </c>
      <c r="C93" s="82">
        <v>2</v>
      </c>
      <c r="D93" s="85" t="s">
        <v>18</v>
      </c>
      <c r="E93" s="78">
        <f t="shared" ref="E93:E96" si="8">F93*C93</f>
        <v>200000</v>
      </c>
      <c r="F93" s="117">
        <v>100000</v>
      </c>
    </row>
    <row r="94" spans="2:6" ht="24" x14ac:dyDescent="0.25">
      <c r="B94" s="81" t="s">
        <v>190</v>
      </c>
      <c r="C94" s="82">
        <v>2</v>
      </c>
      <c r="D94" s="85" t="s">
        <v>18</v>
      </c>
      <c r="E94" s="78">
        <f t="shared" si="8"/>
        <v>30000</v>
      </c>
      <c r="F94" s="117">
        <v>15000</v>
      </c>
    </row>
    <row r="95" spans="2:6" ht="24" x14ac:dyDescent="0.25">
      <c r="B95" s="81" t="s">
        <v>192</v>
      </c>
      <c r="C95" s="82">
        <v>4</v>
      </c>
      <c r="D95" s="85" t="s">
        <v>18</v>
      </c>
      <c r="E95" s="78">
        <f t="shared" si="8"/>
        <v>72000</v>
      </c>
      <c r="F95" s="117">
        <v>18000</v>
      </c>
    </row>
    <row r="96" spans="2:6" x14ac:dyDescent="0.25">
      <c r="B96" s="81" t="s">
        <v>109</v>
      </c>
      <c r="C96" s="82">
        <f>C92*2.82</f>
        <v>8.4599999999999991</v>
      </c>
      <c r="D96" s="85" t="s">
        <v>107</v>
      </c>
      <c r="E96" s="78">
        <f t="shared" si="8"/>
        <v>634499.99999999988</v>
      </c>
      <c r="F96" s="117">
        <v>75000</v>
      </c>
    </row>
    <row r="97" spans="2:12" ht="21" x14ac:dyDescent="0.25">
      <c r="B97" s="81"/>
      <c r="C97" s="597">
        <f>SUM(E92:E96)</f>
        <v>3546500</v>
      </c>
      <c r="D97" s="597"/>
      <c r="E97" s="597"/>
      <c r="F97" s="78"/>
    </row>
    <row r="98" spans="2:12" x14ac:dyDescent="0.25">
      <c r="B98" s="72"/>
      <c r="C98" s="72"/>
      <c r="D98" s="72"/>
      <c r="E98" s="72"/>
      <c r="F98" s="72"/>
      <c r="H98" s="74"/>
      <c r="I98" s="74"/>
      <c r="J98" s="74"/>
      <c r="K98" s="74"/>
      <c r="L98" s="74"/>
    </row>
    <row r="99" spans="2:12" ht="21" x14ac:dyDescent="0.25">
      <c r="B99" s="76" t="s">
        <v>137</v>
      </c>
      <c r="C99" s="590" t="s">
        <v>169</v>
      </c>
      <c r="D99" s="590"/>
      <c r="E99" s="590"/>
      <c r="F99" s="78"/>
      <c r="H99" s="76" t="s">
        <v>136</v>
      </c>
      <c r="I99" s="590" t="s">
        <v>168</v>
      </c>
      <c r="J99" s="590"/>
      <c r="K99" s="590"/>
      <c r="L99" s="78"/>
    </row>
    <row r="100" spans="2:12" x14ac:dyDescent="0.25">
      <c r="B100" s="81"/>
      <c r="C100" s="79" t="s">
        <v>4</v>
      </c>
      <c r="D100" s="79" t="s">
        <v>15</v>
      </c>
      <c r="E100" s="80" t="s">
        <v>16</v>
      </c>
      <c r="F100" s="78"/>
      <c r="H100" s="81"/>
      <c r="I100" s="79" t="s">
        <v>4</v>
      </c>
      <c r="J100" s="79" t="s">
        <v>15</v>
      </c>
      <c r="K100" s="80" t="s">
        <v>16</v>
      </c>
      <c r="L100" s="78"/>
    </row>
    <row r="101" spans="2:12" x14ac:dyDescent="0.25">
      <c r="B101" s="81" t="s">
        <v>170</v>
      </c>
      <c r="C101" s="82">
        <v>1</v>
      </c>
      <c r="D101" s="83" t="s">
        <v>18</v>
      </c>
      <c r="E101" s="78">
        <f>F101*C101</f>
        <v>19000000</v>
      </c>
      <c r="F101" s="117">
        <v>19000000</v>
      </c>
      <c r="H101" s="81" t="s">
        <v>58</v>
      </c>
      <c r="I101" s="82">
        <v>1</v>
      </c>
      <c r="J101" s="83" t="s">
        <v>18</v>
      </c>
      <c r="K101" s="78">
        <f>L101*I101</f>
        <v>60000000</v>
      </c>
      <c r="L101" s="117">
        <v>60000000</v>
      </c>
    </row>
    <row r="102" spans="2:12" x14ac:dyDescent="0.25">
      <c r="B102" s="81" t="s">
        <v>59</v>
      </c>
      <c r="C102" s="82">
        <v>1</v>
      </c>
      <c r="D102" s="83" t="s">
        <v>18</v>
      </c>
      <c r="E102" s="78">
        <f t="shared" ref="E102:E117" si="9">F102*C102</f>
        <v>350000</v>
      </c>
      <c r="F102" s="117">
        <v>350000</v>
      </c>
      <c r="H102" s="81" t="s">
        <v>59</v>
      </c>
      <c r="I102" s="82">
        <v>1</v>
      </c>
      <c r="J102" s="83" t="s">
        <v>18</v>
      </c>
      <c r="K102" s="78">
        <f t="shared" ref="K102:K117" si="10">L102*I102</f>
        <v>350000</v>
      </c>
      <c r="L102" s="117">
        <v>350000</v>
      </c>
    </row>
    <row r="103" spans="2:12" x14ac:dyDescent="0.25">
      <c r="B103" s="81" t="s">
        <v>171</v>
      </c>
      <c r="C103" s="82">
        <v>1</v>
      </c>
      <c r="D103" s="83" t="s">
        <v>18</v>
      </c>
      <c r="E103" s="78">
        <f t="shared" si="9"/>
        <v>350000</v>
      </c>
      <c r="F103" s="117">
        <v>350000</v>
      </c>
      <c r="H103" s="81" t="s">
        <v>60</v>
      </c>
      <c r="I103" s="82">
        <v>1</v>
      </c>
      <c r="J103" s="83" t="s">
        <v>18</v>
      </c>
      <c r="K103" s="78">
        <f t="shared" si="10"/>
        <v>350000</v>
      </c>
      <c r="L103" s="117">
        <v>350000</v>
      </c>
    </row>
    <row r="104" spans="2:12" x14ac:dyDescent="0.25">
      <c r="B104" s="81" t="s">
        <v>172</v>
      </c>
      <c r="C104" s="82">
        <v>1</v>
      </c>
      <c r="D104" s="83" t="s">
        <v>18</v>
      </c>
      <c r="E104" s="78">
        <f>F104*C104</f>
        <v>80000</v>
      </c>
      <c r="F104" s="117">
        <v>80000</v>
      </c>
      <c r="H104" s="81" t="s">
        <v>172</v>
      </c>
      <c r="I104" s="82">
        <v>1</v>
      </c>
      <c r="J104" s="83" t="s">
        <v>18</v>
      </c>
      <c r="K104" s="78">
        <f>L104*I104</f>
        <v>80000</v>
      </c>
      <c r="L104" s="117">
        <v>80000</v>
      </c>
    </row>
    <row r="105" spans="2:12" x14ac:dyDescent="0.25">
      <c r="B105" s="81" t="s">
        <v>173</v>
      </c>
      <c r="C105" s="82">
        <v>2</v>
      </c>
      <c r="D105" s="83" t="s">
        <v>18</v>
      </c>
      <c r="E105" s="78">
        <f>F105*C105</f>
        <v>160000</v>
      </c>
      <c r="F105" s="117">
        <v>80000</v>
      </c>
      <c r="H105" s="81" t="s">
        <v>173</v>
      </c>
      <c r="I105" s="82">
        <v>2</v>
      </c>
      <c r="J105" s="83" t="s">
        <v>18</v>
      </c>
      <c r="K105" s="78">
        <f>L105*I105</f>
        <v>160000</v>
      </c>
      <c r="L105" s="117">
        <v>80000</v>
      </c>
    </row>
    <row r="106" spans="2:12" x14ac:dyDescent="0.25">
      <c r="B106" s="81" t="s">
        <v>63</v>
      </c>
      <c r="C106" s="82">
        <v>4</v>
      </c>
      <c r="D106" s="83" t="s">
        <v>40</v>
      </c>
      <c r="E106" s="78">
        <f>F106*C106</f>
        <v>720000</v>
      </c>
      <c r="F106" s="117">
        <v>180000</v>
      </c>
      <c r="H106" s="81" t="s">
        <v>63</v>
      </c>
      <c r="I106" s="82">
        <v>4</v>
      </c>
      <c r="J106" s="83" t="s">
        <v>40</v>
      </c>
      <c r="K106" s="78">
        <f>L106*I106</f>
        <v>720000</v>
      </c>
      <c r="L106" s="117">
        <v>180000</v>
      </c>
    </row>
    <row r="107" spans="2:12" x14ac:dyDescent="0.25">
      <c r="B107" s="81" t="s">
        <v>189</v>
      </c>
      <c r="C107" s="82">
        <v>1</v>
      </c>
      <c r="D107" s="83" t="s">
        <v>18</v>
      </c>
      <c r="E107" s="78">
        <f>F107*C107</f>
        <v>750000</v>
      </c>
      <c r="F107" s="117">
        <v>750000</v>
      </c>
      <c r="H107" s="81" t="s">
        <v>189</v>
      </c>
      <c r="I107" s="82">
        <v>1</v>
      </c>
      <c r="J107" s="83" t="s">
        <v>18</v>
      </c>
      <c r="K107" s="78">
        <f>L107*I107</f>
        <v>750000</v>
      </c>
      <c r="L107" s="117">
        <v>750000</v>
      </c>
    </row>
    <row r="108" spans="2:12" x14ac:dyDescent="0.25">
      <c r="B108" s="81" t="s">
        <v>26</v>
      </c>
      <c r="C108" s="82">
        <v>1</v>
      </c>
      <c r="D108" s="83" t="s">
        <v>18</v>
      </c>
      <c r="E108" s="78">
        <f t="shared" si="9"/>
        <v>350000</v>
      </c>
      <c r="F108" s="117">
        <v>350000</v>
      </c>
      <c r="H108" s="81" t="s">
        <v>26</v>
      </c>
      <c r="I108" s="82">
        <v>1</v>
      </c>
      <c r="J108" s="83" t="s">
        <v>18</v>
      </c>
      <c r="K108" s="78">
        <f t="shared" si="10"/>
        <v>350000</v>
      </c>
      <c r="L108" s="117">
        <v>350000</v>
      </c>
    </row>
    <row r="109" spans="2:12" x14ac:dyDescent="0.25">
      <c r="B109" s="81" t="s">
        <v>174</v>
      </c>
      <c r="C109" s="82">
        <v>2</v>
      </c>
      <c r="D109" s="83" t="s">
        <v>18</v>
      </c>
      <c r="E109" s="78">
        <f t="shared" si="9"/>
        <v>700000</v>
      </c>
      <c r="F109" s="117">
        <v>350000</v>
      </c>
      <c r="H109" s="81" t="s">
        <v>174</v>
      </c>
      <c r="I109" s="82">
        <v>2</v>
      </c>
      <c r="J109" s="83" t="s">
        <v>18</v>
      </c>
      <c r="K109" s="78">
        <f t="shared" si="10"/>
        <v>700000</v>
      </c>
      <c r="L109" s="117">
        <v>350000</v>
      </c>
    </row>
    <row r="110" spans="2:12" x14ac:dyDescent="0.25">
      <c r="B110" s="81" t="s">
        <v>64</v>
      </c>
      <c r="C110" s="82">
        <v>2</v>
      </c>
      <c r="D110" s="83" t="s">
        <v>18</v>
      </c>
      <c r="E110" s="78">
        <f t="shared" si="9"/>
        <v>800000</v>
      </c>
      <c r="F110" s="117">
        <v>400000</v>
      </c>
      <c r="H110" s="81" t="s">
        <v>64</v>
      </c>
      <c r="I110" s="82">
        <v>2</v>
      </c>
      <c r="J110" s="83" t="s">
        <v>18</v>
      </c>
      <c r="K110" s="78">
        <f t="shared" si="10"/>
        <v>800000</v>
      </c>
      <c r="L110" s="117">
        <v>400000</v>
      </c>
    </row>
    <row r="111" spans="2:12" x14ac:dyDescent="0.25">
      <c r="B111" s="81" t="s">
        <v>61</v>
      </c>
      <c r="C111" s="82">
        <v>1</v>
      </c>
      <c r="D111" s="83" t="s">
        <v>18</v>
      </c>
      <c r="E111" s="78">
        <f>F111*C111</f>
        <v>850000</v>
      </c>
      <c r="F111" s="117">
        <v>850000</v>
      </c>
      <c r="H111" s="81" t="s">
        <v>61</v>
      </c>
      <c r="I111" s="82">
        <v>1</v>
      </c>
      <c r="J111" s="83" t="s">
        <v>18</v>
      </c>
      <c r="K111" s="78">
        <f>L111*I111</f>
        <v>850000</v>
      </c>
      <c r="L111" s="117">
        <v>850000</v>
      </c>
    </row>
    <row r="112" spans="2:12" x14ac:dyDescent="0.25">
      <c r="B112" s="81" t="s">
        <v>62</v>
      </c>
      <c r="C112" s="82">
        <v>1</v>
      </c>
      <c r="D112" s="83" t="s">
        <v>18</v>
      </c>
      <c r="E112" s="78">
        <f>F112*C112</f>
        <v>400000</v>
      </c>
      <c r="F112" s="117">
        <v>400000</v>
      </c>
      <c r="H112" s="81" t="s">
        <v>62</v>
      </c>
      <c r="I112" s="82">
        <v>1</v>
      </c>
      <c r="J112" s="83" t="s">
        <v>18</v>
      </c>
      <c r="K112" s="78">
        <f>L112*I112</f>
        <v>400000</v>
      </c>
      <c r="L112" s="117">
        <v>400000</v>
      </c>
    </row>
    <row r="113" spans="2:12" x14ac:dyDescent="0.25">
      <c r="B113" s="81"/>
      <c r="C113" s="82"/>
      <c r="D113" s="83"/>
      <c r="E113" s="78">
        <f t="shared" si="9"/>
        <v>0</v>
      </c>
      <c r="F113" s="78"/>
      <c r="H113" s="81" t="s">
        <v>65</v>
      </c>
      <c r="I113" s="82">
        <v>1</v>
      </c>
      <c r="J113" s="83" t="s">
        <v>18</v>
      </c>
      <c r="K113" s="78">
        <f t="shared" si="10"/>
        <v>250000</v>
      </c>
      <c r="L113" s="117">
        <v>250000</v>
      </c>
    </row>
    <row r="114" spans="2:12" x14ac:dyDescent="0.25">
      <c r="B114" s="81"/>
      <c r="C114" s="82"/>
      <c r="D114" s="83"/>
      <c r="E114" s="78">
        <f t="shared" si="9"/>
        <v>0</v>
      </c>
      <c r="F114" s="78"/>
      <c r="H114" s="81" t="s">
        <v>66</v>
      </c>
      <c r="I114" s="82">
        <v>1</v>
      </c>
      <c r="J114" s="83" t="s">
        <v>18</v>
      </c>
      <c r="K114" s="78">
        <f t="shared" si="10"/>
        <v>350000</v>
      </c>
      <c r="L114" s="117">
        <v>350000</v>
      </c>
    </row>
    <row r="115" spans="2:12" x14ac:dyDescent="0.25">
      <c r="B115" s="81" t="s">
        <v>188</v>
      </c>
      <c r="C115" s="82">
        <v>6</v>
      </c>
      <c r="D115" s="83" t="s">
        <v>18</v>
      </c>
      <c r="E115" s="78">
        <f t="shared" si="9"/>
        <v>90000</v>
      </c>
      <c r="F115" s="117">
        <v>15000</v>
      </c>
      <c r="H115" s="81" t="s">
        <v>188</v>
      </c>
      <c r="I115" s="82">
        <v>6</v>
      </c>
      <c r="J115" s="83" t="s">
        <v>18</v>
      </c>
      <c r="K115" s="78">
        <f t="shared" si="10"/>
        <v>90000</v>
      </c>
      <c r="L115" s="117">
        <v>15000</v>
      </c>
    </row>
    <row r="116" spans="2:12" ht="24" x14ac:dyDescent="0.25">
      <c r="B116" s="81" t="s">
        <v>67</v>
      </c>
      <c r="C116" s="82">
        <v>1</v>
      </c>
      <c r="D116" s="83" t="s">
        <v>18</v>
      </c>
      <c r="E116" s="78">
        <f t="shared" si="9"/>
        <v>12000</v>
      </c>
      <c r="F116" s="117">
        <v>12000</v>
      </c>
      <c r="H116" s="81" t="s">
        <v>67</v>
      </c>
      <c r="I116" s="82">
        <v>1</v>
      </c>
      <c r="J116" s="83" t="s">
        <v>18</v>
      </c>
      <c r="K116" s="78">
        <f t="shared" si="10"/>
        <v>12000</v>
      </c>
      <c r="L116" s="117">
        <v>12000</v>
      </c>
    </row>
    <row r="117" spans="2:12" x14ac:dyDescent="0.25">
      <c r="B117" s="81" t="s">
        <v>109</v>
      </c>
      <c r="C117" s="82">
        <v>5</v>
      </c>
      <c r="D117" s="85" t="s">
        <v>107</v>
      </c>
      <c r="E117" s="78">
        <f t="shared" si="9"/>
        <v>375000</v>
      </c>
      <c r="F117" s="117">
        <v>75000</v>
      </c>
      <c r="H117" s="81" t="s">
        <v>109</v>
      </c>
      <c r="I117" s="82">
        <v>5</v>
      </c>
      <c r="J117" s="85" t="s">
        <v>107</v>
      </c>
      <c r="K117" s="78">
        <f t="shared" si="10"/>
        <v>375000</v>
      </c>
      <c r="L117" s="117">
        <v>75000</v>
      </c>
    </row>
    <row r="118" spans="2:12" ht="21" x14ac:dyDescent="0.25">
      <c r="B118" s="120">
        <f>SUM(E102:E117)</f>
        <v>5987000</v>
      </c>
      <c r="C118" s="591">
        <f>SUM(E101:E117)</f>
        <v>24987000</v>
      </c>
      <c r="D118" s="592"/>
      <c r="E118" s="592"/>
      <c r="F118" s="131">
        <f>E101</f>
        <v>19000000</v>
      </c>
      <c r="H118" s="81"/>
      <c r="I118" s="591">
        <f>SUM(K101:K117)</f>
        <v>66587000</v>
      </c>
      <c r="J118" s="592"/>
      <c r="K118" s="592"/>
      <c r="L118" s="78"/>
    </row>
    <row r="119" spans="2:12" x14ac:dyDescent="0.25">
      <c r="B119" s="74"/>
      <c r="C119" s="74"/>
      <c r="D119" s="74"/>
      <c r="E119" s="74"/>
      <c r="F119" s="74"/>
      <c r="H119" s="74"/>
      <c r="I119" s="74"/>
      <c r="J119" s="74"/>
      <c r="K119" s="74"/>
      <c r="L119" s="74"/>
    </row>
    <row r="120" spans="2:12" ht="21" x14ac:dyDescent="0.25">
      <c r="B120" s="92" t="s">
        <v>137</v>
      </c>
      <c r="C120" s="598" t="s">
        <v>116</v>
      </c>
      <c r="D120" s="598"/>
      <c r="E120" s="598"/>
      <c r="F120" s="82"/>
      <c r="H120" s="91" t="s">
        <v>136</v>
      </c>
      <c r="I120" s="598" t="s">
        <v>116</v>
      </c>
      <c r="J120" s="598"/>
      <c r="K120" s="598"/>
      <c r="L120" s="78"/>
    </row>
    <row r="121" spans="2:12" ht="15.75" x14ac:dyDescent="0.25">
      <c r="B121" s="94"/>
      <c r="C121" s="79" t="s">
        <v>4</v>
      </c>
      <c r="D121" s="79" t="s">
        <v>15</v>
      </c>
      <c r="E121" s="80" t="s">
        <v>16</v>
      </c>
      <c r="F121" s="93"/>
      <c r="H121" s="81"/>
      <c r="I121" s="79" t="s">
        <v>4</v>
      </c>
      <c r="J121" s="79" t="s">
        <v>15</v>
      </c>
      <c r="K121" s="80" t="s">
        <v>16</v>
      </c>
      <c r="L121" s="93"/>
    </row>
    <row r="122" spans="2:12" x14ac:dyDescent="0.25">
      <c r="B122" s="81" t="s">
        <v>97</v>
      </c>
      <c r="C122" s="82">
        <f>(SALE!$D$8*SALE!$D$9)</f>
        <v>54</v>
      </c>
      <c r="D122" s="85" t="s">
        <v>96</v>
      </c>
      <c r="E122" s="78">
        <f>F122*C122</f>
        <v>138240000</v>
      </c>
      <c r="F122" s="88">
        <f>8*SALE!E15</f>
        <v>2560000</v>
      </c>
      <c r="H122" s="81" t="s">
        <v>97</v>
      </c>
      <c r="I122" s="82">
        <f>(SALE!$D$8*SALE!$D$9)</f>
        <v>54</v>
      </c>
      <c r="J122" s="85" t="s">
        <v>96</v>
      </c>
      <c r="K122" s="78">
        <f>L122*I122</f>
        <v>138240000</v>
      </c>
      <c r="L122" s="88">
        <f>8*SALE!E15</f>
        <v>2560000</v>
      </c>
    </row>
    <row r="123" spans="2:12" x14ac:dyDescent="0.25">
      <c r="B123" s="81" t="s">
        <v>125</v>
      </c>
      <c r="C123" s="82">
        <f>(((SALE!$D$8-0.25)/0.6)-1)*(SALE!$D$9)</f>
        <v>77.25</v>
      </c>
      <c r="D123" s="85" t="s">
        <v>40</v>
      </c>
      <c r="E123" s="78">
        <f t="shared" ref="E123:E134" si="11">F123*C123</f>
        <v>92700000</v>
      </c>
      <c r="F123" s="88">
        <f>1*SALE!E9</f>
        <v>1200000</v>
      </c>
      <c r="H123" s="81" t="s">
        <v>125</v>
      </c>
      <c r="I123" s="82">
        <f>(((SALE!$D$8-0.25)/0.6)-1)*(SALE!$D$9)</f>
        <v>77.25</v>
      </c>
      <c r="J123" s="85" t="s">
        <v>40</v>
      </c>
      <c r="K123" s="78">
        <f t="shared" ref="K123:K134" si="12">L123*I123</f>
        <v>139050000</v>
      </c>
      <c r="L123" s="88">
        <f>1.5*SALE!E9</f>
        <v>1800000</v>
      </c>
    </row>
    <row r="124" spans="2:12" x14ac:dyDescent="0.25">
      <c r="B124" s="81" t="s">
        <v>124</v>
      </c>
      <c r="C124" s="89">
        <f>SALE!$D$9*2</f>
        <v>18</v>
      </c>
      <c r="D124" s="85" t="s">
        <v>40</v>
      </c>
      <c r="E124" s="78">
        <f t="shared" si="11"/>
        <v>41040000</v>
      </c>
      <c r="F124" s="88">
        <f>1.9*SALE!E9</f>
        <v>2280000</v>
      </c>
      <c r="H124" s="81" t="s">
        <v>124</v>
      </c>
      <c r="I124" s="89">
        <f>SALE!$D$9*2</f>
        <v>18</v>
      </c>
      <c r="J124" s="85" t="s">
        <v>40</v>
      </c>
      <c r="K124" s="78">
        <f t="shared" si="12"/>
        <v>41040000</v>
      </c>
      <c r="L124" s="88">
        <f>1.9*SALE!E9</f>
        <v>2280000</v>
      </c>
    </row>
    <row r="125" spans="2:12" x14ac:dyDescent="0.25">
      <c r="B125" s="81" t="s">
        <v>68</v>
      </c>
      <c r="C125" s="89">
        <f>C124+C123</f>
        <v>95.25</v>
      </c>
      <c r="D125" s="85" t="s">
        <v>40</v>
      </c>
      <c r="E125" s="78">
        <f t="shared" si="11"/>
        <v>4762500</v>
      </c>
      <c r="F125" s="117">
        <v>50000</v>
      </c>
      <c r="H125" s="81" t="s">
        <v>68</v>
      </c>
      <c r="I125" s="89">
        <f>I124+I123</f>
        <v>95.25</v>
      </c>
      <c r="J125" s="85" t="s">
        <v>40</v>
      </c>
      <c r="K125" s="78">
        <f t="shared" si="12"/>
        <v>4762500</v>
      </c>
      <c r="L125" s="117">
        <v>50000</v>
      </c>
    </row>
    <row r="126" spans="2:12" x14ac:dyDescent="0.25">
      <c r="B126" s="81" t="s">
        <v>69</v>
      </c>
      <c r="C126" s="89">
        <f>SALE!$D$9</f>
        <v>9</v>
      </c>
      <c r="D126" s="85" t="s">
        <v>40</v>
      </c>
      <c r="E126" s="78">
        <f t="shared" si="11"/>
        <v>270000</v>
      </c>
      <c r="F126" s="117">
        <v>30000</v>
      </c>
      <c r="H126" s="81" t="s">
        <v>69</v>
      </c>
      <c r="I126" s="89">
        <f>SALE!$D$9</f>
        <v>9</v>
      </c>
      <c r="J126" s="85" t="s">
        <v>40</v>
      </c>
      <c r="K126" s="78">
        <f t="shared" si="12"/>
        <v>270000</v>
      </c>
      <c r="L126" s="117">
        <v>30000</v>
      </c>
    </row>
    <row r="127" spans="2:12" x14ac:dyDescent="0.25">
      <c r="B127" s="81" t="s">
        <v>71</v>
      </c>
      <c r="C127" s="89">
        <f>SALE!$D$8</f>
        <v>6</v>
      </c>
      <c r="D127" s="85" t="s">
        <v>40</v>
      </c>
      <c r="E127" s="78">
        <f t="shared" si="11"/>
        <v>180000</v>
      </c>
      <c r="F127" s="117">
        <v>30000</v>
      </c>
      <c r="H127" s="81" t="s">
        <v>71</v>
      </c>
      <c r="I127" s="89">
        <f>SALE!$D$8</f>
        <v>6</v>
      </c>
      <c r="J127" s="85" t="s">
        <v>40</v>
      </c>
      <c r="K127" s="78">
        <f t="shared" si="12"/>
        <v>180000</v>
      </c>
      <c r="L127" s="117">
        <v>30000</v>
      </c>
    </row>
    <row r="128" spans="2:12" x14ac:dyDescent="0.25">
      <c r="B128" s="81" t="s">
        <v>70</v>
      </c>
      <c r="C128" s="82">
        <f>((INT((C123+C124)/10))+1)</f>
        <v>10</v>
      </c>
      <c r="D128" s="85" t="s">
        <v>18</v>
      </c>
      <c r="E128" s="78">
        <f t="shared" si="11"/>
        <v>5000000</v>
      </c>
      <c r="F128" s="117">
        <v>500000</v>
      </c>
      <c r="H128" s="81" t="s">
        <v>70</v>
      </c>
      <c r="I128" s="82">
        <f>((INT((I123+I124)/10))+1)</f>
        <v>10</v>
      </c>
      <c r="J128" s="85" t="s">
        <v>18</v>
      </c>
      <c r="K128" s="78">
        <f t="shared" si="12"/>
        <v>5000000</v>
      </c>
      <c r="L128" s="117">
        <v>500000</v>
      </c>
    </row>
    <row r="129" spans="2:12" x14ac:dyDescent="0.25">
      <c r="B129" s="81" t="s">
        <v>126</v>
      </c>
      <c r="C129" s="82">
        <f>((INT((SALE!$D$8-0.25)/0.6)))*2</f>
        <v>18</v>
      </c>
      <c r="D129" s="85" t="s">
        <v>18</v>
      </c>
      <c r="E129" s="78">
        <f t="shared" si="11"/>
        <v>1242000</v>
      </c>
      <c r="F129" s="117">
        <v>69000</v>
      </c>
      <c r="H129" s="81" t="s">
        <v>126</v>
      </c>
      <c r="I129" s="82">
        <f>((INT((SALE!$D$8-0.25)/0.6)))*2</f>
        <v>18</v>
      </c>
      <c r="J129" s="85" t="s">
        <v>18</v>
      </c>
      <c r="K129" s="78">
        <f t="shared" si="12"/>
        <v>1242000</v>
      </c>
      <c r="L129" s="117">
        <v>69000</v>
      </c>
    </row>
    <row r="130" spans="2:12" x14ac:dyDescent="0.25">
      <c r="B130" s="81" t="s">
        <v>73</v>
      </c>
      <c r="C130" s="82">
        <v>4</v>
      </c>
      <c r="D130" s="85" t="s">
        <v>18</v>
      </c>
      <c r="E130" s="78">
        <f t="shared" si="11"/>
        <v>330000</v>
      </c>
      <c r="F130" s="117">
        <v>82500</v>
      </c>
      <c r="H130" s="81" t="s">
        <v>73</v>
      </c>
      <c r="I130" s="82">
        <v>4</v>
      </c>
      <c r="J130" s="85" t="s">
        <v>18</v>
      </c>
      <c r="K130" s="78">
        <f t="shared" si="12"/>
        <v>330000</v>
      </c>
      <c r="L130" s="117">
        <v>82500</v>
      </c>
    </row>
    <row r="131" spans="2:12" x14ac:dyDescent="0.25">
      <c r="B131" s="81" t="s">
        <v>72</v>
      </c>
      <c r="C131" s="82">
        <f>C129+C130</f>
        <v>22</v>
      </c>
      <c r="D131" s="85" t="s">
        <v>18</v>
      </c>
      <c r="E131" s="78">
        <f t="shared" si="11"/>
        <v>33000</v>
      </c>
      <c r="F131" s="117">
        <v>1500</v>
      </c>
      <c r="H131" s="81" t="s">
        <v>72</v>
      </c>
      <c r="I131" s="82">
        <f>I129+I130</f>
        <v>22</v>
      </c>
      <c r="J131" s="85" t="s">
        <v>18</v>
      </c>
      <c r="K131" s="78">
        <f t="shared" si="12"/>
        <v>33000</v>
      </c>
      <c r="L131" s="117">
        <v>1500</v>
      </c>
    </row>
    <row r="132" spans="2:12" ht="24" x14ac:dyDescent="0.25">
      <c r="B132" s="81" t="s">
        <v>74</v>
      </c>
      <c r="C132" s="82">
        <f>C131</f>
        <v>22</v>
      </c>
      <c r="D132" s="85" t="s">
        <v>18</v>
      </c>
      <c r="E132" s="78">
        <f t="shared" si="11"/>
        <v>220000</v>
      </c>
      <c r="F132" s="117">
        <v>10000</v>
      </c>
      <c r="H132" s="81" t="s">
        <v>74</v>
      </c>
      <c r="I132" s="82">
        <f>I129+I130</f>
        <v>22</v>
      </c>
      <c r="J132" s="85" t="s">
        <v>18</v>
      </c>
      <c r="K132" s="78">
        <f t="shared" si="12"/>
        <v>220000</v>
      </c>
      <c r="L132" s="117">
        <v>10000</v>
      </c>
    </row>
    <row r="133" spans="2:12" x14ac:dyDescent="0.25">
      <c r="B133" s="81" t="s">
        <v>75</v>
      </c>
      <c r="C133" s="82">
        <f>C131</f>
        <v>22</v>
      </c>
      <c r="D133" s="85" t="s">
        <v>18</v>
      </c>
      <c r="E133" s="78">
        <f t="shared" si="11"/>
        <v>132000</v>
      </c>
      <c r="F133" s="117">
        <v>6000</v>
      </c>
      <c r="H133" s="81" t="s">
        <v>75</v>
      </c>
      <c r="I133" s="82">
        <f>I129+I130</f>
        <v>22</v>
      </c>
      <c r="J133" s="85" t="s">
        <v>18</v>
      </c>
      <c r="K133" s="78">
        <f t="shared" si="12"/>
        <v>132000</v>
      </c>
      <c r="L133" s="117">
        <v>6000</v>
      </c>
    </row>
    <row r="134" spans="2:12" x14ac:dyDescent="0.25">
      <c r="B134" s="81" t="s">
        <v>106</v>
      </c>
      <c r="C134" s="82">
        <f>(C123*1)+(C124*1.9)</f>
        <v>111.44999999999999</v>
      </c>
      <c r="D134" s="83" t="s">
        <v>107</v>
      </c>
      <c r="E134" s="78">
        <f t="shared" si="11"/>
        <v>27862499.999999996</v>
      </c>
      <c r="F134" s="117">
        <f>'AAA1'!$T$2</f>
        <v>250000</v>
      </c>
      <c r="H134" s="81" t="s">
        <v>106</v>
      </c>
      <c r="I134" s="82">
        <f>(I123*1.5)+(I124*1.9)</f>
        <v>150.07499999999999</v>
      </c>
      <c r="J134" s="83" t="s">
        <v>107</v>
      </c>
      <c r="K134" s="78">
        <f t="shared" si="12"/>
        <v>37518750</v>
      </c>
      <c r="L134" s="117">
        <f>'AAA1'!$T$2</f>
        <v>250000</v>
      </c>
    </row>
    <row r="135" spans="2:12" ht="21" x14ac:dyDescent="0.25">
      <c r="B135" s="120">
        <f>SUM(E125:E133)</f>
        <v>12169500</v>
      </c>
      <c r="C135" s="591">
        <f>SUM(E122:E134)</f>
        <v>312012000</v>
      </c>
      <c r="D135" s="592"/>
      <c r="E135" s="592"/>
      <c r="F135" s="130">
        <f>E134</f>
        <v>27862499.999999996</v>
      </c>
      <c r="H135" s="81"/>
      <c r="I135" s="591">
        <f>SUM(K122:K134)</f>
        <v>368018250</v>
      </c>
      <c r="J135" s="592"/>
      <c r="K135" s="592"/>
      <c r="L135" s="78"/>
    </row>
    <row r="136" spans="2:12" x14ac:dyDescent="0.25">
      <c r="B136" s="74"/>
      <c r="C136" s="74"/>
      <c r="D136" s="74"/>
      <c r="E136" s="74"/>
      <c r="F136" s="74"/>
    </row>
    <row r="137" spans="2:12" x14ac:dyDescent="0.25">
      <c r="B137" s="81"/>
      <c r="C137" s="598" t="s">
        <v>76</v>
      </c>
      <c r="D137" s="598"/>
      <c r="E137" s="598"/>
      <c r="F137" s="78"/>
    </row>
    <row r="138" spans="2:12" x14ac:dyDescent="0.25">
      <c r="B138" s="81"/>
      <c r="C138" s="79" t="s">
        <v>4</v>
      </c>
      <c r="D138" s="79" t="s">
        <v>15</v>
      </c>
      <c r="E138" s="80" t="s">
        <v>16</v>
      </c>
      <c r="F138" s="78"/>
    </row>
    <row r="139" spans="2:12" x14ac:dyDescent="0.25">
      <c r="B139" s="81" t="s">
        <v>127</v>
      </c>
      <c r="C139" s="82">
        <f>(SALE!$D$9*((((INT(SALE!$D$8/0.6))+1)*0.07)+0.25))</f>
        <v>9.18</v>
      </c>
      <c r="D139" s="85" t="s">
        <v>96</v>
      </c>
      <c r="E139" s="78">
        <f>F139*C139</f>
        <v>11750400</v>
      </c>
      <c r="F139" s="78">
        <f>8*0.5*SALE!E15</f>
        <v>1280000</v>
      </c>
    </row>
    <row r="140" spans="2:12" x14ac:dyDescent="0.25">
      <c r="B140" s="81" t="s">
        <v>78</v>
      </c>
      <c r="C140" s="82">
        <f>(SALE!$E$5+SALE!$D$5)*2</f>
        <v>8</v>
      </c>
      <c r="D140" s="85" t="s">
        <v>18</v>
      </c>
      <c r="E140" s="78">
        <f>F140*C140</f>
        <v>1200000</v>
      </c>
      <c r="F140" s="117">
        <v>150000</v>
      </c>
    </row>
    <row r="141" spans="2:12" x14ac:dyDescent="0.25">
      <c r="B141" s="81" t="s">
        <v>79</v>
      </c>
      <c r="C141" s="82">
        <v>2</v>
      </c>
      <c r="D141" s="85" t="s">
        <v>18</v>
      </c>
      <c r="E141" s="78">
        <f>F141*C141</f>
        <v>300000</v>
      </c>
      <c r="F141" s="117">
        <v>150000</v>
      </c>
    </row>
    <row r="142" spans="2:12" x14ac:dyDescent="0.25">
      <c r="B142" s="81" t="s">
        <v>80</v>
      </c>
      <c r="C142" s="89">
        <f>SALE!$D$9</f>
        <v>9</v>
      </c>
      <c r="D142" s="85" t="s">
        <v>40</v>
      </c>
      <c r="E142" s="78">
        <f>F142*C142</f>
        <v>1980000</v>
      </c>
      <c r="F142" s="117">
        <v>220000</v>
      </c>
    </row>
    <row r="143" spans="2:12" x14ac:dyDescent="0.25">
      <c r="B143" s="81" t="s">
        <v>82</v>
      </c>
      <c r="C143" s="82">
        <v>2</v>
      </c>
      <c r="D143" s="85" t="s">
        <v>18</v>
      </c>
      <c r="E143" s="78">
        <f>F143*C143</f>
        <v>3700000</v>
      </c>
      <c r="F143" s="117">
        <v>1850000</v>
      </c>
    </row>
    <row r="144" spans="2:12" x14ac:dyDescent="0.25">
      <c r="B144" s="81" t="s">
        <v>81</v>
      </c>
      <c r="C144" s="89">
        <f>SALE!$D$9</f>
        <v>9</v>
      </c>
      <c r="D144" s="85" t="s">
        <v>40</v>
      </c>
      <c r="E144" s="78">
        <f t="shared" ref="E144:E150" si="13">F144*C144</f>
        <v>3870000</v>
      </c>
      <c r="F144" s="117">
        <v>430000</v>
      </c>
    </row>
    <row r="145" spans="2:12" x14ac:dyDescent="0.25">
      <c r="B145" s="81" t="s">
        <v>77</v>
      </c>
      <c r="C145" s="82">
        <f>C139/1.5</f>
        <v>6.12</v>
      </c>
      <c r="D145" s="85" t="s">
        <v>18</v>
      </c>
      <c r="E145" s="78">
        <f>F145*C145</f>
        <v>3060000</v>
      </c>
      <c r="F145" s="88">
        <v>500000</v>
      </c>
    </row>
    <row r="146" spans="2:12" ht="24" x14ac:dyDescent="0.25">
      <c r="B146" s="81" t="s">
        <v>83</v>
      </c>
      <c r="C146" s="82">
        <v>2</v>
      </c>
      <c r="D146" s="85" t="s">
        <v>18</v>
      </c>
      <c r="E146" s="78">
        <f t="shared" si="13"/>
        <v>160000</v>
      </c>
      <c r="F146" s="117">
        <v>80000</v>
      </c>
    </row>
    <row r="147" spans="2:12" x14ac:dyDescent="0.25">
      <c r="B147" s="81" t="s">
        <v>84</v>
      </c>
      <c r="C147" s="82">
        <f>C140/2</f>
        <v>4</v>
      </c>
      <c r="D147" s="85" t="s">
        <v>18</v>
      </c>
      <c r="E147" s="78">
        <f t="shared" si="13"/>
        <v>800000</v>
      </c>
      <c r="F147" s="117">
        <v>200000</v>
      </c>
    </row>
    <row r="148" spans="2:12" ht="24" x14ac:dyDescent="0.25">
      <c r="B148" s="81" t="s">
        <v>85</v>
      </c>
      <c r="C148" s="82">
        <v>2</v>
      </c>
      <c r="D148" s="85" t="s">
        <v>18</v>
      </c>
      <c r="E148" s="78">
        <f t="shared" si="13"/>
        <v>50000</v>
      </c>
      <c r="F148" s="117">
        <v>25000</v>
      </c>
    </row>
    <row r="149" spans="2:12" x14ac:dyDescent="0.25">
      <c r="B149" s="81" t="s">
        <v>86</v>
      </c>
      <c r="C149" s="82">
        <f>C139*5</f>
        <v>45.9</v>
      </c>
      <c r="D149" s="85" t="s">
        <v>18</v>
      </c>
      <c r="E149" s="78">
        <f t="shared" si="13"/>
        <v>459000</v>
      </c>
      <c r="F149" s="117">
        <v>10000</v>
      </c>
    </row>
    <row r="150" spans="2:12" x14ac:dyDescent="0.25">
      <c r="B150" s="81" t="s">
        <v>106</v>
      </c>
      <c r="C150" s="82">
        <f>C139*3.2</f>
        <v>29.376000000000001</v>
      </c>
      <c r="D150" s="83" t="s">
        <v>107</v>
      </c>
      <c r="E150" s="78">
        <f t="shared" si="13"/>
        <v>7344000</v>
      </c>
      <c r="F150" s="117">
        <f>'AAA1'!$T$2</f>
        <v>250000</v>
      </c>
    </row>
    <row r="151" spans="2:12" ht="21" x14ac:dyDescent="0.25">
      <c r="B151" s="120">
        <f>SUM(E140:E149)</f>
        <v>15579000</v>
      </c>
      <c r="C151" s="591">
        <f>SUM(E139:E150)</f>
        <v>34673400</v>
      </c>
      <c r="D151" s="592"/>
      <c r="E151" s="592"/>
      <c r="F151" s="130">
        <f>SUM(E150)</f>
        <v>7344000</v>
      </c>
    </row>
    <row r="152" spans="2:12" x14ac:dyDescent="0.25">
      <c r="B152" s="74"/>
      <c r="C152" s="74"/>
      <c r="D152" s="74"/>
      <c r="E152" s="74"/>
      <c r="F152" s="74"/>
      <c r="H152" s="74"/>
      <c r="I152" s="74"/>
      <c r="J152" s="74"/>
      <c r="K152" s="74"/>
      <c r="L152" s="74"/>
    </row>
    <row r="153" spans="2:12" ht="21" x14ac:dyDescent="0.25">
      <c r="B153" s="92" t="s">
        <v>137</v>
      </c>
      <c r="C153" s="598" t="s">
        <v>87</v>
      </c>
      <c r="D153" s="598"/>
      <c r="E153" s="598"/>
      <c r="F153" s="78"/>
      <c r="H153" s="91" t="s">
        <v>136</v>
      </c>
      <c r="I153" s="598" t="s">
        <v>87</v>
      </c>
      <c r="J153" s="598"/>
      <c r="K153" s="598"/>
      <c r="L153" s="78"/>
    </row>
    <row r="154" spans="2:12" ht="15.75" x14ac:dyDescent="0.25">
      <c r="B154" s="229"/>
      <c r="C154" s="79" t="s">
        <v>4</v>
      </c>
      <c r="D154" s="79" t="s">
        <v>15</v>
      </c>
      <c r="E154" s="80" t="s">
        <v>16</v>
      </c>
      <c r="F154" s="93"/>
      <c r="H154" s="229"/>
      <c r="I154" s="79" t="s">
        <v>4</v>
      </c>
      <c r="J154" s="79" t="s">
        <v>15</v>
      </c>
      <c r="K154" s="80" t="s">
        <v>16</v>
      </c>
      <c r="L154" s="93"/>
    </row>
    <row r="155" spans="2:12" x14ac:dyDescent="0.25">
      <c r="B155" s="95" t="s">
        <v>110</v>
      </c>
      <c r="C155" s="89">
        <f>SALE!$D$9</f>
        <v>9</v>
      </c>
      <c r="D155" s="85" t="s">
        <v>40</v>
      </c>
      <c r="E155" s="78">
        <f>F155*C155</f>
        <v>0</v>
      </c>
      <c r="F155" s="78">
        <v>0</v>
      </c>
      <c r="H155" s="95" t="s">
        <v>110</v>
      </c>
      <c r="I155" s="89">
        <f>SALE!$D$9</f>
        <v>9</v>
      </c>
      <c r="J155" s="85" t="s">
        <v>40</v>
      </c>
      <c r="K155" s="78">
        <f>L155*I155</f>
        <v>31320000</v>
      </c>
      <c r="L155" s="88">
        <f>SALE!E9*2.9</f>
        <v>3480000</v>
      </c>
    </row>
    <row r="156" spans="2:12" x14ac:dyDescent="0.25">
      <c r="B156" s="95" t="s">
        <v>111</v>
      </c>
      <c r="C156" s="89">
        <f>SALE!$D$9</f>
        <v>9</v>
      </c>
      <c r="D156" s="85" t="s">
        <v>40</v>
      </c>
      <c r="E156" s="78">
        <f t="shared" ref="E156:E166" si="14">F156*C156</f>
        <v>0</v>
      </c>
      <c r="F156" s="78">
        <v>0</v>
      </c>
      <c r="H156" s="95" t="s">
        <v>111</v>
      </c>
      <c r="I156" s="89">
        <f>SALE!$D$9</f>
        <v>9</v>
      </c>
      <c r="J156" s="85" t="s">
        <v>40</v>
      </c>
      <c r="K156" s="78">
        <f t="shared" ref="K156:K166" si="15">L156*I156</f>
        <v>16200000</v>
      </c>
      <c r="L156" s="88">
        <f>SALE!E9*1.5</f>
        <v>1800000</v>
      </c>
    </row>
    <row r="157" spans="2:12" x14ac:dyDescent="0.25">
      <c r="B157" s="95" t="s">
        <v>154</v>
      </c>
      <c r="C157" s="89">
        <f>SALE!$D$9</f>
        <v>9</v>
      </c>
      <c r="D157" s="85" t="s">
        <v>40</v>
      </c>
      <c r="E157" s="78">
        <f t="shared" si="14"/>
        <v>39960000</v>
      </c>
      <c r="F157" s="88">
        <f>SALE!E9*3.7</f>
        <v>4440000</v>
      </c>
      <c r="H157" s="95" t="s">
        <v>154</v>
      </c>
      <c r="I157" s="89">
        <f>SALE!$D$9</f>
        <v>9</v>
      </c>
      <c r="J157" s="85" t="s">
        <v>40</v>
      </c>
      <c r="K157" s="78">
        <f t="shared" si="15"/>
        <v>39960000</v>
      </c>
      <c r="L157" s="88">
        <f>SALE!E9*3.7</f>
        <v>4440000</v>
      </c>
    </row>
    <row r="158" spans="2:12" x14ac:dyDescent="0.25">
      <c r="B158" s="95" t="s">
        <v>90</v>
      </c>
      <c r="C158" s="89">
        <f>SALE!$D$9</f>
        <v>9</v>
      </c>
      <c r="D158" s="85" t="s">
        <v>40</v>
      </c>
      <c r="E158" s="78">
        <f>F158*C158</f>
        <v>1080000</v>
      </c>
      <c r="F158" s="117">
        <v>120000</v>
      </c>
      <c r="H158" s="95" t="s">
        <v>90</v>
      </c>
      <c r="I158" s="89">
        <f>SALE!$D$9</f>
        <v>9</v>
      </c>
      <c r="J158" s="85" t="s">
        <v>40</v>
      </c>
      <c r="K158" s="78">
        <f>L158*I158</f>
        <v>990000</v>
      </c>
      <c r="L158" s="84">
        <v>110000</v>
      </c>
    </row>
    <row r="159" spans="2:12" x14ac:dyDescent="0.25">
      <c r="B159" s="95" t="s">
        <v>88</v>
      </c>
      <c r="C159" s="82">
        <v>6</v>
      </c>
      <c r="D159" s="85" t="s">
        <v>18</v>
      </c>
      <c r="E159" s="78">
        <f t="shared" si="14"/>
        <v>7200000</v>
      </c>
      <c r="F159" s="117">
        <v>1200000</v>
      </c>
      <c r="H159" s="95" t="s">
        <v>88</v>
      </c>
      <c r="I159" s="82">
        <v>6</v>
      </c>
      <c r="J159" s="85" t="s">
        <v>18</v>
      </c>
      <c r="K159" s="78">
        <f t="shared" si="15"/>
        <v>0</v>
      </c>
      <c r="L159" s="78">
        <v>0</v>
      </c>
    </row>
    <row r="160" spans="2:12" x14ac:dyDescent="0.25">
      <c r="B160" s="95" t="s">
        <v>89</v>
      </c>
      <c r="C160" s="82">
        <v>2</v>
      </c>
      <c r="D160" s="85" t="s">
        <v>18</v>
      </c>
      <c r="E160" s="78">
        <f t="shared" si="14"/>
        <v>210000</v>
      </c>
      <c r="F160" s="117">
        <v>105000</v>
      </c>
      <c r="H160" s="95" t="s">
        <v>89</v>
      </c>
      <c r="I160" s="82">
        <v>2</v>
      </c>
      <c r="J160" s="85" t="s">
        <v>18</v>
      </c>
      <c r="K160" s="78">
        <f t="shared" si="15"/>
        <v>210000</v>
      </c>
      <c r="L160" s="84">
        <v>105000</v>
      </c>
    </row>
    <row r="161" spans="2:12" x14ac:dyDescent="0.25">
      <c r="B161" s="95" t="s">
        <v>91</v>
      </c>
      <c r="C161" s="82">
        <v>1</v>
      </c>
      <c r="D161" s="85" t="s">
        <v>18</v>
      </c>
      <c r="E161" s="78">
        <f t="shared" si="14"/>
        <v>160000</v>
      </c>
      <c r="F161" s="117">
        <v>160000</v>
      </c>
      <c r="H161" s="95" t="s">
        <v>91</v>
      </c>
      <c r="I161" s="82">
        <v>1</v>
      </c>
      <c r="J161" s="85" t="s">
        <v>18</v>
      </c>
      <c r="K161" s="78">
        <f t="shared" si="15"/>
        <v>121000</v>
      </c>
      <c r="L161" s="84">
        <v>121000</v>
      </c>
    </row>
    <row r="162" spans="2:12" ht="24" x14ac:dyDescent="0.25">
      <c r="B162" s="95" t="s">
        <v>92</v>
      </c>
      <c r="C162" s="90">
        <f>SALE!$E$5+SALE!$D$5</f>
        <v>4</v>
      </c>
      <c r="D162" s="85" t="s">
        <v>18</v>
      </c>
      <c r="E162" s="78">
        <f t="shared" si="14"/>
        <v>0</v>
      </c>
      <c r="F162" s="84">
        <v>0</v>
      </c>
      <c r="H162" s="95" t="s">
        <v>92</v>
      </c>
      <c r="I162" s="90">
        <f>SALE!$E$5+SALE!$D$5</f>
        <v>4</v>
      </c>
      <c r="J162" s="85" t="s">
        <v>18</v>
      </c>
      <c r="K162" s="78">
        <f t="shared" si="15"/>
        <v>232000</v>
      </c>
      <c r="L162" s="84">
        <v>58000</v>
      </c>
    </row>
    <row r="163" spans="2:12" x14ac:dyDescent="0.25">
      <c r="B163" s="81" t="s">
        <v>95</v>
      </c>
      <c r="C163" s="82">
        <v>1</v>
      </c>
      <c r="D163" s="85" t="s">
        <v>40</v>
      </c>
      <c r="E163" s="78">
        <f t="shared" si="14"/>
        <v>500000</v>
      </c>
      <c r="F163" s="117">
        <v>500000</v>
      </c>
      <c r="H163" s="81" t="s">
        <v>95</v>
      </c>
      <c r="I163" s="82">
        <v>6</v>
      </c>
      <c r="J163" s="85" t="s">
        <v>40</v>
      </c>
      <c r="K163" s="78">
        <f t="shared" si="15"/>
        <v>1500000</v>
      </c>
      <c r="L163" s="84">
        <v>250000</v>
      </c>
    </row>
    <row r="164" spans="2:12" ht="24" x14ac:dyDescent="0.25">
      <c r="B164" s="95" t="s">
        <v>93</v>
      </c>
      <c r="C164" s="82">
        <v>20</v>
      </c>
      <c r="D164" s="85" t="s">
        <v>18</v>
      </c>
      <c r="E164" s="78">
        <f t="shared" si="14"/>
        <v>300000</v>
      </c>
      <c r="F164" s="117">
        <v>15000</v>
      </c>
      <c r="H164" s="95" t="s">
        <v>93</v>
      </c>
      <c r="I164" s="82">
        <v>20</v>
      </c>
      <c r="J164" s="85" t="s">
        <v>18</v>
      </c>
      <c r="K164" s="78">
        <f t="shared" si="15"/>
        <v>96000</v>
      </c>
      <c r="L164" s="84">
        <v>4800</v>
      </c>
    </row>
    <row r="165" spans="2:12" ht="24" x14ac:dyDescent="0.25">
      <c r="B165" s="95" t="s">
        <v>94</v>
      </c>
      <c r="C165" s="82">
        <f>C162*4</f>
        <v>16</v>
      </c>
      <c r="D165" s="85" t="s">
        <v>18</v>
      </c>
      <c r="E165" s="78">
        <f t="shared" si="14"/>
        <v>240000</v>
      </c>
      <c r="F165" s="117">
        <v>15000</v>
      </c>
      <c r="H165" s="95" t="s">
        <v>94</v>
      </c>
      <c r="I165" s="82">
        <f>I162*4</f>
        <v>16</v>
      </c>
      <c r="J165" s="85" t="s">
        <v>18</v>
      </c>
      <c r="K165" s="78">
        <f t="shared" si="15"/>
        <v>88000</v>
      </c>
      <c r="L165" s="84">
        <v>5500</v>
      </c>
    </row>
    <row r="166" spans="2:12" x14ac:dyDescent="0.25">
      <c r="B166" s="81" t="s">
        <v>106</v>
      </c>
      <c r="C166" s="82">
        <f>(C155*3.7)+(C159*2)</f>
        <v>45.300000000000004</v>
      </c>
      <c r="D166" s="85" t="s">
        <v>107</v>
      </c>
      <c r="E166" s="78">
        <f t="shared" si="14"/>
        <v>11325000.000000002</v>
      </c>
      <c r="F166" s="117">
        <f>'AAA1'!$T$2</f>
        <v>250000</v>
      </c>
      <c r="H166" s="81" t="s">
        <v>106</v>
      </c>
      <c r="I166" s="82">
        <f>(I155*8.2)+(I159*2)</f>
        <v>85.8</v>
      </c>
      <c r="J166" s="85" t="s">
        <v>107</v>
      </c>
      <c r="K166" s="78">
        <f t="shared" si="15"/>
        <v>21450000</v>
      </c>
      <c r="L166" s="117">
        <f>'AAA1'!$T$2</f>
        <v>250000</v>
      </c>
    </row>
    <row r="167" spans="2:12" ht="21" x14ac:dyDescent="0.25">
      <c r="B167" s="120">
        <f>SUM(E159:E165)</f>
        <v>8610000</v>
      </c>
      <c r="C167" s="591">
        <f>SUM(E155:E166)</f>
        <v>60975000</v>
      </c>
      <c r="D167" s="592"/>
      <c r="E167" s="592"/>
      <c r="F167" s="130">
        <f>E166</f>
        <v>11325000.000000002</v>
      </c>
      <c r="H167" s="81"/>
      <c r="I167" s="591">
        <f>SUM(K155:K166)</f>
        <v>112167000</v>
      </c>
      <c r="J167" s="592"/>
      <c r="K167" s="592"/>
      <c r="L167" s="78"/>
    </row>
    <row r="168" spans="2:12" x14ac:dyDescent="0.25">
      <c r="B168" s="74"/>
      <c r="C168" s="74"/>
      <c r="D168" s="74"/>
      <c r="E168" s="74"/>
      <c r="F168" s="74"/>
    </row>
    <row r="169" spans="2:12" ht="21" x14ac:dyDescent="0.25">
      <c r="B169" s="92" t="s">
        <v>137</v>
      </c>
      <c r="C169" s="600" t="s">
        <v>175</v>
      </c>
      <c r="D169" s="600"/>
      <c r="E169" s="600"/>
      <c r="F169" s="96"/>
    </row>
    <row r="170" spans="2:12" x14ac:dyDescent="0.25">
      <c r="B170" s="230" t="s">
        <v>128</v>
      </c>
      <c r="C170" s="79" t="s">
        <v>4</v>
      </c>
      <c r="D170" s="79" t="s">
        <v>15</v>
      </c>
      <c r="E170" s="80" t="s">
        <v>16</v>
      </c>
      <c r="F170" s="78"/>
    </row>
    <row r="171" spans="2:12" x14ac:dyDescent="0.25">
      <c r="B171" s="81" t="s">
        <v>130</v>
      </c>
      <c r="C171" s="82">
        <f>3*(SALE!$E$5+SALE!$D$5)</f>
        <v>12</v>
      </c>
      <c r="D171" s="85" t="s">
        <v>40</v>
      </c>
      <c r="E171" s="78">
        <f>F171*C171</f>
        <v>60480000</v>
      </c>
      <c r="F171" s="88">
        <f>SALE!E9*4.2</f>
        <v>5040000</v>
      </c>
    </row>
    <row r="172" spans="2:12" x14ac:dyDescent="0.25">
      <c r="B172" s="81" t="s">
        <v>131</v>
      </c>
      <c r="C172" s="89">
        <f>SALE!D9</f>
        <v>9</v>
      </c>
      <c r="D172" s="85" t="s">
        <v>40</v>
      </c>
      <c r="E172" s="78">
        <f>F172*C172</f>
        <v>45360000</v>
      </c>
      <c r="F172" s="88">
        <f>F171</f>
        <v>5040000</v>
      </c>
    </row>
    <row r="173" spans="2:12" x14ac:dyDescent="0.25">
      <c r="B173" s="81" t="s">
        <v>106</v>
      </c>
      <c r="C173" s="82">
        <f>(C171*4.2)+(C172*4.2)</f>
        <v>88.200000000000017</v>
      </c>
      <c r="D173" s="85" t="s">
        <v>107</v>
      </c>
      <c r="E173" s="78">
        <f>F173*C173</f>
        <v>22050000.000000004</v>
      </c>
      <c r="F173" s="117">
        <f>'AAA1'!$T$2</f>
        <v>250000</v>
      </c>
    </row>
    <row r="174" spans="2:12" x14ac:dyDescent="0.25">
      <c r="B174" s="81" t="s">
        <v>129</v>
      </c>
      <c r="C174" s="90">
        <f>(SALE!$E$5+SALE!$D$5)*1</f>
        <v>4</v>
      </c>
      <c r="D174" s="85" t="s">
        <v>40</v>
      </c>
      <c r="E174" s="78">
        <f>F174*C174</f>
        <v>6400000</v>
      </c>
      <c r="F174" s="117">
        <v>1600000</v>
      </c>
    </row>
    <row r="175" spans="2:12" x14ac:dyDescent="0.25">
      <c r="B175" s="81" t="s">
        <v>112</v>
      </c>
      <c r="C175" s="82">
        <f>C174*6.2</f>
        <v>24.8</v>
      </c>
      <c r="D175" s="85" t="s">
        <v>107</v>
      </c>
      <c r="E175" s="78">
        <f t="shared" ref="E175:E177" si="16">F175*C175</f>
        <v>1860000</v>
      </c>
      <c r="F175" s="117">
        <v>75000</v>
      </c>
    </row>
    <row r="176" spans="2:12" x14ac:dyDescent="0.25">
      <c r="B176" s="81" t="s">
        <v>132</v>
      </c>
      <c r="C176" s="82">
        <f>(SALE!$E$5+SALE!$D$5)*2</f>
        <v>8</v>
      </c>
      <c r="D176" s="85" t="s">
        <v>18</v>
      </c>
      <c r="E176" s="78">
        <f t="shared" si="16"/>
        <v>12800000</v>
      </c>
      <c r="F176" s="117">
        <v>1600000</v>
      </c>
    </row>
    <row r="177" spans="2:6" x14ac:dyDescent="0.25">
      <c r="B177" s="81" t="s">
        <v>133</v>
      </c>
      <c r="C177" s="82">
        <f>C176*8</f>
        <v>64</v>
      </c>
      <c r="D177" s="85" t="s">
        <v>18</v>
      </c>
      <c r="E177" s="78">
        <f t="shared" si="16"/>
        <v>1600000</v>
      </c>
      <c r="F177" s="117">
        <v>25000</v>
      </c>
    </row>
    <row r="178" spans="2:6" ht="21" x14ac:dyDescent="0.25">
      <c r="B178" s="120">
        <f>SUM(E174,E175:E177)</f>
        <v>22660000</v>
      </c>
      <c r="C178" s="591">
        <f>SUM(E171:E177)</f>
        <v>150550000</v>
      </c>
      <c r="D178" s="592"/>
      <c r="E178" s="592"/>
      <c r="F178" s="130">
        <f>SUM(E173)</f>
        <v>22050000.000000004</v>
      </c>
    </row>
    <row r="179" spans="2:6" x14ac:dyDescent="0.25">
      <c r="B179" s="74"/>
      <c r="C179" s="74"/>
      <c r="D179" s="74"/>
      <c r="E179" s="74"/>
      <c r="F179" s="74"/>
    </row>
    <row r="180" spans="2:6" ht="21" x14ac:dyDescent="0.25">
      <c r="B180" s="92" t="s">
        <v>137</v>
      </c>
      <c r="C180" s="600" t="s">
        <v>176</v>
      </c>
      <c r="D180" s="600"/>
      <c r="E180" s="600"/>
      <c r="F180" s="97"/>
    </row>
    <row r="181" spans="2:6" x14ac:dyDescent="0.25">
      <c r="B181" s="230" t="s">
        <v>128</v>
      </c>
      <c r="C181" s="79" t="s">
        <v>4</v>
      </c>
      <c r="D181" s="79" t="s">
        <v>15</v>
      </c>
      <c r="E181" s="80" t="s">
        <v>16</v>
      </c>
      <c r="F181" s="78"/>
    </row>
    <row r="182" spans="2:6" x14ac:dyDescent="0.25">
      <c r="B182" s="81" t="s">
        <v>130</v>
      </c>
      <c r="C182" s="82">
        <f>(2.5*(SALE!$E$5+SALE!$D$5))+(3.5*(SALE!$E$5+SALE!$D$5))+(IF(AND(SALE!$D$9&gt;4,SALE!$D$9&lt;=8),1,IF(AND(SALE!$D$9&gt;8,SALE!$D$9&lt;=10),2,0)))*2*2.5</f>
        <v>34</v>
      </c>
      <c r="D182" s="85" t="s">
        <v>40</v>
      </c>
      <c r="E182" s="78">
        <f>F182*C182</f>
        <v>171360000</v>
      </c>
      <c r="F182" s="88">
        <f>F171</f>
        <v>5040000</v>
      </c>
    </row>
    <row r="183" spans="2:6" x14ac:dyDescent="0.25">
      <c r="B183" s="81" t="s">
        <v>131</v>
      </c>
      <c r="C183" s="82">
        <f>(SALE!$D$8*2)+(SALE!$D$9)</f>
        <v>21</v>
      </c>
      <c r="D183" s="85" t="s">
        <v>40</v>
      </c>
      <c r="E183" s="78">
        <f>F183*C183</f>
        <v>105840000</v>
      </c>
      <c r="F183" s="88">
        <f>F171</f>
        <v>5040000</v>
      </c>
    </row>
    <row r="184" spans="2:6" x14ac:dyDescent="0.25">
      <c r="B184" s="81" t="s">
        <v>106</v>
      </c>
      <c r="C184" s="82">
        <f>(C182*4.1)+(C183*4.1)</f>
        <v>225.49999999999997</v>
      </c>
      <c r="D184" s="85" t="s">
        <v>107</v>
      </c>
      <c r="E184" s="78">
        <f>F184*C184</f>
        <v>56374999.999999993</v>
      </c>
      <c r="F184" s="117">
        <f>'AAA1'!$T$2</f>
        <v>250000</v>
      </c>
    </row>
    <row r="185" spans="2:6" x14ac:dyDescent="0.25">
      <c r="B185" s="81" t="s">
        <v>129</v>
      </c>
      <c r="C185" s="82">
        <f>(0.5*(SALE!$E$5+SALE!$D$5))+(0.5*(SALE!$E$5+SALE!$D$5))+(IF(AND(SALE!$D$9&gt;4,SALE!$D$9&lt;=8),1,IF(AND(SALE!$D$9&gt;8,SALE!$D$9&lt;=10),2,0)))*2*0.5</f>
        <v>6</v>
      </c>
      <c r="D185" s="85" t="s">
        <v>40</v>
      </c>
      <c r="E185" s="78">
        <f>F185*C185</f>
        <v>9600000</v>
      </c>
      <c r="F185" s="117">
        <v>1600000</v>
      </c>
    </row>
    <row r="186" spans="2:6" x14ac:dyDescent="0.25">
      <c r="B186" s="81" t="s">
        <v>112</v>
      </c>
      <c r="C186" s="82">
        <f>C185*6.2</f>
        <v>37.200000000000003</v>
      </c>
      <c r="D186" s="85" t="s">
        <v>107</v>
      </c>
      <c r="E186" s="78">
        <f t="shared" ref="E186:E188" si="17">F186*C186</f>
        <v>2232000</v>
      </c>
      <c r="F186" s="117">
        <v>60000</v>
      </c>
    </row>
    <row r="187" spans="2:6" x14ac:dyDescent="0.25">
      <c r="B187" s="81" t="s">
        <v>132</v>
      </c>
      <c r="C187" s="82">
        <f>(SALE!$E$5+SALE!$D$5)*3</f>
        <v>12</v>
      </c>
      <c r="D187" s="85" t="s">
        <v>18</v>
      </c>
      <c r="E187" s="78">
        <f t="shared" si="17"/>
        <v>19200000</v>
      </c>
      <c r="F187" s="117">
        <v>1600000</v>
      </c>
    </row>
    <row r="188" spans="2:6" x14ac:dyDescent="0.25">
      <c r="B188" s="81" t="s">
        <v>133</v>
      </c>
      <c r="C188" s="82">
        <f>C187*8</f>
        <v>96</v>
      </c>
      <c r="D188" s="85" t="s">
        <v>18</v>
      </c>
      <c r="E188" s="78">
        <f t="shared" si="17"/>
        <v>2400000</v>
      </c>
      <c r="F188" s="117">
        <v>25000</v>
      </c>
    </row>
    <row r="189" spans="2:6" ht="21" x14ac:dyDescent="0.25">
      <c r="B189" s="120">
        <f>SUM(E185,E186:E188)</f>
        <v>33432000</v>
      </c>
      <c r="C189" s="591">
        <f>SUM(E182:E188)</f>
        <v>367007000</v>
      </c>
      <c r="D189" s="592"/>
      <c r="E189" s="592"/>
      <c r="F189" s="130">
        <f>SUM(E184)</f>
        <v>56374999.999999993</v>
      </c>
    </row>
    <row r="190" spans="2:6" x14ac:dyDescent="0.25">
      <c r="B190" s="74"/>
      <c r="C190" s="74"/>
      <c r="D190" s="74"/>
      <c r="E190" s="74"/>
      <c r="F190" s="74"/>
    </row>
    <row r="191" spans="2:6" x14ac:dyDescent="0.25">
      <c r="B191" s="81"/>
      <c r="C191" s="599" t="s">
        <v>113</v>
      </c>
      <c r="D191" s="599"/>
      <c r="E191" s="599"/>
      <c r="F191" s="82"/>
    </row>
    <row r="192" spans="2:6" x14ac:dyDescent="0.25">
      <c r="B192" s="229" t="s">
        <v>178</v>
      </c>
      <c r="C192" s="79" t="s">
        <v>4</v>
      </c>
      <c r="D192" s="79" t="s">
        <v>15</v>
      </c>
      <c r="E192" s="80" t="s">
        <v>16</v>
      </c>
      <c r="F192" s="78"/>
    </row>
    <row r="193" spans="2:6" x14ac:dyDescent="0.25">
      <c r="B193" s="81" t="s">
        <v>177</v>
      </c>
      <c r="C193" s="82">
        <v>2.5</v>
      </c>
      <c r="D193" s="85" t="s">
        <v>40</v>
      </c>
      <c r="E193" s="78">
        <f>F193*C193</f>
        <v>3750000</v>
      </c>
      <c r="F193" s="117">
        <v>1500000</v>
      </c>
    </row>
    <row r="194" spans="2:6" x14ac:dyDescent="0.25">
      <c r="B194" s="81" t="s">
        <v>115</v>
      </c>
      <c r="C194" s="82">
        <v>2.5</v>
      </c>
      <c r="D194" s="85" t="s">
        <v>40</v>
      </c>
      <c r="E194" s="78">
        <f t="shared" ref="E194:E195" si="18">F194*C194</f>
        <v>7500000</v>
      </c>
      <c r="F194" s="117">
        <v>3000000</v>
      </c>
    </row>
    <row r="195" spans="2:6" x14ac:dyDescent="0.25">
      <c r="B195" s="81" t="s">
        <v>106</v>
      </c>
      <c r="C195" s="82">
        <v>20</v>
      </c>
      <c r="D195" s="85" t="s">
        <v>107</v>
      </c>
      <c r="E195" s="78">
        <f t="shared" si="18"/>
        <v>5000000</v>
      </c>
      <c r="F195" s="117">
        <f>'AAA1'!$T$2</f>
        <v>250000</v>
      </c>
    </row>
    <row r="196" spans="2:6" ht="21" x14ac:dyDescent="0.25">
      <c r="B196" s="120">
        <f>SUM(E193:E194)</f>
        <v>11250000</v>
      </c>
      <c r="C196" s="591">
        <f>SUM(E193:E195)</f>
        <v>16250000</v>
      </c>
      <c r="D196" s="592"/>
      <c r="E196" s="592"/>
      <c r="F196" s="130">
        <f>SUM(E195)</f>
        <v>5000000</v>
      </c>
    </row>
    <row r="197" spans="2:6" x14ac:dyDescent="0.25">
      <c r="B197" s="74"/>
      <c r="C197" s="74"/>
      <c r="D197" s="74"/>
      <c r="E197" s="74"/>
      <c r="F197" s="74"/>
    </row>
  </sheetData>
  <sheetProtection formatCells="0" formatColumns="0" formatRows="0" insertColumns="0" insertRows="0" insertHyperlinks="0" deleteColumns="0" deleteRows="0" sort="0" autoFilter="0" pivotTables="0"/>
  <mergeCells count="37">
    <mergeCell ref="C196:E196"/>
    <mergeCell ref="C137:E137"/>
    <mergeCell ref="C151:E151"/>
    <mergeCell ref="C153:E153"/>
    <mergeCell ref="I153:K153"/>
    <mergeCell ref="C167:E167"/>
    <mergeCell ref="I167:K167"/>
    <mergeCell ref="C169:E169"/>
    <mergeCell ref="C178:E178"/>
    <mergeCell ref="C180:E180"/>
    <mergeCell ref="C189:E189"/>
    <mergeCell ref="C191:E191"/>
    <mergeCell ref="C135:E135"/>
    <mergeCell ref="I135:K135"/>
    <mergeCell ref="C69:E69"/>
    <mergeCell ref="C79:E79"/>
    <mergeCell ref="C81:E81"/>
    <mergeCell ref="C89:E89"/>
    <mergeCell ref="C97:E97"/>
    <mergeCell ref="C99:E99"/>
    <mergeCell ref="I99:K99"/>
    <mergeCell ref="C118:E118"/>
    <mergeCell ref="I118:K118"/>
    <mergeCell ref="C120:E120"/>
    <mergeCell ref="I120:K120"/>
    <mergeCell ref="C35:E35"/>
    <mergeCell ref="C53:E53"/>
    <mergeCell ref="C55:E55"/>
    <mergeCell ref="I55:K55"/>
    <mergeCell ref="C67:E67"/>
    <mergeCell ref="I67:K67"/>
    <mergeCell ref="C33:E33"/>
    <mergeCell ref="C3:E3"/>
    <mergeCell ref="I3:K3"/>
    <mergeCell ref="C13:E13"/>
    <mergeCell ref="I13:K13"/>
    <mergeCell ref="C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56"/>
  <sheetViews>
    <sheetView rightToLeft="1" topLeftCell="A4" zoomScale="110" zoomScaleNormal="110" workbookViewId="0">
      <selection activeCell="A11" sqref="A11:XFD14"/>
    </sheetView>
  </sheetViews>
  <sheetFormatPr defaultColWidth="9.140625" defaultRowHeight="15" x14ac:dyDescent="0.25"/>
  <cols>
    <col min="1" max="1" width="1.7109375" style="1" customWidth="1"/>
    <col min="2" max="2" width="2.7109375" style="14" customWidth="1"/>
    <col min="3" max="3" width="21.42578125" style="14" customWidth="1"/>
    <col min="4" max="4" width="17.5703125" style="15" customWidth="1"/>
    <col min="5" max="5" width="15.7109375" style="14" customWidth="1"/>
    <col min="6" max="6" width="11.140625" style="171" customWidth="1"/>
    <col min="7" max="7" width="7.7109375" style="3" customWidth="1"/>
    <col min="8" max="8" width="2.7109375" style="8" customWidth="1"/>
    <col min="9" max="9" width="13.7109375" style="8" customWidth="1"/>
    <col min="10" max="10" width="12.7109375" style="8" customWidth="1"/>
    <col min="11" max="11" width="12.140625" style="8" customWidth="1"/>
    <col min="12" max="13" width="12.7109375" style="8" customWidth="1"/>
    <col min="14" max="15" width="9.28515625" style="8" customWidth="1"/>
    <col min="16" max="16" width="9.28515625" style="9" customWidth="1"/>
    <col min="17" max="18" width="9.28515625" style="12" customWidth="1"/>
    <col min="19" max="24" width="9.28515625" style="4" customWidth="1"/>
    <col min="25" max="52" width="9.28515625" style="1" customWidth="1"/>
    <col min="53" max="53" width="27.140625" style="1" customWidth="1"/>
    <col min="54" max="54" width="15.85546875" style="157" customWidth="1"/>
    <col min="55" max="58" width="9.28515625" style="1" customWidth="1"/>
    <col min="59" max="16384" width="9.140625" style="1"/>
  </cols>
  <sheetData>
    <row r="1" spans="1:60" ht="9.75" customHeight="1" thickBot="1" x14ac:dyDescent="0.3">
      <c r="A1" s="21"/>
      <c r="B1" s="21"/>
      <c r="C1" s="21"/>
      <c r="D1" s="21"/>
      <c r="E1" s="21"/>
      <c r="F1" s="167"/>
      <c r="G1" s="167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60" ht="15" customHeight="1" thickBot="1" x14ac:dyDescent="0.3">
      <c r="A2" s="21"/>
      <c r="B2" s="196"/>
      <c r="C2" s="197"/>
      <c r="D2" s="198"/>
      <c r="E2" s="199"/>
      <c r="F2" s="200"/>
      <c r="G2" s="201"/>
      <c r="H2" s="202"/>
      <c r="I2" s="21"/>
      <c r="J2" s="19"/>
      <c r="K2" s="19"/>
      <c r="L2" s="19"/>
      <c r="M2" s="19"/>
      <c r="N2" s="17"/>
      <c r="O2" s="19"/>
      <c r="P2" s="20"/>
      <c r="Q2" s="21"/>
      <c r="R2" s="21"/>
      <c r="S2" s="19"/>
      <c r="T2" s="19"/>
      <c r="U2" s="19"/>
      <c r="V2" s="20"/>
      <c r="W2" s="22"/>
      <c r="X2" s="23"/>
      <c r="Y2" s="21"/>
      <c r="Z2" s="21"/>
      <c r="AZ2" s="155" t="s">
        <v>209</v>
      </c>
      <c r="BA2" s="156" t="s">
        <v>212</v>
      </c>
      <c r="BB2" s="159" t="s">
        <v>152</v>
      </c>
      <c r="BC2" s="13"/>
      <c r="BD2" s="5"/>
      <c r="BE2" s="6"/>
      <c r="BF2" s="7"/>
      <c r="BG2" s="6"/>
      <c r="BH2" s="6"/>
    </row>
    <row r="3" spans="1:60" ht="30" customHeight="1" x14ac:dyDescent="0.25">
      <c r="A3" s="21"/>
      <c r="B3" s="203"/>
      <c r="C3" s="432" t="s">
        <v>240</v>
      </c>
      <c r="D3" s="433"/>
      <c r="E3" s="433"/>
      <c r="F3" s="440" t="s">
        <v>98</v>
      </c>
      <c r="G3" s="441"/>
      <c r="H3" s="204"/>
      <c r="I3" s="21"/>
      <c r="J3" s="19"/>
      <c r="K3" s="19"/>
      <c r="L3" s="19"/>
      <c r="M3" s="19"/>
      <c r="N3" s="24"/>
      <c r="O3" s="20"/>
      <c r="P3" s="20"/>
      <c r="Q3" s="22"/>
      <c r="R3" s="21"/>
      <c r="S3" s="25"/>
      <c r="T3" s="25"/>
      <c r="U3" s="25"/>
      <c r="V3" s="20"/>
      <c r="W3" s="22"/>
      <c r="X3" s="23"/>
      <c r="Y3" s="19"/>
      <c r="Z3" s="21"/>
      <c r="AZ3" s="163" t="s">
        <v>215</v>
      </c>
      <c r="BA3" s="156" t="s">
        <v>213</v>
      </c>
      <c r="BB3" s="158" t="s">
        <v>138</v>
      </c>
      <c r="BD3" s="11"/>
      <c r="BE3" s="6"/>
      <c r="BF3" s="6"/>
      <c r="BG3" s="6"/>
      <c r="BH3" s="6"/>
    </row>
    <row r="4" spans="1:60" ht="20.100000000000001" customHeight="1" x14ac:dyDescent="0.25">
      <c r="A4" s="21"/>
      <c r="B4" s="203"/>
      <c r="C4" s="152" t="s">
        <v>118</v>
      </c>
      <c r="D4" s="153" t="s">
        <v>0</v>
      </c>
      <c r="E4" s="224" t="s">
        <v>1</v>
      </c>
      <c r="F4" s="181" t="s">
        <v>100</v>
      </c>
      <c r="G4" s="172">
        <v>7</v>
      </c>
      <c r="H4" s="204"/>
      <c r="I4" s="21"/>
      <c r="J4" s="19"/>
      <c r="K4" s="19"/>
      <c r="L4" s="19"/>
      <c r="M4" s="19"/>
      <c r="N4" s="17"/>
      <c r="O4" s="19"/>
      <c r="P4" s="20"/>
      <c r="Q4" s="21"/>
      <c r="R4" s="21"/>
      <c r="S4" s="19"/>
      <c r="T4" s="19"/>
      <c r="U4" s="19"/>
      <c r="V4" s="20"/>
      <c r="W4" s="22"/>
      <c r="X4" s="23"/>
      <c r="Y4" s="21"/>
      <c r="Z4" s="21"/>
      <c r="AK4" s="418" t="str">
        <f>IF(AND(AL7&lt;=6,AL8&gt;12),"NOT IN RANGE",IF(AND(AL7&gt;6,AL7&lt;=8,AL8&gt;9),"NOT IN RANGE",IF(AND(AL7&gt;8,AL7&lt;=10,AL8&gt;4),"NOT IN RANGE",IF(AND(AL7&gt;10,AL7&lt;=50,AL8&gt;1),"NOT IN RANGE","CORRECT RANGE"))))</f>
        <v>CORRECT RANGE</v>
      </c>
      <c r="AL4" s="419"/>
      <c r="AM4" s="419"/>
      <c r="BA4" s="162" t="s">
        <v>214</v>
      </c>
      <c r="BB4" s="158" t="s">
        <v>139</v>
      </c>
      <c r="BD4" s="11"/>
      <c r="BE4" s="6"/>
      <c r="BF4" s="6"/>
      <c r="BG4" s="6"/>
      <c r="BH4" s="6"/>
    </row>
    <row r="5" spans="1:60" ht="20.100000000000001" customHeight="1" x14ac:dyDescent="0.25">
      <c r="A5" s="21"/>
      <c r="B5" s="185"/>
      <c r="C5" s="183" t="e">
        <f>(D5+E5)*(D8-0.25)</f>
        <v>#VALUE!</v>
      </c>
      <c r="D5" s="182">
        <v>2</v>
      </c>
      <c r="E5" s="182" t="str">
        <f>IF(AND(D9&gt;2,D9&lt;=4.2),0,IF(AND(D9&gt;4.2,D9&lt;=8),1,IF(AND(D9&gt;8,D9&lt;=12),2,IF(AND(D9&gt;12,D9&lt;=16),3,IF(AND(D9&gt;16,D9&lt;=20),4,IF(AND(D9&gt;20,D9&lt;=24),5,IF(AND(D9&gt;24,D9&lt;=28),6,IF(AND(D9&gt;28,D9&lt;=32),7,IF(AND(D9&gt;32,D9&lt;=36),8,IF(AND(D9&gt;36,D9&lt;=40),9,IF(AND(D9&gt;40,D9&lt;=44),10,IF(AND(D9&gt;44,D9&lt;=48),11,IF(AND(D9&gt;48,D9&lt;=52),12,"NOT VALID")))))))))))))</f>
        <v>NOT VALID</v>
      </c>
      <c r="F5" s="181" t="s">
        <v>101</v>
      </c>
      <c r="G5" s="172">
        <v>15</v>
      </c>
      <c r="H5" s="204"/>
      <c r="I5" s="21"/>
      <c r="J5" s="19"/>
      <c r="K5" s="19"/>
      <c r="L5" s="19"/>
      <c r="M5" s="19"/>
      <c r="N5" s="24"/>
      <c r="O5" s="20"/>
      <c r="P5" s="20"/>
      <c r="Q5" s="22"/>
      <c r="R5" s="21"/>
      <c r="S5" s="21"/>
      <c r="T5" s="21"/>
      <c r="U5" s="21"/>
      <c r="V5" s="21"/>
      <c r="W5" s="21"/>
      <c r="X5" s="21"/>
      <c r="Y5" s="21"/>
      <c r="Z5" s="21"/>
      <c r="AK5" s="418"/>
      <c r="AL5" s="419"/>
      <c r="AM5" s="419"/>
      <c r="BA5" s="10"/>
      <c r="BC5" s="6"/>
      <c r="BD5" s="11"/>
      <c r="BE5" s="6"/>
      <c r="BF5" s="6"/>
      <c r="BG5" s="6"/>
      <c r="BH5" s="6"/>
    </row>
    <row r="6" spans="1:60" ht="20.100000000000001" customHeight="1" x14ac:dyDescent="0.25">
      <c r="A6" s="21"/>
      <c r="B6" s="185"/>
      <c r="C6" s="420" t="str">
        <f>IF(AND(D8&lt;=6,D9&gt;12),"NOT IN RANGE",IF(AND(D8&gt;6,D8&lt;=8,D9&gt;9),"NOT IN RANGE",IF(AND(D8&gt;8,D8&lt;=12,D9&gt;6),"NOT IN RANGE",IF(AND(D8&gt;12,D8&lt;=50,D9&gt;1),"NOT IN RANGE","CORRECT RANGE"))))</f>
        <v>CORRECT RANGE</v>
      </c>
      <c r="D6" s="421"/>
      <c r="E6" s="422"/>
      <c r="F6" s="181" t="s">
        <v>102</v>
      </c>
      <c r="G6" s="172">
        <v>20</v>
      </c>
      <c r="H6" s="204"/>
      <c r="I6" s="21"/>
      <c r="J6" s="19"/>
      <c r="K6" s="19"/>
      <c r="L6" s="19"/>
      <c r="M6" s="19"/>
      <c r="N6" s="17"/>
      <c r="O6" s="19"/>
      <c r="P6" s="20"/>
      <c r="Q6" s="21"/>
      <c r="R6" s="21"/>
      <c r="S6" s="19"/>
      <c r="T6" s="19"/>
      <c r="U6" s="19"/>
      <c r="V6" s="20"/>
      <c r="W6" s="22"/>
      <c r="X6" s="23"/>
      <c r="Y6" s="21"/>
      <c r="Z6" s="21"/>
      <c r="AK6" s="418"/>
      <c r="AL6" s="419"/>
      <c r="AM6" s="419"/>
      <c r="AZ6" s="160" t="s">
        <v>181</v>
      </c>
      <c r="BA6" s="10"/>
      <c r="BC6" s="6"/>
      <c r="BD6" s="11"/>
      <c r="BE6" s="6"/>
      <c r="BF6" s="6"/>
      <c r="BG6" s="6"/>
      <c r="BH6" s="6"/>
    </row>
    <row r="7" spans="1:60" ht="20.100000000000001" customHeight="1" x14ac:dyDescent="0.25">
      <c r="A7" s="21"/>
      <c r="B7" s="185"/>
      <c r="C7" s="423"/>
      <c r="D7" s="424"/>
      <c r="E7" s="425"/>
      <c r="F7" s="181" t="s">
        <v>103</v>
      </c>
      <c r="G7" s="172">
        <v>45</v>
      </c>
      <c r="H7" s="204"/>
      <c r="I7" s="21"/>
      <c r="J7" s="19"/>
      <c r="K7" s="19"/>
      <c r="L7" s="19"/>
      <c r="M7" s="19"/>
      <c r="N7" s="24"/>
      <c r="O7" s="20"/>
      <c r="P7" s="20"/>
      <c r="Q7" s="22"/>
      <c r="R7" s="21"/>
      <c r="S7" s="25"/>
      <c r="T7" s="25"/>
      <c r="U7" s="25"/>
      <c r="V7" s="20"/>
      <c r="W7" s="22"/>
      <c r="X7" s="23"/>
      <c r="Y7" s="19"/>
      <c r="Z7" s="21"/>
      <c r="AZ7" s="161" t="s">
        <v>182</v>
      </c>
      <c r="BA7" s="5"/>
      <c r="BC7" s="6"/>
      <c r="BD7" s="11"/>
      <c r="BE7" s="6"/>
      <c r="BF7" s="6"/>
      <c r="BG7" s="6"/>
      <c r="BH7" s="6"/>
    </row>
    <row r="8" spans="1:60" ht="20.100000000000001" customHeight="1" x14ac:dyDescent="0.25">
      <c r="A8" s="21"/>
      <c r="B8" s="185"/>
      <c r="C8" s="166" t="s">
        <v>224</v>
      </c>
      <c r="D8" s="222">
        <f>'پیش فاکتور سقف متحرک'!B14/100</f>
        <v>0</v>
      </c>
      <c r="E8" s="176" t="s">
        <v>153</v>
      </c>
      <c r="F8" s="181" t="s">
        <v>104</v>
      </c>
      <c r="G8" s="172"/>
      <c r="H8" s="204"/>
      <c r="I8" s="21"/>
      <c r="J8" s="19"/>
      <c r="K8" s="19"/>
      <c r="L8" s="19"/>
      <c r="M8" s="19"/>
      <c r="N8" s="17"/>
      <c r="O8" s="19"/>
      <c r="P8" s="20"/>
      <c r="Q8" s="21"/>
      <c r="R8" s="21"/>
      <c r="S8" s="19"/>
      <c r="T8" s="19"/>
      <c r="U8" s="19"/>
      <c r="V8" s="20"/>
      <c r="W8" s="22"/>
      <c r="X8" s="23"/>
      <c r="Y8" s="21"/>
      <c r="Z8" s="21"/>
      <c r="AZ8" s="160" t="s">
        <v>183</v>
      </c>
      <c r="BA8" s="5"/>
      <c r="BC8" s="6"/>
      <c r="BD8" s="11"/>
      <c r="BE8" s="6"/>
      <c r="BF8" s="6"/>
      <c r="BG8" s="6"/>
      <c r="BH8" s="6"/>
    </row>
    <row r="9" spans="1:60" ht="20.100000000000001" customHeight="1" x14ac:dyDescent="0.25">
      <c r="A9" s="21"/>
      <c r="B9" s="185"/>
      <c r="C9" s="166" t="s">
        <v>117</v>
      </c>
      <c r="D9" s="222">
        <f>'پیش فاکتور سقف متحرک'!C14/100</f>
        <v>0</v>
      </c>
      <c r="E9" s="177">
        <f>'پیش فاکتور سقف متحرک'!C24</f>
        <v>2200000</v>
      </c>
      <c r="F9" s="434" t="s">
        <v>120</v>
      </c>
      <c r="G9" s="435"/>
      <c r="H9" s="204"/>
      <c r="I9" s="19"/>
      <c r="J9" s="19"/>
      <c r="K9" s="19"/>
      <c r="L9" s="19"/>
      <c r="M9" s="19"/>
      <c r="N9" s="24"/>
      <c r="O9" s="20"/>
      <c r="P9" s="20"/>
      <c r="Q9" s="22"/>
      <c r="R9" s="21"/>
      <c r="S9" s="21"/>
      <c r="T9" s="21"/>
      <c r="U9" s="21"/>
      <c r="V9" s="21"/>
      <c r="W9" s="21"/>
      <c r="X9" s="21"/>
      <c r="Y9" s="21"/>
      <c r="Z9" s="21"/>
    </row>
    <row r="10" spans="1:60" ht="20.100000000000001" customHeight="1" x14ac:dyDescent="0.25">
      <c r="A10" s="21"/>
      <c r="B10" s="185"/>
      <c r="C10" s="166" t="s">
        <v>119</v>
      </c>
      <c r="D10" s="223">
        <f>'پیش فاکتور سقف متحرک'!D14</f>
        <v>0</v>
      </c>
      <c r="E10" s="176" t="s">
        <v>155</v>
      </c>
      <c r="F10" s="436">
        <f>D8*D9*D10</f>
        <v>0</v>
      </c>
      <c r="G10" s="437"/>
      <c r="H10" s="204"/>
      <c r="I10" s="19"/>
      <c r="J10" s="19"/>
      <c r="K10" s="19"/>
      <c r="L10" s="19"/>
      <c r="M10" s="19"/>
      <c r="N10" s="17"/>
      <c r="O10" s="19"/>
      <c r="P10" s="20"/>
      <c r="Q10" s="21"/>
      <c r="R10" s="21"/>
      <c r="S10" s="19"/>
      <c r="T10" s="19"/>
      <c r="U10" s="19"/>
      <c r="V10" s="20"/>
      <c r="W10" s="22"/>
      <c r="X10" s="23"/>
      <c r="Y10" s="21"/>
      <c r="Z10" s="21"/>
      <c r="AA10" s="214">
        <v>100</v>
      </c>
      <c r="AB10" s="211" t="s">
        <v>229</v>
      </c>
      <c r="AC10" s="214">
        <v>100</v>
      </c>
      <c r="AD10" s="210" t="s">
        <v>228</v>
      </c>
      <c r="AE10" s="212" t="s">
        <v>235</v>
      </c>
    </row>
    <row r="11" spans="1:60" ht="20.100000000000001" hidden="1" customHeight="1" x14ac:dyDescent="0.2">
      <c r="A11" s="21"/>
      <c r="B11" s="185"/>
      <c r="C11" s="2"/>
      <c r="D11" s="175"/>
      <c r="E11" s="178"/>
      <c r="F11" s="434" t="s">
        <v>99</v>
      </c>
      <c r="G11" s="435"/>
      <c r="H11" s="204"/>
      <c r="I11" s="19"/>
      <c r="J11" s="154"/>
      <c r="K11" s="19"/>
      <c r="L11" s="19"/>
      <c r="M11" s="19"/>
      <c r="N11" s="24"/>
      <c r="O11" s="20"/>
      <c r="P11" s="20"/>
      <c r="Q11" s="22"/>
      <c r="R11" s="21"/>
      <c r="S11" s="25"/>
      <c r="T11" s="25"/>
      <c r="U11" s="25"/>
      <c r="V11" s="20"/>
      <c r="W11" s="22"/>
      <c r="X11" s="23"/>
      <c r="Y11" s="19"/>
      <c r="Z11" s="21"/>
      <c r="AA11" s="214"/>
      <c r="AB11" s="25"/>
      <c r="AC11" s="214"/>
      <c r="AD11" s="22"/>
      <c r="AE11" s="22"/>
    </row>
    <row r="12" spans="1:60" ht="20.100000000000001" hidden="1" customHeight="1" x14ac:dyDescent="0.2">
      <c r="A12" s="21"/>
      <c r="B12" s="185"/>
      <c r="C12" s="2"/>
      <c r="D12" s="175"/>
      <c r="E12" s="178"/>
      <c r="F12" s="428" t="e">
        <f>'A3'!S22</f>
        <v>#VALUE!</v>
      </c>
      <c r="G12" s="429"/>
      <c r="H12" s="205"/>
      <c r="I12" s="19"/>
      <c r="J12" s="19"/>
      <c r="K12" s="19"/>
      <c r="L12" s="19"/>
      <c r="M12" s="19"/>
      <c r="N12" s="17"/>
      <c r="O12" s="19"/>
      <c r="P12" s="20"/>
      <c r="Q12" s="21"/>
      <c r="R12" s="21"/>
      <c r="S12" s="19"/>
      <c r="T12" s="19"/>
      <c r="U12" s="19"/>
      <c r="V12" s="20"/>
      <c r="W12" s="22"/>
      <c r="X12" s="23"/>
      <c r="Y12" s="21"/>
      <c r="Z12" s="21"/>
      <c r="AA12" s="214">
        <v>110</v>
      </c>
      <c r="AB12" s="211" t="s">
        <v>230</v>
      </c>
      <c r="AC12" s="214">
        <v>105</v>
      </c>
      <c r="AD12" s="210" t="s">
        <v>225</v>
      </c>
      <c r="AE12" s="22"/>
    </row>
    <row r="13" spans="1:60" ht="20.100000000000001" hidden="1" customHeight="1" x14ac:dyDescent="0.25">
      <c r="A13" s="21"/>
      <c r="B13" s="185"/>
      <c r="C13" s="184"/>
      <c r="D13" s="174" t="s">
        <v>137</v>
      </c>
      <c r="E13" s="176"/>
      <c r="F13" s="438" t="e">
        <f>(F12*F10)</f>
        <v>#VALUE!</v>
      </c>
      <c r="G13" s="439"/>
      <c r="H13" s="204"/>
      <c r="I13" s="19"/>
      <c r="J13" s="19"/>
      <c r="K13" s="19"/>
      <c r="L13" s="19"/>
      <c r="M13" s="19"/>
      <c r="N13" s="24"/>
      <c r="O13" s="20"/>
      <c r="P13" s="20"/>
      <c r="Q13" s="22"/>
      <c r="R13" s="21"/>
      <c r="S13" s="21"/>
      <c r="T13" s="21"/>
      <c r="U13" s="21"/>
      <c r="V13" s="21"/>
      <c r="W13" s="21"/>
      <c r="X13" s="21"/>
      <c r="Y13" s="21"/>
      <c r="Z13" s="21"/>
      <c r="AA13" s="214">
        <v>140</v>
      </c>
      <c r="AB13" s="213" t="s">
        <v>231</v>
      </c>
      <c r="AC13" s="214">
        <v>125</v>
      </c>
      <c r="AD13" s="210" t="s">
        <v>226</v>
      </c>
      <c r="AE13" s="22"/>
    </row>
    <row r="14" spans="1:60" ht="20.100000000000001" hidden="1" customHeight="1" x14ac:dyDescent="0.25">
      <c r="A14" s="21"/>
      <c r="B14" s="185"/>
      <c r="C14" s="184"/>
      <c r="D14" s="430" t="e">
        <f>IF(AND(D17="ALUMINUM RAIL  140"),F14,IF(AND(D17="ALUMINUM+STEEL"),F14*0.8,0))</f>
        <v>#VALUE!</v>
      </c>
      <c r="E14" s="431"/>
      <c r="F14" s="428" t="e">
        <f>F13*1.15</f>
        <v>#VALUE!</v>
      </c>
      <c r="G14" s="429"/>
      <c r="H14" s="204"/>
      <c r="I14" s="19"/>
      <c r="J14" s="19"/>
      <c r="K14" s="19"/>
      <c r="L14" s="19"/>
      <c r="M14" s="19"/>
      <c r="N14" s="24"/>
      <c r="O14" s="20"/>
      <c r="P14" s="20"/>
      <c r="Q14" s="22"/>
      <c r="R14" s="21"/>
      <c r="S14" s="19"/>
      <c r="T14" s="19"/>
      <c r="U14" s="19"/>
      <c r="V14" s="20"/>
      <c r="W14" s="22"/>
      <c r="X14" s="23"/>
      <c r="Y14" s="21"/>
      <c r="Z14" s="21"/>
      <c r="AA14" s="214">
        <v>115</v>
      </c>
      <c r="AB14" s="211" t="s">
        <v>232</v>
      </c>
      <c r="AC14" s="214">
        <v>112</v>
      </c>
      <c r="AD14" s="210" t="s">
        <v>227</v>
      </c>
      <c r="AE14" s="22"/>
    </row>
    <row r="15" spans="1:60" ht="20.100000000000001" customHeight="1" x14ac:dyDescent="0.25">
      <c r="A15" s="21"/>
      <c r="B15" s="185"/>
      <c r="C15" s="219" t="s">
        <v>238</v>
      </c>
      <c r="D15" s="218" t="str">
        <f>'پیش فاکتور سقف متحرک'!E14</f>
        <v>-----</v>
      </c>
      <c r="E15" s="177">
        <f>'پیش فاکتور سقف متحرک'!C25</f>
        <v>700000</v>
      </c>
      <c r="F15" s="434" t="s">
        <v>99</v>
      </c>
      <c r="G15" s="435"/>
      <c r="H15" s="204"/>
      <c r="I15" s="31"/>
      <c r="J15" s="19"/>
      <c r="K15" s="19"/>
      <c r="L15" s="19"/>
      <c r="M15" s="19"/>
      <c r="N15" s="17"/>
      <c r="O15" s="19"/>
      <c r="P15" s="20"/>
      <c r="Q15" s="21"/>
      <c r="R15" s="21"/>
      <c r="S15" s="25"/>
      <c r="T15" s="25"/>
      <c r="U15" s="25"/>
      <c r="V15" s="20"/>
      <c r="W15" s="22"/>
      <c r="X15" s="23"/>
      <c r="Y15" s="19"/>
      <c r="Z15" s="21"/>
      <c r="AA15" s="214">
        <v>110</v>
      </c>
      <c r="AB15" s="25"/>
      <c r="AC15" s="25"/>
      <c r="AD15" s="20"/>
      <c r="AE15" s="22"/>
    </row>
    <row r="16" spans="1:60" ht="20.100000000000001" customHeight="1" x14ac:dyDescent="0.25">
      <c r="A16" s="21"/>
      <c r="B16" s="185"/>
      <c r="C16" s="219" t="s">
        <v>239</v>
      </c>
      <c r="D16" s="218" t="str">
        <f>'پیش فاکتور سقف متحرک'!F14</f>
        <v>Nothing</v>
      </c>
      <c r="E16" s="177" t="s">
        <v>198</v>
      </c>
      <c r="F16" s="426" t="e">
        <f>F18/F10</f>
        <v>#DIV/0!</v>
      </c>
      <c r="G16" s="427"/>
      <c r="H16" s="204"/>
      <c r="I16" s="31"/>
      <c r="J16" s="19"/>
      <c r="K16" s="19"/>
      <c r="L16" s="19"/>
      <c r="M16" s="19"/>
      <c r="N16" s="17"/>
      <c r="O16" s="19"/>
      <c r="P16" s="20"/>
      <c r="Q16" s="21"/>
      <c r="R16" s="21"/>
      <c r="S16" s="19"/>
      <c r="T16" s="19"/>
      <c r="U16" s="19"/>
      <c r="V16" s="20"/>
      <c r="W16" s="22"/>
      <c r="X16" s="23"/>
      <c r="Y16" s="21"/>
      <c r="Z16" s="21"/>
      <c r="AA16" s="214">
        <v>110</v>
      </c>
      <c r="AB16" s="19"/>
      <c r="AC16" s="25"/>
      <c r="AD16" s="20"/>
      <c r="AE16" s="22"/>
      <c r="BB16" s="216" t="s">
        <v>236</v>
      </c>
    </row>
    <row r="17" spans="1:54" ht="20.100000000000001" customHeight="1" x14ac:dyDescent="0.25">
      <c r="A17" s="21"/>
      <c r="B17" s="185"/>
      <c r="C17" s="166" t="s">
        <v>208</v>
      </c>
      <c r="D17" s="220" t="s">
        <v>210</v>
      </c>
      <c r="E17" s="179">
        <f>'پیش فاکتور سقف متحرک'!C26</f>
        <v>450000</v>
      </c>
      <c r="F17" s="434" t="s">
        <v>121</v>
      </c>
      <c r="G17" s="435"/>
      <c r="H17" s="204"/>
      <c r="I17" s="31"/>
      <c r="J17" s="19"/>
      <c r="K17" s="19"/>
      <c r="L17" s="19"/>
      <c r="M17" s="19"/>
      <c r="N17" s="17"/>
      <c r="O17" s="19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4">
        <v>110</v>
      </c>
      <c r="AB17" s="25"/>
      <c r="AC17" s="25"/>
      <c r="AD17" s="20"/>
      <c r="AE17" s="22"/>
      <c r="BB17" s="217" t="s">
        <v>237</v>
      </c>
    </row>
    <row r="18" spans="1:54" ht="20.100000000000001" customHeight="1" x14ac:dyDescent="0.25">
      <c r="A18" s="21"/>
      <c r="B18" s="185"/>
      <c r="C18" s="166" t="s">
        <v>211</v>
      </c>
      <c r="D18" s="416" t="s">
        <v>216</v>
      </c>
      <c r="E18" s="417"/>
      <c r="F18" s="426">
        <f>IF(AND(D15="sayaneh",D16="mana"),D14*1.05,IF(AND(D15="sayaneh",D16="shana"),D14*1.25,IF(AND(D15="sayaneh",D16="mah sayeh"),D14*1.1,IF(AND(D15="pavlion",D16="atin"),D14*1.1,IF(AND(D15="pavlion",D16="atin plus"),D14*1.4,IF(AND(D15="pavlion",D16="paina"),D14*1.15,IF(AND(D15="pavlion",D16="horno"),D14*1.35,IF(AND(D15="pavlion",D16="aavan"),D14*0.95,IF(AND(D15="pavlion",D16="Nothing"),D14*1,IF(AND(D15="sayaneh",D16="Nothing"),D14*1,IF(AND(D15="roof level",D16="Nothing"),D14*1,0)))))))))))</f>
        <v>0</v>
      </c>
      <c r="G18" s="427"/>
      <c r="H18" s="204"/>
      <c r="I18" s="31"/>
      <c r="J18" s="19"/>
      <c r="K18" s="19"/>
      <c r="L18" s="19"/>
      <c r="M18" s="19"/>
      <c r="N18" s="17"/>
      <c r="O18" s="19"/>
      <c r="P18" s="20"/>
      <c r="Q18" s="21"/>
      <c r="R18" s="21"/>
      <c r="S18" s="19"/>
      <c r="T18" s="19"/>
      <c r="U18" s="19"/>
      <c r="V18" s="20"/>
      <c r="W18" s="22"/>
      <c r="X18" s="23"/>
      <c r="Y18" s="21"/>
      <c r="Z18" s="21"/>
      <c r="AA18" s="214">
        <v>110</v>
      </c>
      <c r="AB18" s="25"/>
      <c r="AC18" s="25"/>
      <c r="AD18" s="20"/>
      <c r="AE18" s="22"/>
      <c r="BB18" s="210" t="s">
        <v>225</v>
      </c>
    </row>
    <row r="19" spans="1:54" ht="15" customHeight="1" x14ac:dyDescent="0.25">
      <c r="A19" s="32" t="s">
        <v>3</v>
      </c>
      <c r="B19" s="185"/>
      <c r="C19" s="185"/>
      <c r="D19" s="173"/>
      <c r="E19" s="173"/>
      <c r="F19" s="173"/>
      <c r="G19" s="186"/>
      <c r="H19" s="186"/>
      <c r="I19" s="19"/>
      <c r="J19" s="19"/>
      <c r="K19" s="19"/>
      <c r="L19" s="19"/>
      <c r="M19" s="19"/>
      <c r="N19" s="24"/>
      <c r="O19" s="20"/>
      <c r="P19" s="20"/>
      <c r="Q19" s="22"/>
      <c r="R19" s="21"/>
      <c r="S19" s="25"/>
      <c r="T19" s="25"/>
      <c r="U19" s="25"/>
      <c r="V19" s="20"/>
      <c r="W19" s="22"/>
      <c r="X19" s="23"/>
      <c r="Y19" s="19"/>
      <c r="Z19" s="21"/>
      <c r="AA19" s="214">
        <v>135</v>
      </c>
      <c r="AB19" s="211" t="s">
        <v>233</v>
      </c>
      <c r="AC19" s="25"/>
      <c r="AD19" s="211"/>
      <c r="AE19" s="22"/>
      <c r="BB19" s="210" t="s">
        <v>226</v>
      </c>
    </row>
    <row r="20" spans="1:54" ht="20.100000000000001" customHeight="1" x14ac:dyDescent="0.25">
      <c r="A20" s="21"/>
      <c r="B20" s="185"/>
      <c r="C20" s="187"/>
      <c r="D20" s="18"/>
      <c r="E20" s="16"/>
      <c r="F20" s="168"/>
      <c r="G20" s="188"/>
      <c r="H20" s="186"/>
      <c r="I20" s="19"/>
      <c r="J20" s="19"/>
      <c r="K20" s="19"/>
      <c r="L20" s="19"/>
      <c r="M20" s="19"/>
      <c r="N20" s="17"/>
      <c r="O20" s="19"/>
      <c r="P20" s="20"/>
      <c r="Q20" s="21"/>
      <c r="R20" s="21"/>
      <c r="S20" s="19"/>
      <c r="T20" s="19"/>
      <c r="U20" s="19"/>
      <c r="V20" s="20"/>
      <c r="W20" s="22"/>
      <c r="X20" s="23"/>
      <c r="Y20" s="21"/>
      <c r="Z20" s="21"/>
      <c r="AA20" s="214">
        <v>95</v>
      </c>
      <c r="AB20" s="211" t="s">
        <v>234</v>
      </c>
      <c r="AC20" s="25"/>
      <c r="AD20" s="213"/>
      <c r="AE20" s="22"/>
      <c r="BB20" s="210" t="s">
        <v>227</v>
      </c>
    </row>
    <row r="21" spans="1:54" ht="20.100000000000001" customHeight="1" x14ac:dyDescent="0.25">
      <c r="A21" s="21"/>
      <c r="B21" s="185"/>
      <c r="C21" s="187"/>
      <c r="D21" s="18"/>
      <c r="E21" s="16"/>
      <c r="F21" s="168"/>
      <c r="G21" s="188"/>
      <c r="H21" s="186"/>
      <c r="I21" s="19"/>
      <c r="J21" s="19"/>
      <c r="K21" s="19"/>
      <c r="L21" s="19"/>
      <c r="M21" s="19"/>
      <c r="N21" s="24"/>
      <c r="O21" s="20"/>
      <c r="P21" s="20"/>
      <c r="Q21" s="22"/>
      <c r="R21" s="21"/>
      <c r="S21" s="21"/>
      <c r="T21" s="21"/>
      <c r="U21" s="21"/>
      <c r="V21" s="21"/>
      <c r="W21" s="21"/>
      <c r="X21" s="21"/>
      <c r="Y21" s="21"/>
      <c r="Z21" s="21"/>
      <c r="BB21" s="217" t="s">
        <v>237</v>
      </c>
    </row>
    <row r="22" spans="1:54" ht="20.100000000000001" customHeight="1" x14ac:dyDescent="0.25">
      <c r="A22" s="21"/>
      <c r="B22" s="185"/>
      <c r="C22" s="187"/>
      <c r="D22" s="18"/>
      <c r="E22" s="16"/>
      <c r="F22" s="168"/>
      <c r="G22" s="188"/>
      <c r="H22" s="186"/>
      <c r="I22" s="19"/>
      <c r="J22" s="19"/>
      <c r="K22" s="19"/>
      <c r="L22" s="19"/>
      <c r="M22" s="19"/>
      <c r="N22" s="17"/>
      <c r="O22" s="19"/>
      <c r="P22" s="20"/>
      <c r="Q22" s="21"/>
      <c r="R22" s="21"/>
      <c r="S22" s="19"/>
      <c r="T22" s="19"/>
      <c r="U22" s="19"/>
      <c r="V22" s="20"/>
      <c r="W22" s="22"/>
      <c r="X22" s="23"/>
      <c r="Y22" s="21"/>
      <c r="Z22" s="21"/>
      <c r="BB22" s="211" t="s">
        <v>230</v>
      </c>
    </row>
    <row r="23" spans="1:54" ht="20.100000000000001" customHeight="1" x14ac:dyDescent="0.25">
      <c r="A23" s="21"/>
      <c r="B23" s="185"/>
      <c r="C23" s="187"/>
      <c r="D23" s="18"/>
      <c r="E23" s="16"/>
      <c r="F23" s="168"/>
      <c r="G23" s="188"/>
      <c r="H23" s="186"/>
      <c r="I23" s="19"/>
      <c r="J23" s="19"/>
      <c r="K23" s="19"/>
      <c r="L23" s="19"/>
      <c r="M23" s="19"/>
      <c r="N23" s="24"/>
      <c r="O23" s="20"/>
      <c r="P23" s="20"/>
      <c r="Q23" s="22"/>
      <c r="R23" s="21"/>
      <c r="S23" s="25"/>
      <c r="T23" s="25"/>
      <c r="U23" s="25"/>
      <c r="V23" s="20"/>
      <c r="W23" s="22"/>
      <c r="X23" s="23"/>
      <c r="Y23" s="19"/>
      <c r="Z23" s="21"/>
      <c r="BB23" s="215" t="s">
        <v>231</v>
      </c>
    </row>
    <row r="24" spans="1:54" ht="15.95" customHeight="1" x14ac:dyDescent="0.25">
      <c r="A24" s="21"/>
      <c r="B24" s="206"/>
      <c r="C24" s="189"/>
      <c r="D24" s="28"/>
      <c r="E24" s="27"/>
      <c r="F24" s="26"/>
      <c r="G24" s="188"/>
      <c r="H24" s="186"/>
      <c r="I24" s="19"/>
      <c r="J24" s="19"/>
      <c r="K24" s="19"/>
      <c r="L24" s="19"/>
      <c r="M24" s="19"/>
      <c r="N24" s="17"/>
      <c r="O24" s="19"/>
      <c r="P24" s="20"/>
      <c r="Q24" s="21"/>
      <c r="R24" s="21"/>
      <c r="S24" s="19"/>
      <c r="T24" s="19"/>
      <c r="U24" s="19"/>
      <c r="V24" s="20"/>
      <c r="W24" s="22"/>
      <c r="X24" s="23"/>
      <c r="Y24" s="21"/>
      <c r="Z24" s="21"/>
      <c r="BB24" s="211" t="s">
        <v>232</v>
      </c>
    </row>
    <row r="25" spans="1:54" ht="15.95" customHeight="1" x14ac:dyDescent="0.25">
      <c r="A25" s="21"/>
      <c r="B25" s="206"/>
      <c r="C25" s="189"/>
      <c r="D25" s="28"/>
      <c r="E25" s="27"/>
      <c r="F25" s="26"/>
      <c r="G25" s="188"/>
      <c r="H25" s="186"/>
      <c r="I25" s="19"/>
      <c r="J25" s="19"/>
      <c r="K25" s="19"/>
      <c r="L25" s="19"/>
      <c r="M25" s="19"/>
      <c r="N25" s="24"/>
      <c r="O25" s="20"/>
      <c r="P25" s="20"/>
      <c r="Q25" s="22"/>
      <c r="R25" s="21"/>
      <c r="S25" s="21"/>
      <c r="T25" s="21"/>
      <c r="U25" s="21"/>
      <c r="V25" s="21"/>
      <c r="W25" s="21"/>
      <c r="X25" s="21"/>
      <c r="Y25" s="21"/>
      <c r="Z25" s="21"/>
      <c r="BB25" s="211" t="s">
        <v>233</v>
      </c>
    </row>
    <row r="26" spans="1:54" ht="15.95" customHeight="1" x14ac:dyDescent="0.25">
      <c r="A26" s="21"/>
      <c r="B26" s="203"/>
      <c r="C26" s="189"/>
      <c r="D26" s="28"/>
      <c r="E26" s="27"/>
      <c r="F26" s="26"/>
      <c r="G26" s="190"/>
      <c r="H26" s="186"/>
      <c r="I26" s="19"/>
      <c r="J26" s="19"/>
      <c r="K26" s="19"/>
      <c r="L26" s="19"/>
      <c r="M26" s="19"/>
      <c r="N26" s="17"/>
      <c r="O26" s="19"/>
      <c r="P26" s="20"/>
      <c r="Q26" s="21"/>
      <c r="R26" s="21"/>
      <c r="S26" s="19"/>
      <c r="T26" s="19"/>
      <c r="U26" s="19"/>
      <c r="V26" s="20"/>
      <c r="W26" s="22"/>
      <c r="X26" s="23"/>
      <c r="Y26" s="21"/>
      <c r="Z26" s="21"/>
      <c r="BB26" s="211" t="s">
        <v>234</v>
      </c>
    </row>
    <row r="27" spans="1:54" ht="15.95" customHeight="1" x14ac:dyDescent="0.25">
      <c r="A27" s="21"/>
      <c r="B27" s="203"/>
      <c r="C27" s="189"/>
      <c r="D27" s="28"/>
      <c r="E27" s="27"/>
      <c r="F27" s="26"/>
      <c r="G27" s="190"/>
      <c r="H27" s="186"/>
      <c r="I27" s="19"/>
      <c r="J27" s="19"/>
      <c r="K27" s="19"/>
      <c r="L27" s="19"/>
      <c r="M27" s="19"/>
      <c r="N27" s="24"/>
      <c r="O27" s="20"/>
      <c r="P27" s="20"/>
      <c r="Q27" s="22"/>
      <c r="R27" s="21"/>
      <c r="S27" s="25"/>
      <c r="T27" s="25"/>
      <c r="U27" s="25"/>
      <c r="V27" s="20"/>
      <c r="W27" s="22"/>
      <c r="X27" s="23"/>
      <c r="Y27" s="19"/>
      <c r="Z27" s="21"/>
      <c r="BB27" s="211"/>
    </row>
    <row r="28" spans="1:54" ht="15.95" customHeight="1" x14ac:dyDescent="0.25">
      <c r="A28" s="21"/>
      <c r="B28" s="203"/>
      <c r="C28" s="189"/>
      <c r="D28" s="28"/>
      <c r="E28" s="27"/>
      <c r="F28" s="26"/>
      <c r="G28" s="190"/>
      <c r="H28" s="186"/>
      <c r="I28" s="19"/>
      <c r="J28" s="19"/>
      <c r="K28" s="19"/>
      <c r="L28" s="19"/>
      <c r="M28" s="19"/>
      <c r="N28" s="17"/>
      <c r="O28" s="19"/>
      <c r="P28" s="20"/>
      <c r="Q28" s="21"/>
      <c r="R28" s="21"/>
      <c r="S28" s="19"/>
      <c r="T28" s="19"/>
      <c r="U28" s="19"/>
      <c r="V28" s="20"/>
      <c r="W28" s="22"/>
      <c r="X28" s="23"/>
      <c r="Y28" s="21"/>
      <c r="Z28" s="21"/>
    </row>
    <row r="29" spans="1:54" ht="15.95" customHeight="1" x14ac:dyDescent="0.25">
      <c r="A29" s="21"/>
      <c r="B29" s="203"/>
      <c r="C29" s="189"/>
      <c r="D29" s="28"/>
      <c r="E29" s="27"/>
      <c r="F29" s="26"/>
      <c r="G29" s="190"/>
      <c r="H29" s="186"/>
      <c r="I29" s="19"/>
      <c r="J29" s="19"/>
      <c r="K29" s="19"/>
      <c r="L29" s="19"/>
      <c r="M29" s="19"/>
      <c r="N29" s="24"/>
      <c r="O29" s="20"/>
      <c r="P29" s="20"/>
      <c r="Q29" s="22"/>
      <c r="R29" s="21"/>
      <c r="S29" s="21"/>
      <c r="T29" s="21"/>
      <c r="U29" s="21"/>
      <c r="V29" s="21"/>
      <c r="W29" s="21"/>
      <c r="X29" s="21"/>
      <c r="Y29" s="21"/>
      <c r="Z29" s="21"/>
    </row>
    <row r="30" spans="1:54" ht="15.95" customHeight="1" x14ac:dyDescent="0.25">
      <c r="A30" s="21"/>
      <c r="B30" s="203"/>
      <c r="C30" s="189"/>
      <c r="D30" s="28"/>
      <c r="E30" s="27"/>
      <c r="F30" s="26"/>
      <c r="G30" s="190"/>
      <c r="H30" s="186"/>
      <c r="I30" s="19"/>
      <c r="J30" s="19"/>
      <c r="K30" s="19"/>
      <c r="L30" s="19"/>
      <c r="M30" s="19"/>
      <c r="N30" s="17"/>
      <c r="O30" s="19"/>
      <c r="P30" s="20"/>
      <c r="Q30" s="21"/>
      <c r="R30" s="21"/>
      <c r="S30" s="19"/>
      <c r="T30" s="19"/>
      <c r="U30" s="19"/>
      <c r="V30" s="20"/>
      <c r="W30" s="22"/>
      <c r="X30" s="23"/>
      <c r="Y30" s="21"/>
      <c r="Z30" s="21"/>
    </row>
    <row r="31" spans="1:54" ht="15.95" customHeight="1" x14ac:dyDescent="0.25">
      <c r="A31" s="21"/>
      <c r="B31" s="203"/>
      <c r="C31" s="189"/>
      <c r="D31" s="28"/>
      <c r="E31" s="27"/>
      <c r="F31" s="26"/>
      <c r="G31" s="190"/>
      <c r="H31" s="186"/>
      <c r="I31" s="19"/>
      <c r="J31" s="19"/>
      <c r="K31" s="19"/>
      <c r="L31" s="19"/>
      <c r="M31" s="19"/>
      <c r="N31" s="24"/>
      <c r="O31" s="20"/>
      <c r="P31" s="20"/>
      <c r="Q31" s="22"/>
      <c r="R31" s="21"/>
      <c r="S31" s="25"/>
      <c r="T31" s="25"/>
      <c r="U31" s="25"/>
      <c r="V31" s="20"/>
      <c r="W31" s="22"/>
      <c r="X31" s="23"/>
      <c r="Y31" s="19"/>
      <c r="Z31" s="21"/>
    </row>
    <row r="32" spans="1:54" ht="15.95" customHeight="1" x14ac:dyDescent="0.25">
      <c r="A32" s="21"/>
      <c r="B32" s="203"/>
      <c r="C32" s="189"/>
      <c r="D32" s="28"/>
      <c r="E32" s="27"/>
      <c r="F32" s="26"/>
      <c r="G32" s="190"/>
      <c r="H32" s="186"/>
      <c r="I32" s="19"/>
      <c r="J32" s="19"/>
      <c r="K32" s="19"/>
      <c r="L32" s="19"/>
      <c r="M32" s="19"/>
      <c r="N32" s="17"/>
      <c r="O32" s="19"/>
      <c r="P32" s="20"/>
      <c r="Q32" s="21"/>
      <c r="R32" s="21"/>
      <c r="S32" s="19"/>
      <c r="T32" s="19"/>
      <c r="U32" s="19"/>
      <c r="V32" s="20"/>
      <c r="W32" s="22"/>
      <c r="X32" s="23"/>
      <c r="Y32" s="21"/>
      <c r="Z32" s="21"/>
    </row>
    <row r="33" spans="1:26" ht="15.95" customHeight="1" x14ac:dyDescent="0.25">
      <c r="A33" s="21"/>
      <c r="B33" s="203"/>
      <c r="C33" s="189"/>
      <c r="D33" s="28"/>
      <c r="E33" s="27"/>
      <c r="F33" s="26"/>
      <c r="G33" s="190"/>
      <c r="H33" s="186"/>
      <c r="I33" s="19"/>
      <c r="J33" s="19"/>
      <c r="K33" s="19"/>
      <c r="L33" s="19"/>
      <c r="M33" s="19"/>
      <c r="N33" s="24"/>
      <c r="O33" s="20"/>
      <c r="P33" s="20"/>
      <c r="Q33" s="22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95" customHeight="1" x14ac:dyDescent="0.25">
      <c r="A34" s="21"/>
      <c r="B34" s="206"/>
      <c r="C34" s="189"/>
      <c r="D34" s="28"/>
      <c r="E34" s="27"/>
      <c r="F34" s="26"/>
      <c r="G34" s="190"/>
      <c r="H34" s="186"/>
      <c r="I34" s="19"/>
      <c r="J34" s="19"/>
      <c r="K34" s="19"/>
      <c r="L34" s="19"/>
      <c r="M34" s="19"/>
      <c r="N34" s="17"/>
      <c r="O34" s="19"/>
      <c r="P34" s="20"/>
      <c r="Q34" s="21"/>
      <c r="R34" s="21"/>
      <c r="S34" s="19"/>
      <c r="T34" s="19"/>
      <c r="U34" s="19"/>
      <c r="V34" s="20"/>
      <c r="W34" s="22"/>
      <c r="X34" s="23"/>
      <c r="Y34" s="21"/>
      <c r="Z34" s="21"/>
    </row>
    <row r="35" spans="1:26" ht="15.95" customHeight="1" thickBot="1" x14ac:dyDescent="0.3">
      <c r="A35" s="21"/>
      <c r="B35" s="203"/>
      <c r="C35" s="191"/>
      <c r="D35" s="192"/>
      <c r="E35" s="193"/>
      <c r="F35" s="194"/>
      <c r="G35" s="195"/>
      <c r="H35" s="186"/>
      <c r="I35" s="19"/>
      <c r="J35" s="19"/>
      <c r="K35" s="19"/>
      <c r="L35" s="19"/>
      <c r="M35" s="19"/>
      <c r="N35" s="24"/>
      <c r="O35" s="20"/>
      <c r="P35" s="20"/>
      <c r="Q35" s="22"/>
      <c r="R35" s="21"/>
      <c r="S35" s="25"/>
      <c r="T35" s="25"/>
      <c r="U35" s="25"/>
      <c r="V35" s="20"/>
      <c r="W35" s="22"/>
      <c r="X35" s="23"/>
      <c r="Y35" s="19"/>
      <c r="Z35" s="21"/>
    </row>
    <row r="36" spans="1:26" ht="15.95" customHeight="1" thickBot="1" x14ac:dyDescent="0.3">
      <c r="A36" s="21"/>
      <c r="B36" s="207"/>
      <c r="C36" s="208"/>
      <c r="D36" s="208"/>
      <c r="E36" s="208"/>
      <c r="F36" s="208"/>
      <c r="G36" s="208"/>
      <c r="H36" s="209"/>
      <c r="I36" s="19"/>
      <c r="J36" s="19"/>
      <c r="K36" s="19"/>
      <c r="L36" s="19"/>
      <c r="M36" s="19"/>
      <c r="N36" s="17"/>
      <c r="O36" s="19"/>
      <c r="P36" s="20"/>
      <c r="Q36" s="21"/>
      <c r="R36" s="21"/>
      <c r="S36" s="19"/>
      <c r="T36" s="19"/>
      <c r="U36" s="19"/>
      <c r="V36" s="20"/>
      <c r="W36" s="22"/>
      <c r="X36" s="23"/>
      <c r="Y36" s="21"/>
      <c r="Z36" s="21"/>
    </row>
    <row r="37" spans="1:26" ht="15.95" customHeight="1" x14ac:dyDescent="0.25">
      <c r="A37" s="21"/>
      <c r="B37" s="27"/>
      <c r="C37" s="27"/>
      <c r="D37" s="28"/>
      <c r="E37" s="27"/>
      <c r="F37" s="168"/>
      <c r="G37" s="169"/>
      <c r="H37" s="29"/>
      <c r="I37" s="19"/>
      <c r="J37" s="19"/>
      <c r="K37" s="19"/>
      <c r="L37" s="19"/>
      <c r="M37" s="19"/>
      <c r="N37" s="24"/>
      <c r="O37" s="20"/>
      <c r="P37" s="20"/>
      <c r="Q37" s="22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21"/>
      <c r="B38" s="27"/>
      <c r="C38" s="27"/>
      <c r="D38" s="28"/>
      <c r="E38" s="27"/>
      <c r="F38" s="168"/>
      <c r="G38" s="169"/>
      <c r="H38" s="29"/>
      <c r="I38" s="19"/>
      <c r="J38" s="19"/>
      <c r="K38" s="19"/>
      <c r="L38" s="19"/>
      <c r="M38" s="19"/>
      <c r="N38" s="17"/>
      <c r="O38" s="19"/>
      <c r="P38" s="20"/>
      <c r="Q38" s="21"/>
      <c r="R38" s="21"/>
      <c r="S38" s="19"/>
      <c r="T38" s="19"/>
      <c r="U38" s="19"/>
      <c r="V38" s="20"/>
      <c r="W38" s="22"/>
      <c r="X38" s="23"/>
      <c r="Y38" s="21"/>
      <c r="Z38" s="21"/>
    </row>
    <row r="39" spans="1:26" x14ac:dyDescent="0.25">
      <c r="A39" s="21"/>
      <c r="B39" s="27"/>
      <c r="C39" s="27"/>
      <c r="D39" s="28"/>
      <c r="E39" s="27"/>
      <c r="F39" s="168"/>
      <c r="G39" s="170"/>
      <c r="H39" s="19"/>
      <c r="I39" s="19"/>
      <c r="J39" s="19"/>
      <c r="K39" s="19"/>
      <c r="L39" s="19"/>
      <c r="M39" s="19"/>
      <c r="N39" s="24"/>
      <c r="O39" s="20"/>
      <c r="P39" s="20"/>
      <c r="Q39" s="22"/>
      <c r="R39" s="21"/>
      <c r="S39" s="25"/>
      <c r="T39" s="25"/>
      <c r="U39" s="25"/>
      <c r="V39" s="20"/>
      <c r="W39" s="22"/>
      <c r="X39" s="23"/>
      <c r="Y39" s="19"/>
      <c r="Z39" s="21"/>
    </row>
    <row r="40" spans="1:26" x14ac:dyDescent="0.25">
      <c r="A40" s="21"/>
      <c r="B40" s="27"/>
      <c r="C40" s="27"/>
      <c r="D40" s="28"/>
      <c r="E40" s="27"/>
      <c r="F40" s="168"/>
      <c r="G40" s="170"/>
      <c r="H40" s="19"/>
      <c r="I40" s="19"/>
      <c r="J40" s="19"/>
      <c r="K40" s="19"/>
      <c r="L40" s="19"/>
      <c r="M40" s="19"/>
      <c r="N40" s="17"/>
      <c r="O40" s="19"/>
      <c r="P40" s="20"/>
      <c r="Q40" s="21"/>
      <c r="R40" s="21"/>
      <c r="S40" s="19"/>
      <c r="T40" s="19"/>
      <c r="U40" s="19"/>
      <c r="V40" s="20"/>
      <c r="W40" s="22"/>
      <c r="X40" s="23"/>
      <c r="Y40" s="21"/>
      <c r="Z40" s="21"/>
    </row>
    <row r="41" spans="1:26" x14ac:dyDescent="0.25">
      <c r="A41" s="21"/>
      <c r="B41" s="27"/>
      <c r="C41" s="27"/>
      <c r="D41" s="28"/>
      <c r="E41" s="27"/>
      <c r="F41" s="168"/>
      <c r="G41" s="170"/>
      <c r="H41" s="19"/>
      <c r="I41" s="19"/>
      <c r="J41" s="19"/>
      <c r="K41" s="19"/>
      <c r="L41" s="19"/>
      <c r="M41" s="19"/>
      <c r="N41" s="24"/>
      <c r="O41" s="20"/>
      <c r="P41" s="20"/>
      <c r="Q41" s="22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21"/>
      <c r="B42" s="27"/>
      <c r="C42" s="27"/>
      <c r="D42" s="28"/>
      <c r="E42" s="27"/>
      <c r="F42" s="168"/>
      <c r="G42" s="170"/>
      <c r="H42" s="19"/>
      <c r="I42" s="19"/>
      <c r="J42" s="19"/>
      <c r="K42" s="19"/>
      <c r="L42" s="19"/>
      <c r="M42" s="19"/>
      <c r="N42" s="17"/>
      <c r="O42" s="19"/>
      <c r="P42" s="20"/>
      <c r="Q42" s="21"/>
      <c r="R42" s="21"/>
      <c r="S42" s="19"/>
      <c r="T42" s="19"/>
      <c r="U42" s="19"/>
      <c r="V42" s="20"/>
      <c r="W42" s="22"/>
      <c r="X42" s="23"/>
      <c r="Y42" s="21"/>
      <c r="Z42" s="21"/>
    </row>
    <row r="43" spans="1:26" x14ac:dyDescent="0.25">
      <c r="A43" s="21"/>
      <c r="B43" s="27"/>
      <c r="C43" s="27"/>
      <c r="D43" s="28"/>
      <c r="E43" s="27"/>
      <c r="F43" s="168"/>
      <c r="G43" s="170"/>
      <c r="H43" s="19"/>
      <c r="I43" s="19"/>
      <c r="J43" s="19"/>
      <c r="K43" s="19"/>
      <c r="L43" s="19"/>
      <c r="M43" s="19"/>
      <c r="N43" s="24"/>
      <c r="O43" s="20"/>
      <c r="P43" s="20"/>
      <c r="Q43" s="22"/>
      <c r="R43" s="21"/>
      <c r="S43" s="25"/>
      <c r="T43" s="25"/>
      <c r="U43" s="25"/>
      <c r="V43" s="20"/>
      <c r="W43" s="22"/>
      <c r="X43" s="23"/>
      <c r="Y43" s="19"/>
      <c r="Z43" s="21"/>
    </row>
    <row r="44" spans="1:26" x14ac:dyDescent="0.25">
      <c r="A44" s="21"/>
      <c r="B44" s="27"/>
      <c r="C44" s="27"/>
      <c r="D44" s="28"/>
      <c r="E44" s="27"/>
      <c r="F44" s="168"/>
      <c r="G44" s="170"/>
      <c r="H44" s="19"/>
      <c r="I44" s="19"/>
      <c r="J44" s="19"/>
      <c r="K44" s="19"/>
      <c r="L44" s="19"/>
      <c r="M44" s="19"/>
      <c r="N44" s="17"/>
      <c r="O44" s="19"/>
      <c r="P44" s="20"/>
      <c r="Q44" s="21"/>
      <c r="R44" s="21"/>
      <c r="S44" s="19"/>
      <c r="T44" s="19"/>
      <c r="U44" s="19"/>
      <c r="V44" s="20"/>
      <c r="W44" s="22"/>
      <c r="X44" s="23"/>
      <c r="Y44" s="21"/>
      <c r="Z44" s="21"/>
    </row>
    <row r="45" spans="1:26" x14ac:dyDescent="0.25">
      <c r="A45" s="21"/>
      <c r="B45" s="27"/>
      <c r="C45" s="27"/>
      <c r="D45" s="28"/>
      <c r="E45" s="27"/>
      <c r="F45" s="168"/>
      <c r="G45" s="170"/>
      <c r="H45" s="19"/>
      <c r="I45" s="19"/>
      <c r="J45" s="19"/>
      <c r="K45" s="19"/>
      <c r="L45" s="19"/>
      <c r="M45" s="19"/>
      <c r="N45" s="24"/>
      <c r="O45" s="20"/>
      <c r="P45" s="20"/>
      <c r="Q45" s="22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1"/>
      <c r="B46" s="27"/>
      <c r="C46" s="27"/>
      <c r="D46" s="30"/>
      <c r="E46" s="27"/>
      <c r="F46" s="168"/>
      <c r="G46" s="167"/>
      <c r="H46" s="19"/>
      <c r="I46" s="19"/>
      <c r="J46" s="19"/>
      <c r="K46" s="19"/>
      <c r="L46" s="19"/>
      <c r="M46" s="19"/>
      <c r="N46" s="17"/>
      <c r="O46" s="19"/>
      <c r="P46" s="20"/>
      <c r="Q46" s="21"/>
      <c r="R46" s="21"/>
      <c r="S46" s="19"/>
      <c r="T46" s="19"/>
      <c r="U46" s="19"/>
      <c r="V46" s="20"/>
      <c r="W46" s="22"/>
      <c r="X46" s="23"/>
      <c r="Y46" s="21"/>
      <c r="Z46" s="21"/>
    </row>
    <row r="47" spans="1:26" x14ac:dyDescent="0.25">
      <c r="A47" s="21"/>
      <c r="B47" s="27"/>
      <c r="C47" s="27"/>
      <c r="D47" s="30"/>
      <c r="E47" s="27"/>
      <c r="F47" s="168"/>
      <c r="G47" s="167"/>
      <c r="H47" s="19"/>
      <c r="I47" s="19"/>
      <c r="J47" s="19"/>
      <c r="K47" s="19"/>
      <c r="L47" s="19"/>
      <c r="M47" s="19"/>
      <c r="N47" s="24"/>
      <c r="O47" s="20"/>
      <c r="P47" s="20"/>
      <c r="Q47" s="22"/>
      <c r="R47" s="21"/>
      <c r="S47" s="25"/>
      <c r="T47" s="25"/>
      <c r="U47" s="25"/>
      <c r="V47" s="20"/>
      <c r="W47" s="22"/>
      <c r="X47" s="23"/>
      <c r="Y47" s="19"/>
      <c r="Z47" s="21"/>
    </row>
    <row r="48" spans="1:26" x14ac:dyDescent="0.25">
      <c r="A48" s="21"/>
      <c r="B48" s="27"/>
      <c r="C48" s="27"/>
      <c r="D48" s="30"/>
      <c r="E48" s="27"/>
      <c r="F48" s="168"/>
      <c r="G48" s="167"/>
      <c r="H48" s="19"/>
      <c r="I48" s="19"/>
      <c r="J48" s="19"/>
      <c r="K48" s="19"/>
      <c r="L48" s="19"/>
      <c r="M48" s="19"/>
      <c r="N48" s="17"/>
      <c r="O48" s="19"/>
      <c r="P48" s="20"/>
      <c r="Q48" s="21"/>
      <c r="R48" s="21"/>
      <c r="S48" s="19"/>
      <c r="T48" s="19"/>
      <c r="U48" s="19"/>
      <c r="V48" s="20"/>
      <c r="W48" s="22"/>
      <c r="X48" s="23"/>
      <c r="Y48" s="21"/>
      <c r="Z48" s="21"/>
    </row>
    <row r="49" spans="1:26" x14ac:dyDescent="0.25">
      <c r="A49" s="21"/>
      <c r="B49" s="27"/>
      <c r="C49" s="27"/>
      <c r="D49" s="30"/>
      <c r="E49" s="27"/>
      <c r="F49" s="168"/>
      <c r="G49" s="167"/>
      <c r="H49" s="19"/>
      <c r="I49" s="19"/>
      <c r="J49" s="19"/>
      <c r="K49" s="19"/>
      <c r="L49" s="19"/>
      <c r="M49" s="19"/>
      <c r="N49" s="24"/>
      <c r="O49" s="20"/>
      <c r="P49" s="20"/>
      <c r="Q49" s="22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21"/>
      <c r="B50" s="27"/>
      <c r="C50" s="27"/>
      <c r="D50" s="30"/>
      <c r="E50" s="27"/>
      <c r="F50" s="168"/>
      <c r="G50" s="167"/>
      <c r="H50" s="19"/>
      <c r="I50" s="19"/>
      <c r="J50" s="19"/>
      <c r="K50" s="19"/>
      <c r="L50" s="19"/>
      <c r="M50" s="19"/>
      <c r="N50" s="17"/>
      <c r="O50" s="19"/>
      <c r="P50" s="20"/>
      <c r="Q50" s="21"/>
      <c r="R50" s="21"/>
      <c r="S50" s="19"/>
      <c r="T50" s="19"/>
      <c r="U50" s="19"/>
      <c r="V50" s="20"/>
      <c r="W50" s="22"/>
      <c r="X50" s="23"/>
      <c r="Y50" s="21"/>
      <c r="Z50" s="21"/>
    </row>
    <row r="51" spans="1:26" x14ac:dyDescent="0.25">
      <c r="A51" s="21"/>
      <c r="B51" s="27"/>
      <c r="C51" s="27"/>
      <c r="D51" s="30"/>
      <c r="E51" s="27"/>
      <c r="F51" s="168"/>
      <c r="G51" s="167"/>
      <c r="H51" s="19"/>
      <c r="I51" s="19"/>
      <c r="J51" s="19"/>
      <c r="K51" s="19"/>
      <c r="L51" s="19"/>
      <c r="M51" s="19"/>
      <c r="N51" s="24"/>
      <c r="O51" s="20"/>
      <c r="P51" s="20"/>
      <c r="Q51" s="22"/>
      <c r="R51" s="21"/>
      <c r="S51" s="25"/>
      <c r="T51" s="25"/>
      <c r="U51" s="25"/>
      <c r="V51" s="20"/>
      <c r="W51" s="22"/>
      <c r="X51" s="23"/>
      <c r="Y51" s="19"/>
      <c r="Z51" s="21"/>
    </row>
    <row r="52" spans="1:26" x14ac:dyDescent="0.25">
      <c r="A52" s="21"/>
      <c r="B52" s="27"/>
      <c r="C52" s="27"/>
      <c r="D52" s="30"/>
      <c r="F52" s="168"/>
      <c r="G52" s="167"/>
      <c r="H52" s="19"/>
      <c r="I52" s="19"/>
      <c r="J52" s="19"/>
      <c r="K52" s="19"/>
      <c r="L52" s="19"/>
      <c r="M52" s="19"/>
      <c r="N52" s="17"/>
      <c r="O52" s="19"/>
      <c r="P52" s="20"/>
      <c r="Q52" s="21"/>
      <c r="R52" s="21"/>
      <c r="S52" s="19"/>
      <c r="T52" s="19"/>
      <c r="U52" s="19"/>
      <c r="V52" s="20"/>
      <c r="W52" s="22"/>
      <c r="X52" s="23"/>
      <c r="Y52" s="21"/>
      <c r="Z52" s="21"/>
    </row>
    <row r="53" spans="1:26" x14ac:dyDescent="0.25">
      <c r="A53" s="21"/>
      <c r="B53" s="27"/>
      <c r="C53" s="27"/>
      <c r="D53" s="30"/>
      <c r="F53" s="168"/>
      <c r="G53" s="167"/>
      <c r="H53" s="19"/>
      <c r="I53" s="19"/>
      <c r="J53" s="19"/>
      <c r="K53" s="19"/>
      <c r="L53" s="19"/>
      <c r="M53" s="19"/>
      <c r="N53" s="24"/>
      <c r="O53" s="20"/>
      <c r="P53" s="20"/>
      <c r="Q53" s="22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5">
      <c r="A54" s="21"/>
      <c r="B54" s="27"/>
      <c r="C54" s="27"/>
      <c r="D54" s="30"/>
      <c r="F54" s="168"/>
      <c r="G54" s="167"/>
      <c r="H54" s="19"/>
      <c r="I54" s="19"/>
      <c r="J54" s="19"/>
      <c r="K54" s="19"/>
      <c r="L54" s="19"/>
      <c r="M54" s="19"/>
      <c r="N54" s="17"/>
      <c r="O54" s="19"/>
      <c r="P54" s="20"/>
      <c r="Q54" s="21"/>
      <c r="R54" s="21"/>
      <c r="S54" s="19"/>
      <c r="T54" s="19"/>
      <c r="U54" s="19"/>
      <c r="V54" s="20"/>
      <c r="W54" s="22"/>
      <c r="X54" s="23"/>
      <c r="Y54" s="21"/>
      <c r="Z54" s="21"/>
    </row>
    <row r="55" spans="1:26" x14ac:dyDescent="0.25">
      <c r="A55" s="21"/>
      <c r="B55" s="27"/>
      <c r="C55" s="27"/>
      <c r="D55" s="30"/>
      <c r="F55" s="168"/>
      <c r="G55" s="167"/>
      <c r="H55" s="19"/>
      <c r="I55" s="19"/>
      <c r="J55" s="19"/>
      <c r="K55" s="19"/>
      <c r="L55" s="19"/>
      <c r="M55" s="19"/>
      <c r="N55" s="19"/>
      <c r="O55" s="19"/>
      <c r="P55" s="20"/>
      <c r="Q55" s="22"/>
      <c r="R55" s="22"/>
      <c r="S55" s="25"/>
      <c r="T55" s="25"/>
      <c r="U55" s="25"/>
      <c r="V55" s="20"/>
      <c r="W55" s="22"/>
      <c r="X55" s="23"/>
      <c r="Y55" s="19"/>
      <c r="Z55" s="21"/>
    </row>
    <row r="56" spans="1:26" x14ac:dyDescent="0.25">
      <c r="S56" s="19"/>
      <c r="T56" s="19"/>
      <c r="U56" s="19"/>
      <c r="V56" s="20"/>
      <c r="W56" s="22"/>
      <c r="X56" s="23"/>
      <c r="Y56" s="21"/>
      <c r="Z56" s="21"/>
    </row>
  </sheetData>
  <sheetProtection formatCells="0" formatColumns="0" formatRows="0"/>
  <mergeCells count="16">
    <mergeCell ref="F16:G16"/>
    <mergeCell ref="F17:G17"/>
    <mergeCell ref="D18:E18"/>
    <mergeCell ref="F18:G18"/>
    <mergeCell ref="F11:G11"/>
    <mergeCell ref="F12:G12"/>
    <mergeCell ref="F13:G13"/>
    <mergeCell ref="D14:E14"/>
    <mergeCell ref="F14:G14"/>
    <mergeCell ref="F15:G15"/>
    <mergeCell ref="F10:G10"/>
    <mergeCell ref="C3:E3"/>
    <mergeCell ref="F3:G3"/>
    <mergeCell ref="AK4:AM6"/>
    <mergeCell ref="C6:E7"/>
    <mergeCell ref="F9:G9"/>
  </mergeCells>
  <conditionalFormatting sqref="C6">
    <cfRule type="cellIs" dxfId="16" priority="3" operator="equal">
      <formula>"NOT IN RANGE"</formula>
    </cfRule>
    <cfRule type="cellIs" dxfId="15" priority="4" operator="equal">
      <formula>"CORRECT RANGE"</formula>
    </cfRule>
  </conditionalFormatting>
  <conditionalFormatting sqref="AK4">
    <cfRule type="cellIs" dxfId="14" priority="1" operator="equal">
      <formula>"NOT IN RANGE"</formula>
    </cfRule>
    <cfRule type="cellIs" dxfId="13" priority="2" operator="equal">
      <formula>"CORRECT RANGE"</formula>
    </cfRule>
  </conditionalFormatting>
  <dataValidations count="3">
    <dataValidation type="list" allowBlank="1" showInputMessage="1" showErrorMessage="1" sqref="D17" xr:uid="{00000000-0002-0000-0200-000000000000}">
      <formula1>$AZ$2:$AZ$3</formula1>
    </dataValidation>
    <dataValidation type="list" allowBlank="1" showInputMessage="1" showErrorMessage="1" sqref="D15" xr:uid="{00000000-0002-0000-0200-000001000000}">
      <formula1>$BB$2:$BB$4</formula1>
    </dataValidation>
    <dataValidation type="list" allowBlank="1" showInputMessage="1" showErrorMessage="1" sqref="D16" xr:uid="{00000000-0002-0000-0200-000002000000}">
      <formula1>$BB$16:$BB$26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56"/>
  <sheetViews>
    <sheetView rightToLeft="1" topLeftCell="A4" zoomScale="110" zoomScaleNormal="110" workbookViewId="0">
      <selection activeCell="J18" sqref="J18"/>
    </sheetView>
  </sheetViews>
  <sheetFormatPr defaultColWidth="9.140625" defaultRowHeight="15" x14ac:dyDescent="0.25"/>
  <cols>
    <col min="1" max="1" width="1.7109375" style="1" customWidth="1"/>
    <col min="2" max="2" width="2.7109375" style="14" customWidth="1"/>
    <col min="3" max="3" width="21.42578125" style="14" customWidth="1"/>
    <col min="4" max="4" width="17.5703125" style="15" customWidth="1"/>
    <col min="5" max="5" width="15.7109375" style="14" customWidth="1"/>
    <col min="6" max="6" width="11.140625" style="171" customWidth="1"/>
    <col min="7" max="7" width="7.7109375" style="3" customWidth="1"/>
    <col min="8" max="8" width="2.7109375" style="8" customWidth="1"/>
    <col min="9" max="9" width="13.7109375" style="8" customWidth="1"/>
    <col min="10" max="10" width="12.7109375" style="8" customWidth="1"/>
    <col min="11" max="11" width="12.140625" style="8" customWidth="1"/>
    <col min="12" max="13" width="12.7109375" style="8" customWidth="1"/>
    <col min="14" max="15" width="9.28515625" style="8" customWidth="1"/>
    <col min="16" max="16" width="9.28515625" style="9" customWidth="1"/>
    <col min="17" max="18" width="9.28515625" style="12" customWidth="1"/>
    <col min="19" max="24" width="9.28515625" style="4" customWidth="1"/>
    <col min="25" max="52" width="9.28515625" style="1" customWidth="1"/>
    <col min="53" max="53" width="27.140625" style="1" customWidth="1"/>
    <col min="54" max="54" width="15.85546875" style="157" customWidth="1"/>
    <col min="55" max="58" width="9.28515625" style="1" customWidth="1"/>
    <col min="59" max="16384" width="9.140625" style="1"/>
  </cols>
  <sheetData>
    <row r="1" spans="1:60" ht="9.75" customHeight="1" thickBot="1" x14ac:dyDescent="0.3">
      <c r="A1" s="21"/>
      <c r="B1" s="21"/>
      <c r="C1" s="21"/>
      <c r="D1" s="21"/>
      <c r="E1" s="21"/>
      <c r="F1" s="167"/>
      <c r="G1" s="167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60" ht="15" customHeight="1" thickBot="1" x14ac:dyDescent="0.3">
      <c r="A2" s="21"/>
      <c r="B2" s="196"/>
      <c r="C2" s="197"/>
      <c r="D2" s="198"/>
      <c r="E2" s="199"/>
      <c r="F2" s="200"/>
      <c r="G2" s="201"/>
      <c r="H2" s="202"/>
      <c r="I2" s="21"/>
      <c r="J2" s="19"/>
      <c r="K2" s="19"/>
      <c r="L2" s="19"/>
      <c r="M2" s="19"/>
      <c r="N2" s="17"/>
      <c r="O2" s="19"/>
      <c r="P2" s="20"/>
      <c r="Q2" s="21"/>
      <c r="R2" s="21"/>
      <c r="S2" s="19"/>
      <c r="T2" s="19"/>
      <c r="U2" s="19"/>
      <c r="V2" s="20"/>
      <c r="W2" s="22"/>
      <c r="X2" s="23"/>
      <c r="Y2" s="21"/>
      <c r="Z2" s="21"/>
      <c r="AZ2" s="155" t="s">
        <v>209</v>
      </c>
      <c r="BA2" s="156" t="s">
        <v>212</v>
      </c>
      <c r="BB2" s="159" t="s">
        <v>152</v>
      </c>
      <c r="BC2" s="13"/>
      <c r="BD2" s="5"/>
      <c r="BE2" s="6"/>
      <c r="BF2" s="7"/>
      <c r="BG2" s="6"/>
      <c r="BH2" s="6"/>
    </row>
    <row r="3" spans="1:60" ht="30" customHeight="1" x14ac:dyDescent="0.25">
      <c r="A3" s="21"/>
      <c r="B3" s="203"/>
      <c r="C3" s="432" t="s">
        <v>240</v>
      </c>
      <c r="D3" s="433"/>
      <c r="E3" s="433"/>
      <c r="F3" s="440" t="s">
        <v>98</v>
      </c>
      <c r="G3" s="441"/>
      <c r="H3" s="204"/>
      <c r="I3" s="21"/>
      <c r="J3" s="19"/>
      <c r="K3" s="19"/>
      <c r="L3" s="19"/>
      <c r="M3" s="19"/>
      <c r="N3" s="24"/>
      <c r="O3" s="20"/>
      <c r="P3" s="20"/>
      <c r="Q3" s="22"/>
      <c r="R3" s="21"/>
      <c r="S3" s="25"/>
      <c r="T3" s="25"/>
      <c r="U3" s="25"/>
      <c r="V3" s="20"/>
      <c r="W3" s="22"/>
      <c r="X3" s="23"/>
      <c r="Y3" s="19"/>
      <c r="Z3" s="21"/>
      <c r="AZ3" s="163" t="s">
        <v>215</v>
      </c>
      <c r="BA3" s="156" t="s">
        <v>213</v>
      </c>
      <c r="BB3" s="158" t="s">
        <v>138</v>
      </c>
      <c r="BD3" s="11"/>
      <c r="BE3" s="6"/>
      <c r="BF3" s="6"/>
      <c r="BG3" s="6"/>
      <c r="BH3" s="6"/>
    </row>
    <row r="4" spans="1:60" ht="20.100000000000001" customHeight="1" x14ac:dyDescent="0.25">
      <c r="A4" s="21"/>
      <c r="B4" s="203"/>
      <c r="C4" s="152" t="s">
        <v>118</v>
      </c>
      <c r="D4" s="153" t="s">
        <v>0</v>
      </c>
      <c r="E4" s="224" t="s">
        <v>1</v>
      </c>
      <c r="F4" s="181" t="s">
        <v>100</v>
      </c>
      <c r="G4" s="172">
        <v>7</v>
      </c>
      <c r="H4" s="204"/>
      <c r="I4" s="21"/>
      <c r="J4" s="19"/>
      <c r="K4" s="19"/>
      <c r="L4" s="19"/>
      <c r="M4" s="19"/>
      <c r="N4" s="17"/>
      <c r="O4" s="19"/>
      <c r="P4" s="20"/>
      <c r="Q4" s="21"/>
      <c r="R4" s="21"/>
      <c r="S4" s="19"/>
      <c r="T4" s="19"/>
      <c r="U4" s="19"/>
      <c r="V4" s="20"/>
      <c r="W4" s="22"/>
      <c r="X4" s="23"/>
      <c r="Y4" s="21"/>
      <c r="Z4" s="21"/>
      <c r="AK4" s="418" t="str">
        <f>IF(AND(AL7&lt;=6,AL8&gt;12),"NOT IN RANGE",IF(AND(AL7&gt;6,AL7&lt;=8,AL8&gt;9),"NOT IN RANGE",IF(AND(AL7&gt;8,AL7&lt;=10,AL8&gt;4),"NOT IN RANGE",IF(AND(AL7&gt;10,AL7&lt;=50,AL8&gt;1),"NOT IN RANGE","CORRECT RANGE"))))</f>
        <v>CORRECT RANGE</v>
      </c>
      <c r="AL4" s="419"/>
      <c r="AM4" s="419"/>
      <c r="BA4" s="162" t="s">
        <v>214</v>
      </c>
      <c r="BB4" s="158" t="s">
        <v>139</v>
      </c>
      <c r="BD4" s="11"/>
      <c r="BE4" s="6"/>
      <c r="BF4" s="6"/>
      <c r="BG4" s="6"/>
      <c r="BH4" s="6"/>
    </row>
    <row r="5" spans="1:60" ht="20.100000000000001" customHeight="1" x14ac:dyDescent="0.25">
      <c r="A5" s="21"/>
      <c r="B5" s="185"/>
      <c r="C5" s="183" t="e">
        <f>(D5+E5)*(D8-0.25)</f>
        <v>#VALUE!</v>
      </c>
      <c r="D5" s="182">
        <v>2</v>
      </c>
      <c r="E5" s="182" t="str">
        <f>IF(AND(D9&gt;2,D9&lt;=4.2),0,IF(AND(D9&gt;4.2,D9&lt;=8),1,IF(AND(D9&gt;8,D9&lt;=12),2,IF(AND(D9&gt;12,D9&lt;=16),3,IF(AND(D9&gt;16,D9&lt;=20),4,IF(AND(D9&gt;20,D9&lt;=24),5,IF(AND(D9&gt;24,D9&lt;=28),6,IF(AND(D9&gt;28,D9&lt;=32),7,IF(AND(D9&gt;32,D9&lt;=36),8,IF(AND(D9&gt;36,D9&lt;=40),9,IF(AND(D9&gt;40,D9&lt;=44),10,IF(AND(D9&gt;44,D9&lt;=48),11,IF(AND(D9&gt;48,D9&lt;=52),12,"NOT VALID")))))))))))))</f>
        <v>NOT VALID</v>
      </c>
      <c r="F5" s="181" t="s">
        <v>101</v>
      </c>
      <c r="G5" s="172">
        <v>15</v>
      </c>
      <c r="H5" s="204"/>
      <c r="I5" s="21"/>
      <c r="J5" s="19"/>
      <c r="K5" s="19"/>
      <c r="L5" s="19"/>
      <c r="M5" s="19"/>
      <c r="N5" s="24"/>
      <c r="O5" s="20"/>
      <c r="P5" s="20"/>
      <c r="Q5" s="22"/>
      <c r="R5" s="21"/>
      <c r="S5" s="21"/>
      <c r="T5" s="21"/>
      <c r="U5" s="21"/>
      <c r="V5" s="21"/>
      <c r="W5" s="21"/>
      <c r="X5" s="21"/>
      <c r="Y5" s="21"/>
      <c r="Z5" s="21"/>
      <c r="AK5" s="418"/>
      <c r="AL5" s="419"/>
      <c r="AM5" s="419"/>
      <c r="BA5" s="10"/>
      <c r="BC5" s="6"/>
      <c r="BD5" s="11"/>
      <c r="BE5" s="6"/>
      <c r="BF5" s="6"/>
      <c r="BG5" s="6"/>
      <c r="BH5" s="6"/>
    </row>
    <row r="6" spans="1:60" ht="20.100000000000001" customHeight="1" x14ac:dyDescent="0.25">
      <c r="A6" s="21"/>
      <c r="B6" s="185"/>
      <c r="C6" s="420" t="str">
        <f>IF(AND(D8&lt;=6,D9&gt;12),"NOT IN RANGE",IF(AND(D8&gt;6,D8&lt;=8,D9&gt;9),"NOT IN RANGE",IF(AND(D8&gt;8,D8&lt;=12,D9&gt;6),"NOT IN RANGE",IF(AND(D8&gt;12,D8&lt;=50,D9&gt;1),"NOT IN RANGE","CORRECT RANGE"))))</f>
        <v>CORRECT RANGE</v>
      </c>
      <c r="D6" s="421"/>
      <c r="E6" s="422"/>
      <c r="F6" s="181" t="s">
        <v>102</v>
      </c>
      <c r="G6" s="172">
        <v>20</v>
      </c>
      <c r="H6" s="204"/>
      <c r="I6" s="21"/>
      <c r="J6" s="19"/>
      <c r="K6" s="19"/>
      <c r="L6" s="19"/>
      <c r="M6" s="19"/>
      <c r="N6" s="17"/>
      <c r="O6" s="19"/>
      <c r="P6" s="20"/>
      <c r="Q6" s="21"/>
      <c r="R6" s="21"/>
      <c r="S6" s="19"/>
      <c r="T6" s="19"/>
      <c r="U6" s="19"/>
      <c r="V6" s="20"/>
      <c r="W6" s="22"/>
      <c r="X6" s="23"/>
      <c r="Y6" s="21"/>
      <c r="Z6" s="21"/>
      <c r="AK6" s="418"/>
      <c r="AL6" s="419"/>
      <c r="AM6" s="419"/>
      <c r="AZ6" s="160" t="s">
        <v>181</v>
      </c>
      <c r="BA6" s="10"/>
      <c r="BC6" s="6"/>
      <c r="BD6" s="11"/>
      <c r="BE6" s="6"/>
      <c r="BF6" s="6"/>
      <c r="BG6" s="6"/>
      <c r="BH6" s="6"/>
    </row>
    <row r="7" spans="1:60" ht="20.100000000000001" customHeight="1" x14ac:dyDescent="0.25">
      <c r="A7" s="21"/>
      <c r="B7" s="185"/>
      <c r="C7" s="423"/>
      <c r="D7" s="424"/>
      <c r="E7" s="425"/>
      <c r="F7" s="181" t="s">
        <v>103</v>
      </c>
      <c r="G7" s="172">
        <v>45</v>
      </c>
      <c r="H7" s="204"/>
      <c r="I7" s="21"/>
      <c r="J7" s="19"/>
      <c r="K7" s="19"/>
      <c r="L7" s="19"/>
      <c r="M7" s="19"/>
      <c r="N7" s="24"/>
      <c r="O7" s="20"/>
      <c r="P7" s="20"/>
      <c r="Q7" s="22"/>
      <c r="R7" s="21"/>
      <c r="S7" s="25"/>
      <c r="T7" s="25"/>
      <c r="U7" s="25"/>
      <c r="V7" s="20"/>
      <c r="W7" s="22"/>
      <c r="X7" s="23"/>
      <c r="Y7" s="19"/>
      <c r="Z7" s="21"/>
      <c r="AZ7" s="161" t="s">
        <v>182</v>
      </c>
      <c r="BA7" s="5"/>
      <c r="BC7" s="6"/>
      <c r="BD7" s="11"/>
      <c r="BE7" s="6"/>
      <c r="BF7" s="6"/>
      <c r="BG7" s="6"/>
      <c r="BH7" s="6"/>
    </row>
    <row r="8" spans="1:60" ht="20.100000000000001" customHeight="1" x14ac:dyDescent="0.25">
      <c r="A8" s="21"/>
      <c r="B8" s="185"/>
      <c r="C8" s="166" t="s">
        <v>224</v>
      </c>
      <c r="D8" s="222">
        <f>'پیش فاکتور سقف متحرک'!B15/100</f>
        <v>0</v>
      </c>
      <c r="E8" s="176" t="s">
        <v>153</v>
      </c>
      <c r="F8" s="181" t="s">
        <v>104</v>
      </c>
      <c r="G8" s="172"/>
      <c r="H8" s="204"/>
      <c r="I8" s="21"/>
      <c r="J8" s="19"/>
      <c r="K8" s="19"/>
      <c r="L8" s="19"/>
      <c r="M8" s="19"/>
      <c r="N8" s="17"/>
      <c r="O8" s="19"/>
      <c r="P8" s="20"/>
      <c r="Q8" s="21"/>
      <c r="R8" s="21"/>
      <c r="S8" s="19"/>
      <c r="T8" s="19"/>
      <c r="U8" s="19"/>
      <c r="V8" s="20"/>
      <c r="W8" s="22"/>
      <c r="X8" s="23"/>
      <c r="Y8" s="21"/>
      <c r="Z8" s="21"/>
      <c r="AZ8" s="160" t="s">
        <v>183</v>
      </c>
      <c r="BA8" s="5"/>
      <c r="BC8" s="6"/>
      <c r="BD8" s="11"/>
      <c r="BE8" s="6"/>
      <c r="BF8" s="6"/>
      <c r="BG8" s="6"/>
      <c r="BH8" s="6"/>
    </row>
    <row r="9" spans="1:60" ht="20.100000000000001" customHeight="1" x14ac:dyDescent="0.25">
      <c r="A9" s="21"/>
      <c r="B9" s="185"/>
      <c r="C9" s="166" t="s">
        <v>117</v>
      </c>
      <c r="D9" s="222">
        <f>'پیش فاکتور سقف متحرک'!C15/100</f>
        <v>0</v>
      </c>
      <c r="E9" s="177">
        <f>'پیش فاکتور سقف متحرک'!C24</f>
        <v>2200000</v>
      </c>
      <c r="F9" s="434" t="s">
        <v>120</v>
      </c>
      <c r="G9" s="435"/>
      <c r="H9" s="204"/>
      <c r="I9" s="19"/>
      <c r="J9" s="19"/>
      <c r="K9" s="19"/>
      <c r="L9" s="19"/>
      <c r="M9" s="19"/>
      <c r="N9" s="24"/>
      <c r="O9" s="20"/>
      <c r="P9" s="20"/>
      <c r="Q9" s="22"/>
      <c r="R9" s="21"/>
      <c r="S9" s="21"/>
      <c r="T9" s="21"/>
      <c r="U9" s="21"/>
      <c r="V9" s="21"/>
      <c r="W9" s="21"/>
      <c r="X9" s="21"/>
      <c r="Y9" s="21"/>
      <c r="Z9" s="21"/>
    </row>
    <row r="10" spans="1:60" ht="20.100000000000001" customHeight="1" x14ac:dyDescent="0.25">
      <c r="A10" s="21"/>
      <c r="B10" s="185"/>
      <c r="C10" s="166" t="s">
        <v>119</v>
      </c>
      <c r="D10" s="223">
        <f>'پیش فاکتور سقف متحرک'!D15</f>
        <v>0</v>
      </c>
      <c r="E10" s="176" t="s">
        <v>155</v>
      </c>
      <c r="F10" s="436">
        <f>D8*D9*D10</f>
        <v>0</v>
      </c>
      <c r="G10" s="437"/>
      <c r="H10" s="204"/>
      <c r="I10" s="19"/>
      <c r="J10" s="19"/>
      <c r="K10" s="19"/>
      <c r="L10" s="19"/>
      <c r="M10" s="19"/>
      <c r="N10" s="17"/>
      <c r="O10" s="19"/>
      <c r="P10" s="20"/>
      <c r="Q10" s="21"/>
      <c r="R10" s="21"/>
      <c r="S10" s="19"/>
      <c r="T10" s="19"/>
      <c r="U10" s="19"/>
      <c r="V10" s="20"/>
      <c r="W10" s="22"/>
      <c r="X10" s="23"/>
      <c r="Y10" s="21"/>
      <c r="Z10" s="21"/>
      <c r="AA10" s="214">
        <v>100</v>
      </c>
      <c r="AB10" s="211" t="s">
        <v>229</v>
      </c>
      <c r="AC10" s="214">
        <v>100</v>
      </c>
      <c r="AD10" s="210" t="s">
        <v>228</v>
      </c>
      <c r="AE10" s="212" t="s">
        <v>235</v>
      </c>
    </row>
    <row r="11" spans="1:60" ht="20.100000000000001" hidden="1" customHeight="1" x14ac:dyDescent="0.2">
      <c r="A11" s="21"/>
      <c r="B11" s="185"/>
      <c r="C11" s="2"/>
      <c r="D11" s="175"/>
      <c r="E11" s="178"/>
      <c r="F11" s="434" t="s">
        <v>99</v>
      </c>
      <c r="G11" s="435"/>
      <c r="H11" s="204"/>
      <c r="I11" s="19"/>
      <c r="J11" s="154"/>
      <c r="K11" s="19"/>
      <c r="L11" s="19"/>
      <c r="M11" s="19"/>
      <c r="N11" s="24"/>
      <c r="O11" s="20"/>
      <c r="P11" s="20"/>
      <c r="Q11" s="22"/>
      <c r="R11" s="21"/>
      <c r="S11" s="25"/>
      <c r="T11" s="25"/>
      <c r="U11" s="25"/>
      <c r="V11" s="20"/>
      <c r="W11" s="22"/>
      <c r="X11" s="23"/>
      <c r="Y11" s="19"/>
      <c r="Z11" s="21"/>
      <c r="AA11" s="214"/>
      <c r="AB11" s="25"/>
      <c r="AC11" s="214"/>
      <c r="AD11" s="22"/>
      <c r="AE11" s="22"/>
    </row>
    <row r="12" spans="1:60" ht="20.100000000000001" hidden="1" customHeight="1" x14ac:dyDescent="0.2">
      <c r="A12" s="21"/>
      <c r="B12" s="185"/>
      <c r="C12" s="2"/>
      <c r="D12" s="175"/>
      <c r="E12" s="178"/>
      <c r="F12" s="428" t="e">
        <f>'A4'!S22</f>
        <v>#VALUE!</v>
      </c>
      <c r="G12" s="429"/>
      <c r="H12" s="205"/>
      <c r="I12" s="19"/>
      <c r="J12" s="19"/>
      <c r="K12" s="19"/>
      <c r="L12" s="19"/>
      <c r="M12" s="19"/>
      <c r="N12" s="17"/>
      <c r="O12" s="19"/>
      <c r="P12" s="20"/>
      <c r="Q12" s="21"/>
      <c r="R12" s="21"/>
      <c r="S12" s="19"/>
      <c r="T12" s="19"/>
      <c r="U12" s="19"/>
      <c r="V12" s="20"/>
      <c r="W12" s="22"/>
      <c r="X12" s="23"/>
      <c r="Y12" s="21"/>
      <c r="Z12" s="21"/>
      <c r="AA12" s="214">
        <v>110</v>
      </c>
      <c r="AB12" s="211" t="s">
        <v>230</v>
      </c>
      <c r="AC12" s="214">
        <v>105</v>
      </c>
      <c r="AD12" s="210" t="s">
        <v>225</v>
      </c>
      <c r="AE12" s="22"/>
    </row>
    <row r="13" spans="1:60" ht="20.100000000000001" hidden="1" customHeight="1" x14ac:dyDescent="0.25">
      <c r="A13" s="21"/>
      <c r="B13" s="185"/>
      <c r="C13" s="184"/>
      <c r="D13" s="174" t="s">
        <v>137</v>
      </c>
      <c r="E13" s="176"/>
      <c r="F13" s="438" t="e">
        <f>(F12*F10)</f>
        <v>#VALUE!</v>
      </c>
      <c r="G13" s="439"/>
      <c r="H13" s="204"/>
      <c r="I13" s="19"/>
      <c r="J13" s="19"/>
      <c r="K13" s="19"/>
      <c r="L13" s="19"/>
      <c r="M13" s="19"/>
      <c r="N13" s="24"/>
      <c r="O13" s="20"/>
      <c r="P13" s="20"/>
      <c r="Q13" s="22"/>
      <c r="R13" s="21"/>
      <c r="S13" s="21"/>
      <c r="T13" s="21"/>
      <c r="U13" s="21"/>
      <c r="V13" s="21"/>
      <c r="W13" s="21"/>
      <c r="X13" s="21"/>
      <c r="Y13" s="21"/>
      <c r="Z13" s="21"/>
      <c r="AA13" s="214">
        <v>140</v>
      </c>
      <c r="AB13" s="213" t="s">
        <v>231</v>
      </c>
      <c r="AC13" s="214">
        <v>125</v>
      </c>
      <c r="AD13" s="210" t="s">
        <v>226</v>
      </c>
      <c r="AE13" s="22"/>
    </row>
    <row r="14" spans="1:60" ht="20.100000000000001" hidden="1" customHeight="1" x14ac:dyDescent="0.25">
      <c r="A14" s="21"/>
      <c r="B14" s="185"/>
      <c r="C14" s="184"/>
      <c r="D14" s="430" t="e">
        <f>IF(AND(D17="ALUMINUM RAIL  140"),F14,IF(AND(D17="ALUMINUM+STEEL"),F14*0.8,0))</f>
        <v>#VALUE!</v>
      </c>
      <c r="E14" s="431"/>
      <c r="F14" s="428" t="e">
        <f>F13*1.15</f>
        <v>#VALUE!</v>
      </c>
      <c r="G14" s="429"/>
      <c r="H14" s="204"/>
      <c r="I14" s="19"/>
      <c r="J14" s="19"/>
      <c r="K14" s="19"/>
      <c r="L14" s="19"/>
      <c r="M14" s="19"/>
      <c r="N14" s="24"/>
      <c r="O14" s="20"/>
      <c r="P14" s="20"/>
      <c r="Q14" s="22"/>
      <c r="R14" s="21"/>
      <c r="S14" s="19"/>
      <c r="T14" s="19"/>
      <c r="U14" s="19"/>
      <c r="V14" s="20"/>
      <c r="W14" s="22"/>
      <c r="X14" s="23"/>
      <c r="Y14" s="21"/>
      <c r="Z14" s="21"/>
      <c r="AA14" s="214">
        <v>115</v>
      </c>
      <c r="AB14" s="211" t="s">
        <v>232</v>
      </c>
      <c r="AC14" s="214">
        <v>112</v>
      </c>
      <c r="AD14" s="210" t="s">
        <v>227</v>
      </c>
      <c r="AE14" s="22"/>
    </row>
    <row r="15" spans="1:60" ht="20.100000000000001" customHeight="1" x14ac:dyDescent="0.25">
      <c r="A15" s="21"/>
      <c r="B15" s="185"/>
      <c r="C15" s="219" t="s">
        <v>238</v>
      </c>
      <c r="D15" s="218" t="str">
        <f>'پیش فاکتور سقف متحرک'!E15</f>
        <v>-----</v>
      </c>
      <c r="E15" s="177">
        <f>'پیش فاکتور سقف متحرک'!C25</f>
        <v>700000</v>
      </c>
      <c r="F15" s="434" t="s">
        <v>99</v>
      </c>
      <c r="G15" s="435"/>
      <c r="H15" s="204"/>
      <c r="I15" s="31"/>
      <c r="J15" s="19"/>
      <c r="K15" s="19"/>
      <c r="L15" s="19"/>
      <c r="M15" s="19"/>
      <c r="N15" s="17"/>
      <c r="O15" s="19"/>
      <c r="P15" s="20"/>
      <c r="Q15" s="21"/>
      <c r="R15" s="21"/>
      <c r="S15" s="25"/>
      <c r="T15" s="25"/>
      <c r="U15" s="25"/>
      <c r="V15" s="20"/>
      <c r="W15" s="22"/>
      <c r="X15" s="23"/>
      <c r="Y15" s="19"/>
      <c r="Z15" s="21"/>
      <c r="AA15" s="214">
        <v>110</v>
      </c>
      <c r="AB15" s="25"/>
      <c r="AC15" s="25"/>
      <c r="AD15" s="20"/>
      <c r="AE15" s="22"/>
    </row>
    <row r="16" spans="1:60" ht="20.100000000000001" customHeight="1" x14ac:dyDescent="0.25">
      <c r="A16" s="21"/>
      <c r="B16" s="185"/>
      <c r="C16" s="219" t="s">
        <v>239</v>
      </c>
      <c r="D16" s="218" t="str">
        <f>'پیش فاکتور سقف متحرک'!F15</f>
        <v>Nothing</v>
      </c>
      <c r="E16" s="177" t="s">
        <v>198</v>
      </c>
      <c r="F16" s="426" t="e">
        <f>F18/F10</f>
        <v>#DIV/0!</v>
      </c>
      <c r="G16" s="427"/>
      <c r="H16" s="204"/>
      <c r="I16" s="31"/>
      <c r="J16" s="19"/>
      <c r="K16" s="19"/>
      <c r="L16" s="19"/>
      <c r="M16" s="19"/>
      <c r="N16" s="17"/>
      <c r="O16" s="19"/>
      <c r="P16" s="20"/>
      <c r="Q16" s="21"/>
      <c r="R16" s="21"/>
      <c r="S16" s="19"/>
      <c r="T16" s="19"/>
      <c r="U16" s="19"/>
      <c r="V16" s="20"/>
      <c r="W16" s="22"/>
      <c r="X16" s="23"/>
      <c r="Y16" s="21"/>
      <c r="Z16" s="21"/>
      <c r="AA16" s="214">
        <v>110</v>
      </c>
      <c r="AB16" s="19"/>
      <c r="AC16" s="25"/>
      <c r="AD16" s="20"/>
      <c r="AE16" s="22"/>
      <c r="BB16" s="216" t="s">
        <v>236</v>
      </c>
    </row>
    <row r="17" spans="1:54" ht="20.100000000000001" customHeight="1" x14ac:dyDescent="0.25">
      <c r="A17" s="21"/>
      <c r="B17" s="185"/>
      <c r="C17" s="166" t="s">
        <v>208</v>
      </c>
      <c r="D17" s="220" t="s">
        <v>210</v>
      </c>
      <c r="E17" s="179">
        <f>'پیش فاکتور سقف متحرک'!C26</f>
        <v>450000</v>
      </c>
      <c r="F17" s="434" t="s">
        <v>121</v>
      </c>
      <c r="G17" s="435"/>
      <c r="H17" s="204"/>
      <c r="I17" s="31"/>
      <c r="J17" s="19"/>
      <c r="K17" s="19"/>
      <c r="L17" s="19"/>
      <c r="M17" s="19"/>
      <c r="N17" s="17"/>
      <c r="O17" s="19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4">
        <v>110</v>
      </c>
      <c r="AB17" s="25"/>
      <c r="AC17" s="25"/>
      <c r="AD17" s="20"/>
      <c r="AE17" s="22"/>
      <c r="BB17" s="217" t="s">
        <v>237</v>
      </c>
    </row>
    <row r="18" spans="1:54" ht="20.100000000000001" customHeight="1" x14ac:dyDescent="0.25">
      <c r="A18" s="21"/>
      <c r="B18" s="185"/>
      <c r="C18" s="166" t="s">
        <v>211</v>
      </c>
      <c r="D18" s="416" t="s">
        <v>216</v>
      </c>
      <c r="E18" s="417"/>
      <c r="F18" s="426">
        <f>IF(AND(D15="sayaneh",D16="mana"),D14*1.05,IF(AND(D15="sayaneh",D16="shana"),D14*1.25,IF(AND(D15="sayaneh",D16="mah sayeh"),D14*1.1,IF(AND(D15="pavlion",D16="atin"),D14*1.1,IF(AND(D15="pavlion",D16="atin plus"),D14*1.4,IF(AND(D15="pavlion",D16="paina"),D14*1.15,IF(AND(D15="pavlion",D16="horno"),D14*1.35,IF(AND(D15="pavlion",D16="aavan"),D14*0.95,IF(AND(D15="pavlion",D16="Nothing"),D14*1,IF(AND(D15="sayaneh",D16="Nothing"),D14*1,IF(AND(D15="roof level",D16="Nothing"),D14*1,0)))))))))))</f>
        <v>0</v>
      </c>
      <c r="G18" s="427"/>
      <c r="H18" s="204"/>
      <c r="I18" s="31"/>
      <c r="J18" s="19"/>
      <c r="K18" s="19"/>
      <c r="L18" s="19"/>
      <c r="M18" s="19"/>
      <c r="N18" s="17"/>
      <c r="O18" s="19"/>
      <c r="P18" s="20"/>
      <c r="Q18" s="21"/>
      <c r="R18" s="21"/>
      <c r="S18" s="19"/>
      <c r="T18" s="19"/>
      <c r="U18" s="19"/>
      <c r="V18" s="20"/>
      <c r="W18" s="22"/>
      <c r="X18" s="23"/>
      <c r="Y18" s="21"/>
      <c r="Z18" s="21"/>
      <c r="AA18" s="214">
        <v>110</v>
      </c>
      <c r="AB18" s="25"/>
      <c r="AC18" s="25"/>
      <c r="AD18" s="20"/>
      <c r="AE18" s="22"/>
      <c r="BB18" s="210" t="s">
        <v>225</v>
      </c>
    </row>
    <row r="19" spans="1:54" ht="15" customHeight="1" x14ac:dyDescent="0.25">
      <c r="A19" s="32" t="s">
        <v>3</v>
      </c>
      <c r="B19" s="185"/>
      <c r="C19" s="185"/>
      <c r="D19" s="173"/>
      <c r="E19" s="173"/>
      <c r="F19" s="173"/>
      <c r="G19" s="186"/>
      <c r="H19" s="186"/>
      <c r="I19" s="19"/>
      <c r="J19" s="19"/>
      <c r="K19" s="19"/>
      <c r="L19" s="19"/>
      <c r="M19" s="19"/>
      <c r="N19" s="24"/>
      <c r="O19" s="20"/>
      <c r="P19" s="20"/>
      <c r="Q19" s="22"/>
      <c r="R19" s="21"/>
      <c r="S19" s="25"/>
      <c r="T19" s="25"/>
      <c r="U19" s="25"/>
      <c r="V19" s="20"/>
      <c r="W19" s="22"/>
      <c r="X19" s="23"/>
      <c r="Y19" s="19"/>
      <c r="Z19" s="21"/>
      <c r="AA19" s="214">
        <v>135</v>
      </c>
      <c r="AB19" s="211" t="s">
        <v>233</v>
      </c>
      <c r="AC19" s="25"/>
      <c r="AD19" s="211"/>
      <c r="AE19" s="22"/>
      <c r="BB19" s="210" t="s">
        <v>226</v>
      </c>
    </row>
    <row r="20" spans="1:54" ht="20.100000000000001" customHeight="1" x14ac:dyDescent="0.25">
      <c r="A20" s="21"/>
      <c r="B20" s="185"/>
      <c r="C20" s="187"/>
      <c r="D20" s="18"/>
      <c r="E20" s="16"/>
      <c r="F20" s="168"/>
      <c r="G20" s="188"/>
      <c r="H20" s="186"/>
      <c r="I20" s="19"/>
      <c r="J20" s="19"/>
      <c r="K20" s="19"/>
      <c r="L20" s="19"/>
      <c r="M20" s="19"/>
      <c r="N20" s="17"/>
      <c r="O20" s="19"/>
      <c r="P20" s="20"/>
      <c r="Q20" s="21"/>
      <c r="R20" s="21"/>
      <c r="S20" s="19"/>
      <c r="T20" s="19"/>
      <c r="U20" s="19"/>
      <c r="V20" s="20"/>
      <c r="W20" s="22"/>
      <c r="X20" s="23"/>
      <c r="Y20" s="21"/>
      <c r="Z20" s="21"/>
      <c r="AA20" s="214">
        <v>95</v>
      </c>
      <c r="AB20" s="211" t="s">
        <v>234</v>
      </c>
      <c r="AC20" s="25"/>
      <c r="AD20" s="213"/>
      <c r="AE20" s="22"/>
      <c r="BB20" s="210" t="s">
        <v>227</v>
      </c>
    </row>
    <row r="21" spans="1:54" ht="20.100000000000001" customHeight="1" x14ac:dyDescent="0.25">
      <c r="A21" s="21"/>
      <c r="B21" s="185"/>
      <c r="C21" s="187"/>
      <c r="D21" s="18"/>
      <c r="E21" s="16"/>
      <c r="F21" s="168"/>
      <c r="G21" s="188"/>
      <c r="H21" s="186"/>
      <c r="I21" s="19"/>
      <c r="J21" s="19"/>
      <c r="K21" s="19"/>
      <c r="L21" s="19"/>
      <c r="M21" s="19"/>
      <c r="N21" s="24"/>
      <c r="O21" s="20"/>
      <c r="P21" s="20"/>
      <c r="Q21" s="22"/>
      <c r="R21" s="21"/>
      <c r="S21" s="21"/>
      <c r="T21" s="21"/>
      <c r="U21" s="21"/>
      <c r="V21" s="21"/>
      <c r="W21" s="21"/>
      <c r="X21" s="21"/>
      <c r="Y21" s="21"/>
      <c r="Z21" s="21"/>
      <c r="BB21" s="217" t="s">
        <v>237</v>
      </c>
    </row>
    <row r="22" spans="1:54" ht="20.100000000000001" customHeight="1" x14ac:dyDescent="0.25">
      <c r="A22" s="21"/>
      <c r="B22" s="185"/>
      <c r="C22" s="187"/>
      <c r="D22" s="18"/>
      <c r="E22" s="16"/>
      <c r="F22" s="168"/>
      <c r="G22" s="188"/>
      <c r="H22" s="186"/>
      <c r="I22" s="19"/>
      <c r="J22" s="19"/>
      <c r="K22" s="19"/>
      <c r="L22" s="19"/>
      <c r="M22" s="19"/>
      <c r="N22" s="17"/>
      <c r="O22" s="19"/>
      <c r="P22" s="20"/>
      <c r="Q22" s="21"/>
      <c r="R22" s="21"/>
      <c r="S22" s="19"/>
      <c r="T22" s="19"/>
      <c r="U22" s="19"/>
      <c r="V22" s="20"/>
      <c r="W22" s="22"/>
      <c r="X22" s="23"/>
      <c r="Y22" s="21"/>
      <c r="Z22" s="21"/>
      <c r="BB22" s="211" t="s">
        <v>230</v>
      </c>
    </row>
    <row r="23" spans="1:54" ht="20.100000000000001" customHeight="1" x14ac:dyDescent="0.25">
      <c r="A23" s="21"/>
      <c r="B23" s="185"/>
      <c r="C23" s="187"/>
      <c r="D23" s="18"/>
      <c r="E23" s="16"/>
      <c r="F23" s="168"/>
      <c r="G23" s="188"/>
      <c r="H23" s="186"/>
      <c r="I23" s="19"/>
      <c r="J23" s="19"/>
      <c r="K23" s="19"/>
      <c r="L23" s="19"/>
      <c r="M23" s="19"/>
      <c r="N23" s="24"/>
      <c r="O23" s="20"/>
      <c r="P23" s="20"/>
      <c r="Q23" s="22"/>
      <c r="R23" s="21"/>
      <c r="S23" s="25"/>
      <c r="T23" s="25"/>
      <c r="U23" s="25"/>
      <c r="V23" s="20"/>
      <c r="W23" s="22"/>
      <c r="X23" s="23"/>
      <c r="Y23" s="19"/>
      <c r="Z23" s="21"/>
      <c r="BB23" s="215" t="s">
        <v>231</v>
      </c>
    </row>
    <row r="24" spans="1:54" ht="15.95" customHeight="1" x14ac:dyDescent="0.25">
      <c r="A24" s="21"/>
      <c r="B24" s="206"/>
      <c r="C24" s="189"/>
      <c r="D24" s="28"/>
      <c r="E24" s="27"/>
      <c r="F24" s="26"/>
      <c r="G24" s="188"/>
      <c r="H24" s="186"/>
      <c r="I24" s="19"/>
      <c r="J24" s="19"/>
      <c r="K24" s="19"/>
      <c r="L24" s="19"/>
      <c r="M24" s="19"/>
      <c r="N24" s="17"/>
      <c r="O24" s="19"/>
      <c r="P24" s="20"/>
      <c r="Q24" s="21"/>
      <c r="R24" s="21"/>
      <c r="S24" s="19"/>
      <c r="T24" s="19"/>
      <c r="U24" s="19"/>
      <c r="V24" s="20"/>
      <c r="W24" s="22"/>
      <c r="X24" s="23"/>
      <c r="Y24" s="21"/>
      <c r="Z24" s="21"/>
      <c r="BB24" s="211" t="s">
        <v>232</v>
      </c>
    </row>
    <row r="25" spans="1:54" ht="15.95" customHeight="1" x14ac:dyDescent="0.25">
      <c r="A25" s="21"/>
      <c r="B25" s="206"/>
      <c r="C25" s="189"/>
      <c r="D25" s="28"/>
      <c r="E25" s="27"/>
      <c r="F25" s="26"/>
      <c r="G25" s="188"/>
      <c r="H25" s="186"/>
      <c r="I25" s="19"/>
      <c r="J25" s="19"/>
      <c r="K25" s="19"/>
      <c r="L25" s="19"/>
      <c r="M25" s="19"/>
      <c r="N25" s="24"/>
      <c r="O25" s="20"/>
      <c r="P25" s="20"/>
      <c r="Q25" s="22"/>
      <c r="R25" s="21"/>
      <c r="S25" s="21"/>
      <c r="T25" s="21"/>
      <c r="U25" s="21"/>
      <c r="V25" s="21"/>
      <c r="W25" s="21"/>
      <c r="X25" s="21"/>
      <c r="Y25" s="21"/>
      <c r="Z25" s="21"/>
      <c r="BB25" s="211" t="s">
        <v>233</v>
      </c>
    </row>
    <row r="26" spans="1:54" ht="15.95" customHeight="1" x14ac:dyDescent="0.25">
      <c r="A26" s="21"/>
      <c r="B26" s="203"/>
      <c r="C26" s="189"/>
      <c r="D26" s="28"/>
      <c r="E26" s="27"/>
      <c r="F26" s="26"/>
      <c r="G26" s="190"/>
      <c r="H26" s="186"/>
      <c r="I26" s="19"/>
      <c r="J26" s="19"/>
      <c r="K26" s="19"/>
      <c r="L26" s="19"/>
      <c r="M26" s="19"/>
      <c r="N26" s="17"/>
      <c r="O26" s="19"/>
      <c r="P26" s="20"/>
      <c r="Q26" s="21"/>
      <c r="R26" s="21"/>
      <c r="S26" s="19"/>
      <c r="T26" s="19"/>
      <c r="U26" s="19"/>
      <c r="V26" s="20"/>
      <c r="W26" s="22"/>
      <c r="X26" s="23"/>
      <c r="Y26" s="21"/>
      <c r="Z26" s="21"/>
      <c r="BB26" s="211" t="s">
        <v>234</v>
      </c>
    </row>
    <row r="27" spans="1:54" ht="15.95" customHeight="1" x14ac:dyDescent="0.25">
      <c r="A27" s="21"/>
      <c r="B27" s="203"/>
      <c r="C27" s="189"/>
      <c r="D27" s="28"/>
      <c r="E27" s="27"/>
      <c r="F27" s="26"/>
      <c r="G27" s="190"/>
      <c r="H27" s="186"/>
      <c r="I27" s="19"/>
      <c r="J27" s="19"/>
      <c r="K27" s="19"/>
      <c r="L27" s="19"/>
      <c r="M27" s="19"/>
      <c r="N27" s="24"/>
      <c r="O27" s="20"/>
      <c r="P27" s="20"/>
      <c r="Q27" s="22"/>
      <c r="R27" s="21"/>
      <c r="S27" s="25"/>
      <c r="T27" s="25"/>
      <c r="U27" s="25"/>
      <c r="V27" s="20"/>
      <c r="W27" s="22"/>
      <c r="X27" s="23"/>
      <c r="Y27" s="19"/>
      <c r="Z27" s="21"/>
      <c r="BB27" s="211"/>
    </row>
    <row r="28" spans="1:54" ht="15.95" customHeight="1" x14ac:dyDescent="0.25">
      <c r="A28" s="21"/>
      <c r="B28" s="203"/>
      <c r="C28" s="189"/>
      <c r="D28" s="28"/>
      <c r="E28" s="27"/>
      <c r="F28" s="26"/>
      <c r="G28" s="190"/>
      <c r="H28" s="186"/>
      <c r="I28" s="19"/>
      <c r="J28" s="19"/>
      <c r="K28" s="19"/>
      <c r="L28" s="19"/>
      <c r="M28" s="19"/>
      <c r="N28" s="17"/>
      <c r="O28" s="19"/>
      <c r="P28" s="20"/>
      <c r="Q28" s="21"/>
      <c r="R28" s="21"/>
      <c r="S28" s="19"/>
      <c r="T28" s="19"/>
      <c r="U28" s="19"/>
      <c r="V28" s="20"/>
      <c r="W28" s="22"/>
      <c r="X28" s="23"/>
      <c r="Y28" s="21"/>
      <c r="Z28" s="21"/>
    </row>
    <row r="29" spans="1:54" ht="15.95" customHeight="1" x14ac:dyDescent="0.25">
      <c r="A29" s="21"/>
      <c r="B29" s="203"/>
      <c r="C29" s="189"/>
      <c r="D29" s="28"/>
      <c r="E29" s="27"/>
      <c r="F29" s="26"/>
      <c r="G29" s="190"/>
      <c r="H29" s="186"/>
      <c r="I29" s="19"/>
      <c r="J29" s="19"/>
      <c r="K29" s="19"/>
      <c r="L29" s="19"/>
      <c r="M29" s="19"/>
      <c r="N29" s="24"/>
      <c r="O29" s="20"/>
      <c r="P29" s="20"/>
      <c r="Q29" s="22"/>
      <c r="R29" s="21"/>
      <c r="S29" s="21"/>
      <c r="T29" s="21"/>
      <c r="U29" s="21"/>
      <c r="V29" s="21"/>
      <c r="W29" s="21"/>
      <c r="X29" s="21"/>
      <c r="Y29" s="21"/>
      <c r="Z29" s="21"/>
    </row>
    <row r="30" spans="1:54" ht="15.95" customHeight="1" x14ac:dyDescent="0.25">
      <c r="A30" s="21"/>
      <c r="B30" s="203"/>
      <c r="C30" s="189"/>
      <c r="D30" s="28"/>
      <c r="E30" s="27"/>
      <c r="F30" s="26"/>
      <c r="G30" s="190"/>
      <c r="H30" s="186"/>
      <c r="I30" s="19"/>
      <c r="J30" s="19"/>
      <c r="K30" s="19"/>
      <c r="L30" s="19"/>
      <c r="M30" s="19"/>
      <c r="N30" s="17"/>
      <c r="O30" s="19"/>
      <c r="P30" s="20"/>
      <c r="Q30" s="21"/>
      <c r="R30" s="21"/>
      <c r="S30" s="19"/>
      <c r="T30" s="19"/>
      <c r="U30" s="19"/>
      <c r="V30" s="20"/>
      <c r="W30" s="22"/>
      <c r="X30" s="23"/>
      <c r="Y30" s="21"/>
      <c r="Z30" s="21"/>
    </row>
    <row r="31" spans="1:54" ht="15.95" customHeight="1" x14ac:dyDescent="0.25">
      <c r="A31" s="21"/>
      <c r="B31" s="203"/>
      <c r="C31" s="189"/>
      <c r="D31" s="28"/>
      <c r="E31" s="27"/>
      <c r="F31" s="26"/>
      <c r="G31" s="190"/>
      <c r="H31" s="186"/>
      <c r="I31" s="19"/>
      <c r="J31" s="19"/>
      <c r="K31" s="19"/>
      <c r="L31" s="19"/>
      <c r="M31" s="19"/>
      <c r="N31" s="24"/>
      <c r="O31" s="20"/>
      <c r="P31" s="20"/>
      <c r="Q31" s="22"/>
      <c r="R31" s="21"/>
      <c r="S31" s="25"/>
      <c r="T31" s="25"/>
      <c r="U31" s="25"/>
      <c r="V31" s="20"/>
      <c r="W31" s="22"/>
      <c r="X31" s="23"/>
      <c r="Y31" s="19"/>
      <c r="Z31" s="21"/>
    </row>
    <row r="32" spans="1:54" ht="15.95" customHeight="1" x14ac:dyDescent="0.25">
      <c r="A32" s="21"/>
      <c r="B32" s="203"/>
      <c r="C32" s="189"/>
      <c r="D32" s="28"/>
      <c r="E32" s="27"/>
      <c r="F32" s="26"/>
      <c r="G32" s="190"/>
      <c r="H32" s="186"/>
      <c r="I32" s="19"/>
      <c r="J32" s="19"/>
      <c r="K32" s="19"/>
      <c r="L32" s="19"/>
      <c r="M32" s="19"/>
      <c r="N32" s="17"/>
      <c r="O32" s="19"/>
      <c r="P32" s="20"/>
      <c r="Q32" s="21"/>
      <c r="R32" s="21"/>
      <c r="S32" s="19"/>
      <c r="T32" s="19"/>
      <c r="U32" s="19"/>
      <c r="V32" s="20"/>
      <c r="W32" s="22"/>
      <c r="X32" s="23"/>
      <c r="Y32" s="21"/>
      <c r="Z32" s="21"/>
    </row>
    <row r="33" spans="1:26" ht="15.95" customHeight="1" x14ac:dyDescent="0.25">
      <c r="A33" s="21"/>
      <c r="B33" s="203"/>
      <c r="C33" s="189"/>
      <c r="D33" s="28"/>
      <c r="E33" s="27"/>
      <c r="F33" s="26"/>
      <c r="G33" s="190"/>
      <c r="H33" s="186"/>
      <c r="I33" s="19"/>
      <c r="J33" s="19"/>
      <c r="K33" s="19"/>
      <c r="L33" s="19"/>
      <c r="M33" s="19"/>
      <c r="N33" s="24"/>
      <c r="O33" s="20"/>
      <c r="P33" s="20"/>
      <c r="Q33" s="22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95" customHeight="1" x14ac:dyDescent="0.25">
      <c r="A34" s="21"/>
      <c r="B34" s="206"/>
      <c r="C34" s="189"/>
      <c r="D34" s="28"/>
      <c r="E34" s="27"/>
      <c r="F34" s="26"/>
      <c r="G34" s="190"/>
      <c r="H34" s="186"/>
      <c r="I34" s="19"/>
      <c r="J34" s="19"/>
      <c r="K34" s="19"/>
      <c r="L34" s="19"/>
      <c r="M34" s="19"/>
      <c r="N34" s="17"/>
      <c r="O34" s="19"/>
      <c r="P34" s="20"/>
      <c r="Q34" s="21"/>
      <c r="R34" s="21"/>
      <c r="S34" s="19"/>
      <c r="T34" s="19"/>
      <c r="U34" s="19"/>
      <c r="V34" s="20"/>
      <c r="W34" s="22"/>
      <c r="X34" s="23"/>
      <c r="Y34" s="21"/>
      <c r="Z34" s="21"/>
    </row>
    <row r="35" spans="1:26" ht="15.95" customHeight="1" thickBot="1" x14ac:dyDescent="0.3">
      <c r="A35" s="21"/>
      <c r="B35" s="203"/>
      <c r="C35" s="191"/>
      <c r="D35" s="192"/>
      <c r="E35" s="193"/>
      <c r="F35" s="194"/>
      <c r="G35" s="195"/>
      <c r="H35" s="186"/>
      <c r="I35" s="19"/>
      <c r="J35" s="19"/>
      <c r="K35" s="19"/>
      <c r="L35" s="19"/>
      <c r="M35" s="19"/>
      <c r="N35" s="24"/>
      <c r="O35" s="20"/>
      <c r="P35" s="20"/>
      <c r="Q35" s="22"/>
      <c r="R35" s="21"/>
      <c r="S35" s="25"/>
      <c r="T35" s="25"/>
      <c r="U35" s="25"/>
      <c r="V35" s="20"/>
      <c r="W35" s="22"/>
      <c r="X35" s="23"/>
      <c r="Y35" s="19"/>
      <c r="Z35" s="21"/>
    </row>
    <row r="36" spans="1:26" ht="15.95" customHeight="1" thickBot="1" x14ac:dyDescent="0.3">
      <c r="A36" s="21"/>
      <c r="B36" s="207"/>
      <c r="C36" s="208"/>
      <c r="D36" s="208"/>
      <c r="E36" s="208"/>
      <c r="F36" s="208"/>
      <c r="G36" s="208"/>
      <c r="H36" s="209"/>
      <c r="I36" s="19"/>
      <c r="J36" s="19"/>
      <c r="K36" s="19"/>
      <c r="L36" s="19"/>
      <c r="M36" s="19"/>
      <c r="N36" s="17"/>
      <c r="O36" s="19"/>
      <c r="P36" s="20"/>
      <c r="Q36" s="21"/>
      <c r="R36" s="21"/>
      <c r="S36" s="19"/>
      <c r="T36" s="19"/>
      <c r="U36" s="19"/>
      <c r="V36" s="20"/>
      <c r="W36" s="22"/>
      <c r="X36" s="23"/>
      <c r="Y36" s="21"/>
      <c r="Z36" s="21"/>
    </row>
    <row r="37" spans="1:26" ht="15.95" customHeight="1" x14ac:dyDescent="0.25">
      <c r="A37" s="21"/>
      <c r="B37" s="27"/>
      <c r="C37" s="27"/>
      <c r="D37" s="28"/>
      <c r="E37" s="27"/>
      <c r="F37" s="168"/>
      <c r="G37" s="169"/>
      <c r="H37" s="29"/>
      <c r="I37" s="19"/>
      <c r="J37" s="19"/>
      <c r="K37" s="19"/>
      <c r="L37" s="19"/>
      <c r="M37" s="19"/>
      <c r="N37" s="24"/>
      <c r="O37" s="20"/>
      <c r="P37" s="20"/>
      <c r="Q37" s="22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21"/>
      <c r="B38" s="27"/>
      <c r="C38" s="27"/>
      <c r="D38" s="28"/>
      <c r="E38" s="27"/>
      <c r="F38" s="168"/>
      <c r="G38" s="169"/>
      <c r="H38" s="29"/>
      <c r="I38" s="19"/>
      <c r="J38" s="19"/>
      <c r="K38" s="19"/>
      <c r="L38" s="19"/>
      <c r="M38" s="19"/>
      <c r="N38" s="17"/>
      <c r="O38" s="19"/>
      <c r="P38" s="20"/>
      <c r="Q38" s="21"/>
      <c r="R38" s="21"/>
      <c r="S38" s="19"/>
      <c r="T38" s="19"/>
      <c r="U38" s="19"/>
      <c r="V38" s="20"/>
      <c r="W38" s="22"/>
      <c r="X38" s="23"/>
      <c r="Y38" s="21"/>
      <c r="Z38" s="21"/>
    </row>
    <row r="39" spans="1:26" x14ac:dyDescent="0.25">
      <c r="A39" s="21"/>
      <c r="B39" s="27"/>
      <c r="C39" s="27"/>
      <c r="D39" s="28"/>
      <c r="E39" s="27"/>
      <c r="F39" s="168"/>
      <c r="G39" s="170"/>
      <c r="H39" s="19"/>
      <c r="I39" s="19"/>
      <c r="J39" s="19"/>
      <c r="K39" s="19"/>
      <c r="L39" s="19"/>
      <c r="M39" s="19"/>
      <c r="N39" s="24"/>
      <c r="O39" s="20"/>
      <c r="P39" s="20"/>
      <c r="Q39" s="22"/>
      <c r="R39" s="21"/>
      <c r="S39" s="25"/>
      <c r="T39" s="25"/>
      <c r="U39" s="25"/>
      <c r="V39" s="20"/>
      <c r="W39" s="22"/>
      <c r="X39" s="23"/>
      <c r="Y39" s="19"/>
      <c r="Z39" s="21"/>
    </row>
    <row r="40" spans="1:26" x14ac:dyDescent="0.25">
      <c r="A40" s="21"/>
      <c r="B40" s="27"/>
      <c r="C40" s="27"/>
      <c r="D40" s="28"/>
      <c r="E40" s="27"/>
      <c r="F40" s="168"/>
      <c r="G40" s="170"/>
      <c r="H40" s="19"/>
      <c r="I40" s="19"/>
      <c r="J40" s="19"/>
      <c r="K40" s="19"/>
      <c r="L40" s="19"/>
      <c r="M40" s="19"/>
      <c r="N40" s="17"/>
      <c r="O40" s="19"/>
      <c r="P40" s="20"/>
      <c r="Q40" s="21"/>
      <c r="R40" s="21"/>
      <c r="S40" s="19"/>
      <c r="T40" s="19"/>
      <c r="U40" s="19"/>
      <c r="V40" s="20"/>
      <c r="W40" s="22"/>
      <c r="X40" s="23"/>
      <c r="Y40" s="21"/>
      <c r="Z40" s="21"/>
    </row>
    <row r="41" spans="1:26" x14ac:dyDescent="0.25">
      <c r="A41" s="21"/>
      <c r="B41" s="27"/>
      <c r="C41" s="27"/>
      <c r="D41" s="28"/>
      <c r="E41" s="27"/>
      <c r="F41" s="168"/>
      <c r="G41" s="170"/>
      <c r="H41" s="19"/>
      <c r="I41" s="19"/>
      <c r="J41" s="19"/>
      <c r="K41" s="19"/>
      <c r="L41" s="19"/>
      <c r="M41" s="19"/>
      <c r="N41" s="24"/>
      <c r="O41" s="20"/>
      <c r="P41" s="20"/>
      <c r="Q41" s="22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21"/>
      <c r="B42" s="27"/>
      <c r="C42" s="27"/>
      <c r="D42" s="28"/>
      <c r="E42" s="27"/>
      <c r="F42" s="168"/>
      <c r="G42" s="170"/>
      <c r="H42" s="19"/>
      <c r="I42" s="19"/>
      <c r="J42" s="19"/>
      <c r="K42" s="19"/>
      <c r="L42" s="19"/>
      <c r="M42" s="19"/>
      <c r="N42" s="17"/>
      <c r="O42" s="19"/>
      <c r="P42" s="20"/>
      <c r="Q42" s="21"/>
      <c r="R42" s="21"/>
      <c r="S42" s="19"/>
      <c r="T42" s="19"/>
      <c r="U42" s="19"/>
      <c r="V42" s="20"/>
      <c r="W42" s="22"/>
      <c r="X42" s="23"/>
      <c r="Y42" s="21"/>
      <c r="Z42" s="21"/>
    </row>
    <row r="43" spans="1:26" x14ac:dyDescent="0.25">
      <c r="A43" s="21"/>
      <c r="B43" s="27"/>
      <c r="C43" s="27"/>
      <c r="D43" s="28"/>
      <c r="E43" s="27"/>
      <c r="F43" s="168"/>
      <c r="G43" s="170"/>
      <c r="H43" s="19"/>
      <c r="I43" s="19"/>
      <c r="J43" s="19"/>
      <c r="K43" s="19"/>
      <c r="L43" s="19"/>
      <c r="M43" s="19"/>
      <c r="N43" s="24"/>
      <c r="O43" s="20"/>
      <c r="P43" s="20"/>
      <c r="Q43" s="22"/>
      <c r="R43" s="21"/>
      <c r="S43" s="25"/>
      <c r="T43" s="25"/>
      <c r="U43" s="25"/>
      <c r="V43" s="20"/>
      <c r="W43" s="22"/>
      <c r="X43" s="23"/>
      <c r="Y43" s="19"/>
      <c r="Z43" s="21"/>
    </row>
    <row r="44" spans="1:26" x14ac:dyDescent="0.25">
      <c r="A44" s="21"/>
      <c r="B44" s="27"/>
      <c r="C44" s="27"/>
      <c r="D44" s="28"/>
      <c r="E44" s="27"/>
      <c r="F44" s="168"/>
      <c r="G44" s="170"/>
      <c r="H44" s="19"/>
      <c r="I44" s="19"/>
      <c r="J44" s="19"/>
      <c r="K44" s="19"/>
      <c r="L44" s="19"/>
      <c r="M44" s="19"/>
      <c r="N44" s="17"/>
      <c r="O44" s="19"/>
      <c r="P44" s="20"/>
      <c r="Q44" s="21"/>
      <c r="R44" s="21"/>
      <c r="S44" s="19"/>
      <c r="T44" s="19"/>
      <c r="U44" s="19"/>
      <c r="V44" s="20"/>
      <c r="W44" s="22"/>
      <c r="X44" s="23"/>
      <c r="Y44" s="21"/>
      <c r="Z44" s="21"/>
    </row>
    <row r="45" spans="1:26" x14ac:dyDescent="0.25">
      <c r="A45" s="21"/>
      <c r="B45" s="27"/>
      <c r="C45" s="27"/>
      <c r="D45" s="28"/>
      <c r="E45" s="27"/>
      <c r="F45" s="168"/>
      <c r="G45" s="170"/>
      <c r="H45" s="19"/>
      <c r="I45" s="19"/>
      <c r="J45" s="19"/>
      <c r="K45" s="19"/>
      <c r="L45" s="19"/>
      <c r="M45" s="19"/>
      <c r="N45" s="24"/>
      <c r="O45" s="20"/>
      <c r="P45" s="20"/>
      <c r="Q45" s="22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1"/>
      <c r="B46" s="27"/>
      <c r="C46" s="27"/>
      <c r="D46" s="30"/>
      <c r="E46" s="27"/>
      <c r="F46" s="168"/>
      <c r="G46" s="167"/>
      <c r="H46" s="19"/>
      <c r="I46" s="19"/>
      <c r="J46" s="19"/>
      <c r="K46" s="19"/>
      <c r="L46" s="19"/>
      <c r="M46" s="19"/>
      <c r="N46" s="17"/>
      <c r="O46" s="19"/>
      <c r="P46" s="20"/>
      <c r="Q46" s="21"/>
      <c r="R46" s="21"/>
      <c r="S46" s="19"/>
      <c r="T46" s="19"/>
      <c r="U46" s="19"/>
      <c r="V46" s="20"/>
      <c r="W46" s="22"/>
      <c r="X46" s="23"/>
      <c r="Y46" s="21"/>
      <c r="Z46" s="21"/>
    </row>
    <row r="47" spans="1:26" x14ac:dyDescent="0.25">
      <c r="A47" s="21"/>
      <c r="B47" s="27"/>
      <c r="C47" s="27"/>
      <c r="D47" s="30"/>
      <c r="E47" s="27"/>
      <c r="F47" s="168"/>
      <c r="G47" s="167"/>
      <c r="H47" s="19"/>
      <c r="I47" s="19"/>
      <c r="J47" s="19"/>
      <c r="K47" s="19"/>
      <c r="L47" s="19"/>
      <c r="M47" s="19"/>
      <c r="N47" s="24"/>
      <c r="O47" s="20"/>
      <c r="P47" s="20"/>
      <c r="Q47" s="22"/>
      <c r="R47" s="21"/>
      <c r="S47" s="25"/>
      <c r="T47" s="25"/>
      <c r="U47" s="25"/>
      <c r="V47" s="20"/>
      <c r="W47" s="22"/>
      <c r="X47" s="23"/>
      <c r="Y47" s="19"/>
      <c r="Z47" s="21"/>
    </row>
    <row r="48" spans="1:26" x14ac:dyDescent="0.25">
      <c r="A48" s="21"/>
      <c r="B48" s="27"/>
      <c r="C48" s="27"/>
      <c r="D48" s="30"/>
      <c r="E48" s="27"/>
      <c r="F48" s="168"/>
      <c r="G48" s="167"/>
      <c r="H48" s="19"/>
      <c r="I48" s="19"/>
      <c r="J48" s="19"/>
      <c r="K48" s="19"/>
      <c r="L48" s="19"/>
      <c r="M48" s="19"/>
      <c r="N48" s="17"/>
      <c r="O48" s="19"/>
      <c r="P48" s="20"/>
      <c r="Q48" s="21"/>
      <c r="R48" s="21"/>
      <c r="S48" s="19"/>
      <c r="T48" s="19"/>
      <c r="U48" s="19"/>
      <c r="V48" s="20"/>
      <c r="W48" s="22"/>
      <c r="X48" s="23"/>
      <c r="Y48" s="21"/>
      <c r="Z48" s="21"/>
    </row>
    <row r="49" spans="1:26" x14ac:dyDescent="0.25">
      <c r="A49" s="21"/>
      <c r="B49" s="27"/>
      <c r="C49" s="27"/>
      <c r="D49" s="30"/>
      <c r="E49" s="27"/>
      <c r="F49" s="168"/>
      <c r="G49" s="167"/>
      <c r="H49" s="19"/>
      <c r="I49" s="19"/>
      <c r="J49" s="19"/>
      <c r="K49" s="19"/>
      <c r="L49" s="19"/>
      <c r="M49" s="19"/>
      <c r="N49" s="24"/>
      <c r="O49" s="20"/>
      <c r="P49" s="20"/>
      <c r="Q49" s="22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21"/>
      <c r="B50" s="27"/>
      <c r="C50" s="27"/>
      <c r="D50" s="30"/>
      <c r="E50" s="27"/>
      <c r="F50" s="168"/>
      <c r="G50" s="167"/>
      <c r="H50" s="19"/>
      <c r="I50" s="19"/>
      <c r="J50" s="19"/>
      <c r="K50" s="19"/>
      <c r="L50" s="19"/>
      <c r="M50" s="19"/>
      <c r="N50" s="17"/>
      <c r="O50" s="19"/>
      <c r="P50" s="20"/>
      <c r="Q50" s="21"/>
      <c r="R50" s="21"/>
      <c r="S50" s="19"/>
      <c r="T50" s="19"/>
      <c r="U50" s="19"/>
      <c r="V50" s="20"/>
      <c r="W50" s="22"/>
      <c r="X50" s="23"/>
      <c r="Y50" s="21"/>
      <c r="Z50" s="21"/>
    </row>
    <row r="51" spans="1:26" x14ac:dyDescent="0.25">
      <c r="A51" s="21"/>
      <c r="B51" s="27"/>
      <c r="C51" s="27"/>
      <c r="D51" s="30"/>
      <c r="E51" s="27"/>
      <c r="F51" s="168"/>
      <c r="G51" s="167"/>
      <c r="H51" s="19"/>
      <c r="I51" s="19"/>
      <c r="J51" s="19"/>
      <c r="K51" s="19"/>
      <c r="L51" s="19"/>
      <c r="M51" s="19"/>
      <c r="N51" s="24"/>
      <c r="O51" s="20"/>
      <c r="P51" s="20"/>
      <c r="Q51" s="22"/>
      <c r="R51" s="21"/>
      <c r="S51" s="25"/>
      <c r="T51" s="25"/>
      <c r="U51" s="25"/>
      <c r="V51" s="20"/>
      <c r="W51" s="22"/>
      <c r="X51" s="23"/>
      <c r="Y51" s="19"/>
      <c r="Z51" s="21"/>
    </row>
    <row r="52" spans="1:26" x14ac:dyDescent="0.25">
      <c r="A52" s="21"/>
      <c r="B52" s="27"/>
      <c r="C52" s="27"/>
      <c r="D52" s="30"/>
      <c r="F52" s="168"/>
      <c r="G52" s="167"/>
      <c r="H52" s="19"/>
      <c r="I52" s="19"/>
      <c r="J52" s="19"/>
      <c r="K52" s="19"/>
      <c r="L52" s="19"/>
      <c r="M52" s="19"/>
      <c r="N52" s="17"/>
      <c r="O52" s="19"/>
      <c r="P52" s="20"/>
      <c r="Q52" s="21"/>
      <c r="R52" s="21"/>
      <c r="S52" s="19"/>
      <c r="T52" s="19"/>
      <c r="U52" s="19"/>
      <c r="V52" s="20"/>
      <c r="W52" s="22"/>
      <c r="X52" s="23"/>
      <c r="Y52" s="21"/>
      <c r="Z52" s="21"/>
    </row>
    <row r="53" spans="1:26" x14ac:dyDescent="0.25">
      <c r="A53" s="21"/>
      <c r="B53" s="27"/>
      <c r="C53" s="27"/>
      <c r="D53" s="30"/>
      <c r="F53" s="168"/>
      <c r="G53" s="167"/>
      <c r="H53" s="19"/>
      <c r="I53" s="19"/>
      <c r="J53" s="19"/>
      <c r="K53" s="19"/>
      <c r="L53" s="19"/>
      <c r="M53" s="19"/>
      <c r="N53" s="24"/>
      <c r="O53" s="20"/>
      <c r="P53" s="20"/>
      <c r="Q53" s="22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5">
      <c r="A54" s="21"/>
      <c r="B54" s="27"/>
      <c r="C54" s="27"/>
      <c r="D54" s="30"/>
      <c r="F54" s="168"/>
      <c r="G54" s="167"/>
      <c r="H54" s="19"/>
      <c r="I54" s="19"/>
      <c r="J54" s="19"/>
      <c r="K54" s="19"/>
      <c r="L54" s="19"/>
      <c r="M54" s="19"/>
      <c r="N54" s="17"/>
      <c r="O54" s="19"/>
      <c r="P54" s="20"/>
      <c r="Q54" s="21"/>
      <c r="R54" s="21"/>
      <c r="S54" s="19"/>
      <c r="T54" s="19"/>
      <c r="U54" s="19"/>
      <c r="V54" s="20"/>
      <c r="W54" s="22"/>
      <c r="X54" s="23"/>
      <c r="Y54" s="21"/>
      <c r="Z54" s="21"/>
    </row>
    <row r="55" spans="1:26" x14ac:dyDescent="0.25">
      <c r="A55" s="21"/>
      <c r="B55" s="27"/>
      <c r="C55" s="27"/>
      <c r="D55" s="30"/>
      <c r="F55" s="168"/>
      <c r="G55" s="167"/>
      <c r="H55" s="19"/>
      <c r="I55" s="19"/>
      <c r="J55" s="19"/>
      <c r="K55" s="19"/>
      <c r="L55" s="19"/>
      <c r="M55" s="19"/>
      <c r="N55" s="19"/>
      <c r="O55" s="19"/>
      <c r="P55" s="20"/>
      <c r="Q55" s="22"/>
      <c r="R55" s="22"/>
      <c r="S55" s="25"/>
      <c r="T55" s="25"/>
      <c r="U55" s="25"/>
      <c r="V55" s="20"/>
      <c r="W55" s="22"/>
      <c r="X55" s="23"/>
      <c r="Y55" s="19"/>
      <c r="Z55" s="21"/>
    </row>
    <row r="56" spans="1:26" x14ac:dyDescent="0.25">
      <c r="S56" s="19"/>
      <c r="T56" s="19"/>
      <c r="U56" s="19"/>
      <c r="V56" s="20"/>
      <c r="W56" s="22"/>
      <c r="X56" s="23"/>
      <c r="Y56" s="21"/>
      <c r="Z56" s="21"/>
    </row>
  </sheetData>
  <sheetProtection formatCells="0" formatColumns="0" formatRows="0"/>
  <mergeCells count="16">
    <mergeCell ref="F16:G16"/>
    <mergeCell ref="F17:G17"/>
    <mergeCell ref="D18:E18"/>
    <mergeCell ref="F18:G18"/>
    <mergeCell ref="F11:G11"/>
    <mergeCell ref="F12:G12"/>
    <mergeCell ref="F13:G13"/>
    <mergeCell ref="D14:E14"/>
    <mergeCell ref="F14:G14"/>
    <mergeCell ref="F15:G15"/>
    <mergeCell ref="F10:G10"/>
    <mergeCell ref="C3:E3"/>
    <mergeCell ref="F3:G3"/>
    <mergeCell ref="AK4:AM6"/>
    <mergeCell ref="C6:E7"/>
    <mergeCell ref="F9:G9"/>
  </mergeCells>
  <conditionalFormatting sqref="C6">
    <cfRule type="cellIs" dxfId="12" priority="3" operator="equal">
      <formula>"NOT IN RANGE"</formula>
    </cfRule>
    <cfRule type="cellIs" dxfId="11" priority="4" operator="equal">
      <formula>"CORRECT RANGE"</formula>
    </cfRule>
  </conditionalFormatting>
  <conditionalFormatting sqref="AK4">
    <cfRule type="cellIs" dxfId="10" priority="1" operator="equal">
      <formula>"NOT IN RANGE"</formula>
    </cfRule>
    <cfRule type="cellIs" dxfId="9" priority="2" operator="equal">
      <formula>"CORRECT RANGE"</formula>
    </cfRule>
  </conditionalFormatting>
  <dataValidations count="3">
    <dataValidation type="list" allowBlank="1" showInputMessage="1" showErrorMessage="1" sqref="D16" xr:uid="{00000000-0002-0000-0300-000000000000}">
      <formula1>$BB$16:$BB$26</formula1>
    </dataValidation>
    <dataValidation type="list" allowBlank="1" showInputMessage="1" showErrorMessage="1" sqref="D15" xr:uid="{00000000-0002-0000-0300-000001000000}">
      <formula1>$BB$2:$BB$4</formula1>
    </dataValidation>
    <dataValidation type="list" allowBlank="1" showInputMessage="1" showErrorMessage="1" sqref="D17" xr:uid="{00000000-0002-0000-0300-000002000000}">
      <formula1>$AZ$2:$AZ$3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56"/>
  <sheetViews>
    <sheetView rightToLeft="1" topLeftCell="A7" zoomScale="110" zoomScaleNormal="110" workbookViewId="0">
      <selection activeCell="F15" sqref="F15:G15"/>
    </sheetView>
  </sheetViews>
  <sheetFormatPr defaultColWidth="9.140625" defaultRowHeight="15" x14ac:dyDescent="0.25"/>
  <cols>
    <col min="1" max="1" width="1.7109375" style="1" customWidth="1"/>
    <col min="2" max="2" width="2.7109375" style="14" customWidth="1"/>
    <col min="3" max="3" width="21.42578125" style="14" customWidth="1"/>
    <col min="4" max="4" width="17.5703125" style="15" customWidth="1"/>
    <col min="5" max="5" width="15.7109375" style="14" customWidth="1"/>
    <col min="6" max="6" width="11.140625" style="171" customWidth="1"/>
    <col min="7" max="7" width="7.7109375" style="3" customWidth="1"/>
    <col min="8" max="8" width="2.7109375" style="8" customWidth="1"/>
    <col min="9" max="9" width="13.7109375" style="8" customWidth="1"/>
    <col min="10" max="10" width="12.7109375" style="8" customWidth="1"/>
    <col min="11" max="11" width="12.140625" style="8" customWidth="1"/>
    <col min="12" max="13" width="12.7109375" style="8" customWidth="1"/>
    <col min="14" max="15" width="9.28515625" style="8" customWidth="1"/>
    <col min="16" max="16" width="9.28515625" style="9" customWidth="1"/>
    <col min="17" max="18" width="9.28515625" style="12" customWidth="1"/>
    <col min="19" max="24" width="9.28515625" style="4" customWidth="1"/>
    <col min="25" max="52" width="9.28515625" style="1" customWidth="1"/>
    <col min="53" max="53" width="27.140625" style="1" customWidth="1"/>
    <col min="54" max="54" width="15.85546875" style="157" customWidth="1"/>
    <col min="55" max="58" width="9.28515625" style="1" customWidth="1"/>
    <col min="59" max="16384" width="9.140625" style="1"/>
  </cols>
  <sheetData>
    <row r="1" spans="1:60" ht="9.75" customHeight="1" thickBot="1" x14ac:dyDescent="0.3">
      <c r="A1" s="21"/>
      <c r="B1" s="21"/>
      <c r="C1" s="21"/>
      <c r="D1" s="21"/>
      <c r="E1" s="21"/>
      <c r="F1" s="167"/>
      <c r="G1" s="167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60" ht="15" customHeight="1" thickBot="1" x14ac:dyDescent="0.3">
      <c r="A2" s="21"/>
      <c r="B2" s="196"/>
      <c r="C2" s="197"/>
      <c r="D2" s="198"/>
      <c r="E2" s="199"/>
      <c r="F2" s="200"/>
      <c r="G2" s="201"/>
      <c r="H2" s="202"/>
      <c r="I2" s="21"/>
      <c r="J2" s="19"/>
      <c r="K2" s="19"/>
      <c r="L2" s="19"/>
      <c r="M2" s="19"/>
      <c r="N2" s="17"/>
      <c r="O2" s="19"/>
      <c r="P2" s="20"/>
      <c r="Q2" s="21"/>
      <c r="R2" s="21"/>
      <c r="S2" s="19"/>
      <c r="T2" s="19"/>
      <c r="U2" s="19"/>
      <c r="V2" s="20"/>
      <c r="W2" s="22"/>
      <c r="X2" s="23"/>
      <c r="Y2" s="21"/>
      <c r="Z2" s="21"/>
      <c r="AZ2" s="155" t="s">
        <v>209</v>
      </c>
      <c r="BA2" s="156" t="s">
        <v>212</v>
      </c>
      <c r="BB2" s="159" t="s">
        <v>152</v>
      </c>
      <c r="BC2" s="13"/>
      <c r="BD2" s="5"/>
      <c r="BE2" s="6"/>
      <c r="BF2" s="7"/>
      <c r="BG2" s="6"/>
      <c r="BH2" s="6"/>
    </row>
    <row r="3" spans="1:60" ht="30" customHeight="1" x14ac:dyDescent="0.25">
      <c r="A3" s="21"/>
      <c r="B3" s="203"/>
      <c r="C3" s="432" t="s">
        <v>240</v>
      </c>
      <c r="D3" s="433"/>
      <c r="E3" s="433"/>
      <c r="F3" s="440" t="s">
        <v>98</v>
      </c>
      <c r="G3" s="441"/>
      <c r="H3" s="204"/>
      <c r="I3" s="21"/>
      <c r="J3" s="19"/>
      <c r="K3" s="19"/>
      <c r="L3" s="19"/>
      <c r="M3" s="19"/>
      <c r="N3" s="24"/>
      <c r="O3" s="20"/>
      <c r="P3" s="20"/>
      <c r="Q3" s="22"/>
      <c r="R3" s="21"/>
      <c r="S3" s="25"/>
      <c r="T3" s="25"/>
      <c r="U3" s="25"/>
      <c r="V3" s="20"/>
      <c r="W3" s="22"/>
      <c r="X3" s="23"/>
      <c r="Y3" s="19"/>
      <c r="Z3" s="21"/>
      <c r="AZ3" s="163" t="s">
        <v>215</v>
      </c>
      <c r="BA3" s="156" t="s">
        <v>213</v>
      </c>
      <c r="BB3" s="158" t="s">
        <v>138</v>
      </c>
      <c r="BD3" s="11"/>
      <c r="BE3" s="6"/>
      <c r="BF3" s="6"/>
      <c r="BG3" s="6"/>
      <c r="BH3" s="6"/>
    </row>
    <row r="4" spans="1:60" ht="20.100000000000001" customHeight="1" x14ac:dyDescent="0.25">
      <c r="A4" s="21"/>
      <c r="B4" s="203"/>
      <c r="C4" s="152" t="s">
        <v>118</v>
      </c>
      <c r="D4" s="153" t="s">
        <v>0</v>
      </c>
      <c r="E4" s="224" t="s">
        <v>1</v>
      </c>
      <c r="F4" s="181" t="s">
        <v>100</v>
      </c>
      <c r="G4" s="172">
        <v>7</v>
      </c>
      <c r="H4" s="204"/>
      <c r="I4" s="21"/>
      <c r="J4" s="19"/>
      <c r="K4" s="19"/>
      <c r="L4" s="19"/>
      <c r="M4" s="19"/>
      <c r="N4" s="17"/>
      <c r="O4" s="19"/>
      <c r="P4" s="20"/>
      <c r="Q4" s="21"/>
      <c r="R4" s="21"/>
      <c r="S4" s="19"/>
      <c r="T4" s="19"/>
      <c r="U4" s="19"/>
      <c r="V4" s="20"/>
      <c r="W4" s="22"/>
      <c r="X4" s="23"/>
      <c r="Y4" s="21"/>
      <c r="Z4" s="21"/>
      <c r="AK4" s="418" t="str">
        <f>IF(AND(AL7&lt;=6,AL8&gt;12),"NOT IN RANGE",IF(AND(AL7&gt;6,AL7&lt;=8,AL8&gt;9),"NOT IN RANGE",IF(AND(AL7&gt;8,AL7&lt;=10,AL8&gt;4),"NOT IN RANGE",IF(AND(AL7&gt;10,AL7&lt;=50,AL8&gt;1),"NOT IN RANGE","CORRECT RANGE"))))</f>
        <v>CORRECT RANGE</v>
      </c>
      <c r="AL4" s="419"/>
      <c r="AM4" s="419"/>
      <c r="BA4" s="162" t="s">
        <v>214</v>
      </c>
      <c r="BB4" s="158" t="s">
        <v>139</v>
      </c>
      <c r="BD4" s="11"/>
      <c r="BE4" s="6"/>
      <c r="BF4" s="6"/>
      <c r="BG4" s="6"/>
      <c r="BH4" s="6"/>
    </row>
    <row r="5" spans="1:60" ht="20.100000000000001" customHeight="1" x14ac:dyDescent="0.25">
      <c r="A5" s="21"/>
      <c r="B5" s="185"/>
      <c r="C5" s="183" t="e">
        <f>(D5+E5)*(D8-0.25)</f>
        <v>#VALUE!</v>
      </c>
      <c r="D5" s="182">
        <v>2</v>
      </c>
      <c r="E5" s="182" t="str">
        <f>IF(AND(D9&gt;2,D9&lt;=4.2),0,IF(AND(D9&gt;4.2,D9&lt;=8),1,IF(AND(D9&gt;8,D9&lt;=12),2,IF(AND(D9&gt;12,D9&lt;=16),3,IF(AND(D9&gt;16,D9&lt;=20),4,IF(AND(D9&gt;20,D9&lt;=24),5,IF(AND(D9&gt;24,D9&lt;=28),6,IF(AND(D9&gt;28,D9&lt;=32),7,IF(AND(D9&gt;32,D9&lt;=36),8,IF(AND(D9&gt;36,D9&lt;=40),9,IF(AND(D9&gt;40,D9&lt;=44),10,IF(AND(D9&gt;44,D9&lt;=48),11,IF(AND(D9&gt;48,D9&lt;=52),12,"NOT VALID")))))))))))))</f>
        <v>NOT VALID</v>
      </c>
      <c r="F5" s="181" t="s">
        <v>101</v>
      </c>
      <c r="G5" s="172">
        <v>15</v>
      </c>
      <c r="H5" s="204"/>
      <c r="I5" s="21"/>
      <c r="J5" s="19"/>
      <c r="K5" s="19"/>
      <c r="L5" s="19"/>
      <c r="M5" s="19"/>
      <c r="N5" s="24"/>
      <c r="O5" s="20"/>
      <c r="P5" s="20"/>
      <c r="Q5" s="22"/>
      <c r="R5" s="21"/>
      <c r="S5" s="21"/>
      <c r="T5" s="21"/>
      <c r="U5" s="21"/>
      <c r="V5" s="21"/>
      <c r="W5" s="21"/>
      <c r="X5" s="21"/>
      <c r="Y5" s="21"/>
      <c r="Z5" s="21"/>
      <c r="AK5" s="418"/>
      <c r="AL5" s="419"/>
      <c r="AM5" s="419"/>
      <c r="BA5" s="10"/>
      <c r="BC5" s="6"/>
      <c r="BD5" s="11"/>
      <c r="BE5" s="6"/>
      <c r="BF5" s="6"/>
      <c r="BG5" s="6"/>
      <c r="BH5" s="6"/>
    </row>
    <row r="6" spans="1:60" ht="20.100000000000001" customHeight="1" x14ac:dyDescent="0.25">
      <c r="A6" s="21"/>
      <c r="B6" s="185"/>
      <c r="C6" s="420" t="str">
        <f>IF(AND(D8&lt;=6,D9&gt;12),"NOT IN RANGE",IF(AND(D8&gt;6,D8&lt;=8,D9&gt;9),"NOT IN RANGE",IF(AND(D8&gt;8,D8&lt;=12,D9&gt;6),"NOT IN RANGE",IF(AND(D8&gt;12,D8&lt;=50,D9&gt;1),"NOT IN RANGE","CORRECT RANGE"))))</f>
        <v>CORRECT RANGE</v>
      </c>
      <c r="D6" s="421"/>
      <c r="E6" s="422"/>
      <c r="F6" s="181" t="s">
        <v>102</v>
      </c>
      <c r="G6" s="172">
        <v>20</v>
      </c>
      <c r="H6" s="204"/>
      <c r="I6" s="21"/>
      <c r="J6" s="19"/>
      <c r="K6" s="19"/>
      <c r="L6" s="19"/>
      <c r="M6" s="19"/>
      <c r="N6" s="17"/>
      <c r="O6" s="19"/>
      <c r="P6" s="20"/>
      <c r="Q6" s="21"/>
      <c r="R6" s="21"/>
      <c r="S6" s="19"/>
      <c r="T6" s="19"/>
      <c r="U6" s="19"/>
      <c r="V6" s="20"/>
      <c r="W6" s="22"/>
      <c r="X6" s="23"/>
      <c r="Y6" s="21"/>
      <c r="Z6" s="21"/>
      <c r="AK6" s="418"/>
      <c r="AL6" s="419"/>
      <c r="AM6" s="419"/>
      <c r="AZ6" s="160" t="s">
        <v>181</v>
      </c>
      <c r="BA6" s="10"/>
      <c r="BC6" s="6"/>
      <c r="BD6" s="11"/>
      <c r="BE6" s="6"/>
      <c r="BF6" s="6"/>
      <c r="BG6" s="6"/>
      <c r="BH6" s="6"/>
    </row>
    <row r="7" spans="1:60" ht="20.100000000000001" customHeight="1" x14ac:dyDescent="0.25">
      <c r="A7" s="21"/>
      <c r="B7" s="185"/>
      <c r="C7" s="423"/>
      <c r="D7" s="424"/>
      <c r="E7" s="425"/>
      <c r="F7" s="181" t="s">
        <v>103</v>
      </c>
      <c r="G7" s="172">
        <v>45</v>
      </c>
      <c r="H7" s="204"/>
      <c r="I7" s="21"/>
      <c r="J7" s="19"/>
      <c r="K7" s="19"/>
      <c r="L7" s="19"/>
      <c r="M7" s="19"/>
      <c r="N7" s="24"/>
      <c r="O7" s="20"/>
      <c r="P7" s="20"/>
      <c r="Q7" s="22"/>
      <c r="R7" s="21"/>
      <c r="S7" s="25"/>
      <c r="T7" s="25"/>
      <c r="U7" s="25"/>
      <c r="V7" s="20"/>
      <c r="W7" s="22"/>
      <c r="X7" s="23"/>
      <c r="Y7" s="19"/>
      <c r="Z7" s="21"/>
      <c r="AZ7" s="161" t="s">
        <v>182</v>
      </c>
      <c r="BA7" s="5"/>
      <c r="BC7" s="6"/>
      <c r="BD7" s="11"/>
      <c r="BE7" s="6"/>
      <c r="BF7" s="6"/>
      <c r="BG7" s="6"/>
      <c r="BH7" s="6"/>
    </row>
    <row r="8" spans="1:60" ht="20.100000000000001" customHeight="1" x14ac:dyDescent="0.25">
      <c r="A8" s="21"/>
      <c r="B8" s="185"/>
      <c r="C8" s="166" t="s">
        <v>224</v>
      </c>
      <c r="D8" s="222">
        <f>'پیش فاکتور سقف متحرک'!B16/100</f>
        <v>0</v>
      </c>
      <c r="E8" s="176" t="s">
        <v>153</v>
      </c>
      <c r="F8" s="181" t="s">
        <v>104</v>
      </c>
      <c r="G8" s="172"/>
      <c r="H8" s="204"/>
      <c r="I8" s="21"/>
      <c r="J8" s="19"/>
      <c r="K8" s="19"/>
      <c r="L8" s="19"/>
      <c r="M8" s="19"/>
      <c r="N8" s="17"/>
      <c r="O8" s="19"/>
      <c r="P8" s="20"/>
      <c r="Q8" s="21"/>
      <c r="R8" s="21"/>
      <c r="S8" s="19"/>
      <c r="T8" s="19"/>
      <c r="U8" s="19"/>
      <c r="V8" s="20"/>
      <c r="W8" s="22"/>
      <c r="X8" s="23"/>
      <c r="Y8" s="21"/>
      <c r="Z8" s="21"/>
      <c r="AZ8" s="160" t="s">
        <v>183</v>
      </c>
      <c r="BA8" s="5"/>
      <c r="BC8" s="6"/>
      <c r="BD8" s="11"/>
      <c r="BE8" s="6"/>
      <c r="BF8" s="6"/>
      <c r="BG8" s="6"/>
      <c r="BH8" s="6"/>
    </row>
    <row r="9" spans="1:60" ht="20.100000000000001" customHeight="1" x14ac:dyDescent="0.25">
      <c r="A9" s="21"/>
      <c r="B9" s="185"/>
      <c r="C9" s="166" t="s">
        <v>117</v>
      </c>
      <c r="D9" s="222">
        <f>'پیش فاکتور سقف متحرک'!C16/100</f>
        <v>0</v>
      </c>
      <c r="E9" s="177">
        <f>'پیش فاکتور سقف متحرک'!C24</f>
        <v>2200000</v>
      </c>
      <c r="F9" s="434" t="s">
        <v>120</v>
      </c>
      <c r="G9" s="435"/>
      <c r="H9" s="204"/>
      <c r="I9" s="19"/>
      <c r="J9" s="19"/>
      <c r="K9" s="19"/>
      <c r="L9" s="19"/>
      <c r="M9" s="19"/>
      <c r="N9" s="24"/>
      <c r="O9" s="20"/>
      <c r="P9" s="20"/>
      <c r="Q9" s="22"/>
      <c r="R9" s="21"/>
      <c r="S9" s="21"/>
      <c r="T9" s="21"/>
      <c r="U9" s="21"/>
      <c r="V9" s="21"/>
      <c r="W9" s="21"/>
      <c r="X9" s="21"/>
      <c r="Y9" s="21"/>
      <c r="Z9" s="21"/>
    </row>
    <row r="10" spans="1:60" ht="20.100000000000001" customHeight="1" x14ac:dyDescent="0.25">
      <c r="A10" s="21"/>
      <c r="B10" s="185"/>
      <c r="C10" s="166" t="s">
        <v>119</v>
      </c>
      <c r="D10" s="223">
        <f>'پیش فاکتور سقف متحرک'!D16</f>
        <v>0</v>
      </c>
      <c r="E10" s="176" t="s">
        <v>155</v>
      </c>
      <c r="F10" s="436">
        <f>D8*D9*D10</f>
        <v>0</v>
      </c>
      <c r="G10" s="437"/>
      <c r="H10" s="204"/>
      <c r="I10" s="19"/>
      <c r="J10" s="19"/>
      <c r="K10" s="19"/>
      <c r="L10" s="19"/>
      <c r="M10" s="19"/>
      <c r="N10" s="17"/>
      <c r="O10" s="19"/>
      <c r="P10" s="20"/>
      <c r="Q10" s="21"/>
      <c r="R10" s="21"/>
      <c r="S10" s="19"/>
      <c r="T10" s="19"/>
      <c r="U10" s="19"/>
      <c r="V10" s="20"/>
      <c r="W10" s="22"/>
      <c r="X10" s="23"/>
      <c r="Y10" s="21"/>
      <c r="Z10" s="21"/>
      <c r="AA10" s="214">
        <v>100</v>
      </c>
      <c r="AB10" s="211" t="s">
        <v>229</v>
      </c>
      <c r="AC10" s="214">
        <v>100</v>
      </c>
      <c r="AD10" s="210" t="s">
        <v>228</v>
      </c>
      <c r="AE10" s="212" t="s">
        <v>235</v>
      </c>
    </row>
    <row r="11" spans="1:60" ht="20.100000000000001" customHeight="1" x14ac:dyDescent="0.2">
      <c r="A11" s="21"/>
      <c r="B11" s="185"/>
      <c r="C11" s="2"/>
      <c r="D11" s="175"/>
      <c r="E11" s="178"/>
      <c r="F11" s="434" t="s">
        <v>99</v>
      </c>
      <c r="G11" s="435"/>
      <c r="H11" s="204"/>
      <c r="I11" s="19"/>
      <c r="J11" s="154"/>
      <c r="K11" s="19"/>
      <c r="L11" s="19"/>
      <c r="M11" s="19"/>
      <c r="N11" s="24"/>
      <c r="O11" s="20"/>
      <c r="P11" s="20"/>
      <c r="Q11" s="22"/>
      <c r="R11" s="21"/>
      <c r="S11" s="25"/>
      <c r="T11" s="25"/>
      <c r="U11" s="25"/>
      <c r="V11" s="20"/>
      <c r="W11" s="22"/>
      <c r="X11" s="23"/>
      <c r="Y11" s="19"/>
      <c r="Z11" s="21"/>
      <c r="AA11" s="214"/>
      <c r="AB11" s="25"/>
      <c r="AC11" s="214"/>
      <c r="AD11" s="22"/>
      <c r="AE11" s="22"/>
    </row>
    <row r="12" spans="1:60" ht="20.100000000000001" customHeight="1" x14ac:dyDescent="0.2">
      <c r="A12" s="21"/>
      <c r="B12" s="185"/>
      <c r="C12" s="2"/>
      <c r="D12" s="175"/>
      <c r="E12" s="178"/>
      <c r="F12" s="428" t="e">
        <f>'A5'!S22</f>
        <v>#VALUE!</v>
      </c>
      <c r="G12" s="429"/>
      <c r="H12" s="205"/>
      <c r="I12" s="19"/>
      <c r="J12" s="19"/>
      <c r="K12" s="19"/>
      <c r="L12" s="19"/>
      <c r="M12" s="19"/>
      <c r="N12" s="17"/>
      <c r="O12" s="19"/>
      <c r="P12" s="20"/>
      <c r="Q12" s="21"/>
      <c r="R12" s="21"/>
      <c r="S12" s="19"/>
      <c r="T12" s="19"/>
      <c r="U12" s="19"/>
      <c r="V12" s="20"/>
      <c r="W12" s="22"/>
      <c r="X12" s="23"/>
      <c r="Y12" s="21"/>
      <c r="Z12" s="21"/>
      <c r="AA12" s="214">
        <v>110</v>
      </c>
      <c r="AB12" s="211" t="s">
        <v>230</v>
      </c>
      <c r="AC12" s="214">
        <v>105</v>
      </c>
      <c r="AD12" s="210" t="s">
        <v>225</v>
      </c>
      <c r="AE12" s="22"/>
    </row>
    <row r="13" spans="1:60" ht="20.100000000000001" customHeight="1" x14ac:dyDescent="0.25">
      <c r="A13" s="21"/>
      <c r="B13" s="185"/>
      <c r="C13" s="184"/>
      <c r="D13" s="174" t="s">
        <v>137</v>
      </c>
      <c r="E13" s="176"/>
      <c r="F13" s="438" t="e">
        <f>(F12*F10)</f>
        <v>#VALUE!</v>
      </c>
      <c r="G13" s="439"/>
      <c r="H13" s="204"/>
      <c r="I13" s="19"/>
      <c r="J13" s="19"/>
      <c r="K13" s="19"/>
      <c r="L13" s="19"/>
      <c r="M13" s="19"/>
      <c r="N13" s="24"/>
      <c r="O13" s="20"/>
      <c r="P13" s="20"/>
      <c r="Q13" s="22"/>
      <c r="R13" s="21"/>
      <c r="S13" s="21"/>
      <c r="T13" s="21"/>
      <c r="U13" s="21"/>
      <c r="V13" s="21"/>
      <c r="W13" s="21"/>
      <c r="X13" s="21"/>
      <c r="Y13" s="21"/>
      <c r="Z13" s="21"/>
      <c r="AA13" s="214">
        <v>140</v>
      </c>
      <c r="AB13" s="213" t="s">
        <v>231</v>
      </c>
      <c r="AC13" s="214">
        <v>125</v>
      </c>
      <c r="AD13" s="210" t="s">
        <v>226</v>
      </c>
      <c r="AE13" s="22"/>
    </row>
    <row r="14" spans="1:60" ht="20.100000000000001" customHeight="1" x14ac:dyDescent="0.25">
      <c r="A14" s="21"/>
      <c r="B14" s="185"/>
      <c r="C14" s="184"/>
      <c r="D14" s="430" t="e">
        <f>IF(AND(D17="ALUMINUM RAIL  140"),F14,IF(AND(D17="ALUMINUM+STEEL"),F14*0.8,0))</f>
        <v>#VALUE!</v>
      </c>
      <c r="E14" s="431"/>
      <c r="F14" s="428" t="e">
        <f>F13*1.15</f>
        <v>#VALUE!</v>
      </c>
      <c r="G14" s="429"/>
      <c r="H14" s="204"/>
      <c r="I14" s="19"/>
      <c r="J14" s="19"/>
      <c r="K14" s="19"/>
      <c r="L14" s="19"/>
      <c r="M14" s="19"/>
      <c r="N14" s="24"/>
      <c r="O14" s="20"/>
      <c r="P14" s="20"/>
      <c r="Q14" s="22"/>
      <c r="R14" s="21"/>
      <c r="S14" s="19"/>
      <c r="T14" s="19"/>
      <c r="U14" s="19"/>
      <c r="V14" s="20"/>
      <c r="W14" s="22"/>
      <c r="X14" s="23"/>
      <c r="Y14" s="21"/>
      <c r="Z14" s="21"/>
      <c r="AA14" s="214">
        <v>115</v>
      </c>
      <c r="AB14" s="211" t="s">
        <v>232</v>
      </c>
      <c r="AC14" s="214">
        <v>112</v>
      </c>
      <c r="AD14" s="210" t="s">
        <v>227</v>
      </c>
      <c r="AE14" s="22"/>
    </row>
    <row r="15" spans="1:60" ht="20.100000000000001" customHeight="1" x14ac:dyDescent="0.25">
      <c r="A15" s="21"/>
      <c r="B15" s="185"/>
      <c r="C15" s="219" t="s">
        <v>238</v>
      </c>
      <c r="D15" s="218" t="str">
        <f>'پیش فاکتور سقف متحرک'!E16</f>
        <v>-----</v>
      </c>
      <c r="E15" s="177">
        <f>'پیش فاکتور سقف متحرک'!C25</f>
        <v>700000</v>
      </c>
      <c r="F15" s="434" t="s">
        <v>99</v>
      </c>
      <c r="G15" s="435"/>
      <c r="H15" s="204"/>
      <c r="I15" s="31"/>
      <c r="J15" s="19"/>
      <c r="K15" s="19"/>
      <c r="L15" s="19"/>
      <c r="M15" s="19"/>
      <c r="N15" s="17"/>
      <c r="O15" s="19"/>
      <c r="P15" s="20"/>
      <c r="Q15" s="21"/>
      <c r="R15" s="21"/>
      <c r="S15" s="25"/>
      <c r="T15" s="25"/>
      <c r="U15" s="25"/>
      <c r="V15" s="20"/>
      <c r="W15" s="22"/>
      <c r="X15" s="23"/>
      <c r="Y15" s="19"/>
      <c r="Z15" s="21"/>
      <c r="AA15" s="214">
        <v>110</v>
      </c>
      <c r="AB15" s="25"/>
      <c r="AC15" s="25"/>
      <c r="AD15" s="20"/>
      <c r="AE15" s="22"/>
    </row>
    <row r="16" spans="1:60" ht="20.100000000000001" customHeight="1" x14ac:dyDescent="0.25">
      <c r="A16" s="21"/>
      <c r="B16" s="185"/>
      <c r="C16" s="219" t="s">
        <v>239</v>
      </c>
      <c r="D16" s="218" t="str">
        <f>'پیش فاکتور سقف متحرک'!F16</f>
        <v>Nothing</v>
      </c>
      <c r="E16" s="177" t="s">
        <v>198</v>
      </c>
      <c r="F16" s="426" t="e">
        <f>F18/F10</f>
        <v>#DIV/0!</v>
      </c>
      <c r="G16" s="427"/>
      <c r="H16" s="204"/>
      <c r="I16" s="31"/>
      <c r="J16" s="19"/>
      <c r="K16" s="19"/>
      <c r="L16" s="19"/>
      <c r="M16" s="19"/>
      <c r="N16" s="17"/>
      <c r="O16" s="19"/>
      <c r="P16" s="20"/>
      <c r="Q16" s="21"/>
      <c r="R16" s="21"/>
      <c r="S16" s="19"/>
      <c r="T16" s="19"/>
      <c r="U16" s="19"/>
      <c r="V16" s="20"/>
      <c r="W16" s="22"/>
      <c r="X16" s="23"/>
      <c r="Y16" s="21"/>
      <c r="Z16" s="21"/>
      <c r="AA16" s="214">
        <v>110</v>
      </c>
      <c r="AB16" s="19"/>
      <c r="AC16" s="25"/>
      <c r="AD16" s="20"/>
      <c r="AE16" s="22"/>
      <c r="BB16" s="216" t="s">
        <v>236</v>
      </c>
    </row>
    <row r="17" spans="1:54" ht="20.100000000000001" customHeight="1" x14ac:dyDescent="0.25">
      <c r="A17" s="21"/>
      <c r="B17" s="185"/>
      <c r="C17" s="166" t="s">
        <v>208</v>
      </c>
      <c r="D17" s="220" t="s">
        <v>210</v>
      </c>
      <c r="E17" s="179">
        <f>'پیش فاکتور سقف متحرک'!C26</f>
        <v>450000</v>
      </c>
      <c r="F17" s="434" t="s">
        <v>121</v>
      </c>
      <c r="G17" s="435"/>
      <c r="H17" s="204"/>
      <c r="I17" s="31"/>
      <c r="J17" s="19"/>
      <c r="K17" s="19"/>
      <c r="L17" s="19"/>
      <c r="M17" s="19"/>
      <c r="N17" s="17"/>
      <c r="O17" s="19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4">
        <v>110</v>
      </c>
      <c r="AB17" s="25"/>
      <c r="AC17" s="25"/>
      <c r="AD17" s="20"/>
      <c r="AE17" s="22"/>
      <c r="BB17" s="217" t="s">
        <v>237</v>
      </c>
    </row>
    <row r="18" spans="1:54" ht="20.100000000000001" customHeight="1" x14ac:dyDescent="0.25">
      <c r="A18" s="21"/>
      <c r="B18" s="185"/>
      <c r="C18" s="166" t="s">
        <v>211</v>
      </c>
      <c r="D18" s="416" t="s">
        <v>216</v>
      </c>
      <c r="E18" s="417"/>
      <c r="F18" s="426">
        <f>IF(AND(D15="sayaneh",D16="mana"),D14*1.05,IF(AND(D15="sayaneh",D16="shana"),D14*1.25,IF(AND(D15="sayaneh",D16="mah sayeh"),D14*1.1,IF(AND(D15="pavlion",D16="atin"),D14*1.1,IF(AND(D15="pavlion",D16="atin plus"),D14*1.4,IF(AND(D15="pavlion",D16="paina"),D14*1.15,IF(AND(D15="pavlion",D16="horno"),D14*1.35,IF(AND(D15="pavlion",D16="aavan"),D14*0.95,IF(AND(D15="pavlion",D16="Nothing"),D14*1,IF(AND(D15="sayaneh",D16="Nothing"),D14*1,IF(AND(D15="roof level",D16="Nothing"),D14*1,0)))))))))))</f>
        <v>0</v>
      </c>
      <c r="G18" s="427"/>
      <c r="H18" s="204"/>
      <c r="I18" s="31"/>
      <c r="J18" s="19"/>
      <c r="K18" s="19"/>
      <c r="L18" s="19"/>
      <c r="M18" s="19"/>
      <c r="N18" s="17"/>
      <c r="O18" s="19"/>
      <c r="P18" s="20"/>
      <c r="Q18" s="21"/>
      <c r="R18" s="21"/>
      <c r="S18" s="19"/>
      <c r="T18" s="19"/>
      <c r="U18" s="19"/>
      <c r="V18" s="20"/>
      <c r="W18" s="22"/>
      <c r="X18" s="23"/>
      <c r="Y18" s="21"/>
      <c r="Z18" s="21"/>
      <c r="AA18" s="214">
        <v>110</v>
      </c>
      <c r="AB18" s="25"/>
      <c r="AC18" s="25"/>
      <c r="AD18" s="20"/>
      <c r="AE18" s="22"/>
      <c r="BB18" s="210" t="s">
        <v>225</v>
      </c>
    </row>
    <row r="19" spans="1:54" ht="15" customHeight="1" x14ac:dyDescent="0.25">
      <c r="A19" s="32" t="s">
        <v>3</v>
      </c>
      <c r="B19" s="185"/>
      <c r="C19" s="185"/>
      <c r="D19" s="173"/>
      <c r="E19" s="173"/>
      <c r="F19" s="173"/>
      <c r="G19" s="186"/>
      <c r="H19" s="186"/>
      <c r="I19" s="19"/>
      <c r="J19" s="19"/>
      <c r="K19" s="19"/>
      <c r="L19" s="19"/>
      <c r="M19" s="19"/>
      <c r="N19" s="24"/>
      <c r="O19" s="20"/>
      <c r="P19" s="20"/>
      <c r="Q19" s="22"/>
      <c r="R19" s="21"/>
      <c r="S19" s="25"/>
      <c r="T19" s="25"/>
      <c r="U19" s="25"/>
      <c r="V19" s="20"/>
      <c r="W19" s="22"/>
      <c r="X19" s="23"/>
      <c r="Y19" s="19"/>
      <c r="Z19" s="21"/>
      <c r="AA19" s="214">
        <v>135</v>
      </c>
      <c r="AB19" s="211" t="s">
        <v>233</v>
      </c>
      <c r="AC19" s="25"/>
      <c r="AD19" s="211"/>
      <c r="AE19" s="22"/>
      <c r="BB19" s="210" t="s">
        <v>226</v>
      </c>
    </row>
    <row r="20" spans="1:54" ht="20.100000000000001" customHeight="1" x14ac:dyDescent="0.25">
      <c r="A20" s="21"/>
      <c r="B20" s="185"/>
      <c r="C20" s="187"/>
      <c r="D20" s="18"/>
      <c r="E20" s="16"/>
      <c r="F20" s="168"/>
      <c r="G20" s="188"/>
      <c r="H20" s="186"/>
      <c r="I20" s="19"/>
      <c r="J20" s="19"/>
      <c r="K20" s="19"/>
      <c r="L20" s="19"/>
      <c r="M20" s="19"/>
      <c r="N20" s="17"/>
      <c r="O20" s="19"/>
      <c r="P20" s="20"/>
      <c r="Q20" s="21"/>
      <c r="R20" s="21"/>
      <c r="S20" s="19"/>
      <c r="T20" s="19"/>
      <c r="U20" s="19"/>
      <c r="V20" s="20"/>
      <c r="W20" s="22"/>
      <c r="X20" s="23"/>
      <c r="Y20" s="21"/>
      <c r="Z20" s="21"/>
      <c r="AA20" s="214">
        <v>95</v>
      </c>
      <c r="AB20" s="211" t="s">
        <v>234</v>
      </c>
      <c r="AC20" s="25"/>
      <c r="AD20" s="213"/>
      <c r="AE20" s="22"/>
      <c r="BB20" s="210" t="s">
        <v>227</v>
      </c>
    </row>
    <row r="21" spans="1:54" ht="20.100000000000001" customHeight="1" x14ac:dyDescent="0.25">
      <c r="A21" s="21"/>
      <c r="B21" s="185"/>
      <c r="C21" s="187"/>
      <c r="D21" s="18"/>
      <c r="E21" s="16"/>
      <c r="F21" s="168"/>
      <c r="G21" s="188"/>
      <c r="H21" s="186"/>
      <c r="I21" s="19"/>
      <c r="J21" s="19"/>
      <c r="K21" s="19"/>
      <c r="L21" s="19"/>
      <c r="M21" s="19"/>
      <c r="N21" s="24"/>
      <c r="O21" s="20"/>
      <c r="P21" s="20"/>
      <c r="Q21" s="22"/>
      <c r="R21" s="21"/>
      <c r="S21" s="21"/>
      <c r="T21" s="21"/>
      <c r="U21" s="21"/>
      <c r="V21" s="21"/>
      <c r="W21" s="21"/>
      <c r="X21" s="21"/>
      <c r="Y21" s="21"/>
      <c r="Z21" s="21"/>
      <c r="BB21" s="217" t="s">
        <v>237</v>
      </c>
    </row>
    <row r="22" spans="1:54" ht="20.100000000000001" customHeight="1" x14ac:dyDescent="0.25">
      <c r="A22" s="21"/>
      <c r="B22" s="185"/>
      <c r="C22" s="187"/>
      <c r="D22" s="18"/>
      <c r="E22" s="16"/>
      <c r="F22" s="168"/>
      <c r="G22" s="188"/>
      <c r="H22" s="186"/>
      <c r="I22" s="19"/>
      <c r="J22" s="19"/>
      <c r="K22" s="19"/>
      <c r="L22" s="19"/>
      <c r="M22" s="19"/>
      <c r="N22" s="17"/>
      <c r="O22" s="19"/>
      <c r="P22" s="20"/>
      <c r="Q22" s="21"/>
      <c r="R22" s="21"/>
      <c r="S22" s="19"/>
      <c r="T22" s="19"/>
      <c r="U22" s="19"/>
      <c r="V22" s="20"/>
      <c r="W22" s="22"/>
      <c r="X22" s="23"/>
      <c r="Y22" s="21"/>
      <c r="Z22" s="21"/>
      <c r="BB22" s="211" t="s">
        <v>230</v>
      </c>
    </row>
    <row r="23" spans="1:54" ht="20.100000000000001" customHeight="1" x14ac:dyDescent="0.25">
      <c r="A23" s="21"/>
      <c r="B23" s="185"/>
      <c r="C23" s="187"/>
      <c r="D23" s="18"/>
      <c r="E23" s="16"/>
      <c r="F23" s="168"/>
      <c r="G23" s="188"/>
      <c r="H23" s="186"/>
      <c r="I23" s="19"/>
      <c r="J23" s="19"/>
      <c r="K23" s="19"/>
      <c r="L23" s="19"/>
      <c r="M23" s="19"/>
      <c r="N23" s="24"/>
      <c r="O23" s="20"/>
      <c r="P23" s="20"/>
      <c r="Q23" s="22"/>
      <c r="R23" s="21"/>
      <c r="S23" s="25"/>
      <c r="T23" s="25"/>
      <c r="U23" s="25"/>
      <c r="V23" s="20"/>
      <c r="W23" s="22"/>
      <c r="X23" s="23"/>
      <c r="Y23" s="19"/>
      <c r="Z23" s="21"/>
      <c r="BB23" s="215" t="s">
        <v>231</v>
      </c>
    </row>
    <row r="24" spans="1:54" ht="15.95" customHeight="1" x14ac:dyDescent="0.25">
      <c r="A24" s="21"/>
      <c r="B24" s="206"/>
      <c r="C24" s="189"/>
      <c r="D24" s="28"/>
      <c r="E24" s="27"/>
      <c r="F24" s="26"/>
      <c r="G24" s="188"/>
      <c r="H24" s="186"/>
      <c r="I24" s="19"/>
      <c r="J24" s="19"/>
      <c r="K24" s="19"/>
      <c r="L24" s="19"/>
      <c r="M24" s="19"/>
      <c r="N24" s="17"/>
      <c r="O24" s="19"/>
      <c r="P24" s="20"/>
      <c r="Q24" s="21"/>
      <c r="R24" s="21"/>
      <c r="S24" s="19"/>
      <c r="T24" s="19"/>
      <c r="U24" s="19"/>
      <c r="V24" s="20"/>
      <c r="W24" s="22"/>
      <c r="X24" s="23"/>
      <c r="Y24" s="21"/>
      <c r="Z24" s="21"/>
      <c r="BB24" s="211" t="s">
        <v>232</v>
      </c>
    </row>
    <row r="25" spans="1:54" ht="15.95" customHeight="1" x14ac:dyDescent="0.25">
      <c r="A25" s="21"/>
      <c r="B25" s="206"/>
      <c r="C25" s="189"/>
      <c r="D25" s="28"/>
      <c r="E25" s="27"/>
      <c r="F25" s="26"/>
      <c r="G25" s="188"/>
      <c r="H25" s="186"/>
      <c r="I25" s="19"/>
      <c r="J25" s="19"/>
      <c r="K25" s="19"/>
      <c r="L25" s="19"/>
      <c r="M25" s="19"/>
      <c r="N25" s="24"/>
      <c r="O25" s="20"/>
      <c r="P25" s="20"/>
      <c r="Q25" s="22"/>
      <c r="R25" s="21"/>
      <c r="S25" s="21"/>
      <c r="T25" s="21"/>
      <c r="U25" s="21"/>
      <c r="V25" s="21"/>
      <c r="W25" s="21"/>
      <c r="X25" s="21"/>
      <c r="Y25" s="21"/>
      <c r="Z25" s="21"/>
      <c r="BB25" s="211" t="s">
        <v>233</v>
      </c>
    </row>
    <row r="26" spans="1:54" ht="15.95" customHeight="1" x14ac:dyDescent="0.25">
      <c r="A26" s="21"/>
      <c r="B26" s="203"/>
      <c r="C26" s="189"/>
      <c r="D26" s="28"/>
      <c r="E26" s="27"/>
      <c r="F26" s="26"/>
      <c r="G26" s="190"/>
      <c r="H26" s="186"/>
      <c r="I26" s="19"/>
      <c r="J26" s="19"/>
      <c r="K26" s="19"/>
      <c r="L26" s="19"/>
      <c r="M26" s="19"/>
      <c r="N26" s="17"/>
      <c r="O26" s="19"/>
      <c r="P26" s="20"/>
      <c r="Q26" s="21"/>
      <c r="R26" s="21"/>
      <c r="S26" s="19"/>
      <c r="T26" s="19"/>
      <c r="U26" s="19"/>
      <c r="V26" s="20"/>
      <c r="W26" s="22"/>
      <c r="X26" s="23"/>
      <c r="Y26" s="21"/>
      <c r="Z26" s="21"/>
      <c r="BB26" s="211" t="s">
        <v>234</v>
      </c>
    </row>
    <row r="27" spans="1:54" ht="15.95" customHeight="1" x14ac:dyDescent="0.25">
      <c r="A27" s="21"/>
      <c r="B27" s="203"/>
      <c r="C27" s="189"/>
      <c r="D27" s="28"/>
      <c r="E27" s="27"/>
      <c r="F27" s="26"/>
      <c r="G27" s="190"/>
      <c r="H27" s="186"/>
      <c r="I27" s="19"/>
      <c r="J27" s="19"/>
      <c r="K27" s="19"/>
      <c r="L27" s="19"/>
      <c r="M27" s="19"/>
      <c r="N27" s="24"/>
      <c r="O27" s="20"/>
      <c r="P27" s="20"/>
      <c r="Q27" s="22"/>
      <c r="R27" s="21"/>
      <c r="S27" s="25"/>
      <c r="T27" s="25"/>
      <c r="U27" s="25"/>
      <c r="V27" s="20"/>
      <c r="W27" s="22"/>
      <c r="X27" s="23"/>
      <c r="Y27" s="19"/>
      <c r="Z27" s="21"/>
      <c r="BB27" s="211"/>
    </row>
    <row r="28" spans="1:54" ht="15.95" customHeight="1" x14ac:dyDescent="0.25">
      <c r="A28" s="21"/>
      <c r="B28" s="203"/>
      <c r="C28" s="189"/>
      <c r="D28" s="28"/>
      <c r="E28" s="27"/>
      <c r="F28" s="26"/>
      <c r="G28" s="190"/>
      <c r="H28" s="186"/>
      <c r="I28" s="19"/>
      <c r="J28" s="19"/>
      <c r="K28" s="19"/>
      <c r="L28" s="19"/>
      <c r="M28" s="19"/>
      <c r="N28" s="17"/>
      <c r="O28" s="19"/>
      <c r="P28" s="20"/>
      <c r="Q28" s="21"/>
      <c r="R28" s="21"/>
      <c r="S28" s="19"/>
      <c r="T28" s="19"/>
      <c r="U28" s="19"/>
      <c r="V28" s="20"/>
      <c r="W28" s="22"/>
      <c r="X28" s="23"/>
      <c r="Y28" s="21"/>
      <c r="Z28" s="21"/>
    </row>
    <row r="29" spans="1:54" ht="15.95" customHeight="1" x14ac:dyDescent="0.25">
      <c r="A29" s="21"/>
      <c r="B29" s="203"/>
      <c r="C29" s="189"/>
      <c r="D29" s="28"/>
      <c r="E29" s="27"/>
      <c r="F29" s="26"/>
      <c r="G29" s="190"/>
      <c r="H29" s="186"/>
      <c r="I29" s="19"/>
      <c r="J29" s="19"/>
      <c r="K29" s="19"/>
      <c r="L29" s="19"/>
      <c r="M29" s="19"/>
      <c r="N29" s="24"/>
      <c r="O29" s="20"/>
      <c r="P29" s="20"/>
      <c r="Q29" s="22"/>
      <c r="R29" s="21"/>
      <c r="S29" s="21"/>
      <c r="T29" s="21"/>
      <c r="U29" s="21"/>
      <c r="V29" s="21"/>
      <c r="W29" s="21"/>
      <c r="X29" s="21"/>
      <c r="Y29" s="21"/>
      <c r="Z29" s="21"/>
    </row>
    <row r="30" spans="1:54" ht="15.95" customHeight="1" x14ac:dyDescent="0.25">
      <c r="A30" s="21"/>
      <c r="B30" s="203"/>
      <c r="C30" s="189"/>
      <c r="D30" s="28"/>
      <c r="E30" s="27"/>
      <c r="F30" s="26"/>
      <c r="G30" s="190"/>
      <c r="H30" s="186"/>
      <c r="I30" s="19"/>
      <c r="J30" s="19"/>
      <c r="K30" s="19"/>
      <c r="L30" s="19"/>
      <c r="M30" s="19"/>
      <c r="N30" s="17"/>
      <c r="O30" s="19"/>
      <c r="P30" s="20"/>
      <c r="Q30" s="21"/>
      <c r="R30" s="21"/>
      <c r="S30" s="19"/>
      <c r="T30" s="19"/>
      <c r="U30" s="19"/>
      <c r="V30" s="20"/>
      <c r="W30" s="22"/>
      <c r="X30" s="23"/>
      <c r="Y30" s="21"/>
      <c r="Z30" s="21"/>
    </row>
    <row r="31" spans="1:54" ht="15.95" customHeight="1" x14ac:dyDescent="0.25">
      <c r="A31" s="21"/>
      <c r="B31" s="203"/>
      <c r="C31" s="189"/>
      <c r="D31" s="28"/>
      <c r="E31" s="27"/>
      <c r="F31" s="26"/>
      <c r="G31" s="190"/>
      <c r="H31" s="186"/>
      <c r="I31" s="19"/>
      <c r="J31" s="19"/>
      <c r="K31" s="19"/>
      <c r="L31" s="19"/>
      <c r="M31" s="19"/>
      <c r="N31" s="24"/>
      <c r="O31" s="20"/>
      <c r="P31" s="20"/>
      <c r="Q31" s="22"/>
      <c r="R31" s="21"/>
      <c r="S31" s="25"/>
      <c r="T31" s="25"/>
      <c r="U31" s="25"/>
      <c r="V31" s="20"/>
      <c r="W31" s="22"/>
      <c r="X31" s="23"/>
      <c r="Y31" s="19"/>
      <c r="Z31" s="21"/>
    </row>
    <row r="32" spans="1:54" ht="15.95" customHeight="1" x14ac:dyDescent="0.25">
      <c r="A32" s="21"/>
      <c r="B32" s="203"/>
      <c r="C32" s="189"/>
      <c r="D32" s="28"/>
      <c r="E32" s="27"/>
      <c r="F32" s="26"/>
      <c r="G32" s="190"/>
      <c r="H32" s="186"/>
      <c r="I32" s="19"/>
      <c r="J32" s="19"/>
      <c r="K32" s="19"/>
      <c r="L32" s="19"/>
      <c r="M32" s="19"/>
      <c r="N32" s="17"/>
      <c r="O32" s="19"/>
      <c r="P32" s="20"/>
      <c r="Q32" s="21"/>
      <c r="R32" s="21"/>
      <c r="S32" s="19"/>
      <c r="T32" s="19"/>
      <c r="U32" s="19"/>
      <c r="V32" s="20"/>
      <c r="W32" s="22"/>
      <c r="X32" s="23"/>
      <c r="Y32" s="21"/>
      <c r="Z32" s="21"/>
    </row>
    <row r="33" spans="1:26" ht="15.95" customHeight="1" x14ac:dyDescent="0.25">
      <c r="A33" s="21"/>
      <c r="B33" s="203"/>
      <c r="C33" s="189"/>
      <c r="D33" s="28"/>
      <c r="E33" s="27"/>
      <c r="F33" s="26"/>
      <c r="G33" s="190"/>
      <c r="H33" s="186"/>
      <c r="I33" s="19"/>
      <c r="J33" s="19"/>
      <c r="K33" s="19"/>
      <c r="L33" s="19"/>
      <c r="M33" s="19"/>
      <c r="N33" s="24"/>
      <c r="O33" s="20"/>
      <c r="P33" s="20"/>
      <c r="Q33" s="22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95" customHeight="1" x14ac:dyDescent="0.25">
      <c r="A34" s="21"/>
      <c r="B34" s="206"/>
      <c r="C34" s="189"/>
      <c r="D34" s="28"/>
      <c r="E34" s="27"/>
      <c r="F34" s="26"/>
      <c r="G34" s="190"/>
      <c r="H34" s="186"/>
      <c r="I34" s="19"/>
      <c r="J34" s="19"/>
      <c r="K34" s="19"/>
      <c r="L34" s="19"/>
      <c r="M34" s="19"/>
      <c r="N34" s="17"/>
      <c r="O34" s="19"/>
      <c r="P34" s="20"/>
      <c r="Q34" s="21"/>
      <c r="R34" s="21"/>
      <c r="S34" s="19"/>
      <c r="T34" s="19"/>
      <c r="U34" s="19"/>
      <c r="V34" s="20"/>
      <c r="W34" s="22"/>
      <c r="X34" s="23"/>
      <c r="Y34" s="21"/>
      <c r="Z34" s="21"/>
    </row>
    <row r="35" spans="1:26" ht="15.95" customHeight="1" thickBot="1" x14ac:dyDescent="0.3">
      <c r="A35" s="21"/>
      <c r="B35" s="203"/>
      <c r="C35" s="191"/>
      <c r="D35" s="192"/>
      <c r="E35" s="193"/>
      <c r="F35" s="194"/>
      <c r="G35" s="195"/>
      <c r="H35" s="186"/>
      <c r="I35" s="19"/>
      <c r="J35" s="19"/>
      <c r="K35" s="19"/>
      <c r="L35" s="19"/>
      <c r="M35" s="19"/>
      <c r="N35" s="24"/>
      <c r="O35" s="20"/>
      <c r="P35" s="20"/>
      <c r="Q35" s="22"/>
      <c r="R35" s="21"/>
      <c r="S35" s="25"/>
      <c r="T35" s="25"/>
      <c r="U35" s="25"/>
      <c r="V35" s="20"/>
      <c r="W35" s="22"/>
      <c r="X35" s="23"/>
      <c r="Y35" s="19"/>
      <c r="Z35" s="21"/>
    </row>
    <row r="36" spans="1:26" ht="15.95" customHeight="1" thickBot="1" x14ac:dyDescent="0.3">
      <c r="A36" s="21"/>
      <c r="B36" s="207"/>
      <c r="C36" s="208"/>
      <c r="D36" s="208"/>
      <c r="E36" s="208"/>
      <c r="F36" s="208"/>
      <c r="G36" s="208"/>
      <c r="H36" s="209"/>
      <c r="I36" s="19"/>
      <c r="J36" s="19"/>
      <c r="K36" s="19"/>
      <c r="L36" s="19"/>
      <c r="M36" s="19"/>
      <c r="N36" s="17"/>
      <c r="O36" s="19"/>
      <c r="P36" s="20"/>
      <c r="Q36" s="21"/>
      <c r="R36" s="21"/>
      <c r="S36" s="19"/>
      <c r="T36" s="19"/>
      <c r="U36" s="19"/>
      <c r="V36" s="20"/>
      <c r="W36" s="22"/>
      <c r="X36" s="23"/>
      <c r="Y36" s="21"/>
      <c r="Z36" s="21"/>
    </row>
    <row r="37" spans="1:26" ht="15.95" customHeight="1" x14ac:dyDescent="0.25">
      <c r="A37" s="21"/>
      <c r="B37" s="27"/>
      <c r="C37" s="27"/>
      <c r="D37" s="28"/>
      <c r="E37" s="27"/>
      <c r="F37" s="168"/>
      <c r="G37" s="169"/>
      <c r="H37" s="29"/>
      <c r="I37" s="19"/>
      <c r="J37" s="19"/>
      <c r="K37" s="19"/>
      <c r="L37" s="19"/>
      <c r="M37" s="19"/>
      <c r="N37" s="24"/>
      <c r="O37" s="20"/>
      <c r="P37" s="20"/>
      <c r="Q37" s="22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21"/>
      <c r="B38" s="27"/>
      <c r="C38" s="27"/>
      <c r="D38" s="28"/>
      <c r="E38" s="27"/>
      <c r="F38" s="168"/>
      <c r="G38" s="169"/>
      <c r="H38" s="29"/>
      <c r="I38" s="19"/>
      <c r="J38" s="19"/>
      <c r="K38" s="19"/>
      <c r="L38" s="19"/>
      <c r="M38" s="19"/>
      <c r="N38" s="17"/>
      <c r="O38" s="19"/>
      <c r="P38" s="20"/>
      <c r="Q38" s="21"/>
      <c r="R38" s="21"/>
      <c r="S38" s="19"/>
      <c r="T38" s="19"/>
      <c r="U38" s="19"/>
      <c r="V38" s="20"/>
      <c r="W38" s="22"/>
      <c r="X38" s="23"/>
      <c r="Y38" s="21"/>
      <c r="Z38" s="21"/>
    </row>
    <row r="39" spans="1:26" x14ac:dyDescent="0.25">
      <c r="A39" s="21"/>
      <c r="B39" s="27"/>
      <c r="C39" s="27"/>
      <c r="D39" s="28"/>
      <c r="E39" s="27"/>
      <c r="F39" s="168"/>
      <c r="G39" s="170"/>
      <c r="H39" s="19"/>
      <c r="I39" s="19"/>
      <c r="J39" s="19"/>
      <c r="K39" s="19"/>
      <c r="L39" s="19"/>
      <c r="M39" s="19"/>
      <c r="N39" s="24"/>
      <c r="O39" s="20"/>
      <c r="P39" s="20"/>
      <c r="Q39" s="22"/>
      <c r="R39" s="21"/>
      <c r="S39" s="25"/>
      <c r="T39" s="25"/>
      <c r="U39" s="25"/>
      <c r="V39" s="20"/>
      <c r="W39" s="22"/>
      <c r="X39" s="23"/>
      <c r="Y39" s="19"/>
      <c r="Z39" s="21"/>
    </row>
    <row r="40" spans="1:26" x14ac:dyDescent="0.25">
      <c r="A40" s="21"/>
      <c r="B40" s="27"/>
      <c r="C40" s="27"/>
      <c r="D40" s="28"/>
      <c r="E40" s="27"/>
      <c r="F40" s="168"/>
      <c r="G40" s="170"/>
      <c r="H40" s="19"/>
      <c r="I40" s="19"/>
      <c r="J40" s="19"/>
      <c r="K40" s="19"/>
      <c r="L40" s="19"/>
      <c r="M40" s="19"/>
      <c r="N40" s="17"/>
      <c r="O40" s="19"/>
      <c r="P40" s="20"/>
      <c r="Q40" s="21"/>
      <c r="R40" s="21"/>
      <c r="S40" s="19"/>
      <c r="T40" s="19"/>
      <c r="U40" s="19"/>
      <c r="V40" s="20"/>
      <c r="W40" s="22"/>
      <c r="X40" s="23"/>
      <c r="Y40" s="21"/>
      <c r="Z40" s="21"/>
    </row>
    <row r="41" spans="1:26" x14ac:dyDescent="0.25">
      <c r="A41" s="21"/>
      <c r="B41" s="27"/>
      <c r="C41" s="27"/>
      <c r="D41" s="28"/>
      <c r="E41" s="27"/>
      <c r="F41" s="168"/>
      <c r="G41" s="170"/>
      <c r="H41" s="19"/>
      <c r="I41" s="19"/>
      <c r="J41" s="19"/>
      <c r="K41" s="19"/>
      <c r="L41" s="19"/>
      <c r="M41" s="19"/>
      <c r="N41" s="24"/>
      <c r="O41" s="20"/>
      <c r="P41" s="20"/>
      <c r="Q41" s="22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21"/>
      <c r="B42" s="27"/>
      <c r="C42" s="27"/>
      <c r="D42" s="28"/>
      <c r="E42" s="27"/>
      <c r="F42" s="168"/>
      <c r="G42" s="170"/>
      <c r="H42" s="19"/>
      <c r="I42" s="19"/>
      <c r="J42" s="19"/>
      <c r="K42" s="19"/>
      <c r="L42" s="19"/>
      <c r="M42" s="19"/>
      <c r="N42" s="17"/>
      <c r="O42" s="19"/>
      <c r="P42" s="20"/>
      <c r="Q42" s="21"/>
      <c r="R42" s="21"/>
      <c r="S42" s="19"/>
      <c r="T42" s="19"/>
      <c r="U42" s="19"/>
      <c r="V42" s="20"/>
      <c r="W42" s="22"/>
      <c r="X42" s="23"/>
      <c r="Y42" s="21"/>
      <c r="Z42" s="21"/>
    </row>
    <row r="43" spans="1:26" x14ac:dyDescent="0.25">
      <c r="A43" s="21"/>
      <c r="B43" s="27"/>
      <c r="C43" s="27"/>
      <c r="D43" s="28"/>
      <c r="E43" s="27"/>
      <c r="F43" s="168"/>
      <c r="G43" s="170"/>
      <c r="H43" s="19"/>
      <c r="I43" s="19"/>
      <c r="J43" s="19"/>
      <c r="K43" s="19"/>
      <c r="L43" s="19"/>
      <c r="M43" s="19"/>
      <c r="N43" s="24"/>
      <c r="O43" s="20"/>
      <c r="P43" s="20"/>
      <c r="Q43" s="22"/>
      <c r="R43" s="21"/>
      <c r="S43" s="25"/>
      <c r="T43" s="25"/>
      <c r="U43" s="25"/>
      <c r="V43" s="20"/>
      <c r="W43" s="22"/>
      <c r="X43" s="23"/>
      <c r="Y43" s="19"/>
      <c r="Z43" s="21"/>
    </row>
    <row r="44" spans="1:26" x14ac:dyDescent="0.25">
      <c r="A44" s="21"/>
      <c r="B44" s="27"/>
      <c r="C44" s="27"/>
      <c r="D44" s="28"/>
      <c r="E44" s="27"/>
      <c r="F44" s="168"/>
      <c r="G44" s="170"/>
      <c r="H44" s="19"/>
      <c r="I44" s="19"/>
      <c r="J44" s="19"/>
      <c r="K44" s="19"/>
      <c r="L44" s="19"/>
      <c r="M44" s="19"/>
      <c r="N44" s="17"/>
      <c r="O44" s="19"/>
      <c r="P44" s="20"/>
      <c r="Q44" s="21"/>
      <c r="R44" s="21"/>
      <c r="S44" s="19"/>
      <c r="T44" s="19"/>
      <c r="U44" s="19"/>
      <c r="V44" s="20"/>
      <c r="W44" s="22"/>
      <c r="X44" s="23"/>
      <c r="Y44" s="21"/>
      <c r="Z44" s="21"/>
    </row>
    <row r="45" spans="1:26" x14ac:dyDescent="0.25">
      <c r="A45" s="21"/>
      <c r="B45" s="27"/>
      <c r="C45" s="27"/>
      <c r="D45" s="28"/>
      <c r="E45" s="27"/>
      <c r="F45" s="168"/>
      <c r="G45" s="170"/>
      <c r="H45" s="19"/>
      <c r="I45" s="19"/>
      <c r="J45" s="19"/>
      <c r="K45" s="19"/>
      <c r="L45" s="19"/>
      <c r="M45" s="19"/>
      <c r="N45" s="24"/>
      <c r="O45" s="20"/>
      <c r="P45" s="20"/>
      <c r="Q45" s="22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1"/>
      <c r="B46" s="27"/>
      <c r="C46" s="27"/>
      <c r="D46" s="30"/>
      <c r="E46" s="27"/>
      <c r="F46" s="168"/>
      <c r="G46" s="167"/>
      <c r="H46" s="19"/>
      <c r="I46" s="19"/>
      <c r="J46" s="19"/>
      <c r="K46" s="19"/>
      <c r="L46" s="19"/>
      <c r="M46" s="19"/>
      <c r="N46" s="17"/>
      <c r="O46" s="19"/>
      <c r="P46" s="20"/>
      <c r="Q46" s="21"/>
      <c r="R46" s="21"/>
      <c r="S46" s="19"/>
      <c r="T46" s="19"/>
      <c r="U46" s="19"/>
      <c r="V46" s="20"/>
      <c r="W46" s="22"/>
      <c r="X46" s="23"/>
      <c r="Y46" s="21"/>
      <c r="Z46" s="21"/>
    </row>
    <row r="47" spans="1:26" x14ac:dyDescent="0.25">
      <c r="A47" s="21"/>
      <c r="B47" s="27"/>
      <c r="C47" s="27"/>
      <c r="D47" s="30"/>
      <c r="E47" s="27"/>
      <c r="F47" s="168"/>
      <c r="G47" s="167"/>
      <c r="H47" s="19"/>
      <c r="I47" s="19"/>
      <c r="J47" s="19"/>
      <c r="K47" s="19"/>
      <c r="L47" s="19"/>
      <c r="M47" s="19"/>
      <c r="N47" s="24"/>
      <c r="O47" s="20"/>
      <c r="P47" s="20"/>
      <c r="Q47" s="22"/>
      <c r="R47" s="21"/>
      <c r="S47" s="25"/>
      <c r="T47" s="25"/>
      <c r="U47" s="25"/>
      <c r="V47" s="20"/>
      <c r="W47" s="22"/>
      <c r="X47" s="23"/>
      <c r="Y47" s="19"/>
      <c r="Z47" s="21"/>
    </row>
    <row r="48" spans="1:26" x14ac:dyDescent="0.25">
      <c r="A48" s="21"/>
      <c r="B48" s="27"/>
      <c r="C48" s="27"/>
      <c r="D48" s="30"/>
      <c r="E48" s="27"/>
      <c r="F48" s="168"/>
      <c r="G48" s="167"/>
      <c r="H48" s="19"/>
      <c r="I48" s="19"/>
      <c r="J48" s="19"/>
      <c r="K48" s="19"/>
      <c r="L48" s="19"/>
      <c r="M48" s="19"/>
      <c r="N48" s="17"/>
      <c r="O48" s="19"/>
      <c r="P48" s="20"/>
      <c r="Q48" s="21"/>
      <c r="R48" s="21"/>
      <c r="S48" s="19"/>
      <c r="T48" s="19"/>
      <c r="U48" s="19"/>
      <c r="V48" s="20"/>
      <c r="W48" s="22"/>
      <c r="X48" s="23"/>
      <c r="Y48" s="21"/>
      <c r="Z48" s="21"/>
    </row>
    <row r="49" spans="1:26" x14ac:dyDescent="0.25">
      <c r="A49" s="21"/>
      <c r="B49" s="27"/>
      <c r="C49" s="27"/>
      <c r="D49" s="30"/>
      <c r="E49" s="27"/>
      <c r="F49" s="168"/>
      <c r="G49" s="167"/>
      <c r="H49" s="19"/>
      <c r="I49" s="19"/>
      <c r="J49" s="19"/>
      <c r="K49" s="19"/>
      <c r="L49" s="19"/>
      <c r="M49" s="19"/>
      <c r="N49" s="24"/>
      <c r="O49" s="20"/>
      <c r="P49" s="20"/>
      <c r="Q49" s="22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21"/>
      <c r="B50" s="27"/>
      <c r="C50" s="27"/>
      <c r="D50" s="30"/>
      <c r="E50" s="27"/>
      <c r="F50" s="168"/>
      <c r="G50" s="167"/>
      <c r="H50" s="19"/>
      <c r="I50" s="19"/>
      <c r="J50" s="19"/>
      <c r="K50" s="19"/>
      <c r="L50" s="19"/>
      <c r="M50" s="19"/>
      <c r="N50" s="17"/>
      <c r="O50" s="19"/>
      <c r="P50" s="20"/>
      <c r="Q50" s="21"/>
      <c r="R50" s="21"/>
      <c r="S50" s="19"/>
      <c r="T50" s="19"/>
      <c r="U50" s="19"/>
      <c r="V50" s="20"/>
      <c r="W50" s="22"/>
      <c r="X50" s="23"/>
      <c r="Y50" s="21"/>
      <c r="Z50" s="21"/>
    </row>
    <row r="51" spans="1:26" x14ac:dyDescent="0.25">
      <c r="A51" s="21"/>
      <c r="B51" s="27"/>
      <c r="C51" s="27"/>
      <c r="D51" s="30"/>
      <c r="E51" s="27"/>
      <c r="F51" s="168"/>
      <c r="G51" s="167"/>
      <c r="H51" s="19"/>
      <c r="I51" s="19"/>
      <c r="J51" s="19"/>
      <c r="K51" s="19"/>
      <c r="L51" s="19"/>
      <c r="M51" s="19"/>
      <c r="N51" s="24"/>
      <c r="O51" s="20"/>
      <c r="P51" s="20"/>
      <c r="Q51" s="22"/>
      <c r="R51" s="21"/>
      <c r="S51" s="25"/>
      <c r="T51" s="25"/>
      <c r="U51" s="25"/>
      <c r="V51" s="20"/>
      <c r="W51" s="22"/>
      <c r="X51" s="23"/>
      <c r="Y51" s="19"/>
      <c r="Z51" s="21"/>
    </row>
    <row r="52" spans="1:26" x14ac:dyDescent="0.25">
      <c r="A52" s="21"/>
      <c r="B52" s="27"/>
      <c r="C52" s="27"/>
      <c r="D52" s="30"/>
      <c r="F52" s="168"/>
      <c r="G52" s="167"/>
      <c r="H52" s="19"/>
      <c r="I52" s="19"/>
      <c r="J52" s="19"/>
      <c r="K52" s="19"/>
      <c r="L52" s="19"/>
      <c r="M52" s="19"/>
      <c r="N52" s="17"/>
      <c r="O52" s="19"/>
      <c r="P52" s="20"/>
      <c r="Q52" s="21"/>
      <c r="R52" s="21"/>
      <c r="S52" s="19"/>
      <c r="T52" s="19"/>
      <c r="U52" s="19"/>
      <c r="V52" s="20"/>
      <c r="W52" s="22"/>
      <c r="X52" s="23"/>
      <c r="Y52" s="21"/>
      <c r="Z52" s="21"/>
    </row>
    <row r="53" spans="1:26" x14ac:dyDescent="0.25">
      <c r="A53" s="21"/>
      <c r="B53" s="27"/>
      <c r="C53" s="27"/>
      <c r="D53" s="30"/>
      <c r="F53" s="168"/>
      <c r="G53" s="167"/>
      <c r="H53" s="19"/>
      <c r="I53" s="19"/>
      <c r="J53" s="19"/>
      <c r="K53" s="19"/>
      <c r="L53" s="19"/>
      <c r="M53" s="19"/>
      <c r="N53" s="24"/>
      <c r="O53" s="20"/>
      <c r="P53" s="20"/>
      <c r="Q53" s="22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5">
      <c r="A54" s="21"/>
      <c r="B54" s="27"/>
      <c r="C54" s="27"/>
      <c r="D54" s="30"/>
      <c r="F54" s="168"/>
      <c r="G54" s="167"/>
      <c r="H54" s="19"/>
      <c r="I54" s="19"/>
      <c r="J54" s="19"/>
      <c r="K54" s="19"/>
      <c r="L54" s="19"/>
      <c r="M54" s="19"/>
      <c r="N54" s="17"/>
      <c r="O54" s="19"/>
      <c r="P54" s="20"/>
      <c r="Q54" s="21"/>
      <c r="R54" s="21"/>
      <c r="S54" s="19"/>
      <c r="T54" s="19"/>
      <c r="U54" s="19"/>
      <c r="V54" s="20"/>
      <c r="W54" s="22"/>
      <c r="X54" s="23"/>
      <c r="Y54" s="21"/>
      <c r="Z54" s="21"/>
    </row>
    <row r="55" spans="1:26" x14ac:dyDescent="0.25">
      <c r="A55" s="21"/>
      <c r="B55" s="27"/>
      <c r="C55" s="27"/>
      <c r="D55" s="30"/>
      <c r="F55" s="168"/>
      <c r="G55" s="167"/>
      <c r="H55" s="19"/>
      <c r="I55" s="19"/>
      <c r="J55" s="19"/>
      <c r="K55" s="19"/>
      <c r="L55" s="19"/>
      <c r="M55" s="19"/>
      <c r="N55" s="19"/>
      <c r="O55" s="19"/>
      <c r="P55" s="20"/>
      <c r="Q55" s="22"/>
      <c r="R55" s="22"/>
      <c r="S55" s="25"/>
      <c r="T55" s="25"/>
      <c r="U55" s="25"/>
      <c r="V55" s="20"/>
      <c r="W55" s="22"/>
      <c r="X55" s="23"/>
      <c r="Y55" s="19"/>
      <c r="Z55" s="21"/>
    </row>
    <row r="56" spans="1:26" x14ac:dyDescent="0.25">
      <c r="S56" s="19"/>
      <c r="T56" s="19"/>
      <c r="U56" s="19"/>
      <c r="V56" s="20"/>
      <c r="W56" s="22"/>
      <c r="X56" s="23"/>
      <c r="Y56" s="21"/>
      <c r="Z56" s="21"/>
    </row>
  </sheetData>
  <sheetProtection formatCells="0" formatColumns="0" formatRows="0"/>
  <mergeCells count="16">
    <mergeCell ref="F16:G16"/>
    <mergeCell ref="F17:G17"/>
    <mergeCell ref="D18:E18"/>
    <mergeCell ref="F18:G18"/>
    <mergeCell ref="F11:G11"/>
    <mergeCell ref="F12:G12"/>
    <mergeCell ref="F13:G13"/>
    <mergeCell ref="D14:E14"/>
    <mergeCell ref="F14:G14"/>
    <mergeCell ref="F15:G15"/>
    <mergeCell ref="F10:G10"/>
    <mergeCell ref="C3:E3"/>
    <mergeCell ref="F3:G3"/>
    <mergeCell ref="AK4:AM6"/>
    <mergeCell ref="C6:E7"/>
    <mergeCell ref="F9:G9"/>
  </mergeCells>
  <conditionalFormatting sqref="C6">
    <cfRule type="cellIs" dxfId="8" priority="3" operator="equal">
      <formula>"NOT IN RANGE"</formula>
    </cfRule>
    <cfRule type="cellIs" dxfId="7" priority="4" operator="equal">
      <formula>"CORRECT RANGE"</formula>
    </cfRule>
  </conditionalFormatting>
  <conditionalFormatting sqref="AK4">
    <cfRule type="cellIs" dxfId="6" priority="1" operator="equal">
      <formula>"NOT IN RANGE"</formula>
    </cfRule>
    <cfRule type="cellIs" dxfId="5" priority="2" operator="equal">
      <formula>"CORRECT RANGE"</formula>
    </cfRule>
  </conditionalFormatting>
  <dataValidations disablePrompts="1" count="3">
    <dataValidation type="list" allowBlank="1" showInputMessage="1" showErrorMessage="1" sqref="D17" xr:uid="{00000000-0002-0000-0400-000000000000}">
      <formula1>$AZ$2:$AZ$3</formula1>
    </dataValidation>
    <dataValidation type="list" allowBlank="1" showInputMessage="1" showErrorMessage="1" sqref="D15" xr:uid="{00000000-0002-0000-0400-000001000000}">
      <formula1>$BB$2:$BB$4</formula1>
    </dataValidation>
    <dataValidation type="list" allowBlank="1" showInputMessage="1" showErrorMessage="1" sqref="D16" xr:uid="{00000000-0002-0000-0400-000002000000}">
      <formula1>$BB$16:$BB$26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FF99"/>
    <pageSetUpPr fitToPage="1"/>
  </sheetPr>
  <dimension ref="A1:Z142"/>
  <sheetViews>
    <sheetView rightToLeft="1" tabSelected="1" view="pageBreakPreview" zoomScale="80" zoomScaleNormal="100" zoomScaleSheetLayoutView="80" workbookViewId="0">
      <selection activeCell="D12" sqref="D12"/>
    </sheetView>
  </sheetViews>
  <sheetFormatPr defaultRowHeight="15" x14ac:dyDescent="0.25"/>
  <cols>
    <col min="1" max="1" width="3.5703125" customWidth="1"/>
    <col min="2" max="2" width="12.42578125" customWidth="1"/>
    <col min="3" max="3" width="9.7109375" customWidth="1"/>
    <col min="4" max="4" width="9.5703125" customWidth="1"/>
    <col min="5" max="5" width="11.5703125" customWidth="1"/>
    <col min="6" max="6" width="12" customWidth="1"/>
    <col min="7" max="7" width="20.5703125" customWidth="1"/>
    <col min="8" max="8" width="25.5703125" customWidth="1"/>
    <col min="9" max="11" width="1.5703125" customWidth="1"/>
    <col min="12" max="12" width="9.7109375" customWidth="1"/>
    <col min="13" max="13" width="5.140625" customWidth="1"/>
    <col min="14" max="14" width="10.42578125" customWidth="1"/>
    <col min="15" max="15" width="5.42578125" customWidth="1"/>
    <col min="16" max="16" width="14.28515625" customWidth="1"/>
    <col min="17" max="17" width="17" customWidth="1"/>
    <col min="18" max="18" width="6.5703125" customWidth="1"/>
    <col min="19" max="19" width="5.7109375" customWidth="1"/>
    <col min="20" max="20" width="11.42578125" customWidth="1"/>
    <col min="21" max="21" width="12.140625" customWidth="1"/>
    <col min="22" max="22" width="9.7109375" customWidth="1"/>
    <col min="23" max="23" width="14.42578125" customWidth="1"/>
    <col min="24" max="24" width="9.140625" customWidth="1"/>
    <col min="25" max="25" width="13.28515625" customWidth="1"/>
    <col min="26" max="33" width="9.140625" customWidth="1"/>
    <col min="34" max="34" width="3.28515625" customWidth="1"/>
    <col min="35" max="41" width="9.140625" customWidth="1"/>
    <col min="42" max="42" width="11.7109375" customWidth="1"/>
    <col min="43" max="43" width="10.85546875" customWidth="1"/>
    <col min="44" max="46" width="9.140625" customWidth="1"/>
    <col min="47" max="47" width="17.5703125" customWidth="1"/>
    <col min="48" max="48" width="33.42578125" customWidth="1"/>
  </cols>
  <sheetData>
    <row r="1" spans="1:26" ht="16.5" customHeight="1" thickBot="1" x14ac:dyDescent="0.3">
      <c r="A1" s="340"/>
      <c r="B1" s="514" t="s">
        <v>355</v>
      </c>
      <c r="C1" s="515"/>
      <c r="D1" s="515"/>
      <c r="E1" s="515"/>
      <c r="F1" s="515"/>
      <c r="G1" s="515"/>
      <c r="H1" s="516"/>
      <c r="I1" s="340"/>
      <c r="T1" s="484" t="e">
        <f>SUM(U15:U38)</f>
        <v>#DIV/0!</v>
      </c>
      <c r="U1" s="484"/>
      <c r="V1" s="312"/>
      <c r="W1" s="264"/>
    </row>
    <row r="2" spans="1:26" ht="16.5" customHeight="1" x14ac:dyDescent="0.25">
      <c r="A2" s="340"/>
      <c r="B2" s="517" t="s">
        <v>334</v>
      </c>
      <c r="C2" s="518"/>
      <c r="D2" s="518"/>
      <c r="E2" s="519"/>
      <c r="F2" s="520" t="s">
        <v>337</v>
      </c>
      <c r="G2" s="521"/>
      <c r="H2" s="522"/>
      <c r="I2" s="340"/>
      <c r="T2" s="264"/>
      <c r="U2" s="264"/>
      <c r="V2" s="312"/>
      <c r="W2" s="264"/>
    </row>
    <row r="3" spans="1:26" ht="16.5" customHeight="1" x14ac:dyDescent="0.45">
      <c r="A3" s="340"/>
      <c r="B3" s="523" t="s">
        <v>335</v>
      </c>
      <c r="C3" s="524"/>
      <c r="D3" s="505" t="s">
        <v>341</v>
      </c>
      <c r="E3" s="506"/>
      <c r="F3" s="279" t="s">
        <v>327</v>
      </c>
      <c r="G3" s="505"/>
      <c r="H3" s="507"/>
      <c r="I3" s="340"/>
      <c r="T3" s="265"/>
      <c r="U3" s="265"/>
      <c r="V3" s="312"/>
      <c r="W3" s="265"/>
    </row>
    <row r="4" spans="1:26" ht="16.5" customHeight="1" x14ac:dyDescent="0.45">
      <c r="A4" s="340"/>
      <c r="B4" s="523" t="s">
        <v>336</v>
      </c>
      <c r="C4" s="524"/>
      <c r="D4" s="505"/>
      <c r="E4" s="506"/>
      <c r="F4" s="279" t="s">
        <v>328</v>
      </c>
      <c r="G4" s="505" t="s">
        <v>409</v>
      </c>
      <c r="H4" s="507"/>
      <c r="I4" s="340"/>
      <c r="T4" s="265"/>
      <c r="U4" s="265"/>
      <c r="V4" s="312"/>
      <c r="W4" s="265"/>
    </row>
    <row r="5" spans="1:26" ht="16.5" customHeight="1" thickBot="1" x14ac:dyDescent="0.3">
      <c r="B5" s="510" t="s">
        <v>330</v>
      </c>
      <c r="C5" s="511"/>
      <c r="D5" s="508"/>
      <c r="E5" s="509"/>
      <c r="F5" s="280" t="s">
        <v>329</v>
      </c>
      <c r="G5" s="512" t="s">
        <v>332</v>
      </c>
      <c r="H5" s="513"/>
      <c r="I5" s="340"/>
      <c r="T5" s="265"/>
      <c r="U5" s="265"/>
      <c r="V5" s="312"/>
      <c r="W5" s="265"/>
    </row>
    <row r="6" spans="1:26" ht="16.5" customHeight="1" thickBot="1" x14ac:dyDescent="0.3">
      <c r="B6" s="501" t="s">
        <v>361</v>
      </c>
      <c r="C6" s="502"/>
      <c r="D6" s="503"/>
      <c r="E6" s="503"/>
      <c r="F6" s="503"/>
      <c r="G6" s="502"/>
      <c r="H6" s="504"/>
      <c r="I6" s="340"/>
      <c r="T6" s="265"/>
      <c r="U6" s="265"/>
      <c r="V6" s="312"/>
      <c r="W6" s="265"/>
    </row>
    <row r="7" spans="1:26" ht="16.5" customHeight="1" x14ac:dyDescent="0.25">
      <c r="B7" s="329" t="s">
        <v>265</v>
      </c>
      <c r="C7" s="330"/>
      <c r="D7" s="548" t="s">
        <v>266</v>
      </c>
      <c r="E7" s="548"/>
      <c r="F7" s="548"/>
      <c r="G7" s="552" t="s">
        <v>373</v>
      </c>
      <c r="H7" s="553"/>
      <c r="I7" s="340"/>
      <c r="T7" s="265"/>
      <c r="U7" s="265"/>
      <c r="V7" s="312"/>
      <c r="W7" s="265"/>
    </row>
    <row r="8" spans="1:26" ht="16.5" customHeight="1" x14ac:dyDescent="0.25">
      <c r="B8" s="331" t="s">
        <v>235</v>
      </c>
      <c r="C8" s="332"/>
      <c r="D8" s="549" t="s">
        <v>236</v>
      </c>
      <c r="E8" s="549"/>
      <c r="F8" s="549"/>
      <c r="G8" s="550"/>
      <c r="H8" s="551"/>
      <c r="I8" s="340"/>
      <c r="T8" s="265"/>
      <c r="U8" s="265"/>
      <c r="V8" s="312"/>
      <c r="W8" s="265"/>
    </row>
    <row r="9" spans="1:26" ht="16.5" customHeight="1" x14ac:dyDescent="0.25">
      <c r="B9" s="334" t="s">
        <v>326</v>
      </c>
      <c r="C9" s="335"/>
      <c r="D9" s="350" t="s">
        <v>225</v>
      </c>
      <c r="E9" s="350" t="s">
        <v>226</v>
      </c>
      <c r="F9" s="350" t="s">
        <v>227</v>
      </c>
      <c r="G9" s="262"/>
      <c r="H9" s="263"/>
      <c r="I9" s="340"/>
      <c r="J9" s="270"/>
      <c r="K9" s="270"/>
      <c r="M9" s="231"/>
      <c r="N9" s="231"/>
      <c r="O9" s="276"/>
      <c r="P9" s="281"/>
      <c r="Q9" s="231"/>
      <c r="R9" s="231"/>
      <c r="S9" s="231" t="s">
        <v>327</v>
      </c>
      <c r="T9" s="479">
        <f>G3</f>
        <v>0</v>
      </c>
      <c r="U9" s="479"/>
      <c r="V9" s="307"/>
      <c r="W9" s="254"/>
    </row>
    <row r="10" spans="1:26" ht="16.5" customHeight="1" thickBot="1" x14ac:dyDescent="0.3">
      <c r="B10" s="366" t="s">
        <v>325</v>
      </c>
      <c r="C10" s="367"/>
      <c r="D10" s="368" t="s">
        <v>230</v>
      </c>
      <c r="E10" s="369" t="s">
        <v>231</v>
      </c>
      <c r="F10" s="368" t="s">
        <v>232</v>
      </c>
      <c r="G10" s="368" t="s">
        <v>233</v>
      </c>
      <c r="H10" s="370" t="s">
        <v>234</v>
      </c>
      <c r="I10" s="341"/>
      <c r="J10" s="270"/>
      <c r="K10" s="270"/>
      <c r="M10" s="231"/>
      <c r="N10" s="231"/>
      <c r="O10" s="276"/>
      <c r="P10" s="231"/>
      <c r="Q10" s="231"/>
      <c r="R10" s="231"/>
      <c r="S10" s="231" t="s">
        <v>328</v>
      </c>
      <c r="T10" s="491" t="str">
        <f>G4</f>
        <v>1403/01/20</v>
      </c>
      <c r="U10" s="491"/>
      <c r="V10" s="308"/>
      <c r="W10" s="255"/>
    </row>
    <row r="11" spans="1:26" ht="16.5" customHeight="1" x14ac:dyDescent="0.25">
      <c r="A11" s="340"/>
      <c r="B11" s="397" t="s">
        <v>206</v>
      </c>
      <c r="C11" s="398" t="s">
        <v>207</v>
      </c>
      <c r="D11" s="398" t="s">
        <v>4</v>
      </c>
      <c r="E11" s="398" t="s">
        <v>265</v>
      </c>
      <c r="F11" s="398" t="s">
        <v>266</v>
      </c>
      <c r="G11" s="399" t="s">
        <v>363</v>
      </c>
      <c r="H11" s="400" t="s">
        <v>413</v>
      </c>
      <c r="I11" s="341"/>
      <c r="J11" s="260"/>
      <c r="K11" s="260"/>
      <c r="M11" s="231"/>
      <c r="N11" s="231"/>
      <c r="O11" s="276"/>
      <c r="Q11" s="487" t="s">
        <v>241</v>
      </c>
      <c r="R11" s="231"/>
      <c r="S11" s="231" t="s">
        <v>329</v>
      </c>
      <c r="T11" s="491" t="str">
        <f>G5</f>
        <v>ندارد</v>
      </c>
      <c r="U11" s="491"/>
      <c r="V11" s="308"/>
      <c r="W11" s="255"/>
      <c r="Z11" s="233"/>
    </row>
    <row r="12" spans="1:26" ht="16.5" customHeight="1" x14ac:dyDescent="0.25">
      <c r="A12" s="396">
        <v>1</v>
      </c>
      <c r="B12" s="374"/>
      <c r="C12" s="371"/>
      <c r="D12" s="371"/>
      <c r="E12" s="372" t="s">
        <v>237</v>
      </c>
      <c r="F12" s="372" t="s">
        <v>236</v>
      </c>
      <c r="G12" s="373" t="s">
        <v>237</v>
      </c>
      <c r="H12" s="554" t="s">
        <v>401</v>
      </c>
      <c r="I12" s="341"/>
      <c r="J12" s="271"/>
      <c r="K12" s="271"/>
      <c r="M12" s="345"/>
      <c r="N12" s="345"/>
      <c r="O12" s="345"/>
      <c r="P12" s="345"/>
      <c r="Q12" s="488"/>
      <c r="R12" s="345"/>
      <c r="S12" s="345"/>
      <c r="T12" s="345"/>
      <c r="U12" s="345"/>
      <c r="V12" s="309"/>
      <c r="W12" s="256"/>
      <c r="Y12" s="217"/>
    </row>
    <row r="13" spans="1:26" ht="16.5" customHeight="1" x14ac:dyDescent="0.25">
      <c r="A13" s="396">
        <v>2</v>
      </c>
      <c r="B13" s="374"/>
      <c r="C13" s="371"/>
      <c r="D13" s="371"/>
      <c r="E13" s="372" t="s">
        <v>237</v>
      </c>
      <c r="F13" s="372" t="s">
        <v>236</v>
      </c>
      <c r="G13" s="373" t="s">
        <v>237</v>
      </c>
      <c r="H13" s="554"/>
      <c r="I13" s="341"/>
      <c r="J13" s="271"/>
      <c r="K13" s="271"/>
      <c r="M13" s="499" t="s">
        <v>342</v>
      </c>
      <c r="N13" s="500"/>
      <c r="O13" s="500"/>
      <c r="P13" s="282" t="str">
        <f>D3</f>
        <v>جناب آقای</v>
      </c>
      <c r="Q13" s="283">
        <f>D4</f>
        <v>0</v>
      </c>
      <c r="R13" s="283"/>
      <c r="S13" s="283"/>
      <c r="T13" s="283" t="s">
        <v>245</v>
      </c>
      <c r="U13" s="284">
        <f>D5</f>
        <v>0</v>
      </c>
      <c r="V13" s="313"/>
      <c r="W13" s="272"/>
    </row>
    <row r="14" spans="1:26" ht="16.5" customHeight="1" x14ac:dyDescent="0.25">
      <c r="A14" s="396">
        <v>3</v>
      </c>
      <c r="B14" s="374"/>
      <c r="C14" s="371"/>
      <c r="D14" s="371"/>
      <c r="E14" s="372" t="s">
        <v>237</v>
      </c>
      <c r="F14" s="372" t="s">
        <v>236</v>
      </c>
      <c r="G14" s="373" t="s">
        <v>237</v>
      </c>
      <c r="H14" s="554"/>
      <c r="I14" s="341"/>
      <c r="J14" s="322" t="s">
        <v>250</v>
      </c>
      <c r="K14" s="271"/>
      <c r="M14" s="285" t="s">
        <v>250</v>
      </c>
      <c r="N14" s="497"/>
      <c r="O14" s="498"/>
      <c r="P14" s="498"/>
      <c r="Q14" s="286" t="s">
        <v>243</v>
      </c>
      <c r="R14" s="489" t="s">
        <v>15</v>
      </c>
      <c r="S14" s="490"/>
      <c r="T14" s="285" t="s">
        <v>249</v>
      </c>
      <c r="U14" s="285" t="s">
        <v>248</v>
      </c>
      <c r="V14" s="310"/>
      <c r="W14" s="257"/>
    </row>
    <row r="15" spans="1:26" ht="16.5" customHeight="1" x14ac:dyDescent="0.25">
      <c r="A15" s="396">
        <v>4</v>
      </c>
      <c r="B15" s="374"/>
      <c r="C15" s="371"/>
      <c r="D15" s="371"/>
      <c r="E15" s="372" t="s">
        <v>237</v>
      </c>
      <c r="F15" s="372" t="s">
        <v>236</v>
      </c>
      <c r="G15" s="373" t="s">
        <v>237</v>
      </c>
      <c r="H15" s="554"/>
      <c r="I15" s="341"/>
      <c r="J15" s="467">
        <v>1</v>
      </c>
      <c r="K15" s="271"/>
      <c r="M15" s="467">
        <f>J15</f>
        <v>1</v>
      </c>
      <c r="N15" s="287">
        <f>D12</f>
        <v>0</v>
      </c>
      <c r="O15" s="485" t="s">
        <v>267</v>
      </c>
      <c r="P15" s="486"/>
      <c r="Q15" s="288" t="str">
        <f>IF(AND(E12="Roof level",F12="Nothing"),"Roof Level",IF(AND(E12="Sayaneh",F12="Nothing"),"Sayaneh",IF(AND(E12="Pavlion",F12="Nothing"),"Pavlion",IF(AND(E12="Sayaneh",F12="Mana"),"Mana",IF(AND(E12="Sayaneh",F12="Shana"),"Shana",IF(AND(E12="Sayaneh",F12="Mah Sayeh"),"Mah Sayeh",IF(AND(E12="Pavlion",F12="Atin"),"Atin",IF(AND(E12="Pavlion",F12="Atin Plus"),"Atin Plus",IF(AND(E12="Pavlion",F12="Paina"),"Paina",IF(AND(E12="Pavlion",F12="Horno"),"Horno",IF(AND(E12="Pavlion",F12="Aavan"),"Aavan","---")))))))))))</f>
        <v>---</v>
      </c>
      <c r="R15" s="445">
        <f>Q16*O16*N15/10000</f>
        <v>0</v>
      </c>
      <c r="S15" s="446"/>
      <c r="T15" s="442">
        <f>FLOOR((IF(N15=0,0,IF(AND(O18=F103),((IF(R15=0,0,'1'!F16))*((100-H19)/100)),IF(AND(O18=F104),((IF(R15=0,0,'1'!F16))*((100-H19)/100)),IF(AND(O18=F105),((IF(R15=0,0,'1'!F16))*((100-H19)/100)),0)))))*(1+(G22/100)),100000)</f>
        <v>0</v>
      </c>
      <c r="U15" s="442">
        <f>FLOOR(T15*R15,100000)</f>
        <v>0</v>
      </c>
      <c r="V15" s="314"/>
      <c r="W15" s="273"/>
      <c r="Z15" s="232"/>
    </row>
    <row r="16" spans="1:26" ht="16.5" customHeight="1" thickBot="1" x14ac:dyDescent="0.3">
      <c r="A16" s="396">
        <v>5</v>
      </c>
      <c r="B16" s="376"/>
      <c r="C16" s="377"/>
      <c r="D16" s="377"/>
      <c r="E16" s="378" t="s">
        <v>237</v>
      </c>
      <c r="F16" s="378" t="s">
        <v>236</v>
      </c>
      <c r="G16" s="379" t="s">
        <v>237</v>
      </c>
      <c r="H16" s="555"/>
      <c r="I16" s="341"/>
      <c r="J16" s="468"/>
      <c r="K16" s="271"/>
      <c r="M16" s="468"/>
      <c r="N16" s="289" t="s">
        <v>252</v>
      </c>
      <c r="O16" s="495">
        <f>B12</f>
        <v>0</v>
      </c>
      <c r="P16" s="496"/>
      <c r="Q16" s="290">
        <f>C12</f>
        <v>0</v>
      </c>
      <c r="R16" s="447"/>
      <c r="S16" s="448"/>
      <c r="T16" s="443"/>
      <c r="U16" s="443"/>
      <c r="V16" s="314"/>
      <c r="W16" s="273"/>
      <c r="Y16" s="217"/>
      <c r="Z16" s="232"/>
    </row>
    <row r="17" spans="1:23" ht="16.5" customHeight="1" x14ac:dyDescent="0.25">
      <c r="A17" s="340"/>
      <c r="B17" s="546" t="s">
        <v>362</v>
      </c>
      <c r="C17" s="398" t="s">
        <v>206</v>
      </c>
      <c r="D17" s="398" t="s">
        <v>207</v>
      </c>
      <c r="E17" s="398" t="s">
        <v>4</v>
      </c>
      <c r="F17" s="451" t="s">
        <v>365</v>
      </c>
      <c r="G17" s="470" t="s">
        <v>242</v>
      </c>
      <c r="H17" s="472" t="s">
        <v>244</v>
      </c>
      <c r="I17" s="341"/>
      <c r="J17" s="468"/>
      <c r="K17" s="271"/>
      <c r="M17" s="468"/>
      <c r="N17" s="492" t="str">
        <f>H12</f>
        <v>FERRARI FLEXLIGHT 6002 VANILLA OPAQUE-Matte PVDF</v>
      </c>
      <c r="O17" s="493"/>
      <c r="P17" s="493"/>
      <c r="Q17" s="494"/>
      <c r="R17" s="447"/>
      <c r="S17" s="448"/>
      <c r="T17" s="443"/>
      <c r="U17" s="443"/>
      <c r="V17" s="314"/>
      <c r="W17" s="273"/>
    </row>
    <row r="18" spans="1:23" ht="16.5" customHeight="1" thickBot="1" x14ac:dyDescent="0.3">
      <c r="A18" s="340"/>
      <c r="B18" s="547"/>
      <c r="C18" s="375">
        <v>0</v>
      </c>
      <c r="D18" s="375">
        <v>0</v>
      </c>
      <c r="E18" s="375">
        <v>0</v>
      </c>
      <c r="F18" s="452"/>
      <c r="G18" s="471"/>
      <c r="H18" s="473"/>
      <c r="I18" s="341"/>
      <c r="J18" s="468"/>
      <c r="K18" s="271"/>
      <c r="M18" s="468"/>
      <c r="N18" s="342" t="s">
        <v>356</v>
      </c>
      <c r="O18" s="476" t="str">
        <f>G12</f>
        <v>-----</v>
      </c>
      <c r="P18" s="476"/>
      <c r="Q18" s="336" t="s">
        <v>359</v>
      </c>
      <c r="R18" s="447"/>
      <c r="S18" s="448"/>
      <c r="T18" s="443"/>
      <c r="U18" s="443"/>
      <c r="V18" s="314"/>
      <c r="W18" s="273"/>
    </row>
    <row r="19" spans="1:23" ht="16.5" customHeight="1" thickBot="1" x14ac:dyDescent="0.3">
      <c r="A19" s="340"/>
      <c r="B19" s="402" t="s">
        <v>385</v>
      </c>
      <c r="C19" s="412" t="s">
        <v>371</v>
      </c>
      <c r="D19" s="413"/>
      <c r="E19" s="414" t="s">
        <v>318</v>
      </c>
      <c r="F19" s="415" t="s">
        <v>319</v>
      </c>
      <c r="G19" s="401" t="s">
        <v>367</v>
      </c>
      <c r="H19" s="393">
        <v>0</v>
      </c>
      <c r="I19" s="341"/>
      <c r="J19" s="469"/>
      <c r="K19" s="271"/>
      <c r="M19" s="469"/>
      <c r="N19" s="489" t="s">
        <v>360</v>
      </c>
      <c r="O19" s="543"/>
      <c r="P19" s="543"/>
      <c r="Q19" s="490"/>
      <c r="R19" s="449"/>
      <c r="S19" s="450"/>
      <c r="T19" s="444"/>
      <c r="U19" s="444"/>
      <c r="V19" s="314"/>
      <c r="W19" s="273"/>
    </row>
    <row r="20" spans="1:23" ht="16.5" customHeight="1" x14ac:dyDescent="0.25">
      <c r="A20" s="340"/>
      <c r="B20" s="380" t="s">
        <v>384</v>
      </c>
      <c r="C20" s="409" t="s">
        <v>380</v>
      </c>
      <c r="D20" s="403"/>
      <c r="E20" s="404" t="s">
        <v>353</v>
      </c>
      <c r="F20" s="382">
        <v>45</v>
      </c>
      <c r="G20" s="453">
        <v>2</v>
      </c>
      <c r="H20" s="455" t="s">
        <v>414</v>
      </c>
      <c r="I20" s="341"/>
      <c r="J20" s="467">
        <v>2</v>
      </c>
      <c r="K20" s="271"/>
      <c r="M20" s="467">
        <f>J20</f>
        <v>2</v>
      </c>
      <c r="N20" s="291">
        <f>D13</f>
        <v>0</v>
      </c>
      <c r="O20" s="485" t="s">
        <v>267</v>
      </c>
      <c r="P20" s="486"/>
      <c r="Q20" s="292" t="str">
        <f>IF(AND(E13="Roof level",F13="Nothing"),"Roof Level",IF(AND(E13="Sayaneh",F13="Nothing"),"Sayaneh",IF(AND(E13="Pavlion",F13="Nothing"),"Pavlion",IF(AND(E13="Sayaneh",F13="Mana"),"Mana",IF(AND(E13="Sayaneh",F13="Shana"),"Shana",IF(AND(E13="Sayaneh",F13="Mah Sayeh"),"Mah Sayeh",IF(AND(E13="Pavlion",F13="Atin"),"Atin",IF(AND(E13="Pavlion",F13="Atin Plus"),"Atin Plus",IF(AND(E13="Pavlion",F13="Paina"),"Paina",IF(AND(E13="Pavlion",F13="Horno"),"Horno",IF(AND(E13="Pavlion",F13="Aavan"),"Aavan","---")))))))))))</f>
        <v>---</v>
      </c>
      <c r="R20" s="445">
        <f>Q21*O21*N20/10000</f>
        <v>0</v>
      </c>
      <c r="S20" s="446"/>
      <c r="T20" s="442">
        <f>FLOOR((IF(N20=0,0,IF(AND(O22=F103),((IF(R20=0,0,'2'!F16))*((100-H19)/100)),IF(AND(O22=F104),((IF(R20=0,0,'2'!F16))*((100-H19)/100)),IF(AND(O22=F105),((IF(R20=0,0,'2'!F16))*((100-H19)/100)),0)))))*(1+(G22/100)),100000)</f>
        <v>0</v>
      </c>
      <c r="U20" s="442">
        <f>FLOOR(T20*R20,100000)</f>
        <v>0</v>
      </c>
      <c r="V20" s="314"/>
      <c r="W20" s="273"/>
    </row>
    <row r="21" spans="1:23" ht="16.5" customHeight="1" x14ac:dyDescent="0.25">
      <c r="A21" s="340"/>
      <c r="B21" s="380" t="s">
        <v>382</v>
      </c>
      <c r="C21" s="410">
        <v>0</v>
      </c>
      <c r="D21" s="405"/>
      <c r="E21" s="406" t="s">
        <v>321</v>
      </c>
      <c r="F21" s="383">
        <v>8</v>
      </c>
      <c r="G21" s="454"/>
      <c r="H21" s="456"/>
      <c r="I21" s="341"/>
      <c r="J21" s="469"/>
      <c r="K21" s="271"/>
      <c r="M21" s="468"/>
      <c r="N21" s="289" t="s">
        <v>252</v>
      </c>
      <c r="O21" s="495">
        <f>B13</f>
        <v>0</v>
      </c>
      <c r="P21" s="496"/>
      <c r="Q21" s="293">
        <f>C13</f>
        <v>0</v>
      </c>
      <c r="R21" s="447"/>
      <c r="S21" s="448"/>
      <c r="T21" s="443"/>
      <c r="U21" s="443"/>
      <c r="V21" s="314"/>
      <c r="W21" s="273"/>
    </row>
    <row r="22" spans="1:23" ht="16.5" customHeight="1" thickBot="1" x14ac:dyDescent="0.3">
      <c r="A22" s="340"/>
      <c r="B22" s="381" t="s">
        <v>383</v>
      </c>
      <c r="C22" s="411">
        <v>0</v>
      </c>
      <c r="D22" s="407"/>
      <c r="E22" s="408" t="s">
        <v>322</v>
      </c>
      <c r="F22" s="392">
        <v>10</v>
      </c>
      <c r="G22" s="394">
        <v>20</v>
      </c>
      <c r="H22" s="395" t="s">
        <v>378</v>
      </c>
      <c r="I22" s="341"/>
      <c r="J22" s="362"/>
      <c r="K22" s="271"/>
      <c r="M22" s="469"/>
      <c r="N22" s="342" t="s">
        <v>356</v>
      </c>
      <c r="O22" s="476" t="str">
        <f>G13</f>
        <v>-----</v>
      </c>
      <c r="P22" s="476"/>
      <c r="Q22" s="361" t="s">
        <v>359</v>
      </c>
      <c r="R22" s="449"/>
      <c r="S22" s="450"/>
      <c r="T22" s="444"/>
      <c r="U22" s="444"/>
      <c r="V22" s="314"/>
      <c r="W22" s="273"/>
    </row>
    <row r="23" spans="1:23" ht="16.5" customHeight="1" thickBot="1" x14ac:dyDescent="0.3">
      <c r="A23" s="340"/>
      <c r="B23" s="340"/>
      <c r="C23" s="340"/>
      <c r="D23" s="340"/>
      <c r="E23" s="340"/>
      <c r="F23" s="340"/>
      <c r="G23" s="340"/>
      <c r="H23" s="340"/>
      <c r="I23" s="341"/>
      <c r="J23" s="467">
        <v>3</v>
      </c>
      <c r="K23" s="271"/>
      <c r="M23" s="467">
        <f t="shared" ref="M23" si="0">J23</f>
        <v>3</v>
      </c>
      <c r="N23" s="291">
        <f>D14</f>
        <v>0</v>
      </c>
      <c r="O23" s="544" t="s">
        <v>267</v>
      </c>
      <c r="P23" s="545"/>
      <c r="Q23" s="292" t="str">
        <f>IF(AND(E14="Roof level",F14="Nothing"),"Roof Level",IF(AND(E14="Sayaneh",F14="Nothing"),"Sayaneh",IF(AND(E14="Pavlion",F14="Nothing"),"Pavlion",IF(AND(E14="Sayaneh",F14="Mana"),"Mana",IF(AND(E14="Sayaneh",F14="Shana"),"Shana",IF(AND(E14="Sayaneh",F14="Mah Sayeh"),"Mah Sayeh",IF(AND(E14="Pavlion",F14="Atin"),"Atin",IF(AND(E14="Pavlion",F14="Atin Plus"),"Atin Plus",IF(AND(E14="Pavlion",F14="Paina"),"Paina",IF(AND(E14="Pavlion",F14="Horno"),"Horno",IF(AND(E14="Pavlion",F14="Aavan"),"Aavan","---")))))))))))</f>
        <v>---</v>
      </c>
      <c r="R23" s="445">
        <f>Q24*O24*N23/10000</f>
        <v>0</v>
      </c>
      <c r="S23" s="446"/>
      <c r="T23" s="442">
        <f>FLOOR((IF(N23=0,0,IF(AND(O25=F103),((IF(R23=0,0,'3'!F16))*((100-H19)/100)),IF(AND(O25=F104),((IF(R23=0,0,'3'!F16))*((100-H19)/100)),IF(AND(O25=F105),((IF(R23=0,0,'3'!F16))*((100-H19)/100)),0)))))*(1+(G22/100)),100000)</f>
        <v>0</v>
      </c>
      <c r="U23" s="442">
        <f>FLOOR(T23*R23,100000)</f>
        <v>0</v>
      </c>
      <c r="V23" s="314"/>
      <c r="W23" s="273"/>
    </row>
    <row r="24" spans="1:23" ht="16.5" customHeight="1" x14ac:dyDescent="0.25">
      <c r="A24" s="340"/>
      <c r="B24" s="348" t="s">
        <v>320</v>
      </c>
      <c r="C24" s="384">
        <v>2200000</v>
      </c>
      <c r="D24" s="463" t="s">
        <v>377</v>
      </c>
      <c r="E24" s="464"/>
      <c r="F24" s="474">
        <v>2900000</v>
      </c>
      <c r="G24" s="388" t="s">
        <v>253</v>
      </c>
      <c r="H24" s="389">
        <v>2500000</v>
      </c>
      <c r="I24" s="341"/>
      <c r="J24" s="469"/>
      <c r="K24" s="271"/>
      <c r="M24" s="468"/>
      <c r="N24" s="289" t="s">
        <v>252</v>
      </c>
      <c r="O24" s="541">
        <f>B14</f>
        <v>0</v>
      </c>
      <c r="P24" s="542"/>
      <c r="Q24" s="293">
        <f>C14</f>
        <v>0</v>
      </c>
      <c r="R24" s="447"/>
      <c r="S24" s="448"/>
      <c r="T24" s="443"/>
      <c r="U24" s="443"/>
      <c r="V24" s="314"/>
      <c r="W24" s="273"/>
    </row>
    <row r="25" spans="1:23" ht="16.5" customHeight="1" x14ac:dyDescent="0.25">
      <c r="A25" s="340"/>
      <c r="B25" s="349" t="s">
        <v>155</v>
      </c>
      <c r="C25" s="385">
        <v>700000</v>
      </c>
      <c r="D25" s="465"/>
      <c r="E25" s="466"/>
      <c r="F25" s="475"/>
      <c r="G25" s="357" t="s">
        <v>254</v>
      </c>
      <c r="H25" s="390">
        <v>1300000</v>
      </c>
      <c r="I25" s="341"/>
      <c r="J25" s="362"/>
      <c r="K25" s="271"/>
      <c r="M25" s="469"/>
      <c r="N25" s="342" t="s">
        <v>356</v>
      </c>
      <c r="O25" s="476" t="str">
        <f>G14</f>
        <v>-----</v>
      </c>
      <c r="P25" s="476"/>
      <c r="Q25" s="361" t="s">
        <v>359</v>
      </c>
      <c r="R25" s="449"/>
      <c r="S25" s="450"/>
      <c r="T25" s="444"/>
      <c r="U25" s="444"/>
      <c r="V25" s="314"/>
      <c r="W25" s="273"/>
    </row>
    <row r="26" spans="1:23" ht="16.5" customHeight="1" x14ac:dyDescent="0.25">
      <c r="A26" s="340"/>
      <c r="B26" s="347" t="s">
        <v>198</v>
      </c>
      <c r="C26" s="385">
        <v>450000</v>
      </c>
      <c r="D26" s="459" t="s">
        <v>379</v>
      </c>
      <c r="E26" s="460"/>
      <c r="F26" s="457">
        <f>((((INT(O16/60)-1)*(Q16/100))*0.5*C24)*N15)+((((INT(O21/60)-1)*(Q21/100))*0.5*C24)*N20)+((((INT(O24/60)-1)*(Q24/100))*0.5*C24)*N23)+((((INT(O27/60)-1)*(Q27/100))*0.5*C24)*N26)+((((INT(O30/60)-1)*(Q30/100))*0.5*C24)*N29)</f>
        <v>0</v>
      </c>
      <c r="G26" s="357" t="s">
        <v>255</v>
      </c>
      <c r="H26" s="390">
        <v>1900000</v>
      </c>
      <c r="I26" s="341"/>
      <c r="J26" s="467">
        <v>4</v>
      </c>
      <c r="K26" s="271"/>
      <c r="M26" s="467">
        <f t="shared" ref="M26" si="1">J26</f>
        <v>4</v>
      </c>
      <c r="N26" s="291">
        <f>D15</f>
        <v>0</v>
      </c>
      <c r="O26" s="485" t="s">
        <v>267</v>
      </c>
      <c r="P26" s="486"/>
      <c r="Q26" s="292" t="str">
        <f>IF(AND(E15="Roof level",F15="Nothing"),"Roof Level",IF(AND(E15="Sayaneh",F15="Nothing"),"Sayaneh",IF(AND(E15="Pavlion",F15="Nothing"),"Pavlion",IF(AND(E15="Sayaneh",F15="Mana"),"Mana",IF(AND(E15="Sayaneh",F15="Shana"),"Shana",IF(AND(E15="Sayaneh",F15="Mah Sayeh"),"Mah Sayeh",IF(AND(E15="Pavlion",F15="Atin"),"Atin",IF(AND(E15="Pavlion",F15="Atin Plus"),"Atin Plus",IF(AND(E15="Pavlion",F15="Paina"),"Paina",IF(AND(E15="Pavlion",F15="Horno"),"Horno",IF(AND(E15="Pavlion",F15="Aavan"),"Aavan","---")))))))))))</f>
        <v>---</v>
      </c>
      <c r="R26" s="445">
        <f>Q27*O27*N26/10000</f>
        <v>0</v>
      </c>
      <c r="S26" s="446"/>
      <c r="T26" s="442">
        <f>FLOOR((IF(N26=0,0,IF(AND(O28=F103),((IF(R26=0,0,'4'!F16))*((100-H19)/100)),IF(AND(O28=F104),((IF(R26=0,0,'4'!F16))*((100-H19)/100)),IF(AND(O28=F105),((IF(R26=0,0,'4'!F16))*((100-H19)/100)),0)))))*(1+(G22/100)),100000)</f>
        <v>0</v>
      </c>
      <c r="U26" s="442">
        <f>FLOOR(T26*R26,100000)</f>
        <v>0</v>
      </c>
      <c r="V26" s="314"/>
      <c r="W26" s="273"/>
    </row>
    <row r="27" spans="1:23" ht="16.5" customHeight="1" thickBot="1" x14ac:dyDescent="0.3">
      <c r="B27" s="386" t="s">
        <v>362</v>
      </c>
      <c r="C27" s="387">
        <v>45800000</v>
      </c>
      <c r="D27" s="461"/>
      <c r="E27" s="462"/>
      <c r="F27" s="458"/>
      <c r="G27" s="358" t="s">
        <v>256</v>
      </c>
      <c r="H27" s="391">
        <v>1700000</v>
      </c>
      <c r="J27" s="469"/>
      <c r="K27" s="271"/>
      <c r="L27" t="s">
        <v>3</v>
      </c>
      <c r="M27" s="468"/>
      <c r="N27" s="289" t="s">
        <v>252</v>
      </c>
      <c r="O27" s="495">
        <f>B15</f>
        <v>0</v>
      </c>
      <c r="P27" s="496"/>
      <c r="Q27" s="293">
        <f>C15</f>
        <v>0</v>
      </c>
      <c r="R27" s="447"/>
      <c r="S27" s="448"/>
      <c r="T27" s="443"/>
      <c r="U27" s="443"/>
      <c r="V27" s="314"/>
      <c r="W27" s="273"/>
    </row>
    <row r="28" spans="1:23" ht="16.5" customHeight="1" x14ac:dyDescent="0.25">
      <c r="A28" s="340"/>
      <c r="I28" s="341"/>
      <c r="J28" s="362"/>
      <c r="K28" s="271"/>
      <c r="M28" s="469"/>
      <c r="N28" s="342" t="s">
        <v>356</v>
      </c>
      <c r="O28" s="476" t="str">
        <f>G15</f>
        <v>-----</v>
      </c>
      <c r="P28" s="476"/>
      <c r="Q28" s="361" t="s">
        <v>359</v>
      </c>
      <c r="R28" s="449"/>
      <c r="S28" s="450"/>
      <c r="T28" s="444"/>
      <c r="U28" s="444"/>
      <c r="V28" s="314"/>
      <c r="W28" s="273"/>
    </row>
    <row r="29" spans="1:23" ht="16.5" customHeight="1" x14ac:dyDescent="0.25">
      <c r="I29" s="250"/>
      <c r="J29" s="467">
        <v>5</v>
      </c>
      <c r="K29" s="271"/>
      <c r="M29" s="467">
        <f t="shared" ref="M29" si="2">J29</f>
        <v>5</v>
      </c>
      <c r="N29" s="291">
        <f>D16</f>
        <v>0</v>
      </c>
      <c r="O29" s="485" t="s">
        <v>267</v>
      </c>
      <c r="P29" s="486"/>
      <c r="Q29" s="292" t="str">
        <f>IF(AND(E16="Roof level",F16="Nothing"),"Roof Level",IF(AND(E16="Sayaneh",F16="Nothing"),"Sayaneh",IF(AND(E16="Pavlion",F16="Nothing"),"Pavlion",IF(AND(E16="Sayaneh",F16="Mana"),"Mana",IF(AND(E16="Sayaneh",F16="Shana"),"Shana",IF(AND(E16="Sayaneh",F16="Mah Sayeh"),"Mah Sayeh",IF(AND(E16="Pavlion",F16="Atin"),"Atin",IF(AND(E16="Pavlion",F16="Atin Plus"),"Atin Plus",IF(AND(E16="Pavlion",F16="Paina"),"Paina",IF(AND(E16="Pavlion",F16="Horno"),"Horno",IF(AND(E16="Pavlion",F16="Aavan"),"Aavan","---")))))))))))</f>
        <v>---</v>
      </c>
      <c r="R29" s="445">
        <f>Q30*O30*N29/10000</f>
        <v>0</v>
      </c>
      <c r="S29" s="446"/>
      <c r="T29" s="442">
        <f>FLOOR((IF(N29=0,0,IF(AND(O31=F103),((IF(R29=0,0,'5'!F16))*((100-H19)/100)),IF(AND(O31=F104),((IF(R29=0,0,'5'!F16))*((100-H19)/100)),IF(AND(O31=F105),((IF(R29=0,0,'5'!F16))*((100-H19)/100)),0)))))*(1+(G22/100)),100000)</f>
        <v>0</v>
      </c>
      <c r="U29" s="442">
        <f>FLOOR(T29*R29,100000)</f>
        <v>0</v>
      </c>
      <c r="V29" s="314"/>
      <c r="W29" s="273"/>
    </row>
    <row r="30" spans="1:23" ht="16.5" customHeight="1" x14ac:dyDescent="0.25">
      <c r="C30" t="s">
        <v>3</v>
      </c>
      <c r="J30" s="469"/>
      <c r="K30" s="271"/>
      <c r="M30" s="468"/>
      <c r="N30" s="289" t="s">
        <v>252</v>
      </c>
      <c r="O30" s="495">
        <f>B16</f>
        <v>0</v>
      </c>
      <c r="P30" s="496"/>
      <c r="Q30" s="293">
        <f>C16</f>
        <v>0</v>
      </c>
      <c r="R30" s="447"/>
      <c r="S30" s="448"/>
      <c r="T30" s="443"/>
      <c r="U30" s="443"/>
      <c r="V30" s="314"/>
      <c r="W30" s="273"/>
    </row>
    <row r="31" spans="1:23" ht="16.5" customHeight="1" x14ac:dyDescent="0.25">
      <c r="A31" s="340"/>
      <c r="B31" s="340"/>
      <c r="C31" s="340"/>
      <c r="D31" s="340"/>
      <c r="E31" s="340"/>
      <c r="F31" s="340"/>
      <c r="G31" s="340"/>
      <c r="H31" s="340"/>
      <c r="I31" s="341"/>
      <c r="J31" s="362"/>
      <c r="K31" s="271"/>
      <c r="M31" s="469"/>
      <c r="N31" s="342" t="s">
        <v>356</v>
      </c>
      <c r="O31" s="476" t="str">
        <f>G16</f>
        <v>-----</v>
      </c>
      <c r="P31" s="476"/>
      <c r="Q31" s="361" t="s">
        <v>359</v>
      </c>
      <c r="R31" s="449"/>
      <c r="S31" s="450"/>
      <c r="T31" s="444"/>
      <c r="U31" s="444"/>
      <c r="V31" s="314"/>
      <c r="W31" s="273"/>
    </row>
    <row r="32" spans="1:23" ht="16.5" customHeight="1" x14ac:dyDescent="0.25">
      <c r="J32" s="337">
        <v>6</v>
      </c>
      <c r="K32" s="271"/>
      <c r="M32" s="337">
        <f>J32</f>
        <v>6</v>
      </c>
      <c r="N32" s="533">
        <f>E18</f>
        <v>0</v>
      </c>
      <c r="O32" s="534"/>
      <c r="P32" s="343">
        <f>C18</f>
        <v>0</v>
      </c>
      <c r="Q32" s="344">
        <f>D18</f>
        <v>0</v>
      </c>
      <c r="R32" s="445">
        <f>IF(AND(F17=E108),(N32*P32*Q32/10000),IF(AND(F17=E109),(N32*P32*Q32/20000),0))</f>
        <v>0</v>
      </c>
      <c r="S32" s="446"/>
      <c r="T32" s="300">
        <f>FLOOR(C27*(1+(G22/100)),100000)</f>
        <v>54900000</v>
      </c>
      <c r="U32" s="300">
        <f>FLOOR(T32*R32,100000)</f>
        <v>0</v>
      </c>
      <c r="V32" s="314"/>
      <c r="W32" s="273"/>
    </row>
    <row r="33" spans="10:23" ht="16.5" customHeight="1" x14ac:dyDescent="0.25">
      <c r="J33" s="466">
        <v>7</v>
      </c>
      <c r="K33" s="271"/>
      <c r="M33" s="467">
        <f>J33</f>
        <v>7</v>
      </c>
      <c r="N33" s="535" t="s">
        <v>339</v>
      </c>
      <c r="O33" s="536"/>
      <c r="P33" s="536"/>
      <c r="Q33" s="537"/>
      <c r="R33" s="445">
        <f>IF(H17="-----",0,SUM(R15:S32))</f>
        <v>0</v>
      </c>
      <c r="S33" s="446"/>
      <c r="T33" s="477" t="e">
        <f>FLOOR(IF(H17=H110,(F24+(F26/R33))*(1+(G22/100)),(F24*(1+(G22/100)))),100000)</f>
        <v>#DIV/0!</v>
      </c>
      <c r="U33" s="442" t="e">
        <f>FLOOR(T33*R33,100000)</f>
        <v>#DIV/0!</v>
      </c>
      <c r="V33" s="314"/>
      <c r="W33" s="273"/>
    </row>
    <row r="34" spans="10:23" ht="16.5" customHeight="1" x14ac:dyDescent="0.25">
      <c r="J34" s="466"/>
      <c r="K34" s="271"/>
      <c r="M34" s="469"/>
      <c r="N34" s="538" t="s">
        <v>338</v>
      </c>
      <c r="O34" s="539"/>
      <c r="P34" s="539"/>
      <c r="Q34" s="540"/>
      <c r="R34" s="449"/>
      <c r="S34" s="450"/>
      <c r="T34" s="478"/>
      <c r="U34" s="443"/>
      <c r="V34" s="314"/>
      <c r="W34" s="273"/>
    </row>
    <row r="35" spans="10:23" ht="16.5" customHeight="1" x14ac:dyDescent="0.25">
      <c r="J35" s="322">
        <v>8</v>
      </c>
      <c r="K35" s="271"/>
      <c r="M35" s="294">
        <f>J35</f>
        <v>8</v>
      </c>
      <c r="N35" s="295" t="s">
        <v>253</v>
      </c>
      <c r="O35" s="296"/>
      <c r="P35" s="296"/>
      <c r="Q35" s="297" t="s">
        <v>244</v>
      </c>
      <c r="R35" s="298">
        <f>FLOOR((IF(H110=$H$17,($R$33*0.7),0)),1)</f>
        <v>0</v>
      </c>
      <c r="S35" s="299" t="s">
        <v>18</v>
      </c>
      <c r="T35" s="300">
        <f>FLOOR(H24*(1+($G$22/100)),100000)</f>
        <v>3000000</v>
      </c>
      <c r="U35" s="300">
        <f>FLOOR(T35*R35,100000)</f>
        <v>0</v>
      </c>
      <c r="V35" s="314"/>
      <c r="W35" s="273"/>
    </row>
    <row r="36" spans="10:23" ht="16.5" customHeight="1" x14ac:dyDescent="0.25">
      <c r="J36" s="322">
        <v>9</v>
      </c>
      <c r="K36" s="271"/>
      <c r="M36" s="321">
        <f t="shared" ref="M36:M39" si="3">J36</f>
        <v>9</v>
      </c>
      <c r="N36" s="295" t="s">
        <v>254</v>
      </c>
      <c r="O36" s="296"/>
      <c r="P36" s="296"/>
      <c r="Q36" s="297" t="s">
        <v>247</v>
      </c>
      <c r="R36" s="301">
        <f>FLOOR((IF(H111=$H$17,$R$33*0.7,0)),1)</f>
        <v>0</v>
      </c>
      <c r="S36" s="294" t="s">
        <v>18</v>
      </c>
      <c r="T36" s="300">
        <f>FLOOR(H25*(1+($G$22/100)),100000)</f>
        <v>1500000</v>
      </c>
      <c r="U36" s="300">
        <f>FLOOR(T36*R36,100000)</f>
        <v>0</v>
      </c>
      <c r="V36" s="314"/>
      <c r="W36" s="273"/>
    </row>
    <row r="37" spans="10:23" ht="16.5" customHeight="1" x14ac:dyDescent="0.25">
      <c r="J37" s="337">
        <v>10</v>
      </c>
      <c r="K37" s="271"/>
      <c r="M37" s="321">
        <f t="shared" si="3"/>
        <v>10</v>
      </c>
      <c r="N37" s="295" t="s">
        <v>255</v>
      </c>
      <c r="O37" s="296"/>
      <c r="P37" s="296"/>
      <c r="Q37" s="297" t="s">
        <v>251</v>
      </c>
      <c r="R37" s="301">
        <f>FLOOR((IF(H112=$H$17,$R$33*0.7,0)),1)</f>
        <v>0</v>
      </c>
      <c r="S37" s="294" t="s">
        <v>18</v>
      </c>
      <c r="T37" s="300">
        <f>FLOOR(H26*(1+($G$22/100)),100000)</f>
        <v>2200000</v>
      </c>
      <c r="U37" s="300">
        <f>FLOOR(T37*R37,100000)</f>
        <v>0</v>
      </c>
      <c r="V37" s="314"/>
      <c r="W37" s="273"/>
    </row>
    <row r="38" spans="10:23" ht="16.5" customHeight="1" x14ac:dyDescent="0.25">
      <c r="J38" s="337">
        <v>11</v>
      </c>
      <c r="K38" s="271"/>
      <c r="M38" s="338">
        <f t="shared" si="3"/>
        <v>11</v>
      </c>
      <c r="N38" s="295" t="s">
        <v>256</v>
      </c>
      <c r="O38" s="296"/>
      <c r="P38" s="296"/>
      <c r="Q38" s="297" t="s">
        <v>246</v>
      </c>
      <c r="R38" s="301">
        <f>FLOOR((IF(H113=$H$17,$R$33*0.7,0)),1)</f>
        <v>0</v>
      </c>
      <c r="S38" s="294" t="s">
        <v>18</v>
      </c>
      <c r="T38" s="300">
        <f>FLOOR(H27*(1+($G$22/100)),100000)</f>
        <v>2000000</v>
      </c>
      <c r="U38" s="300">
        <f>FLOOR(T38*R38,100000)</f>
        <v>0</v>
      </c>
      <c r="V38" s="314"/>
      <c r="W38" s="273"/>
    </row>
    <row r="39" spans="10:23" ht="16.5" customHeight="1" x14ac:dyDescent="0.25">
      <c r="J39" s="337">
        <v>12</v>
      </c>
      <c r="K39" s="271"/>
      <c r="M39" s="337">
        <f t="shared" si="3"/>
        <v>12</v>
      </c>
      <c r="N39" s="528" t="str">
        <f>IF(AND(F19="تهران"),"نصب در تهران 8 درصد",IF(AND(F19="مشهد"),"نصب در مشهد 8 درصد",IF(AND(F19="شهرستان"),"نصب در شهرستان 10 درصد","---------")))</f>
        <v>نصب در تهران 8 درصد</v>
      </c>
      <c r="O39" s="529"/>
      <c r="P39" s="529"/>
      <c r="Q39" s="529"/>
      <c r="R39" s="529"/>
      <c r="S39" s="529"/>
      <c r="T39" s="530"/>
      <c r="U39" s="302" t="e">
        <f>FLOOR(IF(AND(F19="تهران"),T1*(F21/100),IF(AND(F19="مشهد"),T1*(F21/100),IF(AND(F19="شهرستان"),T1*(F22/100),0))),100000)</f>
        <v>#DIV/0!</v>
      </c>
      <c r="V39" s="315"/>
      <c r="W39" s="274"/>
    </row>
    <row r="40" spans="10:23" ht="16.5" customHeight="1" x14ac:dyDescent="0.25">
      <c r="J40" s="337">
        <v>13</v>
      </c>
      <c r="K40" s="271"/>
      <c r="M40" s="346">
        <f t="shared" ref="M40:M41" si="4">J40</f>
        <v>13</v>
      </c>
      <c r="N40" s="354"/>
      <c r="O40" s="355"/>
      <c r="P40" s="351"/>
      <c r="Q40" s="351"/>
      <c r="R40" s="356">
        <f>IF(C20="مبلغ",0,C22)</f>
        <v>0</v>
      </c>
      <c r="S40" s="482" t="str">
        <f>C19</f>
        <v>تخفیف</v>
      </c>
      <c r="T40" s="483"/>
      <c r="U40" s="352">
        <f>IF(C20="مبلغ",C21,SUM(U15:U38)*(C22/100))</f>
        <v>0</v>
      </c>
      <c r="V40" s="314"/>
      <c r="W40" s="275"/>
    </row>
    <row r="41" spans="10:23" ht="16.5" customHeight="1" x14ac:dyDescent="0.25">
      <c r="J41" s="337">
        <v>14</v>
      </c>
      <c r="M41" s="337">
        <f t="shared" si="4"/>
        <v>14</v>
      </c>
      <c r="N41" s="353"/>
      <c r="O41" s="353"/>
      <c r="P41" s="303"/>
      <c r="Q41" s="303"/>
      <c r="R41" s="526" t="s">
        <v>257</v>
      </c>
      <c r="S41" s="526"/>
      <c r="T41" s="527"/>
      <c r="U41" s="300" t="e">
        <f>FLOOR((SUM(U15:U39)-U40),100000)</f>
        <v>#DIV/0!</v>
      </c>
      <c r="W41" s="277"/>
    </row>
    <row r="42" spans="10:23" ht="16.5" customHeight="1" x14ac:dyDescent="0.25">
      <c r="W42" s="277"/>
    </row>
    <row r="43" spans="10:23" ht="16.5" customHeight="1" x14ac:dyDescent="0.25">
      <c r="N43" s="339" t="s">
        <v>372</v>
      </c>
      <c r="O43" s="532">
        <f>G8</f>
        <v>0</v>
      </c>
      <c r="P43" s="532"/>
      <c r="W43" s="277"/>
    </row>
    <row r="44" spans="10:23" ht="16.5" customHeight="1" x14ac:dyDescent="0.25">
      <c r="W44" s="277"/>
    </row>
    <row r="45" spans="10:23" ht="16.5" customHeight="1" x14ac:dyDescent="0.25">
      <c r="W45" s="360"/>
    </row>
    <row r="46" spans="10:23" ht="16.5" customHeight="1" x14ac:dyDescent="0.25">
      <c r="W46" s="360"/>
    </row>
    <row r="47" spans="10:23" ht="16.5" customHeight="1" x14ac:dyDescent="0.25">
      <c r="W47" s="277"/>
    </row>
    <row r="48" spans="10:23" ht="16.5" customHeight="1" x14ac:dyDescent="0.25">
      <c r="W48" s="277"/>
    </row>
    <row r="49" spans="19:23" ht="16.5" customHeight="1" x14ac:dyDescent="0.25">
      <c r="W49" s="277"/>
    </row>
    <row r="50" spans="19:23" ht="16.5" customHeight="1" x14ac:dyDescent="0.25">
      <c r="W50" s="277"/>
    </row>
    <row r="51" spans="19:23" ht="16.5" customHeight="1" x14ac:dyDescent="0.25">
      <c r="W51" s="277"/>
    </row>
    <row r="52" spans="19:23" ht="16.5" customHeight="1" x14ac:dyDescent="0.25"/>
    <row r="53" spans="19:23" ht="16.5" customHeight="1" x14ac:dyDescent="0.25"/>
    <row r="54" spans="19:23" ht="16.5" customHeight="1" x14ac:dyDescent="0.25"/>
    <row r="55" spans="19:23" ht="16.5" customHeight="1" x14ac:dyDescent="0.25"/>
    <row r="56" spans="19:23" ht="16.5" customHeight="1" x14ac:dyDescent="0.25"/>
    <row r="57" spans="19:23" ht="16.5" customHeight="1" x14ac:dyDescent="0.25"/>
    <row r="58" spans="19:23" ht="16.5" customHeight="1" x14ac:dyDescent="0.25"/>
    <row r="59" spans="19:23" ht="16.5" customHeight="1" x14ac:dyDescent="0.25"/>
    <row r="60" spans="19:23" ht="16.5" customHeight="1" x14ac:dyDescent="0.25"/>
    <row r="61" spans="19:23" ht="16.5" customHeight="1" x14ac:dyDescent="0.25"/>
    <row r="62" spans="19:23" ht="16.5" customHeight="1" x14ac:dyDescent="0.25">
      <c r="S62" s="276" t="s">
        <v>327</v>
      </c>
      <c r="T62" s="479">
        <f>G3</f>
        <v>0</v>
      </c>
      <c r="U62" s="479"/>
      <c r="V62" s="307"/>
    </row>
    <row r="63" spans="19:23" ht="16.5" customHeight="1" x14ac:dyDescent="0.25">
      <c r="S63" s="276" t="s">
        <v>328</v>
      </c>
      <c r="T63" s="491" t="str">
        <f>G4</f>
        <v>1403/01/20</v>
      </c>
      <c r="U63" s="491"/>
      <c r="V63" s="308"/>
    </row>
    <row r="64" spans="19:23" ht="16.5" customHeight="1" x14ac:dyDescent="0.25">
      <c r="S64" s="278" t="s">
        <v>329</v>
      </c>
      <c r="T64" s="531" t="str">
        <f>G5</f>
        <v>ندارد</v>
      </c>
      <c r="U64" s="531"/>
      <c r="V64" s="311"/>
    </row>
    <row r="65" spans="13:22" ht="16.5" customHeight="1" x14ac:dyDescent="0.25"/>
    <row r="66" spans="13:22" ht="16.5" customHeight="1" x14ac:dyDescent="0.25">
      <c r="M66" s="481" t="s">
        <v>258</v>
      </c>
      <c r="N66" s="481"/>
      <c r="O66" s="481"/>
      <c r="P66" s="481"/>
      <c r="Q66" s="481"/>
      <c r="R66" s="481"/>
      <c r="S66" s="481"/>
      <c r="T66" s="481"/>
      <c r="U66" s="481"/>
      <c r="V66" s="306"/>
    </row>
    <row r="67" spans="13:22" ht="16.5" customHeight="1" x14ac:dyDescent="0.25">
      <c r="M67" s="481" t="s">
        <v>351</v>
      </c>
      <c r="N67" s="481"/>
      <c r="O67" s="481"/>
      <c r="P67" s="325">
        <f>F20</f>
        <v>45</v>
      </c>
      <c r="Q67" s="481" t="s">
        <v>352</v>
      </c>
      <c r="R67" s="481"/>
      <c r="S67" s="481"/>
      <c r="T67" s="326"/>
      <c r="U67" s="326"/>
      <c r="V67" s="306"/>
    </row>
    <row r="68" spans="13:22" ht="16.5" customHeight="1" x14ac:dyDescent="0.25">
      <c r="M68" s="480" t="s">
        <v>350</v>
      </c>
      <c r="N68" s="480"/>
      <c r="O68" s="480"/>
      <c r="P68" s="480"/>
      <c r="Q68" s="480"/>
      <c r="R68" s="480"/>
      <c r="S68" s="480"/>
      <c r="T68" s="480"/>
      <c r="U68" s="480"/>
      <c r="V68" s="304"/>
    </row>
    <row r="69" spans="13:22" ht="16.5" customHeight="1" x14ac:dyDescent="0.25">
      <c r="M69" s="481" t="s">
        <v>259</v>
      </c>
      <c r="N69" s="481"/>
      <c r="O69" s="481"/>
      <c r="P69" s="481"/>
      <c r="Q69" s="481"/>
      <c r="R69" s="481"/>
      <c r="S69" s="481"/>
      <c r="T69" s="481"/>
      <c r="U69" s="481"/>
      <c r="V69" s="306"/>
    </row>
    <row r="70" spans="13:22" ht="16.5" customHeight="1" x14ac:dyDescent="0.25">
      <c r="M70" s="481" t="s">
        <v>260</v>
      </c>
      <c r="N70" s="481"/>
      <c r="O70" s="481"/>
      <c r="P70" s="481"/>
      <c r="Q70" s="481"/>
      <c r="R70" s="481"/>
      <c r="S70" s="481"/>
      <c r="T70" s="481"/>
      <c r="U70" s="481"/>
      <c r="V70" s="306"/>
    </row>
    <row r="71" spans="13:22" ht="16.5" customHeight="1" x14ac:dyDescent="0.25">
      <c r="M71" s="481" t="s">
        <v>386</v>
      </c>
      <c r="N71" s="481"/>
      <c r="O71" s="481"/>
      <c r="P71" s="481"/>
      <c r="Q71" s="481"/>
      <c r="R71" s="481"/>
      <c r="S71" s="481"/>
      <c r="T71" s="481"/>
      <c r="U71" s="481"/>
      <c r="V71" s="359"/>
    </row>
    <row r="72" spans="13:22" ht="16.5" customHeight="1" x14ac:dyDescent="0.25">
      <c r="M72" s="481" t="s">
        <v>261</v>
      </c>
      <c r="N72" s="481"/>
      <c r="O72" s="481"/>
      <c r="P72" s="481"/>
      <c r="Q72" s="481"/>
      <c r="R72" s="481"/>
      <c r="S72" s="481"/>
      <c r="T72" s="481"/>
      <c r="U72" s="481"/>
      <c r="V72" s="306"/>
    </row>
    <row r="73" spans="13:22" ht="16.5" customHeight="1" x14ac:dyDescent="0.25">
      <c r="M73" s="481" t="s">
        <v>262</v>
      </c>
      <c r="N73" s="481"/>
      <c r="O73" s="481"/>
      <c r="P73" s="481"/>
      <c r="Q73" s="481"/>
      <c r="R73" s="481"/>
      <c r="S73" s="481"/>
      <c r="T73" s="481"/>
      <c r="U73" s="481"/>
      <c r="V73" s="306"/>
    </row>
    <row r="74" spans="13:22" ht="16.5" customHeight="1" x14ac:dyDescent="0.25">
      <c r="M74" s="481"/>
      <c r="N74" s="481"/>
      <c r="O74" s="481"/>
      <c r="P74" s="481"/>
      <c r="Q74" s="481"/>
      <c r="R74" s="481"/>
      <c r="S74" s="481"/>
      <c r="T74" s="481"/>
      <c r="U74" s="481"/>
      <c r="V74" s="306"/>
    </row>
    <row r="75" spans="13:22" ht="16.5" customHeight="1" x14ac:dyDescent="0.25">
      <c r="M75" s="480" t="s">
        <v>263</v>
      </c>
      <c r="N75" s="480"/>
      <c r="O75" s="480"/>
      <c r="P75" s="480"/>
      <c r="Q75" s="480"/>
      <c r="R75" s="480"/>
      <c r="S75" s="480"/>
      <c r="T75" s="480"/>
      <c r="U75" s="480"/>
      <c r="V75" s="304"/>
    </row>
    <row r="76" spans="13:22" ht="16.5" customHeight="1" x14ac:dyDescent="0.25">
      <c r="M76" s="480" t="s">
        <v>415</v>
      </c>
      <c r="N76" s="480"/>
      <c r="O76" s="480"/>
      <c r="P76" s="480"/>
      <c r="Q76" s="480"/>
      <c r="R76" s="480"/>
      <c r="S76" s="480"/>
      <c r="T76" s="480"/>
      <c r="U76" s="480"/>
      <c r="V76" s="304"/>
    </row>
    <row r="77" spans="13:22" ht="16.5" customHeight="1" x14ac:dyDescent="0.25">
      <c r="M77" s="480" t="s">
        <v>264</v>
      </c>
      <c r="N77" s="480"/>
      <c r="O77" s="480"/>
      <c r="P77" s="480"/>
      <c r="Q77" s="480"/>
      <c r="R77" s="480"/>
      <c r="S77" s="480"/>
      <c r="T77" s="480"/>
      <c r="U77" s="480"/>
      <c r="V77" s="304"/>
    </row>
    <row r="78" spans="13:22" ht="33" customHeight="1" x14ac:dyDescent="0.45">
      <c r="M78" s="525" t="s">
        <v>343</v>
      </c>
      <c r="N78" s="525"/>
      <c r="O78" s="525"/>
      <c r="P78" s="525"/>
      <c r="Q78" s="525"/>
      <c r="R78" s="525"/>
      <c r="S78" s="525"/>
      <c r="T78" s="525"/>
      <c r="U78" s="525"/>
      <c r="V78" s="305"/>
    </row>
    <row r="79" spans="13:22" ht="16.5" customHeight="1" x14ac:dyDescent="0.25">
      <c r="M79" s="333"/>
      <c r="N79" s="333"/>
      <c r="O79" s="333"/>
      <c r="P79" s="333"/>
      <c r="Q79" s="333"/>
      <c r="R79" s="333"/>
      <c r="S79" s="333"/>
      <c r="T79" s="333"/>
      <c r="U79" s="333"/>
      <c r="V79" s="304"/>
    </row>
    <row r="80" spans="13:22" ht="16.5" customHeight="1" x14ac:dyDescent="0.25">
      <c r="M80" s="333"/>
      <c r="N80" s="333"/>
      <c r="O80" s="333"/>
      <c r="P80" s="333"/>
      <c r="Q80" s="333"/>
      <c r="R80" s="333"/>
      <c r="S80" s="333"/>
      <c r="T80" s="333"/>
      <c r="U80" s="333"/>
      <c r="V80" s="304"/>
    </row>
    <row r="81" spans="13:22" ht="16.5" customHeight="1" x14ac:dyDescent="0.25">
      <c r="M81" s="333"/>
      <c r="N81" s="333"/>
      <c r="O81" s="333"/>
      <c r="P81" s="333"/>
      <c r="Q81" s="333"/>
      <c r="R81" s="333"/>
      <c r="S81" s="333"/>
      <c r="T81" s="333"/>
      <c r="U81" s="333"/>
      <c r="V81" s="304"/>
    </row>
    <row r="82" spans="13:22" ht="16.5" customHeight="1" x14ac:dyDescent="0.25">
      <c r="M82" s="304"/>
      <c r="N82" s="304"/>
      <c r="O82" s="304"/>
      <c r="P82" s="304"/>
      <c r="Q82" s="304"/>
      <c r="R82" s="304"/>
      <c r="S82" s="304"/>
      <c r="T82" s="304"/>
      <c r="U82" s="304"/>
      <c r="V82" s="304"/>
    </row>
    <row r="83" spans="13:22" ht="16.5" customHeight="1" x14ac:dyDescent="0.25"/>
    <row r="84" spans="13:22" ht="16.5" customHeight="1" x14ac:dyDescent="0.25"/>
    <row r="85" spans="13:22" ht="16.5" customHeight="1" x14ac:dyDescent="0.25"/>
    <row r="86" spans="13:22" ht="16.5" customHeight="1" x14ac:dyDescent="0.25"/>
    <row r="87" spans="13:22" ht="16.5" customHeight="1" x14ac:dyDescent="0.25"/>
    <row r="88" spans="13:22" ht="16.5" customHeight="1" x14ac:dyDescent="0.25"/>
    <row r="89" spans="13:22" ht="16.5" customHeight="1" x14ac:dyDescent="0.25"/>
    <row r="90" spans="13:22" ht="16.5" customHeight="1" x14ac:dyDescent="0.25"/>
    <row r="91" spans="13:22" ht="16.5" customHeight="1" x14ac:dyDescent="0.25"/>
    <row r="92" spans="13:22" ht="16.5" customHeight="1" x14ac:dyDescent="0.25"/>
    <row r="93" spans="13:22" ht="16.5" customHeight="1" x14ac:dyDescent="0.25"/>
    <row r="94" spans="13:22" ht="16.5" customHeight="1" x14ac:dyDescent="0.25"/>
    <row r="95" spans="13:22" ht="16.5" customHeight="1" x14ac:dyDescent="0.25"/>
    <row r="96" spans="13:22" ht="16.5" customHeight="1" x14ac:dyDescent="0.25"/>
    <row r="97" spans="3:14" ht="16.5" customHeight="1" x14ac:dyDescent="0.25"/>
    <row r="98" spans="3:14" ht="16.5" customHeight="1" x14ac:dyDescent="0.25"/>
    <row r="99" spans="3:14" ht="16.5" customHeight="1" x14ac:dyDescent="0.25"/>
    <row r="100" spans="3:14" ht="16.5" customHeight="1" x14ac:dyDescent="0.25"/>
    <row r="101" spans="3:14" ht="16.5" customHeight="1" x14ac:dyDescent="0.25"/>
    <row r="102" spans="3:14" ht="16.5" customHeight="1" x14ac:dyDescent="0.25">
      <c r="F102" s="261" t="s">
        <v>237</v>
      </c>
    </row>
    <row r="103" spans="3:14" ht="17.45" customHeight="1" x14ac:dyDescent="0.25">
      <c r="F103" s="365" t="s">
        <v>358</v>
      </c>
      <c r="H103" t="s">
        <v>380</v>
      </c>
    </row>
    <row r="104" spans="3:14" ht="17.45" customHeight="1" x14ac:dyDescent="0.25">
      <c r="F104" s="365" t="s">
        <v>364</v>
      </c>
      <c r="H104" t="s">
        <v>381</v>
      </c>
    </row>
    <row r="105" spans="3:14" ht="17.45" customHeight="1" x14ac:dyDescent="0.25">
      <c r="F105" s="365" t="s">
        <v>389</v>
      </c>
    </row>
    <row r="106" spans="3:14" ht="17.45" customHeight="1" x14ac:dyDescent="0.25">
      <c r="C106" t="s">
        <v>336</v>
      </c>
      <c r="G106" t="s">
        <v>340</v>
      </c>
      <c r="H106" t="s">
        <v>333</v>
      </c>
    </row>
    <row r="107" spans="3:14" ht="17.45" customHeight="1" x14ac:dyDescent="0.25">
      <c r="C107" t="s">
        <v>388</v>
      </c>
      <c r="E107" s="261" t="s">
        <v>237</v>
      </c>
      <c r="G107" t="s">
        <v>332</v>
      </c>
      <c r="H107" t="s">
        <v>341</v>
      </c>
      <c r="N107" t="s">
        <v>357</v>
      </c>
    </row>
    <row r="108" spans="3:14" ht="17.45" customHeight="1" x14ac:dyDescent="0.25">
      <c r="E108" t="s">
        <v>365</v>
      </c>
      <c r="H108" t="s">
        <v>387</v>
      </c>
      <c r="N108" s="233" t="s">
        <v>237</v>
      </c>
    </row>
    <row r="109" spans="3:14" ht="17.45" customHeight="1" x14ac:dyDescent="0.25">
      <c r="E109" t="s">
        <v>366</v>
      </c>
      <c r="H109" s="258" t="s">
        <v>237</v>
      </c>
      <c r="N109" t="s">
        <v>401</v>
      </c>
    </row>
    <row r="110" spans="3:14" ht="17.45" customHeight="1" x14ac:dyDescent="0.25">
      <c r="F110" s="216" t="s">
        <v>236</v>
      </c>
      <c r="G110" s="233" t="s">
        <v>237</v>
      </c>
      <c r="H110" s="234" t="s">
        <v>244</v>
      </c>
      <c r="N110" t="s">
        <v>402</v>
      </c>
    </row>
    <row r="111" spans="3:14" ht="17.45" customHeight="1" x14ac:dyDescent="0.25">
      <c r="F111" s="217" t="s">
        <v>237</v>
      </c>
      <c r="G111" s="232" t="s">
        <v>235</v>
      </c>
      <c r="H111" s="234" t="s">
        <v>247</v>
      </c>
      <c r="N111" t="s">
        <v>403</v>
      </c>
    </row>
    <row r="112" spans="3:14" ht="17.45" customHeight="1" x14ac:dyDescent="0.25">
      <c r="C112" t="s">
        <v>368</v>
      </c>
      <c r="F112" s="210" t="s">
        <v>225</v>
      </c>
      <c r="G112" s="232" t="s">
        <v>228</v>
      </c>
      <c r="H112" s="234" t="s">
        <v>251</v>
      </c>
      <c r="N112" t="s">
        <v>404</v>
      </c>
    </row>
    <row r="113" spans="3:14" ht="17.45" customHeight="1" x14ac:dyDescent="0.25">
      <c r="C113" t="s">
        <v>369</v>
      </c>
      <c r="F113" s="210" t="s">
        <v>226</v>
      </c>
      <c r="G113" s="232" t="s">
        <v>229</v>
      </c>
      <c r="H113" s="234" t="s">
        <v>246</v>
      </c>
      <c r="N113" t="s">
        <v>391</v>
      </c>
    </row>
    <row r="114" spans="3:14" ht="17.45" customHeight="1" x14ac:dyDescent="0.25">
      <c r="C114" t="s">
        <v>370</v>
      </c>
      <c r="F114" s="210" t="s">
        <v>227</v>
      </c>
      <c r="G114" s="232"/>
      <c r="H114" s="232"/>
      <c r="N114" t="s">
        <v>392</v>
      </c>
    </row>
    <row r="115" spans="3:14" ht="17.45" customHeight="1" x14ac:dyDescent="0.25">
      <c r="C115" t="s">
        <v>371</v>
      </c>
      <c r="F115" s="217" t="s">
        <v>237</v>
      </c>
      <c r="G115" s="232"/>
      <c r="H115" s="261" t="s">
        <v>237</v>
      </c>
      <c r="N115" t="s">
        <v>394</v>
      </c>
    </row>
    <row r="116" spans="3:14" ht="17.45" customHeight="1" x14ac:dyDescent="0.25">
      <c r="F116" s="211" t="s">
        <v>230</v>
      </c>
      <c r="H116" s="259" t="s">
        <v>319</v>
      </c>
      <c r="N116" t="s">
        <v>393</v>
      </c>
    </row>
    <row r="117" spans="3:14" ht="17.45" customHeight="1" x14ac:dyDescent="0.25">
      <c r="C117" t="s">
        <v>411</v>
      </c>
      <c r="F117" s="215" t="s">
        <v>231</v>
      </c>
      <c r="H117" s="259" t="s">
        <v>323</v>
      </c>
      <c r="N117" t="s">
        <v>395</v>
      </c>
    </row>
    <row r="118" spans="3:14" ht="17.45" customHeight="1" x14ac:dyDescent="0.25">
      <c r="C118" t="s">
        <v>390</v>
      </c>
      <c r="F118" s="211" t="s">
        <v>232</v>
      </c>
      <c r="H118" s="259" t="s">
        <v>317</v>
      </c>
      <c r="N118" t="s">
        <v>396</v>
      </c>
    </row>
    <row r="119" spans="3:14" ht="17.45" customHeight="1" x14ac:dyDescent="0.25">
      <c r="C119" t="s">
        <v>410</v>
      </c>
      <c r="F119" s="211" t="s">
        <v>233</v>
      </c>
    </row>
    <row r="120" spans="3:14" ht="17.45" customHeight="1" x14ac:dyDescent="0.25">
      <c r="C120" t="s">
        <v>412</v>
      </c>
      <c r="F120" s="211" t="s">
        <v>234</v>
      </c>
      <c r="N120" t="s">
        <v>405</v>
      </c>
    </row>
    <row r="121" spans="3:14" ht="17.45" customHeight="1" x14ac:dyDescent="0.25">
      <c r="C121" t="s">
        <v>374</v>
      </c>
      <c r="N121" t="s">
        <v>406</v>
      </c>
    </row>
    <row r="122" spans="3:14" ht="17.45" customHeight="1" x14ac:dyDescent="0.25">
      <c r="C122" t="s">
        <v>375</v>
      </c>
      <c r="N122" t="s">
        <v>407</v>
      </c>
    </row>
    <row r="123" spans="3:14" ht="17.45" customHeight="1" x14ac:dyDescent="0.25">
      <c r="C123" t="s">
        <v>376</v>
      </c>
      <c r="N123" t="s">
        <v>408</v>
      </c>
    </row>
    <row r="124" spans="3:14" ht="17.45" customHeight="1" x14ac:dyDescent="0.25">
      <c r="N124" t="s">
        <v>397</v>
      </c>
    </row>
    <row r="125" spans="3:14" ht="17.45" customHeight="1" x14ac:dyDescent="0.25">
      <c r="N125" t="s">
        <v>398</v>
      </c>
    </row>
    <row r="126" spans="3:14" ht="17.45" customHeight="1" x14ac:dyDescent="0.25">
      <c r="N126" t="s">
        <v>399</v>
      </c>
    </row>
    <row r="127" spans="3:14" ht="17.45" customHeight="1" x14ac:dyDescent="0.25">
      <c r="N127" t="s">
        <v>400</v>
      </c>
    </row>
    <row r="128" spans="3:14" ht="17.45" customHeight="1" x14ac:dyDescent="0.25"/>
    <row r="129" ht="17.45" customHeight="1" x14ac:dyDescent="0.25"/>
    <row r="130" ht="17.45" customHeight="1" x14ac:dyDescent="0.25"/>
    <row r="131" ht="17.45" customHeight="1" x14ac:dyDescent="0.25"/>
    <row r="132" ht="17.45" customHeight="1" x14ac:dyDescent="0.25"/>
    <row r="133" ht="17.45" customHeight="1" x14ac:dyDescent="0.25"/>
    <row r="134" ht="17.45" customHeight="1" x14ac:dyDescent="0.25"/>
    <row r="135" ht="17.45" customHeight="1" x14ac:dyDescent="0.25"/>
    <row r="136" ht="17.45" customHeight="1" x14ac:dyDescent="0.25"/>
    <row r="137" ht="17.45" customHeight="1" x14ac:dyDescent="0.25"/>
    <row r="138" ht="17.45" customHeight="1" x14ac:dyDescent="0.25"/>
    <row r="139" ht="17.45" customHeight="1" x14ac:dyDescent="0.25"/>
    <row r="140" ht="17.45" customHeight="1" x14ac:dyDescent="0.25"/>
    <row r="141" ht="17.45" customHeight="1" x14ac:dyDescent="0.25"/>
    <row r="142" ht="17.45" customHeight="1" x14ac:dyDescent="0.25"/>
  </sheetData>
  <dataConsolidate/>
  <mergeCells count="107">
    <mergeCell ref="M33:M34"/>
    <mergeCell ref="N32:O32"/>
    <mergeCell ref="O27:P27"/>
    <mergeCell ref="N33:Q33"/>
    <mergeCell ref="N34:Q34"/>
    <mergeCell ref="M20:M22"/>
    <mergeCell ref="J33:J34"/>
    <mergeCell ref="O24:P24"/>
    <mergeCell ref="N19:Q19"/>
    <mergeCell ref="M15:M19"/>
    <mergeCell ref="O31:P31"/>
    <mergeCell ref="M29:M31"/>
    <mergeCell ref="J23:J24"/>
    <mergeCell ref="J26:J27"/>
    <mergeCell ref="J29:J30"/>
    <mergeCell ref="O21:P21"/>
    <mergeCell ref="O20:P20"/>
    <mergeCell ref="O23:P23"/>
    <mergeCell ref="J15:J19"/>
    <mergeCell ref="J20:J21"/>
    <mergeCell ref="B1:H1"/>
    <mergeCell ref="B2:E2"/>
    <mergeCell ref="F2:H2"/>
    <mergeCell ref="B3:C3"/>
    <mergeCell ref="B4:C4"/>
    <mergeCell ref="M76:U76"/>
    <mergeCell ref="M77:U77"/>
    <mergeCell ref="M78:U78"/>
    <mergeCell ref="R41:T41"/>
    <mergeCell ref="N39:T39"/>
    <mergeCell ref="M69:U69"/>
    <mergeCell ref="M70:U70"/>
    <mergeCell ref="T63:U63"/>
    <mergeCell ref="T64:U64"/>
    <mergeCell ref="O43:P43"/>
    <mergeCell ref="M73:U74"/>
    <mergeCell ref="M75:U75"/>
    <mergeCell ref="M66:U66"/>
    <mergeCell ref="M72:U72"/>
    <mergeCell ref="M71:U71"/>
    <mergeCell ref="R33:S34"/>
    <mergeCell ref="R32:S32"/>
    <mergeCell ref="O29:P29"/>
    <mergeCell ref="O30:P30"/>
    <mergeCell ref="M13:O13"/>
    <mergeCell ref="R15:S19"/>
    <mergeCell ref="B6:H6"/>
    <mergeCell ref="D4:E4"/>
    <mergeCell ref="D3:E3"/>
    <mergeCell ref="G3:H3"/>
    <mergeCell ref="G4:H4"/>
    <mergeCell ref="D5:E5"/>
    <mergeCell ref="B5:C5"/>
    <mergeCell ref="G5:H5"/>
    <mergeCell ref="O18:P18"/>
    <mergeCell ref="B17:B18"/>
    <mergeCell ref="D7:F7"/>
    <mergeCell ref="D8:F8"/>
    <mergeCell ref="G8:H8"/>
    <mergeCell ref="G7:H7"/>
    <mergeCell ref="H12:H16"/>
    <mergeCell ref="U33:U34"/>
    <mergeCell ref="T33:T34"/>
    <mergeCell ref="T62:U62"/>
    <mergeCell ref="M68:U68"/>
    <mergeCell ref="M67:O67"/>
    <mergeCell ref="Q67:S67"/>
    <mergeCell ref="S40:T40"/>
    <mergeCell ref="T1:U1"/>
    <mergeCell ref="O26:P26"/>
    <mergeCell ref="Q11:Q12"/>
    <mergeCell ref="U15:U19"/>
    <mergeCell ref="O22:P22"/>
    <mergeCell ref="R20:S22"/>
    <mergeCell ref="T20:T22"/>
    <mergeCell ref="U20:U22"/>
    <mergeCell ref="O28:P28"/>
    <mergeCell ref="R14:S14"/>
    <mergeCell ref="T9:U9"/>
    <mergeCell ref="T10:U10"/>
    <mergeCell ref="T11:U11"/>
    <mergeCell ref="N17:Q17"/>
    <mergeCell ref="O15:P15"/>
    <mergeCell ref="O16:P16"/>
    <mergeCell ref="N14:P14"/>
    <mergeCell ref="U26:U28"/>
    <mergeCell ref="R29:S31"/>
    <mergeCell ref="T29:T31"/>
    <mergeCell ref="U29:U31"/>
    <mergeCell ref="F17:F18"/>
    <mergeCell ref="G20:G21"/>
    <mergeCell ref="H20:H21"/>
    <mergeCell ref="F26:F27"/>
    <mergeCell ref="D26:E27"/>
    <mergeCell ref="D24:E25"/>
    <mergeCell ref="R23:S25"/>
    <mergeCell ref="M23:M25"/>
    <mergeCell ref="M26:M28"/>
    <mergeCell ref="R26:S28"/>
    <mergeCell ref="G17:G18"/>
    <mergeCell ref="H17:H18"/>
    <mergeCell ref="F24:F25"/>
    <mergeCell ref="O25:P25"/>
    <mergeCell ref="T15:T19"/>
    <mergeCell ref="T23:T25"/>
    <mergeCell ref="U23:U25"/>
    <mergeCell ref="T26:T28"/>
  </mergeCells>
  <conditionalFormatting sqref="R40">
    <cfRule type="cellIs" dxfId="4" priority="1" operator="equal">
      <formula>0</formula>
    </cfRule>
  </conditionalFormatting>
  <dataValidations count="13">
    <dataValidation type="list" allowBlank="1" showInputMessage="1" showErrorMessage="1" sqref="H109 H17" xr:uid="{00000000-0002-0000-0500-000000000000}">
      <formula1>$H$109:$H$113</formula1>
    </dataValidation>
    <dataValidation type="list" allowBlank="1" showInputMessage="1" showErrorMessage="1" sqref="F12:F16" xr:uid="{00000000-0002-0000-0500-000001000000}">
      <formula1>$F$110:$F$120</formula1>
    </dataValidation>
    <dataValidation type="list" allowBlank="1" showInputMessage="1" showErrorMessage="1" sqref="E12:E16" xr:uid="{00000000-0002-0000-0500-000002000000}">
      <formula1>$G$110:$G$113</formula1>
    </dataValidation>
    <dataValidation type="list" allowBlank="1" showInputMessage="1" showErrorMessage="1" sqref="G5" xr:uid="{00000000-0002-0000-0500-000004000000}">
      <formula1>$G$106:$G$107</formula1>
    </dataValidation>
    <dataValidation type="list" allowBlank="1" showInputMessage="1" showErrorMessage="1" sqref="F19" xr:uid="{00000000-0002-0000-0500-000005000000}">
      <formula1>$H$115:$H$118</formula1>
    </dataValidation>
    <dataValidation type="list" allowBlank="1" showInputMessage="1" showErrorMessage="1" sqref="C19" xr:uid="{00000000-0002-0000-0500-000008000000}">
      <formula1>$C$112:$C$115</formula1>
    </dataValidation>
    <dataValidation type="list" allowBlank="1" showInputMessage="1" showErrorMessage="1" sqref="C20" xr:uid="{00000000-0002-0000-0500-00000A000000}">
      <formula1>$H$103:$H$104</formula1>
    </dataValidation>
    <dataValidation type="list" allowBlank="1" showInputMessage="1" showErrorMessage="1" sqref="D3:E3" xr:uid="{4C9EE3E0-27AB-49AA-836D-3037ABDFFB20}">
      <formula1>$H$106:$H$108</formula1>
    </dataValidation>
    <dataValidation type="list" allowBlank="1" showInputMessage="1" showErrorMessage="1" sqref="B4:C4" xr:uid="{D4294B7D-1232-4166-AACC-5DAB14C30392}">
      <formula1>$C$106:$C$107</formula1>
    </dataValidation>
    <dataValidation type="list" allowBlank="1" showInputMessage="1" showErrorMessage="1" sqref="H12" xr:uid="{C30DDE0C-4A94-44C2-A56A-082EEDF5C0F0}">
      <formula1>$N$107:$N$127</formula1>
    </dataValidation>
    <dataValidation type="list" allowBlank="1" showInputMessage="1" showErrorMessage="1" sqref="G8:H8" xr:uid="{00000000-0002-0000-0500-000009000000}">
      <formula1>$C$117:$C$123</formula1>
    </dataValidation>
    <dataValidation type="list" allowBlank="1" showInputMessage="1" showErrorMessage="1" sqref="G12:G16" xr:uid="{2DAAA5DC-4425-4B0C-8E48-C29C118FE075}">
      <formula1>$F$102:$F$105</formula1>
    </dataValidation>
    <dataValidation type="list" allowBlank="1" showInputMessage="1" showErrorMessage="1" sqref="F17" xr:uid="{00000000-0002-0000-0500-000007000000}">
      <formula1>$E$107:$E$109</formula1>
    </dataValidation>
  </dataValidations>
  <pageMargins left="0" right="0" top="0" bottom="0" header="0" footer="0"/>
  <pageSetup paperSize="9" scale="97" fitToHeight="0" orientation="portrait" r:id="rId1"/>
  <rowBreaks count="1" manualBreakCount="1">
    <brk id="50" min="11" max="21" man="1"/>
  </rowBreaks>
  <colBreaks count="2" manualBreakCount="2">
    <brk id="11" max="105" man="1"/>
    <brk id="22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2:AO71"/>
  <sheetViews>
    <sheetView rightToLeft="1" zoomScaleNormal="100" zoomScaleSheetLayoutView="100" workbookViewId="0">
      <selection activeCell="D16" sqref="D16"/>
    </sheetView>
  </sheetViews>
  <sheetFormatPr defaultRowHeight="15" x14ac:dyDescent="0.25"/>
  <cols>
    <col min="1" max="1" width="5.7109375" customWidth="1"/>
    <col min="6" max="6" width="10.7109375" customWidth="1"/>
    <col min="7" max="7" width="3.7109375" customWidth="1"/>
    <col min="8" max="8" width="3.28515625" customWidth="1"/>
    <col min="9" max="9" width="3.5703125" customWidth="1"/>
    <col min="10" max="10" width="28.5703125" customWidth="1"/>
    <col min="11" max="12" width="5.28515625" customWidth="1"/>
    <col min="13" max="13" width="3.140625" customWidth="1"/>
    <col min="14" max="14" width="5.28515625" customWidth="1"/>
    <col min="15" max="15" width="15.140625" customWidth="1"/>
    <col min="16" max="16" width="8.7109375" customWidth="1"/>
    <col min="17" max="17" width="8.85546875" customWidth="1"/>
    <col min="18" max="18" width="15" customWidth="1"/>
    <col min="19" max="19" width="10.7109375" customWidth="1"/>
  </cols>
  <sheetData>
    <row r="2" spans="2:38" ht="15" customHeight="1" x14ac:dyDescent="0.25"/>
    <row r="3" spans="2:38" ht="15" customHeight="1" x14ac:dyDescent="0.25"/>
    <row r="4" spans="2:38" ht="15" customHeight="1" thickBot="1" x14ac:dyDescent="0.3"/>
    <row r="5" spans="2:38" ht="15" customHeight="1" x14ac:dyDescent="0.25">
      <c r="B5" s="520" t="s">
        <v>337</v>
      </c>
      <c r="C5" s="521"/>
      <c r="D5" s="522"/>
    </row>
    <row r="6" spans="2:38" ht="15" customHeight="1" x14ac:dyDescent="0.25">
      <c r="B6" s="327" t="s">
        <v>327</v>
      </c>
      <c r="C6" s="575" t="s">
        <v>331</v>
      </c>
      <c r="D6" s="576"/>
    </row>
    <row r="7" spans="2:38" ht="15" customHeight="1" x14ac:dyDescent="0.25">
      <c r="B7" s="327" t="s">
        <v>328</v>
      </c>
      <c r="C7" s="575" t="s">
        <v>354</v>
      </c>
      <c r="D7" s="576"/>
      <c r="P7" s="318" t="s">
        <v>327</v>
      </c>
      <c r="Q7" s="479" t="str">
        <f>C6</f>
        <v>4930045/023</v>
      </c>
      <c r="R7" s="479"/>
    </row>
    <row r="8" spans="2:38" ht="15" customHeight="1" thickBot="1" x14ac:dyDescent="0.3">
      <c r="B8" s="328" t="s">
        <v>329</v>
      </c>
      <c r="C8" s="577" t="s">
        <v>332</v>
      </c>
      <c r="D8" s="578"/>
      <c r="P8" s="318" t="s">
        <v>328</v>
      </c>
      <c r="Q8" s="491" t="str">
        <f>C7</f>
        <v>1401/05/02</v>
      </c>
      <c r="R8" s="491"/>
    </row>
    <row r="9" spans="2:38" ht="15" customHeight="1" x14ac:dyDescent="0.25">
      <c r="P9" s="318" t="s">
        <v>329</v>
      </c>
      <c r="Q9" s="491" t="str">
        <f>C8</f>
        <v>ندارد</v>
      </c>
      <c r="R9" s="491"/>
    </row>
    <row r="10" spans="2:38" ht="15" customHeight="1" x14ac:dyDescent="0.25"/>
    <row r="11" spans="2:38" ht="15" customHeight="1" x14ac:dyDescent="0.4">
      <c r="G11" s="235"/>
      <c r="H11" s="235"/>
      <c r="I11" s="235"/>
      <c r="J11" s="235"/>
      <c r="K11" s="235"/>
      <c r="L11" s="235"/>
      <c r="M11" s="323" t="s">
        <v>344</v>
      </c>
      <c r="N11" s="235"/>
      <c r="O11" s="235"/>
      <c r="P11" s="235"/>
      <c r="Q11" s="235"/>
      <c r="R11" s="235"/>
      <c r="S11" s="235"/>
      <c r="AI11" s="235"/>
      <c r="AJ11" s="235"/>
      <c r="AK11" s="235"/>
    </row>
    <row r="12" spans="2:38" ht="6.6" customHeight="1" x14ac:dyDescent="0.4"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AI12" s="235"/>
      <c r="AJ12" s="235"/>
      <c r="AK12" s="235"/>
    </row>
    <row r="13" spans="2:38" ht="15" customHeight="1" x14ac:dyDescent="0.4">
      <c r="G13" s="235"/>
      <c r="H13" s="235"/>
      <c r="I13" s="235"/>
      <c r="J13" s="235"/>
      <c r="K13" s="235"/>
      <c r="L13" s="235"/>
      <c r="M13" s="324" t="s">
        <v>345</v>
      </c>
      <c r="N13" s="235"/>
      <c r="O13" s="235"/>
      <c r="P13" s="235"/>
      <c r="Q13" s="235"/>
      <c r="R13" s="235"/>
      <c r="S13" s="235"/>
      <c r="AI13" s="235"/>
      <c r="AJ13" s="235"/>
      <c r="AK13" s="235"/>
    </row>
    <row r="14" spans="2:38" ht="8.1" customHeight="1" x14ac:dyDescent="0.4">
      <c r="G14" s="235"/>
      <c r="H14" s="235"/>
      <c r="I14" s="235"/>
      <c r="J14" s="235"/>
      <c r="K14" s="235"/>
      <c r="L14" s="235"/>
      <c r="M14" s="324"/>
      <c r="N14" s="235"/>
      <c r="O14" s="235"/>
      <c r="P14" s="235"/>
      <c r="Q14" s="235"/>
      <c r="R14" s="235"/>
      <c r="S14" s="235"/>
      <c r="AI14" s="235"/>
      <c r="AJ14" s="235"/>
      <c r="AK14" s="235"/>
    </row>
    <row r="15" spans="2:38" ht="74.25" customHeight="1" x14ac:dyDescent="0.25">
      <c r="G15" s="559" t="s">
        <v>268</v>
      </c>
      <c r="H15" s="559"/>
      <c r="I15" s="559"/>
      <c r="J15" s="559"/>
      <c r="K15" s="559"/>
      <c r="L15" s="559"/>
      <c r="M15" s="559"/>
      <c r="N15" s="559"/>
      <c r="O15" s="559"/>
      <c r="P15" s="559"/>
      <c r="Q15" s="559"/>
      <c r="R15" s="559"/>
      <c r="S15" s="236"/>
    </row>
    <row r="16" spans="2:38" ht="18" x14ac:dyDescent="0.4"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AL16" t="s">
        <v>284</v>
      </c>
    </row>
    <row r="17" spans="7:41" ht="17.100000000000001" customHeight="1" x14ac:dyDescent="0.4">
      <c r="G17" s="237" t="s">
        <v>269</v>
      </c>
      <c r="H17" s="237"/>
      <c r="I17" s="237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AL17" t="s">
        <v>306</v>
      </c>
    </row>
    <row r="18" spans="7:41" ht="17.100000000000001" customHeight="1" x14ac:dyDescent="0.4">
      <c r="G18" s="238" t="s">
        <v>270</v>
      </c>
      <c r="H18" s="239">
        <f>'پیش فاکتور سقف متحرک'!D12</f>
        <v>0</v>
      </c>
      <c r="I18" s="240" t="s">
        <v>18</v>
      </c>
      <c r="J18" s="241" t="s">
        <v>271</v>
      </c>
      <c r="K18" s="266" t="s">
        <v>252</v>
      </c>
      <c r="L18" s="267">
        <f>'پیش فاکتور سقف متحرک'!B12/100</f>
        <v>0</v>
      </c>
      <c r="M18" s="267" t="s">
        <v>272</v>
      </c>
      <c r="N18" s="267">
        <f>'پیش فاکتور سقف متحرک'!C12/100</f>
        <v>0</v>
      </c>
      <c r="O18" s="235" t="s">
        <v>273</v>
      </c>
      <c r="P18" s="251">
        <f>L18*N18*H18</f>
        <v>0</v>
      </c>
      <c r="Q18" s="235" t="s">
        <v>274</v>
      </c>
      <c r="R18" s="319">
        <f>'پیش فاکتور سقف متحرک'!U15</f>
        <v>0</v>
      </c>
      <c r="S18" s="235"/>
    </row>
    <row r="19" spans="7:41" ht="17.100000000000001" customHeight="1" x14ac:dyDescent="0.4">
      <c r="G19" s="238"/>
      <c r="H19" s="239">
        <f>'پیش فاکتور سقف متحرک'!D13</f>
        <v>0</v>
      </c>
      <c r="I19" s="240" t="s">
        <v>18</v>
      </c>
      <c r="J19" s="241" t="s">
        <v>271</v>
      </c>
      <c r="K19" s="266" t="s">
        <v>252</v>
      </c>
      <c r="L19" s="267">
        <f>'پیش فاکتور سقف متحرک'!B13/100</f>
        <v>0</v>
      </c>
      <c r="M19" s="267" t="s">
        <v>272</v>
      </c>
      <c r="N19" s="267">
        <f>'پیش فاکتور سقف متحرک'!C13/100</f>
        <v>0</v>
      </c>
      <c r="O19" s="235" t="s">
        <v>273</v>
      </c>
      <c r="P19" s="251">
        <f t="shared" ref="P19:P21" si="0">L19*N19*H19</f>
        <v>0</v>
      </c>
      <c r="Q19" s="235" t="s">
        <v>274</v>
      </c>
      <c r="R19" s="319">
        <f>'پیش فاکتور سقف متحرک'!U20</f>
        <v>0</v>
      </c>
      <c r="S19" s="235"/>
      <c r="AI19" s="240"/>
    </row>
    <row r="20" spans="7:41" ht="17.100000000000001" customHeight="1" x14ac:dyDescent="0.4">
      <c r="G20" s="238"/>
      <c r="H20" s="239">
        <f>'پیش فاکتور سقف متحرک'!D14</f>
        <v>0</v>
      </c>
      <c r="I20" s="240" t="s">
        <v>18</v>
      </c>
      <c r="J20" s="241" t="s">
        <v>271</v>
      </c>
      <c r="K20" s="266" t="s">
        <v>252</v>
      </c>
      <c r="L20" s="267">
        <f>'پیش فاکتور سقف متحرک'!B14/100</f>
        <v>0</v>
      </c>
      <c r="M20" s="267" t="s">
        <v>272</v>
      </c>
      <c r="N20" s="267">
        <f>'پیش فاکتور سقف متحرک'!C14/100</f>
        <v>0</v>
      </c>
      <c r="O20" s="235" t="s">
        <v>273</v>
      </c>
      <c r="P20" s="251">
        <f t="shared" si="0"/>
        <v>0</v>
      </c>
      <c r="Q20" s="235" t="s">
        <v>274</v>
      </c>
      <c r="R20" s="252">
        <f>'پیش فاکتور سقف متحرک'!U23</f>
        <v>0</v>
      </c>
      <c r="S20" s="235"/>
      <c r="AI20" s="240" t="s">
        <v>276</v>
      </c>
    </row>
    <row r="21" spans="7:41" ht="17.100000000000001" customHeight="1" x14ac:dyDescent="0.4">
      <c r="G21" s="238"/>
      <c r="H21" s="239">
        <f>'پیش فاکتور سقف متحرک'!D15</f>
        <v>0</v>
      </c>
      <c r="I21" s="240" t="s">
        <v>18</v>
      </c>
      <c r="J21" s="241" t="s">
        <v>271</v>
      </c>
      <c r="K21" s="266" t="s">
        <v>252</v>
      </c>
      <c r="L21" s="267">
        <f>'پیش فاکتور سقف متحرک'!B15/100</f>
        <v>0</v>
      </c>
      <c r="M21" s="267" t="s">
        <v>272</v>
      </c>
      <c r="N21" s="267">
        <f>'پیش فاکتور سقف متحرک'!C15/100</f>
        <v>0</v>
      </c>
      <c r="O21" s="235" t="s">
        <v>273</v>
      </c>
      <c r="P21" s="251">
        <f t="shared" si="0"/>
        <v>0</v>
      </c>
      <c r="Q21" s="235" t="s">
        <v>274</v>
      </c>
      <c r="R21" s="252">
        <f>'پیش فاکتور سقف متحرک'!U26</f>
        <v>0</v>
      </c>
      <c r="S21" s="235"/>
      <c r="AI21" s="235" t="s">
        <v>290</v>
      </c>
    </row>
    <row r="22" spans="7:41" ht="17.100000000000001" customHeight="1" x14ac:dyDescent="0.4">
      <c r="G22" s="238"/>
      <c r="H22" s="239">
        <f>'پیش فاکتور سقف متحرک'!D16</f>
        <v>0</v>
      </c>
      <c r="I22" s="240" t="s">
        <v>18</v>
      </c>
      <c r="J22" s="241" t="s">
        <v>271</v>
      </c>
      <c r="K22" s="266" t="s">
        <v>252</v>
      </c>
      <c r="L22" s="267">
        <f>'پیش فاکتور سقف متحرک'!B16/100</f>
        <v>0</v>
      </c>
      <c r="M22" s="267" t="s">
        <v>272</v>
      </c>
      <c r="N22" s="267">
        <f>'پیش فاکتور سقف متحرک'!C16/100</f>
        <v>0</v>
      </c>
      <c r="O22" s="235" t="s">
        <v>273</v>
      </c>
      <c r="P22" s="251">
        <f>L22*N22*H22</f>
        <v>0</v>
      </c>
      <c r="Q22" s="235" t="s">
        <v>274</v>
      </c>
      <c r="R22" s="252">
        <f>'پیش فاکتور سقف متحرک'!U29</f>
        <v>0</v>
      </c>
      <c r="S22" s="235"/>
      <c r="AI22" s="235" t="s">
        <v>291</v>
      </c>
      <c r="AM22" s="235" t="s">
        <v>303</v>
      </c>
      <c r="AO22" t="s">
        <v>340</v>
      </c>
    </row>
    <row r="23" spans="7:41" ht="17.100000000000001" customHeight="1" x14ac:dyDescent="0.4">
      <c r="G23" s="238"/>
      <c r="H23" s="239"/>
      <c r="I23" s="240"/>
      <c r="J23" s="269" t="s">
        <v>324</v>
      </c>
      <c r="K23" s="266"/>
      <c r="L23" s="267"/>
      <c r="M23" s="267"/>
      <c r="N23" s="267"/>
      <c r="O23" s="235"/>
      <c r="P23" s="251"/>
      <c r="Q23" s="235"/>
      <c r="R23" s="252" t="e">
        <f>SUM('پیش فاکتور سقف متحرک'!U33:U38)</f>
        <v>#DIV/0!</v>
      </c>
      <c r="S23" s="235"/>
      <c r="AI23" s="235" t="s">
        <v>278</v>
      </c>
      <c r="AM23" s="235" t="s">
        <v>282</v>
      </c>
      <c r="AO23" t="s">
        <v>332</v>
      </c>
    </row>
    <row r="24" spans="7:41" ht="17.100000000000001" customHeight="1" x14ac:dyDescent="0.4">
      <c r="G24" s="235" t="s">
        <v>275</v>
      </c>
      <c r="H24" s="243">
        <v>2</v>
      </c>
      <c r="I24" s="240" t="s">
        <v>18</v>
      </c>
      <c r="J24" s="241" t="s">
        <v>276</v>
      </c>
      <c r="K24" s="266" t="s">
        <v>252</v>
      </c>
      <c r="L24" s="266"/>
      <c r="M24" s="267" t="s">
        <v>272</v>
      </c>
      <c r="N24" s="268"/>
      <c r="O24" s="235" t="s">
        <v>273</v>
      </c>
      <c r="P24" s="235"/>
      <c r="Q24" s="235" t="s">
        <v>274</v>
      </c>
      <c r="R24" s="235"/>
      <c r="S24" s="235"/>
      <c r="AI24" s="235" t="s">
        <v>292</v>
      </c>
      <c r="AM24" s="235" t="s">
        <v>307</v>
      </c>
    </row>
    <row r="25" spans="7:41" ht="17.100000000000001" customHeight="1" x14ac:dyDescent="0.4">
      <c r="G25" s="235" t="s">
        <v>277</v>
      </c>
      <c r="H25" s="243">
        <v>2</v>
      </c>
      <c r="I25" s="240" t="s">
        <v>18</v>
      </c>
      <c r="J25" s="241" t="s">
        <v>278</v>
      </c>
      <c r="K25" s="268" t="s">
        <v>252</v>
      </c>
      <c r="L25" s="268"/>
      <c r="M25" s="267" t="s">
        <v>272</v>
      </c>
      <c r="N25" s="268"/>
      <c r="O25" s="235" t="s">
        <v>273</v>
      </c>
      <c r="P25" s="235"/>
      <c r="Q25" s="235" t="s">
        <v>274</v>
      </c>
      <c r="R25" s="235"/>
      <c r="S25" s="235"/>
      <c r="AI25" s="235" t="s">
        <v>295</v>
      </c>
      <c r="AN25" s="249" t="s">
        <v>304</v>
      </c>
    </row>
    <row r="26" spans="7:41" ht="17.100000000000001" customHeight="1" x14ac:dyDescent="0.4">
      <c r="G26" s="235" t="s">
        <v>279</v>
      </c>
      <c r="H26" s="243">
        <v>2</v>
      </c>
      <c r="I26" s="240" t="s">
        <v>18</v>
      </c>
      <c r="J26" s="241" t="s">
        <v>280</v>
      </c>
      <c r="K26" s="268" t="s">
        <v>252</v>
      </c>
      <c r="L26" s="268"/>
      <c r="M26" s="267" t="s">
        <v>272</v>
      </c>
      <c r="N26" s="268"/>
      <c r="O26" s="235" t="s">
        <v>273</v>
      </c>
      <c r="P26" s="235"/>
      <c r="Q26" s="235" t="s">
        <v>274</v>
      </c>
      <c r="R26" s="235"/>
      <c r="S26" s="235"/>
      <c r="AI26" s="235" t="s">
        <v>280</v>
      </c>
      <c r="AN26" s="250" t="s">
        <v>305</v>
      </c>
    </row>
    <row r="27" spans="7:41" ht="17.100000000000001" customHeight="1" x14ac:dyDescent="0.4">
      <c r="G27" s="235" t="s">
        <v>281</v>
      </c>
      <c r="H27" s="243">
        <v>2</v>
      </c>
      <c r="I27" s="240" t="s">
        <v>18</v>
      </c>
      <c r="J27" s="241" t="s">
        <v>301</v>
      </c>
      <c r="K27" s="268" t="s">
        <v>252</v>
      </c>
      <c r="L27" s="268"/>
      <c r="M27" s="267" t="s">
        <v>272</v>
      </c>
      <c r="N27" s="268"/>
      <c r="O27" s="235" t="s">
        <v>273</v>
      </c>
      <c r="P27" s="235"/>
      <c r="Q27" s="235" t="s">
        <v>274</v>
      </c>
      <c r="R27" s="235"/>
      <c r="S27" s="235"/>
      <c r="AI27" s="235" t="s">
        <v>297</v>
      </c>
      <c r="AN27" s="250" t="s">
        <v>308</v>
      </c>
    </row>
    <row r="28" spans="7:41" ht="17.100000000000001" customHeight="1" x14ac:dyDescent="0.4">
      <c r="G28" s="235"/>
      <c r="H28" s="245"/>
      <c r="I28" s="240"/>
      <c r="J28" s="235"/>
      <c r="K28" s="235"/>
      <c r="L28" s="246"/>
      <c r="M28" s="235"/>
      <c r="N28" s="246"/>
      <c r="O28" s="235"/>
      <c r="P28" s="246"/>
      <c r="Q28" s="235"/>
      <c r="R28" s="235"/>
      <c r="S28" s="235"/>
      <c r="AI28" s="235" t="s">
        <v>298</v>
      </c>
      <c r="AN28" s="250" t="s">
        <v>283</v>
      </c>
    </row>
    <row r="29" spans="7:41" ht="17.100000000000001" customHeight="1" x14ac:dyDescent="0.45">
      <c r="G29" s="560" t="s">
        <v>285</v>
      </c>
      <c r="H29" s="560"/>
      <c r="I29" s="560"/>
      <c r="J29" s="560"/>
      <c r="K29" s="235"/>
      <c r="L29" s="235"/>
      <c r="M29" s="235"/>
      <c r="N29" s="235"/>
      <c r="O29" s="235"/>
      <c r="P29" s="235"/>
      <c r="Q29" s="235"/>
      <c r="R29" s="235"/>
      <c r="S29" s="235"/>
      <c r="AI29" s="235" t="s">
        <v>301</v>
      </c>
      <c r="AN29" s="250" t="s">
        <v>310</v>
      </c>
    </row>
    <row r="30" spans="7:41" ht="17.100000000000001" customHeight="1" x14ac:dyDescent="0.4">
      <c r="G30" s="559" t="s">
        <v>286</v>
      </c>
      <c r="H30" s="559"/>
      <c r="I30" s="559"/>
      <c r="J30" s="559"/>
      <c r="K30" s="559"/>
      <c r="L30" s="559"/>
      <c r="M30" s="559"/>
      <c r="N30" s="559"/>
      <c r="O30" s="559"/>
      <c r="P30" s="559"/>
      <c r="Q30" s="559"/>
      <c r="R30" s="559"/>
      <c r="S30" s="235"/>
      <c r="AI30" s="235"/>
      <c r="AN30" s="250" t="s">
        <v>311</v>
      </c>
    </row>
    <row r="31" spans="7:41" ht="7.5" customHeight="1" x14ac:dyDescent="0.4"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AN31" s="250" t="s">
        <v>313</v>
      </c>
    </row>
    <row r="32" spans="7:41" ht="17.100000000000001" customHeight="1" x14ac:dyDescent="0.45">
      <c r="G32" s="560" t="s">
        <v>287</v>
      </c>
      <c r="H32" s="560"/>
      <c r="I32" s="560"/>
      <c r="J32" s="560"/>
      <c r="K32" s="235"/>
      <c r="L32" s="235"/>
      <c r="M32" s="235"/>
      <c r="N32" s="235"/>
      <c r="O32" s="235"/>
      <c r="P32" s="235"/>
      <c r="Q32" s="235"/>
      <c r="R32" s="235"/>
      <c r="S32" s="235"/>
    </row>
    <row r="33" spans="7:36" ht="17.100000000000001" customHeight="1" x14ac:dyDescent="0.4">
      <c r="G33" s="556" t="s">
        <v>288</v>
      </c>
      <c r="H33" s="556"/>
      <c r="I33" s="556"/>
      <c r="J33" s="556"/>
      <c r="K33" s="558" t="e">
        <f>SUM(R18:R23)</f>
        <v>#DIV/0!</v>
      </c>
      <c r="L33" s="558"/>
      <c r="M33" s="558"/>
      <c r="N33" s="558"/>
      <c r="O33" s="235" t="s">
        <v>315</v>
      </c>
      <c r="P33" s="557" t="e">
        <f>'پیش فاکتور سقف متحرک'!U39</f>
        <v>#DIV/0!</v>
      </c>
      <c r="Q33" s="557"/>
      <c r="R33" s="235"/>
      <c r="S33" s="235"/>
      <c r="AI33" s="235" t="s">
        <v>314</v>
      </c>
      <c r="AJ33" s="253">
        <v>8</v>
      </c>
    </row>
    <row r="34" spans="7:36" ht="17.100000000000001" customHeight="1" x14ac:dyDescent="0.4">
      <c r="G34" s="556" t="s">
        <v>346</v>
      </c>
      <c r="H34" s="556"/>
      <c r="I34" s="556"/>
      <c r="J34" s="556"/>
      <c r="K34" s="558">
        <f t="shared" ref="K34:K37" si="1">R24</f>
        <v>0</v>
      </c>
      <c r="L34" s="558"/>
      <c r="M34" s="558"/>
      <c r="N34" s="558"/>
      <c r="O34" s="235" t="s">
        <v>315</v>
      </c>
      <c r="P34" s="557">
        <f>(K34/100)*AJ33</f>
        <v>0</v>
      </c>
      <c r="Q34" s="557"/>
      <c r="R34" s="235"/>
      <c r="S34" s="235"/>
      <c r="AI34" s="235" t="s">
        <v>314</v>
      </c>
      <c r="AJ34" s="253">
        <v>8</v>
      </c>
    </row>
    <row r="35" spans="7:36" ht="17.100000000000001" customHeight="1" x14ac:dyDescent="0.4">
      <c r="G35" s="556" t="s">
        <v>347</v>
      </c>
      <c r="H35" s="556"/>
      <c r="I35" s="556"/>
      <c r="J35" s="556"/>
      <c r="K35" s="558">
        <f t="shared" si="1"/>
        <v>0</v>
      </c>
      <c r="L35" s="558"/>
      <c r="M35" s="558"/>
      <c r="N35" s="558"/>
      <c r="O35" s="235" t="s">
        <v>315</v>
      </c>
      <c r="P35" s="557">
        <f>(K35/100)*AJ34</f>
        <v>0</v>
      </c>
      <c r="Q35" s="557"/>
      <c r="R35" s="235"/>
      <c r="S35" s="235"/>
      <c r="AI35" s="235" t="s">
        <v>314</v>
      </c>
      <c r="AJ35" s="253">
        <v>8</v>
      </c>
    </row>
    <row r="36" spans="7:36" ht="17.100000000000001" customHeight="1" x14ac:dyDescent="0.4">
      <c r="G36" s="556" t="s">
        <v>348</v>
      </c>
      <c r="H36" s="556"/>
      <c r="I36" s="556"/>
      <c r="J36" s="556"/>
      <c r="K36" s="558">
        <f t="shared" si="1"/>
        <v>0</v>
      </c>
      <c r="L36" s="558"/>
      <c r="M36" s="558"/>
      <c r="N36" s="558"/>
      <c r="O36" s="235" t="s">
        <v>315</v>
      </c>
      <c r="P36" s="557">
        <f>(K36/100)*AJ35</f>
        <v>0</v>
      </c>
      <c r="Q36" s="557"/>
      <c r="R36" s="235"/>
      <c r="S36" s="235"/>
      <c r="AI36" s="235" t="s">
        <v>314</v>
      </c>
      <c r="AJ36" s="253">
        <v>8</v>
      </c>
    </row>
    <row r="37" spans="7:36" ht="17.100000000000001" customHeight="1" x14ac:dyDescent="0.4">
      <c r="G37" s="556" t="s">
        <v>349</v>
      </c>
      <c r="H37" s="556"/>
      <c r="I37" s="556"/>
      <c r="J37" s="556"/>
      <c r="K37" s="558">
        <f t="shared" si="1"/>
        <v>0</v>
      </c>
      <c r="L37" s="558"/>
      <c r="M37" s="558"/>
      <c r="N37" s="558"/>
      <c r="O37" s="235" t="s">
        <v>315</v>
      </c>
      <c r="P37" s="557">
        <f>(K37/100)*AJ36</f>
        <v>0</v>
      </c>
      <c r="Q37" s="557"/>
      <c r="R37" s="235"/>
      <c r="S37" s="235"/>
    </row>
    <row r="38" spans="7:36" ht="17.100000000000001" customHeight="1" x14ac:dyDescent="0.5">
      <c r="G38" s="564" t="s">
        <v>293</v>
      </c>
      <c r="H38" s="564"/>
      <c r="I38" s="564"/>
      <c r="J38" s="564"/>
      <c r="K38" s="569" t="e">
        <f>SUM(K33:N37)</f>
        <v>#DIV/0!</v>
      </c>
      <c r="L38" s="569"/>
      <c r="M38" s="569"/>
      <c r="N38" s="569"/>
      <c r="O38" s="247" t="s">
        <v>294</v>
      </c>
      <c r="P38" s="565" t="e">
        <f>SUM(P33:Q37)</f>
        <v>#DIV/0!</v>
      </c>
      <c r="Q38" s="565"/>
      <c r="R38" s="235"/>
      <c r="S38" s="235"/>
    </row>
    <row r="39" spans="7:36" ht="17.100000000000001" customHeight="1" x14ac:dyDescent="0.4"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</row>
    <row r="40" spans="7:36" ht="17.100000000000001" customHeight="1" x14ac:dyDescent="0.5">
      <c r="G40" s="235"/>
      <c r="H40" s="235"/>
      <c r="I40" s="566" t="s">
        <v>296</v>
      </c>
      <c r="J40" s="567"/>
      <c r="K40" s="568" t="e">
        <f>FLOOR(K38+P38,100000)</f>
        <v>#DIV/0!</v>
      </c>
      <c r="L40" s="568"/>
      <c r="M40" s="568"/>
      <c r="N40" s="568"/>
      <c r="O40" s="568"/>
      <c r="P40" s="248" t="s">
        <v>289</v>
      </c>
      <c r="Q40" s="235"/>
      <c r="R40" s="235"/>
      <c r="S40" s="235"/>
    </row>
    <row r="41" spans="7:36" ht="17.100000000000001" customHeight="1" x14ac:dyDescent="0.4"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</row>
    <row r="42" spans="7:36" ht="17.100000000000001" customHeight="1" x14ac:dyDescent="0.45">
      <c r="G42" s="560" t="s">
        <v>299</v>
      </c>
      <c r="H42" s="560"/>
      <c r="I42" s="560"/>
      <c r="J42" s="560"/>
      <c r="K42" s="235"/>
      <c r="L42" s="235"/>
      <c r="M42" s="235"/>
      <c r="N42" s="235"/>
      <c r="O42" s="235"/>
      <c r="P42" s="235"/>
      <c r="Q42" s="235"/>
      <c r="R42" s="235"/>
      <c r="S42" s="235"/>
    </row>
    <row r="43" spans="7:36" ht="17.100000000000001" customHeight="1" x14ac:dyDescent="0.4">
      <c r="G43" s="574" t="s">
        <v>300</v>
      </c>
      <c r="H43" s="574"/>
      <c r="I43" s="574"/>
      <c r="J43" s="235"/>
      <c r="K43" s="235"/>
      <c r="L43" s="235"/>
      <c r="M43" s="235"/>
      <c r="N43" s="235"/>
      <c r="O43" s="235"/>
      <c r="P43" s="235"/>
      <c r="Q43" s="235"/>
      <c r="R43" s="235"/>
      <c r="S43" s="235"/>
    </row>
    <row r="44" spans="7:36" ht="17.100000000000001" customHeight="1" x14ac:dyDescent="0.4">
      <c r="G44" s="235"/>
      <c r="H44" s="235"/>
      <c r="I44" s="242">
        <v>80</v>
      </c>
      <c r="J44" s="563" t="s">
        <v>302</v>
      </c>
      <c r="K44" s="563"/>
      <c r="L44" s="573" t="e">
        <f>K40/100*I44</f>
        <v>#DIV/0!</v>
      </c>
      <c r="M44" s="573"/>
      <c r="N44" s="573"/>
      <c r="O44" s="573"/>
      <c r="P44" s="563" t="s">
        <v>316</v>
      </c>
      <c r="Q44" s="563"/>
      <c r="R44" s="563"/>
      <c r="S44" s="235"/>
    </row>
    <row r="45" spans="7:36" ht="17.100000000000001" customHeight="1" x14ac:dyDescent="0.4">
      <c r="G45" s="561" t="s">
        <v>270</v>
      </c>
      <c r="H45" s="561"/>
      <c r="I45" s="562"/>
      <c r="J45" s="562"/>
      <c r="K45" s="563"/>
      <c r="L45" s="563"/>
      <c r="M45" s="563"/>
      <c r="N45" s="563"/>
      <c r="O45" s="563"/>
      <c r="P45" s="563"/>
      <c r="Q45" s="563"/>
      <c r="R45" s="563"/>
      <c r="S45" s="235"/>
    </row>
    <row r="46" spans="7:36" ht="17.100000000000001" customHeight="1" x14ac:dyDescent="0.4">
      <c r="G46" s="561" t="s">
        <v>275</v>
      </c>
      <c r="H46" s="561"/>
      <c r="I46" s="562"/>
      <c r="J46" s="562"/>
      <c r="K46" s="563"/>
      <c r="L46" s="563"/>
      <c r="M46" s="563"/>
      <c r="N46" s="563"/>
      <c r="O46" s="563"/>
      <c r="P46" s="563"/>
      <c r="Q46" s="563"/>
      <c r="R46" s="563"/>
      <c r="S46" s="235"/>
    </row>
    <row r="47" spans="7:36" ht="17.100000000000001" customHeight="1" x14ac:dyDescent="0.4">
      <c r="G47" s="561" t="s">
        <v>277</v>
      </c>
      <c r="H47" s="561"/>
      <c r="I47" s="562"/>
      <c r="J47" s="562"/>
      <c r="K47" s="563"/>
      <c r="L47" s="563"/>
      <c r="M47" s="563"/>
      <c r="N47" s="563"/>
      <c r="O47" s="563"/>
      <c r="P47" s="563"/>
      <c r="Q47" s="563"/>
      <c r="R47" s="563"/>
      <c r="S47" s="235"/>
    </row>
    <row r="48" spans="7:36" ht="17.100000000000001" customHeight="1" x14ac:dyDescent="0.45">
      <c r="G48" s="571" t="s">
        <v>309</v>
      </c>
      <c r="H48" s="571"/>
      <c r="I48" s="571"/>
      <c r="J48" s="235"/>
      <c r="K48" s="235"/>
      <c r="L48" s="235"/>
      <c r="M48" s="235"/>
      <c r="N48" s="235"/>
      <c r="O48" s="235"/>
      <c r="P48" s="235"/>
      <c r="Q48" s="235"/>
      <c r="R48" s="235"/>
      <c r="S48" s="235"/>
    </row>
    <row r="49" spans="7:37" ht="17.100000000000001" customHeight="1" x14ac:dyDescent="0.4">
      <c r="G49" s="235"/>
      <c r="H49" s="235"/>
      <c r="I49" s="244">
        <v>15</v>
      </c>
      <c r="J49" s="240" t="s">
        <v>302</v>
      </c>
      <c r="K49" s="572" t="e">
        <f>K40/100*I49</f>
        <v>#DIV/0!</v>
      </c>
      <c r="L49" s="572"/>
      <c r="M49" s="572"/>
      <c r="N49" s="572"/>
      <c r="O49" s="572"/>
      <c r="P49" s="570" t="s">
        <v>316</v>
      </c>
      <c r="Q49" s="570"/>
      <c r="R49" s="570"/>
      <c r="S49" s="235"/>
    </row>
    <row r="50" spans="7:37" ht="7.5" customHeight="1" x14ac:dyDescent="0.55000000000000004">
      <c r="G50" s="235"/>
      <c r="H50" s="235"/>
      <c r="I50" s="317"/>
      <c r="J50" s="240"/>
      <c r="K50" s="316"/>
      <c r="L50" s="316"/>
      <c r="M50" s="316"/>
      <c r="N50" s="316"/>
      <c r="O50" s="316"/>
      <c r="P50" s="320"/>
      <c r="Q50" s="320"/>
      <c r="R50" s="320"/>
      <c r="S50" s="235"/>
    </row>
    <row r="51" spans="7:37" ht="17.100000000000001" customHeight="1" x14ac:dyDescent="0.45">
      <c r="G51" s="571" t="s">
        <v>312</v>
      </c>
      <c r="H51" s="571"/>
      <c r="I51" s="571"/>
      <c r="J51" s="235"/>
      <c r="K51" s="235"/>
      <c r="L51" s="235"/>
      <c r="M51" s="235"/>
      <c r="N51" s="235"/>
      <c r="O51" s="235"/>
      <c r="P51" s="235"/>
      <c r="Q51" s="235"/>
      <c r="R51" s="235"/>
      <c r="S51" s="235"/>
    </row>
    <row r="52" spans="7:37" ht="17.100000000000001" customHeight="1" x14ac:dyDescent="0.4">
      <c r="G52" s="235"/>
      <c r="H52" s="235"/>
      <c r="I52" s="244">
        <v>5</v>
      </c>
      <c r="J52" s="240" t="s">
        <v>302</v>
      </c>
      <c r="K52" s="573" t="e">
        <f>K40/100*I52</f>
        <v>#DIV/0!</v>
      </c>
      <c r="L52" s="573"/>
      <c r="M52" s="573"/>
      <c r="N52" s="573"/>
      <c r="O52" s="573"/>
      <c r="P52" s="570" t="s">
        <v>316</v>
      </c>
      <c r="Q52" s="570"/>
      <c r="R52" s="570"/>
      <c r="S52" s="235"/>
      <c r="AI52" s="235"/>
      <c r="AJ52" s="235"/>
      <c r="AK52" s="235"/>
    </row>
    <row r="53" spans="7:37" ht="17.100000000000001" customHeight="1" x14ac:dyDescent="0.4"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AI53" s="235"/>
      <c r="AJ53" s="235"/>
      <c r="AK53" s="235"/>
    </row>
    <row r="54" spans="7:37" ht="17.100000000000001" customHeight="1" x14ac:dyDescent="0.4"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AI54" s="235"/>
      <c r="AJ54" s="235"/>
      <c r="AK54" s="235"/>
    </row>
    <row r="55" spans="7:37" ht="17.100000000000001" customHeight="1" x14ac:dyDescent="0.4"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AI55" s="235"/>
      <c r="AJ55" s="235"/>
      <c r="AK55" s="235"/>
    </row>
    <row r="56" spans="7:37" ht="18" x14ac:dyDescent="0.4"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AI56" s="235"/>
      <c r="AJ56" s="235"/>
      <c r="AK56" s="235"/>
    </row>
    <row r="57" spans="7:37" ht="18" x14ac:dyDescent="0.4"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AI57" s="235"/>
      <c r="AJ57" s="235"/>
      <c r="AK57" s="235"/>
    </row>
    <row r="58" spans="7:37" ht="18" x14ac:dyDescent="0.4"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AI58" s="235"/>
      <c r="AJ58" s="235"/>
      <c r="AK58" s="235"/>
    </row>
    <row r="59" spans="7:37" ht="18" x14ac:dyDescent="0.4"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AI59" s="235"/>
      <c r="AJ59" s="235"/>
      <c r="AK59" s="235"/>
    </row>
    <row r="60" spans="7:37" ht="18" x14ac:dyDescent="0.4"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AI60" s="235"/>
      <c r="AJ60" s="235"/>
      <c r="AK60" s="235"/>
    </row>
    <row r="61" spans="7:37" ht="18" x14ac:dyDescent="0.4"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AI61" s="235"/>
      <c r="AJ61" s="235"/>
      <c r="AK61" s="235"/>
    </row>
    <row r="62" spans="7:37" ht="18" x14ac:dyDescent="0.4"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AI62" s="235"/>
      <c r="AJ62" s="235"/>
      <c r="AK62" s="235"/>
    </row>
    <row r="63" spans="7:37" ht="18" x14ac:dyDescent="0.4"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AI63" s="235"/>
      <c r="AJ63" s="235"/>
      <c r="AK63" s="235"/>
    </row>
    <row r="64" spans="7:37" ht="18" x14ac:dyDescent="0.4"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AI64" s="235"/>
      <c r="AJ64" s="235"/>
      <c r="AK64" s="235"/>
    </row>
    <row r="65" spans="7:37" ht="18" x14ac:dyDescent="0.4"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AI65" s="235"/>
      <c r="AJ65" s="235"/>
      <c r="AK65" s="235"/>
    </row>
    <row r="66" spans="7:37" ht="18" x14ac:dyDescent="0.4"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AI66" s="235"/>
      <c r="AJ66" s="235"/>
      <c r="AK66" s="235"/>
    </row>
    <row r="67" spans="7:37" ht="18" x14ac:dyDescent="0.4"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AI67" s="235"/>
      <c r="AJ67" s="235"/>
      <c r="AK67" s="235"/>
    </row>
    <row r="68" spans="7:37" ht="18" x14ac:dyDescent="0.4"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AI68" s="235"/>
      <c r="AJ68" s="235"/>
      <c r="AK68" s="235"/>
    </row>
    <row r="69" spans="7:37" ht="18" x14ac:dyDescent="0.4"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AI69" s="235"/>
      <c r="AJ69" s="235"/>
      <c r="AK69" s="235"/>
    </row>
    <row r="70" spans="7:37" ht="18" x14ac:dyDescent="0.4"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AI70" s="235"/>
      <c r="AJ70" s="235"/>
      <c r="AK70" s="235"/>
    </row>
    <row r="71" spans="7:37" ht="18" x14ac:dyDescent="0.4"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AI71" s="235"/>
      <c r="AJ71" s="235"/>
      <c r="AK71" s="235"/>
    </row>
  </sheetData>
  <mergeCells count="51">
    <mergeCell ref="C7:D7"/>
    <mergeCell ref="C8:D8"/>
    <mergeCell ref="B5:D5"/>
    <mergeCell ref="C6:D6"/>
    <mergeCell ref="Q7:R7"/>
    <mergeCell ref="Q8:R8"/>
    <mergeCell ref="Q9:R9"/>
    <mergeCell ref="P49:R49"/>
    <mergeCell ref="P52:R52"/>
    <mergeCell ref="G48:I48"/>
    <mergeCell ref="G51:I51"/>
    <mergeCell ref="K49:O49"/>
    <mergeCell ref="K52:O52"/>
    <mergeCell ref="G46:H46"/>
    <mergeCell ref="I46:J46"/>
    <mergeCell ref="K46:R46"/>
    <mergeCell ref="G47:H47"/>
    <mergeCell ref="I47:J47"/>
    <mergeCell ref="K47:R47"/>
    <mergeCell ref="G43:I43"/>
    <mergeCell ref="J44:K44"/>
    <mergeCell ref="L44:O44"/>
    <mergeCell ref="G45:H45"/>
    <mergeCell ref="I45:J45"/>
    <mergeCell ref="K45:R45"/>
    <mergeCell ref="P44:R44"/>
    <mergeCell ref="G38:J38"/>
    <mergeCell ref="P38:Q38"/>
    <mergeCell ref="I40:J40"/>
    <mergeCell ref="K40:O40"/>
    <mergeCell ref="G42:J42"/>
    <mergeCell ref="K38:N38"/>
    <mergeCell ref="G36:J36"/>
    <mergeCell ref="P36:Q36"/>
    <mergeCell ref="G37:J37"/>
    <mergeCell ref="P37:Q37"/>
    <mergeCell ref="K36:N36"/>
    <mergeCell ref="K37:N37"/>
    <mergeCell ref="G34:J34"/>
    <mergeCell ref="P34:Q34"/>
    <mergeCell ref="G35:J35"/>
    <mergeCell ref="P35:Q35"/>
    <mergeCell ref="K34:N34"/>
    <mergeCell ref="K35:N35"/>
    <mergeCell ref="G33:J33"/>
    <mergeCell ref="P33:Q33"/>
    <mergeCell ref="K33:N33"/>
    <mergeCell ref="G15:R15"/>
    <mergeCell ref="G29:J29"/>
    <mergeCell ref="G30:R30"/>
    <mergeCell ref="G32:J32"/>
  </mergeCells>
  <dataValidations count="2">
    <dataValidation type="list" allowBlank="1" showInputMessage="1" showErrorMessage="1" sqref="J24:J27" xr:uid="{00000000-0002-0000-0600-000000000000}">
      <formula1>$AI$19:$AI$29</formula1>
    </dataValidation>
    <dataValidation type="list" allowBlank="1" showInputMessage="1" showErrorMessage="1" sqref="C8:D8" xr:uid="{00000000-0002-0000-0600-000001000000}">
      <formula1>$AO$22:$AO$23</formula1>
    </dataValidation>
  </dataValidations>
  <pageMargins left="0.3" right="0.3" top="0.4" bottom="0.1" header="0.3" footer="0.3"/>
  <pageSetup paperSize="9" scale="76" fitToHeight="0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H56"/>
  <sheetViews>
    <sheetView rightToLeft="1" zoomScale="110" zoomScaleNormal="110" workbookViewId="0">
      <selection activeCell="K22" sqref="K22"/>
    </sheetView>
  </sheetViews>
  <sheetFormatPr defaultColWidth="9.140625" defaultRowHeight="15" x14ac:dyDescent="0.25"/>
  <cols>
    <col min="1" max="1" width="1.7109375" style="1" customWidth="1"/>
    <col min="2" max="2" width="2.7109375" style="14" customWidth="1"/>
    <col min="3" max="3" width="21.42578125" style="14" customWidth="1"/>
    <col min="4" max="4" width="17.5703125" style="15" customWidth="1"/>
    <col min="5" max="5" width="15.7109375" style="14" customWidth="1"/>
    <col min="6" max="6" width="11.140625" style="171" customWidth="1"/>
    <col min="7" max="7" width="7.7109375" style="3" customWidth="1"/>
    <col min="8" max="8" width="2.7109375" style="8" customWidth="1"/>
    <col min="9" max="9" width="13.7109375" style="8" customWidth="1"/>
    <col min="10" max="10" width="12.7109375" style="8" customWidth="1"/>
    <col min="11" max="11" width="12.140625" style="8" customWidth="1"/>
    <col min="12" max="13" width="12.7109375" style="8" customWidth="1"/>
    <col min="14" max="15" width="9.28515625" style="8" customWidth="1"/>
    <col min="16" max="16" width="9.28515625" style="9" customWidth="1"/>
    <col min="17" max="18" width="9.28515625" style="12" customWidth="1"/>
    <col min="19" max="24" width="9.28515625" style="4" customWidth="1"/>
    <col min="25" max="52" width="9.28515625" style="1" customWidth="1"/>
    <col min="53" max="53" width="27.140625" style="1" customWidth="1"/>
    <col min="54" max="54" width="15.85546875" style="157" customWidth="1"/>
    <col min="55" max="58" width="9.28515625" style="1" customWidth="1"/>
    <col min="59" max="16384" width="9.140625" style="1"/>
  </cols>
  <sheetData>
    <row r="1" spans="1:60" ht="9.75" customHeight="1" thickBot="1" x14ac:dyDescent="0.3">
      <c r="A1" s="21"/>
      <c r="B1" s="21"/>
      <c r="C1" s="21"/>
      <c r="D1" s="21"/>
      <c r="E1" s="21"/>
      <c r="F1" s="167"/>
      <c r="G1" s="167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60" ht="15" customHeight="1" thickBot="1" x14ac:dyDescent="0.3">
      <c r="A2" s="21"/>
      <c r="B2" s="196"/>
      <c r="C2" s="197"/>
      <c r="D2" s="198"/>
      <c r="E2" s="199"/>
      <c r="F2" s="200"/>
      <c r="G2" s="201"/>
      <c r="H2" s="202"/>
      <c r="I2" s="21"/>
      <c r="J2" s="19"/>
      <c r="K2" s="19"/>
      <c r="L2" s="19"/>
      <c r="M2" s="19"/>
      <c r="N2" s="17"/>
      <c r="O2" s="19"/>
      <c r="P2" s="20"/>
      <c r="Q2" s="21"/>
      <c r="R2" s="21"/>
      <c r="S2" s="19"/>
      <c r="T2" s="19"/>
      <c r="U2" s="19"/>
      <c r="V2" s="20"/>
      <c r="W2" s="22"/>
      <c r="X2" s="23"/>
      <c r="Y2" s="21"/>
      <c r="Z2" s="21"/>
      <c r="AZ2" s="155" t="s">
        <v>209</v>
      </c>
      <c r="BA2" s="156" t="s">
        <v>212</v>
      </c>
      <c r="BB2" s="159" t="s">
        <v>152</v>
      </c>
      <c r="BC2" s="13"/>
      <c r="BD2" s="5"/>
      <c r="BE2" s="6"/>
      <c r="BF2" s="7"/>
      <c r="BG2" s="6"/>
      <c r="BH2" s="6"/>
    </row>
    <row r="3" spans="1:60" ht="30" customHeight="1" x14ac:dyDescent="0.25">
      <c r="A3" s="21"/>
      <c r="B3" s="203"/>
      <c r="C3" s="432" t="s">
        <v>240</v>
      </c>
      <c r="D3" s="433"/>
      <c r="E3" s="433"/>
      <c r="F3" s="440" t="s">
        <v>98</v>
      </c>
      <c r="G3" s="441"/>
      <c r="H3" s="204"/>
      <c r="I3" s="21"/>
      <c r="J3" s="19"/>
      <c r="K3" s="19"/>
      <c r="L3" s="19"/>
      <c r="M3" s="19"/>
      <c r="N3" s="24"/>
      <c r="O3" s="20"/>
      <c r="P3" s="20"/>
      <c r="Q3" s="22"/>
      <c r="R3" s="21"/>
      <c r="S3" s="25"/>
      <c r="T3" s="25"/>
      <c r="U3" s="25"/>
      <c r="V3" s="20"/>
      <c r="W3" s="22"/>
      <c r="X3" s="23"/>
      <c r="Y3" s="19"/>
      <c r="Z3" s="21"/>
      <c r="AZ3" s="163" t="s">
        <v>215</v>
      </c>
      <c r="BA3" s="156" t="s">
        <v>213</v>
      </c>
      <c r="BB3" s="158" t="s">
        <v>138</v>
      </c>
      <c r="BD3" s="11"/>
      <c r="BE3" s="6"/>
      <c r="BF3" s="6"/>
      <c r="BG3" s="6"/>
      <c r="BH3" s="6"/>
    </row>
    <row r="4" spans="1:60" ht="20.100000000000001" customHeight="1" x14ac:dyDescent="0.25">
      <c r="A4" s="21"/>
      <c r="B4" s="203"/>
      <c r="C4" s="152" t="s">
        <v>118</v>
      </c>
      <c r="D4" s="153" t="s">
        <v>0</v>
      </c>
      <c r="E4" s="224" t="s">
        <v>1</v>
      </c>
      <c r="F4" s="181" t="s">
        <v>100</v>
      </c>
      <c r="G4" s="172">
        <v>7</v>
      </c>
      <c r="H4" s="204"/>
      <c r="I4" s="21"/>
      <c r="J4" s="19"/>
      <c r="K4" s="19"/>
      <c r="L4" s="19"/>
      <c r="M4" s="19"/>
      <c r="N4" s="17"/>
      <c r="O4" s="19"/>
      <c r="P4" s="20"/>
      <c r="Q4" s="21"/>
      <c r="R4" s="21"/>
      <c r="S4" s="19"/>
      <c r="T4" s="19"/>
      <c r="U4" s="19"/>
      <c r="V4" s="20"/>
      <c r="W4" s="22"/>
      <c r="X4" s="23"/>
      <c r="Y4" s="21"/>
      <c r="Z4" s="21"/>
      <c r="AK4" s="418" t="str">
        <f>IF(AND(AL7&lt;=6,AL8&gt;12),"NOT IN RANGE",IF(AND(AL7&gt;6,AL7&lt;=8,AL8&gt;9),"NOT IN RANGE",IF(AND(AL7&gt;8,AL7&lt;=10,AL8&gt;4),"NOT IN RANGE",IF(AND(AL7&gt;10,AL7&lt;=50,AL8&gt;1),"NOT IN RANGE","CORRECT RANGE"))))</f>
        <v>CORRECT RANGE</v>
      </c>
      <c r="AL4" s="419"/>
      <c r="AM4" s="419"/>
      <c r="BA4" s="162" t="s">
        <v>214</v>
      </c>
      <c r="BB4" s="158" t="s">
        <v>139</v>
      </c>
      <c r="BD4" s="11"/>
      <c r="BE4" s="6"/>
      <c r="BF4" s="6"/>
      <c r="BG4" s="6"/>
      <c r="BH4" s="6"/>
    </row>
    <row r="5" spans="1:60" ht="20.100000000000001" customHeight="1" x14ac:dyDescent="0.25">
      <c r="A5" s="21"/>
      <c r="B5" s="185"/>
      <c r="C5" s="183">
        <f>(D5+E5)*(D8-0.25)</f>
        <v>23</v>
      </c>
      <c r="D5" s="182">
        <v>2</v>
      </c>
      <c r="E5" s="182">
        <f>IF(AND(D9&gt;2,D9&lt;=4.2),0,IF(AND(D9&gt;4.2,D9&lt;=8),1,IF(AND(D9&gt;8,D9&lt;=12),2,IF(AND(D9&gt;12,D9&lt;=16),3,IF(AND(D9&gt;16,D9&lt;=20),4,IF(AND(D9&gt;20,D9&lt;=24),5,IF(AND(D9&gt;24,D9&lt;=28),6,IF(AND(D9&gt;28,D9&lt;=32),7,IF(AND(D9&gt;32,D9&lt;=36),8,IF(AND(D9&gt;36,D9&lt;=40),9,IF(AND(D9&gt;40,D9&lt;=44),10,IF(AND(D9&gt;44,D9&lt;=48),11,IF(AND(D9&gt;48,D9&lt;=52),12,"NOT VALID")))))))))))))</f>
        <v>2</v>
      </c>
      <c r="F5" s="181" t="s">
        <v>101</v>
      </c>
      <c r="G5" s="172">
        <v>15</v>
      </c>
      <c r="H5" s="204"/>
      <c r="I5" s="21"/>
      <c r="J5" s="19"/>
      <c r="K5" s="19"/>
      <c r="L5" s="19"/>
      <c r="M5" s="19"/>
      <c r="N5" s="24"/>
      <c r="O5" s="20"/>
      <c r="P5" s="20"/>
      <c r="Q5" s="22"/>
      <c r="R5" s="21"/>
      <c r="S5" s="21"/>
      <c r="T5" s="21"/>
      <c r="U5" s="21"/>
      <c r="V5" s="21"/>
      <c r="W5" s="21"/>
      <c r="X5" s="21"/>
      <c r="Y5" s="21"/>
      <c r="Z5" s="21"/>
      <c r="AK5" s="418"/>
      <c r="AL5" s="419"/>
      <c r="AM5" s="419"/>
      <c r="BA5" s="10"/>
      <c r="BC5" s="6"/>
      <c r="BD5" s="11"/>
      <c r="BE5" s="6"/>
      <c r="BF5" s="6"/>
      <c r="BG5" s="6"/>
      <c r="BH5" s="6"/>
    </row>
    <row r="6" spans="1:60" ht="20.100000000000001" customHeight="1" x14ac:dyDescent="0.25">
      <c r="A6" s="21"/>
      <c r="B6" s="185"/>
      <c r="C6" s="420" t="str">
        <f>IF(AND(D8&lt;=6,D9&gt;12),"NOT IN RANGE",IF(AND(D8&gt;6,D8&lt;=8,D9&gt;9),"NOT IN RANGE",IF(AND(D8&gt;8,D8&lt;=12,D9&gt;6),"NOT IN RANGE",IF(AND(D8&gt;12,D8&lt;=50,D9&gt;1),"NOT IN RANGE","CORRECT RANGE"))))</f>
        <v>CORRECT RANGE</v>
      </c>
      <c r="D6" s="421"/>
      <c r="E6" s="422"/>
      <c r="F6" s="181" t="s">
        <v>102</v>
      </c>
      <c r="G6" s="172">
        <v>20</v>
      </c>
      <c r="H6" s="204"/>
      <c r="I6" s="21"/>
      <c r="J6" s="19"/>
      <c r="K6" s="19"/>
      <c r="L6" s="19"/>
      <c r="M6" s="19"/>
      <c r="N6" s="17"/>
      <c r="O6" s="19"/>
      <c r="P6" s="20"/>
      <c r="Q6" s="21"/>
      <c r="R6" s="21"/>
      <c r="S6" s="19"/>
      <c r="T6" s="19"/>
      <c r="U6" s="19"/>
      <c r="V6" s="20"/>
      <c r="W6" s="22"/>
      <c r="X6" s="23"/>
      <c r="Y6" s="21"/>
      <c r="Z6" s="21"/>
      <c r="AK6" s="418"/>
      <c r="AL6" s="419"/>
      <c r="AM6" s="419"/>
      <c r="AZ6" s="160" t="s">
        <v>181</v>
      </c>
      <c r="BA6" s="10"/>
      <c r="BC6" s="6"/>
      <c r="BD6" s="11"/>
      <c r="BE6" s="6"/>
      <c r="BF6" s="6"/>
      <c r="BG6" s="6"/>
      <c r="BH6" s="6"/>
    </row>
    <row r="7" spans="1:60" ht="20.100000000000001" customHeight="1" x14ac:dyDescent="0.25">
      <c r="A7" s="21"/>
      <c r="B7" s="185"/>
      <c r="C7" s="423"/>
      <c r="D7" s="424"/>
      <c r="E7" s="425"/>
      <c r="F7" s="181" t="s">
        <v>103</v>
      </c>
      <c r="G7" s="172">
        <v>45</v>
      </c>
      <c r="H7" s="204"/>
      <c r="I7" s="21"/>
      <c r="J7" s="19"/>
      <c r="K7" s="19"/>
      <c r="L7" s="19"/>
      <c r="M7" s="19"/>
      <c r="N7" s="24"/>
      <c r="O7" s="20"/>
      <c r="P7" s="20"/>
      <c r="Q7" s="22"/>
      <c r="R7" s="21"/>
      <c r="S7" s="25"/>
      <c r="T7" s="25"/>
      <c r="U7" s="25"/>
      <c r="V7" s="20"/>
      <c r="W7" s="22"/>
      <c r="X7" s="23"/>
      <c r="Y7" s="19"/>
      <c r="Z7" s="21"/>
      <c r="AZ7" s="161" t="s">
        <v>182</v>
      </c>
      <c r="BA7" s="5"/>
      <c r="BC7" s="6"/>
      <c r="BD7" s="11"/>
      <c r="BE7" s="6"/>
      <c r="BF7" s="6"/>
      <c r="BG7" s="6"/>
      <c r="BH7" s="6"/>
    </row>
    <row r="8" spans="1:60" ht="20.100000000000001" customHeight="1" x14ac:dyDescent="0.25">
      <c r="A8" s="21"/>
      <c r="B8" s="185"/>
      <c r="C8" s="166" t="s">
        <v>224</v>
      </c>
      <c r="D8" s="222">
        <v>6</v>
      </c>
      <c r="E8" s="176" t="s">
        <v>153</v>
      </c>
      <c r="F8" s="181" t="s">
        <v>104</v>
      </c>
      <c r="G8" s="172"/>
      <c r="H8" s="204"/>
      <c r="I8" s="21"/>
      <c r="J8" s="19"/>
      <c r="K8" s="19"/>
      <c r="L8" s="19"/>
      <c r="M8" s="19"/>
      <c r="N8" s="17"/>
      <c r="O8" s="19"/>
      <c r="P8" s="20"/>
      <c r="Q8" s="21"/>
      <c r="R8" s="21"/>
      <c r="S8" s="19"/>
      <c r="T8" s="19"/>
      <c r="U8" s="19"/>
      <c r="V8" s="20"/>
      <c r="W8" s="22"/>
      <c r="X8" s="23"/>
      <c r="Y8" s="21"/>
      <c r="Z8" s="21"/>
      <c r="AZ8" s="160" t="s">
        <v>183</v>
      </c>
      <c r="BA8" s="5"/>
      <c r="BC8" s="6"/>
      <c r="BD8" s="11"/>
      <c r="BE8" s="6"/>
      <c r="BF8" s="6"/>
      <c r="BG8" s="6"/>
      <c r="BH8" s="6"/>
    </row>
    <row r="9" spans="1:60" ht="20.100000000000001" customHeight="1" x14ac:dyDescent="0.25">
      <c r="A9" s="21"/>
      <c r="B9" s="185"/>
      <c r="C9" s="166" t="s">
        <v>117</v>
      </c>
      <c r="D9" s="222">
        <v>9</v>
      </c>
      <c r="E9" s="177">
        <v>1200000</v>
      </c>
      <c r="F9" s="434" t="s">
        <v>120</v>
      </c>
      <c r="G9" s="435"/>
      <c r="H9" s="204"/>
      <c r="I9" s="19"/>
      <c r="J9" s="19"/>
      <c r="K9" s="19"/>
      <c r="L9" s="19"/>
      <c r="M9" s="19"/>
      <c r="N9" s="24"/>
      <c r="O9" s="20"/>
      <c r="P9" s="20"/>
      <c r="Q9" s="22"/>
      <c r="R9" s="21"/>
      <c r="S9" s="21"/>
      <c r="T9" s="21"/>
      <c r="U9" s="21"/>
      <c r="V9" s="21"/>
      <c r="W9" s="21"/>
      <c r="X9" s="21"/>
      <c r="Y9" s="21"/>
      <c r="Z9" s="21"/>
    </row>
    <row r="10" spans="1:60" ht="20.100000000000001" customHeight="1" x14ac:dyDescent="0.25">
      <c r="A10" s="21"/>
      <c r="B10" s="185"/>
      <c r="C10" s="166" t="s">
        <v>119</v>
      </c>
      <c r="D10" s="223">
        <f>'پیش فاکتور سقف متحرک'!D16</f>
        <v>0</v>
      </c>
      <c r="E10" s="176" t="s">
        <v>155</v>
      </c>
      <c r="F10" s="436">
        <f>D8*D9*D10</f>
        <v>0</v>
      </c>
      <c r="G10" s="437"/>
      <c r="H10" s="204"/>
      <c r="I10" s="19"/>
      <c r="J10" s="19"/>
      <c r="K10" s="19"/>
      <c r="L10" s="19"/>
      <c r="M10" s="19"/>
      <c r="N10" s="17"/>
      <c r="O10" s="19"/>
      <c r="P10" s="20"/>
      <c r="Q10" s="21"/>
      <c r="R10" s="21"/>
      <c r="S10" s="19"/>
      <c r="T10" s="19"/>
      <c r="U10" s="19"/>
      <c r="V10" s="20"/>
      <c r="W10" s="22"/>
      <c r="X10" s="23"/>
      <c r="Y10" s="21"/>
      <c r="Z10" s="21"/>
      <c r="AA10" s="214">
        <v>100</v>
      </c>
      <c r="AB10" s="211" t="s">
        <v>229</v>
      </c>
      <c r="AC10" s="214">
        <v>100</v>
      </c>
      <c r="AD10" s="210" t="s">
        <v>228</v>
      </c>
      <c r="AE10" s="212" t="s">
        <v>235</v>
      </c>
    </row>
    <row r="11" spans="1:60" ht="20.100000000000001" hidden="1" customHeight="1" x14ac:dyDescent="0.2">
      <c r="A11" s="21"/>
      <c r="B11" s="185"/>
      <c r="C11" s="2"/>
      <c r="D11" s="175"/>
      <c r="E11" s="178"/>
      <c r="F11" s="434" t="s">
        <v>99</v>
      </c>
      <c r="G11" s="435"/>
      <c r="H11" s="204"/>
      <c r="I11" s="19"/>
      <c r="J11" s="154"/>
      <c r="K11" s="19"/>
      <c r="L11" s="19"/>
      <c r="M11" s="19"/>
      <c r="N11" s="24"/>
      <c r="O11" s="20"/>
      <c r="P11" s="20"/>
      <c r="Q11" s="22"/>
      <c r="R11" s="21"/>
      <c r="S11" s="25"/>
      <c r="T11" s="25"/>
      <c r="U11" s="25"/>
      <c r="V11" s="20"/>
      <c r="W11" s="22"/>
      <c r="X11" s="23"/>
      <c r="Y11" s="19"/>
      <c r="Z11" s="21"/>
      <c r="AA11" s="214"/>
      <c r="AB11" s="25"/>
      <c r="AC11" s="214"/>
      <c r="AD11" s="22"/>
      <c r="AE11" s="22"/>
    </row>
    <row r="12" spans="1:60" ht="20.100000000000001" hidden="1" customHeight="1" x14ac:dyDescent="0.2">
      <c r="A12" s="21"/>
      <c r="B12" s="185"/>
      <c r="C12" s="2"/>
      <c r="D12" s="175"/>
      <c r="E12" s="178"/>
      <c r="F12" s="428" t="e">
        <f>('AAA1'!S23+'AAA1'!S24+'AAA1'!S25+'AAA1'!S26+'AAA1'!S27+'AAA1'!S28+'AAA1'!S29)</f>
        <v>#DIV/0!</v>
      </c>
      <c r="G12" s="429"/>
      <c r="H12" s="205"/>
      <c r="I12" s="19"/>
      <c r="J12" s="19"/>
      <c r="K12" s="19"/>
      <c r="L12" s="19"/>
      <c r="M12" s="19"/>
      <c r="N12" s="17"/>
      <c r="O12" s="19"/>
      <c r="P12" s="20"/>
      <c r="Q12" s="21"/>
      <c r="R12" s="21"/>
      <c r="S12" s="19"/>
      <c r="T12" s="19"/>
      <c r="U12" s="19"/>
      <c r="V12" s="20"/>
      <c r="W12" s="22"/>
      <c r="X12" s="23"/>
      <c r="Y12" s="21"/>
      <c r="Z12" s="21"/>
      <c r="AA12" s="214">
        <v>110</v>
      </c>
      <c r="AB12" s="211" t="s">
        <v>230</v>
      </c>
      <c r="AC12" s="214">
        <v>105</v>
      </c>
      <c r="AD12" s="210" t="s">
        <v>225</v>
      </c>
      <c r="AE12" s="22"/>
    </row>
    <row r="13" spans="1:60" ht="20.100000000000001" hidden="1" customHeight="1" x14ac:dyDescent="0.25">
      <c r="A13" s="21"/>
      <c r="B13" s="185"/>
      <c r="C13" s="184"/>
      <c r="D13" s="174" t="s">
        <v>137</v>
      </c>
      <c r="E13" s="176"/>
      <c r="F13" s="438" t="e">
        <f>(F12*F10)</f>
        <v>#DIV/0!</v>
      </c>
      <c r="G13" s="439"/>
      <c r="H13" s="204"/>
      <c r="I13" s="19"/>
      <c r="J13" s="19"/>
      <c r="K13" s="19"/>
      <c r="L13" s="19"/>
      <c r="M13" s="19"/>
      <c r="N13" s="24"/>
      <c r="O13" s="20"/>
      <c r="P13" s="20"/>
      <c r="Q13" s="22"/>
      <c r="R13" s="21"/>
      <c r="S13" s="21"/>
      <c r="T13" s="21"/>
      <c r="U13" s="21"/>
      <c r="V13" s="21"/>
      <c r="W13" s="21"/>
      <c r="X13" s="21"/>
      <c r="Y13" s="21"/>
      <c r="Z13" s="21"/>
      <c r="AA13" s="214">
        <v>140</v>
      </c>
      <c r="AB13" s="213" t="s">
        <v>231</v>
      </c>
      <c r="AC13" s="214">
        <v>125</v>
      </c>
      <c r="AD13" s="210" t="s">
        <v>226</v>
      </c>
      <c r="AE13" s="22"/>
    </row>
    <row r="14" spans="1:60" ht="20.100000000000001" hidden="1" customHeight="1" x14ac:dyDescent="0.25">
      <c r="A14" s="21"/>
      <c r="B14" s="185"/>
      <c r="C14" s="184"/>
      <c r="D14" s="430" t="e">
        <f>IF(AND(D17="ALUMINUM RAIL  140"),F14,IF(AND(D17="ALUMINUM+STEEL"),F14*0.8,0))</f>
        <v>#DIV/0!</v>
      </c>
      <c r="E14" s="431"/>
      <c r="F14" s="428" t="e">
        <f>F13*1.13</f>
        <v>#DIV/0!</v>
      </c>
      <c r="G14" s="429"/>
      <c r="H14" s="204"/>
      <c r="I14" s="19"/>
      <c r="J14" s="19"/>
      <c r="K14" s="19"/>
      <c r="L14" s="19"/>
      <c r="M14" s="19"/>
      <c r="N14" s="24"/>
      <c r="O14" s="20"/>
      <c r="P14" s="20"/>
      <c r="Q14" s="22"/>
      <c r="R14" s="21"/>
      <c r="S14" s="19"/>
      <c r="T14" s="19"/>
      <c r="U14" s="19"/>
      <c r="V14" s="20"/>
      <c r="W14" s="22"/>
      <c r="X14" s="23"/>
      <c r="Y14" s="21"/>
      <c r="Z14" s="21"/>
      <c r="AA14" s="214">
        <v>115</v>
      </c>
      <c r="AB14" s="211" t="s">
        <v>232</v>
      </c>
      <c r="AC14" s="214">
        <v>112</v>
      </c>
      <c r="AD14" s="210" t="s">
        <v>227</v>
      </c>
      <c r="AE14" s="22"/>
    </row>
    <row r="15" spans="1:60" ht="20.100000000000001" customHeight="1" x14ac:dyDescent="0.25">
      <c r="A15" s="21"/>
      <c r="B15" s="185"/>
      <c r="C15" s="219" t="s">
        <v>238</v>
      </c>
      <c r="D15" s="218" t="s">
        <v>138</v>
      </c>
      <c r="E15" s="177">
        <v>320000</v>
      </c>
      <c r="F15" s="434" t="s">
        <v>99</v>
      </c>
      <c r="G15" s="435"/>
      <c r="H15" s="204"/>
      <c r="I15" s="31"/>
      <c r="J15" s="19"/>
      <c r="K15" s="19"/>
      <c r="L15" s="19"/>
      <c r="M15" s="19"/>
      <c r="N15" s="17"/>
      <c r="O15" s="19"/>
      <c r="P15" s="20"/>
      <c r="Q15" s="21"/>
      <c r="R15" s="21"/>
      <c r="S15" s="25"/>
      <c r="T15" s="25"/>
      <c r="U15" s="25"/>
      <c r="V15" s="20"/>
      <c r="W15" s="22"/>
      <c r="X15" s="23"/>
      <c r="Y15" s="19"/>
      <c r="Z15" s="21"/>
      <c r="AA15" s="214">
        <v>110</v>
      </c>
      <c r="AB15" s="25"/>
      <c r="AC15" s="25"/>
      <c r="AD15" s="20"/>
      <c r="AE15" s="22"/>
    </row>
    <row r="16" spans="1:60" ht="20.100000000000001" customHeight="1" x14ac:dyDescent="0.25">
      <c r="A16" s="21"/>
      <c r="B16" s="185"/>
      <c r="C16" s="219" t="s">
        <v>239</v>
      </c>
      <c r="D16" s="218" t="s">
        <v>236</v>
      </c>
      <c r="E16" s="177" t="s">
        <v>198</v>
      </c>
      <c r="F16" s="426" t="e">
        <f>F18/F10</f>
        <v>#DIV/0!</v>
      </c>
      <c r="G16" s="427"/>
      <c r="H16" s="204"/>
      <c r="I16" s="31"/>
      <c r="J16" s="19"/>
      <c r="K16" s="19"/>
      <c r="L16" s="19"/>
      <c r="M16" s="19"/>
      <c r="N16" s="17"/>
      <c r="O16" s="19"/>
      <c r="P16" s="20"/>
      <c r="Q16" s="21"/>
      <c r="R16" s="21"/>
      <c r="S16" s="19"/>
      <c r="T16" s="19"/>
      <c r="U16" s="19"/>
      <c r="V16" s="20"/>
      <c r="W16" s="22"/>
      <c r="X16" s="23"/>
      <c r="Y16" s="21"/>
      <c r="Z16" s="21"/>
      <c r="AA16" s="214">
        <v>110</v>
      </c>
      <c r="AB16" s="19"/>
      <c r="AC16" s="25"/>
      <c r="AD16" s="20"/>
      <c r="AE16" s="22"/>
      <c r="BB16" s="216" t="s">
        <v>236</v>
      </c>
    </row>
    <row r="17" spans="1:54" ht="20.100000000000001" customHeight="1" x14ac:dyDescent="0.25">
      <c r="A17" s="21"/>
      <c r="B17" s="185"/>
      <c r="C17" s="166" t="s">
        <v>208</v>
      </c>
      <c r="D17" s="220" t="s">
        <v>210</v>
      </c>
      <c r="E17" s="179">
        <v>250000</v>
      </c>
      <c r="F17" s="434" t="s">
        <v>121</v>
      </c>
      <c r="G17" s="435"/>
      <c r="H17" s="204"/>
      <c r="I17" s="31"/>
      <c r="J17" s="19"/>
      <c r="K17" s="19"/>
      <c r="L17" s="19"/>
      <c r="M17" s="19"/>
      <c r="N17" s="17"/>
      <c r="O17" s="19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4">
        <v>110</v>
      </c>
      <c r="AB17" s="25"/>
      <c r="AC17" s="25"/>
      <c r="AD17" s="20"/>
      <c r="AE17" s="22"/>
      <c r="BB17" s="217" t="s">
        <v>237</v>
      </c>
    </row>
    <row r="18" spans="1:54" ht="20.100000000000001" customHeight="1" x14ac:dyDescent="0.25">
      <c r="A18" s="21"/>
      <c r="B18" s="185"/>
      <c r="C18" s="166" t="s">
        <v>211</v>
      </c>
      <c r="D18" s="416" t="s">
        <v>216</v>
      </c>
      <c r="E18" s="417"/>
      <c r="F18" s="426" t="e">
        <f>IF(AND(D15="sayaneh",D16="mana"),D14*1.05,IF(AND(D15="sayaneh",D16="shana"),D14*1.25,IF(AND(D15="sayaneh",D16="mah sayeh"),D14*1.1,IF(AND(D15="pavlion",D16="atin"),D14*1.1,IF(AND(D15="pavlion",D16="atin plus"),D14*1.4,IF(AND(D15="pavlion",D16="paina"),D14*1.15,IF(AND(D15="pavlion",D16="horno"),D14*1.35,IF(AND(D15="pavlion",D16="aavan"),D14*0.95,IF(AND(D15="pavlion",D16="Nothing"),D14*1,IF(AND(D15="sayaneh",D16="Nothing"),D14*1,IF(AND(D15="roof level",D16="Nothing"),D14*1,0)))))))))))</f>
        <v>#DIV/0!</v>
      </c>
      <c r="G18" s="427"/>
      <c r="H18" s="204"/>
      <c r="I18" s="31"/>
      <c r="J18" s="19"/>
      <c r="K18" s="19"/>
      <c r="L18" s="19"/>
      <c r="M18" s="19"/>
      <c r="N18" s="17"/>
      <c r="O18" s="19"/>
      <c r="P18" s="20"/>
      <c r="Q18" s="21"/>
      <c r="R18" s="21"/>
      <c r="S18" s="19"/>
      <c r="T18" s="19"/>
      <c r="U18" s="19"/>
      <c r="V18" s="20"/>
      <c r="W18" s="22"/>
      <c r="X18" s="23"/>
      <c r="Y18" s="21"/>
      <c r="Z18" s="21"/>
      <c r="AA18" s="214">
        <v>110</v>
      </c>
      <c r="AB18" s="25"/>
      <c r="AC18" s="25"/>
      <c r="AD18" s="20"/>
      <c r="AE18" s="22"/>
      <c r="BB18" s="210" t="s">
        <v>225</v>
      </c>
    </row>
    <row r="19" spans="1:54" ht="15" customHeight="1" x14ac:dyDescent="0.25">
      <c r="A19" s="32" t="s">
        <v>3</v>
      </c>
      <c r="B19" s="185"/>
      <c r="C19" s="185"/>
      <c r="D19" s="173"/>
      <c r="E19" s="173"/>
      <c r="F19" s="173"/>
      <c r="G19" s="186"/>
      <c r="H19" s="186"/>
      <c r="I19" s="19"/>
      <c r="J19" s="19"/>
      <c r="K19" s="19"/>
      <c r="L19" s="19"/>
      <c r="M19" s="19"/>
      <c r="N19" s="24"/>
      <c r="O19" s="20"/>
      <c r="P19" s="20"/>
      <c r="Q19" s="22"/>
      <c r="R19" s="21"/>
      <c r="S19" s="25"/>
      <c r="T19" s="25"/>
      <c r="U19" s="25"/>
      <c r="V19" s="20"/>
      <c r="W19" s="22"/>
      <c r="X19" s="23"/>
      <c r="Y19" s="19"/>
      <c r="Z19" s="21"/>
      <c r="AA19" s="214">
        <v>135</v>
      </c>
      <c r="AB19" s="211" t="s">
        <v>233</v>
      </c>
      <c r="AC19" s="25"/>
      <c r="AD19" s="211"/>
      <c r="AE19" s="22"/>
      <c r="BB19" s="210" t="s">
        <v>226</v>
      </c>
    </row>
    <row r="20" spans="1:54" ht="20.100000000000001" customHeight="1" x14ac:dyDescent="0.25">
      <c r="A20" s="21"/>
      <c r="B20" s="185"/>
      <c r="C20" s="187"/>
      <c r="D20" s="18"/>
      <c r="E20" s="16"/>
      <c r="F20" s="168"/>
      <c r="G20" s="188"/>
      <c r="H20" s="186"/>
      <c r="I20" s="19"/>
      <c r="J20" s="19"/>
      <c r="K20" s="19"/>
      <c r="L20" s="19"/>
      <c r="M20" s="19"/>
      <c r="N20" s="17"/>
      <c r="O20" s="19"/>
      <c r="P20" s="20"/>
      <c r="Q20" s="21"/>
      <c r="R20" s="21"/>
      <c r="S20" s="19"/>
      <c r="T20" s="19"/>
      <c r="U20" s="19"/>
      <c r="V20" s="20"/>
      <c r="W20" s="22"/>
      <c r="X20" s="23"/>
      <c r="Y20" s="21"/>
      <c r="Z20" s="21"/>
      <c r="AA20" s="214">
        <v>95</v>
      </c>
      <c r="AB20" s="211" t="s">
        <v>234</v>
      </c>
      <c r="AC20" s="25"/>
      <c r="AD20" s="213"/>
      <c r="AE20" s="22"/>
      <c r="BB20" s="210" t="s">
        <v>227</v>
      </c>
    </row>
    <row r="21" spans="1:54" ht="20.100000000000001" customHeight="1" x14ac:dyDescent="0.25">
      <c r="A21" s="21"/>
      <c r="B21" s="185"/>
      <c r="C21" s="187"/>
      <c r="D21" s="18"/>
      <c r="E21" s="16"/>
      <c r="F21" s="168"/>
      <c r="G21" s="188"/>
      <c r="H21" s="186"/>
      <c r="I21" s="19"/>
      <c r="J21" s="19"/>
      <c r="K21" s="19"/>
      <c r="L21" s="19"/>
      <c r="M21" s="19"/>
      <c r="N21" s="24"/>
      <c r="O21" s="20"/>
      <c r="P21" s="20"/>
      <c r="Q21" s="22"/>
      <c r="R21" s="21"/>
      <c r="S21" s="21"/>
      <c r="T21" s="21"/>
      <c r="U21" s="21"/>
      <c r="V21" s="21"/>
      <c r="W21" s="21"/>
      <c r="X21" s="21"/>
      <c r="Y21" s="21"/>
      <c r="Z21" s="21"/>
      <c r="BB21" s="217" t="s">
        <v>237</v>
      </c>
    </row>
    <row r="22" spans="1:54" ht="20.100000000000001" customHeight="1" x14ac:dyDescent="0.25">
      <c r="A22" s="21"/>
      <c r="B22" s="185"/>
      <c r="C22" s="187"/>
      <c r="D22" s="18"/>
      <c r="E22" s="16"/>
      <c r="F22" s="168"/>
      <c r="G22" s="188"/>
      <c r="H22" s="186"/>
      <c r="I22" s="19"/>
      <c r="J22" s="19"/>
      <c r="K22" s="19"/>
      <c r="L22" s="19"/>
      <c r="M22" s="19"/>
      <c r="N22" s="17"/>
      <c r="O22" s="19"/>
      <c r="P22" s="20"/>
      <c r="Q22" s="21"/>
      <c r="R22" s="21"/>
      <c r="S22" s="19"/>
      <c r="T22" s="19"/>
      <c r="U22" s="19"/>
      <c r="V22" s="20"/>
      <c r="W22" s="22"/>
      <c r="X22" s="23"/>
      <c r="Y22" s="21"/>
      <c r="Z22" s="21"/>
      <c r="BB22" s="211" t="s">
        <v>230</v>
      </c>
    </row>
    <row r="23" spans="1:54" ht="20.100000000000001" customHeight="1" x14ac:dyDescent="0.25">
      <c r="A23" s="21"/>
      <c r="B23" s="185"/>
      <c r="C23" s="187"/>
      <c r="D23" s="18"/>
      <c r="E23" s="16"/>
      <c r="F23" s="168"/>
      <c r="G23" s="188"/>
      <c r="H23" s="186"/>
      <c r="I23" s="19"/>
      <c r="J23" s="19"/>
      <c r="K23" s="19"/>
      <c r="L23" s="19"/>
      <c r="M23" s="19"/>
      <c r="N23" s="24"/>
      <c r="O23" s="20"/>
      <c r="P23" s="20"/>
      <c r="Q23" s="22"/>
      <c r="R23" s="21"/>
      <c r="S23" s="25"/>
      <c r="T23" s="25"/>
      <c r="U23" s="25"/>
      <c r="V23" s="20"/>
      <c r="W23" s="22"/>
      <c r="X23" s="23"/>
      <c r="Y23" s="19"/>
      <c r="Z23" s="21"/>
      <c r="BB23" s="215" t="s">
        <v>231</v>
      </c>
    </row>
    <row r="24" spans="1:54" ht="15.95" customHeight="1" x14ac:dyDescent="0.25">
      <c r="A24" s="21"/>
      <c r="B24" s="206"/>
      <c r="C24" s="189"/>
      <c r="D24" s="28"/>
      <c r="E24" s="27"/>
      <c r="F24" s="26"/>
      <c r="G24" s="188"/>
      <c r="H24" s="186"/>
      <c r="I24" s="19"/>
      <c r="J24" s="19"/>
      <c r="K24" s="19"/>
      <c r="L24" s="19"/>
      <c r="M24" s="19"/>
      <c r="N24" s="17"/>
      <c r="O24" s="19"/>
      <c r="P24" s="20"/>
      <c r="Q24" s="21"/>
      <c r="R24" s="21"/>
      <c r="S24" s="19"/>
      <c r="T24" s="19"/>
      <c r="U24" s="19"/>
      <c r="V24" s="20"/>
      <c r="W24" s="22"/>
      <c r="X24" s="23"/>
      <c r="Y24" s="21"/>
      <c r="Z24" s="21"/>
      <c r="BB24" s="211" t="s">
        <v>232</v>
      </c>
    </row>
    <row r="25" spans="1:54" ht="15.95" customHeight="1" x14ac:dyDescent="0.25">
      <c r="A25" s="21"/>
      <c r="B25" s="206"/>
      <c r="C25" s="189"/>
      <c r="D25" s="28"/>
      <c r="E25" s="27"/>
      <c r="F25" s="26"/>
      <c r="G25" s="188"/>
      <c r="H25" s="186"/>
      <c r="I25" s="19"/>
      <c r="J25" s="19"/>
      <c r="K25" s="19"/>
      <c r="L25" s="19"/>
      <c r="M25" s="19"/>
      <c r="N25" s="24"/>
      <c r="O25" s="20"/>
      <c r="P25" s="20"/>
      <c r="Q25" s="22"/>
      <c r="R25" s="21"/>
      <c r="S25" s="21"/>
      <c r="T25" s="21"/>
      <c r="U25" s="21"/>
      <c r="V25" s="21"/>
      <c r="W25" s="21"/>
      <c r="X25" s="21"/>
      <c r="Y25" s="21"/>
      <c r="Z25" s="21"/>
      <c r="BB25" s="211" t="s">
        <v>233</v>
      </c>
    </row>
    <row r="26" spans="1:54" ht="15.95" customHeight="1" x14ac:dyDescent="0.25">
      <c r="A26" s="21"/>
      <c r="B26" s="203"/>
      <c r="C26" s="189"/>
      <c r="D26" s="28"/>
      <c r="E26" s="27"/>
      <c r="F26" s="26"/>
      <c r="G26" s="190"/>
      <c r="H26" s="186"/>
      <c r="I26" s="19"/>
      <c r="J26" s="19"/>
      <c r="K26" s="19"/>
      <c r="L26" s="19"/>
      <c r="M26" s="19"/>
      <c r="N26" s="17"/>
      <c r="O26" s="19"/>
      <c r="P26" s="20"/>
      <c r="Q26" s="21"/>
      <c r="R26" s="21"/>
      <c r="S26" s="19"/>
      <c r="T26" s="19"/>
      <c r="U26" s="19"/>
      <c r="V26" s="20"/>
      <c r="W26" s="22"/>
      <c r="X26" s="23"/>
      <c r="Y26" s="21"/>
      <c r="Z26" s="21"/>
      <c r="BB26" s="211" t="s">
        <v>234</v>
      </c>
    </row>
    <row r="27" spans="1:54" ht="15.95" customHeight="1" x14ac:dyDescent="0.25">
      <c r="A27" s="21"/>
      <c r="B27" s="203"/>
      <c r="C27" s="189"/>
      <c r="D27" s="28"/>
      <c r="E27" s="27"/>
      <c r="F27" s="26"/>
      <c r="G27" s="190"/>
      <c r="H27" s="186"/>
      <c r="I27" s="19"/>
      <c r="J27" s="19"/>
      <c r="K27" s="19"/>
      <c r="L27" s="19"/>
      <c r="M27" s="19"/>
      <c r="N27" s="24"/>
      <c r="O27" s="20"/>
      <c r="P27" s="20"/>
      <c r="Q27" s="22"/>
      <c r="R27" s="21"/>
      <c r="S27" s="25"/>
      <c r="T27" s="25"/>
      <c r="U27" s="25"/>
      <c r="V27" s="20"/>
      <c r="W27" s="22"/>
      <c r="X27" s="23"/>
      <c r="Y27" s="19"/>
      <c r="Z27" s="21"/>
      <c r="BB27" s="211"/>
    </row>
    <row r="28" spans="1:54" ht="15.95" customHeight="1" x14ac:dyDescent="0.25">
      <c r="A28" s="21"/>
      <c r="B28" s="203"/>
      <c r="C28" s="189"/>
      <c r="D28" s="28"/>
      <c r="E28" s="27"/>
      <c r="F28" s="26"/>
      <c r="G28" s="190"/>
      <c r="H28" s="186"/>
      <c r="I28" s="19"/>
      <c r="J28" s="19"/>
      <c r="K28" s="19"/>
      <c r="L28" s="19"/>
      <c r="M28" s="19"/>
      <c r="N28" s="17"/>
      <c r="O28" s="19"/>
      <c r="P28" s="20"/>
      <c r="Q28" s="21"/>
      <c r="R28" s="21"/>
      <c r="S28" s="19"/>
      <c r="T28" s="19"/>
      <c r="U28" s="19"/>
      <c r="V28" s="20"/>
      <c r="W28" s="22"/>
      <c r="X28" s="23"/>
      <c r="Y28" s="21"/>
      <c r="Z28" s="21"/>
    </row>
    <row r="29" spans="1:54" ht="15.95" customHeight="1" x14ac:dyDescent="0.25">
      <c r="A29" s="21"/>
      <c r="B29" s="203"/>
      <c r="C29" s="189"/>
      <c r="D29" s="28"/>
      <c r="E29" s="27"/>
      <c r="F29" s="26"/>
      <c r="G29" s="190"/>
      <c r="H29" s="186"/>
      <c r="I29" s="19"/>
      <c r="J29" s="19"/>
      <c r="K29" s="19"/>
      <c r="L29" s="19"/>
      <c r="M29" s="19"/>
      <c r="N29" s="24"/>
      <c r="O29" s="20"/>
      <c r="P29" s="20"/>
      <c r="Q29" s="22"/>
      <c r="R29" s="21"/>
      <c r="S29" s="21"/>
      <c r="T29" s="21"/>
      <c r="U29" s="21"/>
      <c r="V29" s="21"/>
      <c r="W29" s="21"/>
      <c r="X29" s="21"/>
      <c r="Y29" s="21"/>
      <c r="Z29" s="21"/>
    </row>
    <row r="30" spans="1:54" ht="15.95" customHeight="1" x14ac:dyDescent="0.25">
      <c r="A30" s="21"/>
      <c r="B30" s="203"/>
      <c r="C30" s="189"/>
      <c r="D30" s="28"/>
      <c r="E30" s="27"/>
      <c r="F30" s="26"/>
      <c r="G30" s="190"/>
      <c r="H30" s="186"/>
      <c r="I30" s="19"/>
      <c r="J30" s="19"/>
      <c r="K30" s="19"/>
      <c r="L30" s="19"/>
      <c r="M30" s="19"/>
      <c r="N30" s="17"/>
      <c r="O30" s="19"/>
      <c r="P30" s="20"/>
      <c r="Q30" s="21"/>
      <c r="R30" s="21"/>
      <c r="S30" s="19"/>
      <c r="T30" s="19"/>
      <c r="U30" s="19"/>
      <c r="V30" s="20"/>
      <c r="W30" s="22"/>
      <c r="X30" s="23"/>
      <c r="Y30" s="21"/>
      <c r="Z30" s="21"/>
    </row>
    <row r="31" spans="1:54" ht="15.95" customHeight="1" x14ac:dyDescent="0.25">
      <c r="A31" s="21"/>
      <c r="B31" s="203"/>
      <c r="C31" s="189"/>
      <c r="D31" s="28"/>
      <c r="E31" s="27"/>
      <c r="F31" s="26"/>
      <c r="G31" s="190"/>
      <c r="H31" s="186"/>
      <c r="I31" s="19"/>
      <c r="J31" s="19"/>
      <c r="K31" s="19"/>
      <c r="L31" s="19"/>
      <c r="M31" s="19"/>
      <c r="N31" s="24"/>
      <c r="O31" s="20"/>
      <c r="P31" s="20"/>
      <c r="Q31" s="22"/>
      <c r="R31" s="21"/>
      <c r="S31" s="25"/>
      <c r="T31" s="25"/>
      <c r="U31" s="25"/>
      <c r="V31" s="20"/>
      <c r="W31" s="22"/>
      <c r="X31" s="23"/>
      <c r="Y31" s="19"/>
      <c r="Z31" s="21"/>
    </row>
    <row r="32" spans="1:54" ht="15.95" customHeight="1" x14ac:dyDescent="0.25">
      <c r="A32" s="21"/>
      <c r="B32" s="203"/>
      <c r="C32" s="189"/>
      <c r="D32" s="28"/>
      <c r="E32" s="27"/>
      <c r="F32" s="26"/>
      <c r="G32" s="190"/>
      <c r="H32" s="186"/>
      <c r="I32" s="19"/>
      <c r="J32" s="19"/>
      <c r="K32" s="19"/>
      <c r="L32" s="19"/>
      <c r="M32" s="19"/>
      <c r="N32" s="17"/>
      <c r="O32" s="19"/>
      <c r="P32" s="20"/>
      <c r="Q32" s="21"/>
      <c r="R32" s="21"/>
      <c r="S32" s="19"/>
      <c r="T32" s="19"/>
      <c r="U32" s="19"/>
      <c r="V32" s="20"/>
      <c r="W32" s="22"/>
      <c r="X32" s="23"/>
      <c r="Y32" s="21"/>
      <c r="Z32" s="21"/>
    </row>
    <row r="33" spans="1:26" ht="15.95" customHeight="1" x14ac:dyDescent="0.25">
      <c r="A33" s="21"/>
      <c r="B33" s="203"/>
      <c r="C33" s="189"/>
      <c r="D33" s="28"/>
      <c r="E33" s="27"/>
      <c r="F33" s="26"/>
      <c r="G33" s="190"/>
      <c r="H33" s="186"/>
      <c r="I33" s="19"/>
      <c r="J33" s="19"/>
      <c r="K33" s="19"/>
      <c r="L33" s="19"/>
      <c r="M33" s="19"/>
      <c r="N33" s="24"/>
      <c r="O33" s="20"/>
      <c r="P33" s="20"/>
      <c r="Q33" s="22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95" customHeight="1" x14ac:dyDescent="0.25">
      <c r="A34" s="21"/>
      <c r="B34" s="206"/>
      <c r="C34" s="189"/>
      <c r="D34" s="28"/>
      <c r="E34" s="27"/>
      <c r="F34" s="26"/>
      <c r="G34" s="190"/>
      <c r="H34" s="186"/>
      <c r="I34" s="19"/>
      <c r="J34" s="19"/>
      <c r="K34" s="19"/>
      <c r="L34" s="19"/>
      <c r="M34" s="19"/>
      <c r="N34" s="17"/>
      <c r="O34" s="19"/>
      <c r="P34" s="20"/>
      <c r="Q34" s="21"/>
      <c r="R34" s="21"/>
      <c r="S34" s="19"/>
      <c r="T34" s="19"/>
      <c r="U34" s="19"/>
      <c r="V34" s="20"/>
      <c r="W34" s="22"/>
      <c r="X34" s="23"/>
      <c r="Y34" s="21"/>
      <c r="Z34" s="21"/>
    </row>
    <row r="35" spans="1:26" ht="15.95" customHeight="1" thickBot="1" x14ac:dyDescent="0.3">
      <c r="A35" s="21"/>
      <c r="B35" s="203"/>
      <c r="C35" s="191"/>
      <c r="D35" s="192"/>
      <c r="E35" s="193"/>
      <c r="F35" s="194"/>
      <c r="G35" s="195"/>
      <c r="H35" s="186"/>
      <c r="I35" s="19"/>
      <c r="J35" s="19"/>
      <c r="K35" s="19"/>
      <c r="L35" s="19"/>
      <c r="M35" s="19"/>
      <c r="N35" s="24"/>
      <c r="O35" s="20"/>
      <c r="P35" s="20"/>
      <c r="Q35" s="22"/>
      <c r="R35" s="21"/>
      <c r="S35" s="25"/>
      <c r="T35" s="25"/>
      <c r="U35" s="25"/>
      <c r="V35" s="20"/>
      <c r="W35" s="22"/>
      <c r="X35" s="23"/>
      <c r="Y35" s="19"/>
      <c r="Z35" s="21"/>
    </row>
    <row r="36" spans="1:26" ht="15.95" customHeight="1" thickBot="1" x14ac:dyDescent="0.3">
      <c r="A36" s="21"/>
      <c r="B36" s="207"/>
      <c r="C36" s="208"/>
      <c r="D36" s="208"/>
      <c r="E36" s="208"/>
      <c r="F36" s="208"/>
      <c r="G36" s="208"/>
      <c r="H36" s="209"/>
      <c r="I36" s="19"/>
      <c r="J36" s="19"/>
      <c r="K36" s="19"/>
      <c r="L36" s="19"/>
      <c r="M36" s="19"/>
      <c r="N36" s="17"/>
      <c r="O36" s="19"/>
      <c r="P36" s="20"/>
      <c r="Q36" s="21"/>
      <c r="R36" s="21"/>
      <c r="S36" s="19"/>
      <c r="T36" s="19"/>
      <c r="U36" s="19"/>
      <c r="V36" s="20"/>
      <c r="W36" s="22"/>
      <c r="X36" s="23"/>
      <c r="Y36" s="21"/>
      <c r="Z36" s="21"/>
    </row>
    <row r="37" spans="1:26" ht="15.95" customHeight="1" x14ac:dyDescent="0.25">
      <c r="A37" s="21"/>
      <c r="B37" s="27"/>
      <c r="C37" s="27"/>
      <c r="D37" s="28"/>
      <c r="E37" s="27"/>
      <c r="F37" s="168"/>
      <c r="G37" s="169"/>
      <c r="H37" s="29"/>
      <c r="I37" s="19"/>
      <c r="J37" s="19"/>
      <c r="K37" s="19"/>
      <c r="L37" s="19"/>
      <c r="M37" s="19"/>
      <c r="N37" s="24"/>
      <c r="O37" s="20"/>
      <c r="P37" s="20"/>
      <c r="Q37" s="22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21"/>
      <c r="B38" s="27"/>
      <c r="C38" s="27"/>
      <c r="D38" s="28"/>
      <c r="E38" s="27"/>
      <c r="F38" s="168"/>
      <c r="G38" s="169"/>
      <c r="H38" s="29"/>
      <c r="I38" s="19"/>
      <c r="J38" s="19"/>
      <c r="K38" s="19"/>
      <c r="L38" s="19"/>
      <c r="M38" s="19"/>
      <c r="N38" s="17"/>
      <c r="O38" s="19"/>
      <c r="P38" s="20"/>
      <c r="Q38" s="21"/>
      <c r="R38" s="21"/>
      <c r="S38" s="19"/>
      <c r="T38" s="19"/>
      <c r="U38" s="19"/>
      <c r="V38" s="20"/>
      <c r="W38" s="22"/>
      <c r="X38" s="23"/>
      <c r="Y38" s="21"/>
      <c r="Z38" s="21"/>
    </row>
    <row r="39" spans="1:26" x14ac:dyDescent="0.25">
      <c r="A39" s="21"/>
      <c r="B39" s="27"/>
      <c r="C39" s="27"/>
      <c r="D39" s="28"/>
      <c r="E39" s="27"/>
      <c r="F39" s="168"/>
      <c r="G39" s="170"/>
      <c r="H39" s="19"/>
      <c r="I39" s="19"/>
      <c r="J39" s="19"/>
      <c r="K39" s="19"/>
      <c r="L39" s="19"/>
      <c r="M39" s="19"/>
      <c r="N39" s="24"/>
      <c r="O39" s="20"/>
      <c r="P39" s="20"/>
      <c r="Q39" s="22"/>
      <c r="R39" s="21"/>
      <c r="S39" s="25"/>
      <c r="T39" s="25"/>
      <c r="U39" s="25"/>
      <c r="V39" s="20"/>
      <c r="W39" s="22"/>
      <c r="X39" s="23"/>
      <c r="Y39" s="19"/>
      <c r="Z39" s="21"/>
    </row>
    <row r="40" spans="1:26" x14ac:dyDescent="0.25">
      <c r="A40" s="21"/>
      <c r="B40" s="27"/>
      <c r="C40" s="27"/>
      <c r="D40" s="28"/>
      <c r="E40" s="27"/>
      <c r="F40" s="168"/>
      <c r="G40" s="170"/>
      <c r="H40" s="19"/>
      <c r="I40" s="19"/>
      <c r="J40" s="19"/>
      <c r="K40" s="19"/>
      <c r="L40" s="19"/>
      <c r="M40" s="19"/>
      <c r="N40" s="17"/>
      <c r="O40" s="19"/>
      <c r="P40" s="20"/>
      <c r="Q40" s="21"/>
      <c r="R40" s="21"/>
      <c r="S40" s="19"/>
      <c r="T40" s="19"/>
      <c r="U40" s="19"/>
      <c r="V40" s="20"/>
      <c r="W40" s="22"/>
      <c r="X40" s="23"/>
      <c r="Y40" s="21"/>
      <c r="Z40" s="21"/>
    </row>
    <row r="41" spans="1:26" x14ac:dyDescent="0.25">
      <c r="A41" s="21"/>
      <c r="B41" s="27"/>
      <c r="C41" s="27"/>
      <c r="D41" s="28"/>
      <c r="E41" s="27"/>
      <c r="F41" s="168"/>
      <c r="G41" s="170"/>
      <c r="H41" s="19"/>
      <c r="I41" s="19"/>
      <c r="J41" s="19"/>
      <c r="K41" s="19"/>
      <c r="L41" s="19"/>
      <c r="M41" s="19"/>
      <c r="N41" s="24"/>
      <c r="O41" s="20"/>
      <c r="P41" s="20"/>
      <c r="Q41" s="22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21"/>
      <c r="B42" s="27"/>
      <c r="C42" s="27"/>
      <c r="D42" s="28"/>
      <c r="E42" s="27"/>
      <c r="F42" s="168"/>
      <c r="G42" s="170"/>
      <c r="H42" s="19"/>
      <c r="I42" s="19"/>
      <c r="J42" s="19"/>
      <c r="K42" s="19"/>
      <c r="L42" s="19"/>
      <c r="M42" s="19"/>
      <c r="N42" s="17"/>
      <c r="O42" s="19"/>
      <c r="P42" s="20"/>
      <c r="Q42" s="21"/>
      <c r="R42" s="21"/>
      <c r="S42" s="19"/>
      <c r="T42" s="19"/>
      <c r="U42" s="19"/>
      <c r="V42" s="20"/>
      <c r="W42" s="22"/>
      <c r="X42" s="23"/>
      <c r="Y42" s="21"/>
      <c r="Z42" s="21"/>
    </row>
    <row r="43" spans="1:26" x14ac:dyDescent="0.25">
      <c r="A43" s="21"/>
      <c r="B43" s="27"/>
      <c r="C43" s="27"/>
      <c r="D43" s="28"/>
      <c r="E43" s="27"/>
      <c r="F43" s="168"/>
      <c r="G43" s="170"/>
      <c r="H43" s="19"/>
      <c r="I43" s="19"/>
      <c r="J43" s="19"/>
      <c r="K43" s="19"/>
      <c r="L43" s="19"/>
      <c r="M43" s="19"/>
      <c r="N43" s="24"/>
      <c r="O43" s="20"/>
      <c r="P43" s="20"/>
      <c r="Q43" s="22"/>
      <c r="R43" s="21"/>
      <c r="S43" s="25"/>
      <c r="T43" s="25"/>
      <c r="U43" s="25"/>
      <c r="V43" s="20"/>
      <c r="W43" s="22"/>
      <c r="X43" s="23"/>
      <c r="Y43" s="19"/>
      <c r="Z43" s="21"/>
    </row>
    <row r="44" spans="1:26" x14ac:dyDescent="0.25">
      <c r="A44" s="21"/>
      <c r="B44" s="27"/>
      <c r="C44" s="27"/>
      <c r="D44" s="28"/>
      <c r="E44" s="27"/>
      <c r="F44" s="168"/>
      <c r="G44" s="170"/>
      <c r="H44" s="19"/>
      <c r="I44" s="19"/>
      <c r="J44" s="19"/>
      <c r="K44" s="19"/>
      <c r="L44" s="19"/>
      <c r="M44" s="19"/>
      <c r="N44" s="17"/>
      <c r="O44" s="19"/>
      <c r="P44" s="20"/>
      <c r="Q44" s="21"/>
      <c r="R44" s="21"/>
      <c r="S44" s="19"/>
      <c r="T44" s="19"/>
      <c r="U44" s="19"/>
      <c r="V44" s="20"/>
      <c r="W44" s="22"/>
      <c r="X44" s="23"/>
      <c r="Y44" s="21"/>
      <c r="Z44" s="21"/>
    </row>
    <row r="45" spans="1:26" x14ac:dyDescent="0.25">
      <c r="A45" s="21"/>
      <c r="B45" s="27"/>
      <c r="C45" s="27"/>
      <c r="D45" s="28"/>
      <c r="E45" s="27"/>
      <c r="F45" s="168"/>
      <c r="G45" s="170"/>
      <c r="H45" s="19"/>
      <c r="I45" s="19"/>
      <c r="J45" s="19"/>
      <c r="K45" s="19"/>
      <c r="L45" s="19"/>
      <c r="M45" s="19"/>
      <c r="N45" s="24"/>
      <c r="O45" s="20"/>
      <c r="P45" s="20"/>
      <c r="Q45" s="22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1"/>
      <c r="B46" s="27"/>
      <c r="C46" s="27"/>
      <c r="D46" s="30"/>
      <c r="E46" s="27"/>
      <c r="F46" s="168"/>
      <c r="G46" s="167"/>
      <c r="H46" s="19"/>
      <c r="I46" s="19"/>
      <c r="J46" s="19"/>
      <c r="K46" s="19"/>
      <c r="L46" s="19"/>
      <c r="M46" s="19"/>
      <c r="N46" s="17"/>
      <c r="O46" s="19"/>
      <c r="P46" s="20"/>
      <c r="Q46" s="21"/>
      <c r="R46" s="21"/>
      <c r="S46" s="19"/>
      <c r="T46" s="19"/>
      <c r="U46" s="19"/>
      <c r="V46" s="20"/>
      <c r="W46" s="22"/>
      <c r="X46" s="23"/>
      <c r="Y46" s="21"/>
      <c r="Z46" s="21"/>
    </row>
    <row r="47" spans="1:26" x14ac:dyDescent="0.25">
      <c r="A47" s="21"/>
      <c r="B47" s="27"/>
      <c r="C47" s="27"/>
      <c r="D47" s="30"/>
      <c r="E47" s="27"/>
      <c r="F47" s="168"/>
      <c r="G47" s="167"/>
      <c r="H47" s="19"/>
      <c r="I47" s="19"/>
      <c r="J47" s="19"/>
      <c r="K47" s="19"/>
      <c r="L47" s="19"/>
      <c r="M47" s="19"/>
      <c r="N47" s="24"/>
      <c r="O47" s="20"/>
      <c r="P47" s="20"/>
      <c r="Q47" s="22"/>
      <c r="R47" s="21"/>
      <c r="S47" s="25"/>
      <c r="T47" s="25"/>
      <c r="U47" s="25"/>
      <c r="V47" s="20"/>
      <c r="W47" s="22"/>
      <c r="X47" s="23"/>
      <c r="Y47" s="19"/>
      <c r="Z47" s="21"/>
    </row>
    <row r="48" spans="1:26" x14ac:dyDescent="0.25">
      <c r="A48" s="21"/>
      <c r="B48" s="27"/>
      <c r="C48" s="27"/>
      <c r="D48" s="30"/>
      <c r="E48" s="27"/>
      <c r="F48" s="168"/>
      <c r="G48" s="167"/>
      <c r="H48" s="19"/>
      <c r="I48" s="19"/>
      <c r="J48" s="19"/>
      <c r="K48" s="19"/>
      <c r="L48" s="19"/>
      <c r="M48" s="19"/>
      <c r="N48" s="17"/>
      <c r="O48" s="19"/>
      <c r="P48" s="20"/>
      <c r="Q48" s="21"/>
      <c r="R48" s="21"/>
      <c r="S48" s="19"/>
      <c r="T48" s="19"/>
      <c r="U48" s="19"/>
      <c r="V48" s="20"/>
      <c r="W48" s="22"/>
      <c r="X48" s="23"/>
      <c r="Y48" s="21"/>
      <c r="Z48" s="21"/>
    </row>
    <row r="49" spans="1:26" x14ac:dyDescent="0.25">
      <c r="A49" s="21"/>
      <c r="B49" s="27"/>
      <c r="C49" s="27"/>
      <c r="D49" s="30"/>
      <c r="E49" s="27"/>
      <c r="F49" s="168"/>
      <c r="G49" s="167"/>
      <c r="H49" s="19"/>
      <c r="I49" s="19"/>
      <c r="J49" s="19"/>
      <c r="K49" s="19"/>
      <c r="L49" s="19"/>
      <c r="M49" s="19"/>
      <c r="N49" s="24"/>
      <c r="O49" s="20"/>
      <c r="P49" s="20"/>
      <c r="Q49" s="22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21"/>
      <c r="B50" s="27"/>
      <c r="C50" s="27"/>
      <c r="D50" s="30"/>
      <c r="E50" s="27"/>
      <c r="F50" s="168"/>
      <c r="G50" s="167"/>
      <c r="H50" s="19"/>
      <c r="I50" s="19"/>
      <c r="J50" s="19"/>
      <c r="K50" s="19"/>
      <c r="L50" s="19"/>
      <c r="M50" s="19"/>
      <c r="N50" s="17"/>
      <c r="O50" s="19"/>
      <c r="P50" s="20"/>
      <c r="Q50" s="21"/>
      <c r="R50" s="21"/>
      <c r="S50" s="19"/>
      <c r="T50" s="19"/>
      <c r="U50" s="19"/>
      <c r="V50" s="20"/>
      <c r="W50" s="22"/>
      <c r="X50" s="23"/>
      <c r="Y50" s="21"/>
      <c r="Z50" s="21"/>
    </row>
    <row r="51" spans="1:26" x14ac:dyDescent="0.25">
      <c r="A51" s="21"/>
      <c r="B51" s="27"/>
      <c r="C51" s="27"/>
      <c r="D51" s="30"/>
      <c r="E51" s="27"/>
      <c r="F51" s="168"/>
      <c r="G51" s="167"/>
      <c r="H51" s="19"/>
      <c r="I51" s="19"/>
      <c r="J51" s="19"/>
      <c r="K51" s="19"/>
      <c r="L51" s="19"/>
      <c r="M51" s="19"/>
      <c r="N51" s="24"/>
      <c r="O51" s="20"/>
      <c r="P51" s="20"/>
      <c r="Q51" s="22"/>
      <c r="R51" s="21"/>
      <c r="S51" s="25"/>
      <c r="T51" s="25"/>
      <c r="U51" s="25"/>
      <c r="V51" s="20"/>
      <c r="W51" s="22"/>
      <c r="X51" s="23"/>
      <c r="Y51" s="19"/>
      <c r="Z51" s="21"/>
    </row>
    <row r="52" spans="1:26" x14ac:dyDescent="0.25">
      <c r="A52" s="21"/>
      <c r="B52" s="27"/>
      <c r="C52" s="27"/>
      <c r="D52" s="30"/>
      <c r="F52" s="168"/>
      <c r="G52" s="167"/>
      <c r="H52" s="19"/>
      <c r="I52" s="19"/>
      <c r="J52" s="19"/>
      <c r="K52" s="19"/>
      <c r="L52" s="19"/>
      <c r="M52" s="19"/>
      <c r="N52" s="17"/>
      <c r="O52" s="19"/>
      <c r="P52" s="20"/>
      <c r="Q52" s="21"/>
      <c r="R52" s="21"/>
      <c r="S52" s="19"/>
      <c r="T52" s="19"/>
      <c r="U52" s="19"/>
      <c r="V52" s="20"/>
      <c r="W52" s="22"/>
      <c r="X52" s="23"/>
      <c r="Y52" s="21"/>
      <c r="Z52" s="21"/>
    </row>
    <row r="53" spans="1:26" x14ac:dyDescent="0.25">
      <c r="A53" s="21"/>
      <c r="B53" s="27"/>
      <c r="C53" s="27"/>
      <c r="D53" s="30"/>
      <c r="F53" s="168"/>
      <c r="G53" s="167"/>
      <c r="H53" s="19"/>
      <c r="I53" s="19"/>
      <c r="J53" s="19"/>
      <c r="K53" s="19"/>
      <c r="L53" s="19"/>
      <c r="M53" s="19"/>
      <c r="N53" s="24"/>
      <c r="O53" s="20"/>
      <c r="P53" s="20"/>
      <c r="Q53" s="22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5">
      <c r="A54" s="21"/>
      <c r="B54" s="27"/>
      <c r="C54" s="27"/>
      <c r="D54" s="30"/>
      <c r="F54" s="168"/>
      <c r="G54" s="167"/>
      <c r="H54" s="19"/>
      <c r="I54" s="19"/>
      <c r="J54" s="19"/>
      <c r="K54" s="19"/>
      <c r="L54" s="19"/>
      <c r="M54" s="19"/>
      <c r="N54" s="17"/>
      <c r="O54" s="19"/>
      <c r="P54" s="20"/>
      <c r="Q54" s="21"/>
      <c r="R54" s="21"/>
      <c r="S54" s="19"/>
      <c r="T54" s="19"/>
      <c r="U54" s="19"/>
      <c r="V54" s="20"/>
      <c r="W54" s="22"/>
      <c r="X54" s="23"/>
      <c r="Y54" s="21"/>
      <c r="Z54" s="21"/>
    </row>
    <row r="55" spans="1:26" x14ac:dyDescent="0.25">
      <c r="A55" s="21"/>
      <c r="B55" s="27"/>
      <c r="C55" s="27"/>
      <c r="D55" s="30"/>
      <c r="F55" s="168"/>
      <c r="G55" s="167"/>
      <c r="H55" s="19"/>
      <c r="I55" s="19"/>
      <c r="J55" s="19"/>
      <c r="K55" s="19"/>
      <c r="L55" s="19"/>
      <c r="M55" s="19"/>
      <c r="N55" s="19"/>
      <c r="O55" s="19"/>
      <c r="P55" s="20"/>
      <c r="Q55" s="22"/>
      <c r="R55" s="22"/>
      <c r="S55" s="25"/>
      <c r="T55" s="25"/>
      <c r="U55" s="25"/>
      <c r="V55" s="20"/>
      <c r="W55" s="22"/>
      <c r="X55" s="23"/>
      <c r="Y55" s="19"/>
      <c r="Z55" s="21"/>
    </row>
    <row r="56" spans="1:26" x14ac:dyDescent="0.25">
      <c r="S56" s="19"/>
      <c r="T56" s="19"/>
      <c r="U56" s="19"/>
      <c r="V56" s="20"/>
      <c r="W56" s="22"/>
      <c r="X56" s="23"/>
      <c r="Y56" s="21"/>
      <c r="Z56" s="21"/>
    </row>
  </sheetData>
  <sheetProtection formatCells="0" formatColumns="0" formatRows="0"/>
  <mergeCells count="16">
    <mergeCell ref="F16:G16"/>
    <mergeCell ref="F17:G17"/>
    <mergeCell ref="D18:E18"/>
    <mergeCell ref="F18:G18"/>
    <mergeCell ref="F11:G11"/>
    <mergeCell ref="F12:G12"/>
    <mergeCell ref="F13:G13"/>
    <mergeCell ref="D14:E14"/>
    <mergeCell ref="F14:G14"/>
    <mergeCell ref="F15:G15"/>
    <mergeCell ref="F10:G10"/>
    <mergeCell ref="C3:E3"/>
    <mergeCell ref="F3:G3"/>
    <mergeCell ref="AK4:AM6"/>
    <mergeCell ref="C6:E7"/>
    <mergeCell ref="F9:G9"/>
  </mergeCells>
  <conditionalFormatting sqref="C6">
    <cfRule type="cellIs" dxfId="3" priority="3" operator="equal">
      <formula>"NOT IN RANGE"</formula>
    </cfRule>
    <cfRule type="cellIs" dxfId="2" priority="4" operator="equal">
      <formula>"CORRECT RANGE"</formula>
    </cfRule>
  </conditionalFormatting>
  <conditionalFormatting sqref="AK4">
    <cfRule type="cellIs" dxfId="1" priority="1" operator="equal">
      <formula>"NOT IN RANGE"</formula>
    </cfRule>
    <cfRule type="cellIs" dxfId="0" priority="2" operator="equal">
      <formula>"CORRECT RANGE"</formula>
    </cfRule>
  </conditionalFormatting>
  <dataValidations count="3">
    <dataValidation type="list" allowBlank="1" showInputMessage="1" showErrorMessage="1" sqref="D16" xr:uid="{00000000-0002-0000-0700-000000000000}">
      <formula1>$BB$16:$BB$26</formula1>
    </dataValidation>
    <dataValidation type="list" allowBlank="1" showInputMessage="1" showErrorMessage="1" sqref="D15" xr:uid="{00000000-0002-0000-0700-000001000000}">
      <formula1>$BB$2:$BB$4</formula1>
    </dataValidation>
    <dataValidation type="list" allowBlank="1" showInputMessage="1" showErrorMessage="1" sqref="D17" xr:uid="{00000000-0002-0000-0700-000002000000}">
      <formula1>$AZ$2:$AZ$3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15"/>
  <sheetViews>
    <sheetView rightToLeft="1" topLeftCell="G13" workbookViewId="0">
      <selection activeCell="S24" sqref="S24:T24"/>
    </sheetView>
  </sheetViews>
  <sheetFormatPr defaultRowHeight="15" x14ac:dyDescent="0.25"/>
  <cols>
    <col min="1" max="1" width="4.7109375" style="33" customWidth="1"/>
    <col min="2" max="2" width="25.7109375" style="34" customWidth="1"/>
    <col min="3" max="16" width="10.5703125" style="34" customWidth="1"/>
    <col min="17" max="17" width="13.7109375" style="35" customWidth="1"/>
    <col min="18" max="18" width="5.7109375" style="35" customWidth="1"/>
    <col min="19" max="19" width="13.7109375" style="36" customWidth="1"/>
    <col min="20" max="20" width="13.7109375" style="40" customWidth="1"/>
    <col min="21" max="21" width="2.7109375" style="38" customWidth="1"/>
    <col min="22" max="22" width="25.7109375" style="39" customWidth="1"/>
    <col min="23" max="23" width="13.7109375" style="33" customWidth="1"/>
    <col min="24" max="24" width="5.7109375" style="33" customWidth="1"/>
    <col min="25" max="25" width="13.7109375" style="40" customWidth="1"/>
    <col min="26" max="26" width="13.7109375" style="33" customWidth="1"/>
    <col min="27" max="27" width="10.85546875" style="41" bestFit="1" customWidth="1"/>
  </cols>
  <sheetData>
    <row r="1" spans="1:23" x14ac:dyDescent="0.25">
      <c r="T1" s="37" t="s">
        <v>14</v>
      </c>
    </row>
    <row r="2" spans="1:23" ht="29.45" customHeight="1" x14ac:dyDescent="0.25">
      <c r="A2" s="42"/>
      <c r="B2" s="43" t="s">
        <v>2</v>
      </c>
      <c r="C2" s="72" t="s">
        <v>193</v>
      </c>
      <c r="D2" s="72" t="s">
        <v>194</v>
      </c>
      <c r="E2" s="72" t="s">
        <v>195</v>
      </c>
      <c r="F2" s="72" t="s">
        <v>197</v>
      </c>
      <c r="G2" s="72" t="s">
        <v>199</v>
      </c>
      <c r="H2" s="72" t="s">
        <v>196</v>
      </c>
      <c r="I2" s="137" t="s">
        <v>200</v>
      </c>
      <c r="J2" s="137" t="s">
        <v>217</v>
      </c>
      <c r="K2" s="137" t="s">
        <v>218</v>
      </c>
      <c r="L2" s="137" t="s">
        <v>219</v>
      </c>
      <c r="M2" s="137" t="s">
        <v>220</v>
      </c>
      <c r="N2" s="137" t="s">
        <v>221</v>
      </c>
      <c r="O2" s="137" t="s">
        <v>222</v>
      </c>
      <c r="P2" s="137"/>
      <c r="Q2" s="44">
        <f>'1'!D8*'1'!D9*'1'!D10</f>
        <v>0</v>
      </c>
      <c r="R2" s="44"/>
      <c r="S2" s="45" t="s">
        <v>198</v>
      </c>
      <c r="T2" s="164">
        <f>'1'!E17</f>
        <v>450000</v>
      </c>
      <c r="V2" s="113" t="e">
        <f>W2/Q2</f>
        <v>#DIV/0!</v>
      </c>
      <c r="W2" s="112">
        <f>SUM(W3:W24)</f>
        <v>0</v>
      </c>
    </row>
    <row r="3" spans="1:23" x14ac:dyDescent="0.25">
      <c r="A3" s="46">
        <v>1</v>
      </c>
      <c r="B3" s="47" t="s">
        <v>156</v>
      </c>
      <c r="C3" s="138"/>
      <c r="D3" s="47"/>
      <c r="E3" s="138"/>
      <c r="F3" s="138">
        <f>SUM('D1'!K5:K11)</f>
        <v>2642000</v>
      </c>
      <c r="G3" s="47"/>
      <c r="H3" s="47"/>
      <c r="I3" s="138">
        <f>SUM('D1'!K12)</f>
        <v>1125000</v>
      </c>
      <c r="J3" s="138"/>
      <c r="K3" s="138"/>
      <c r="L3" s="138"/>
      <c r="M3" s="138"/>
      <c r="N3" s="138"/>
      <c r="O3" s="138"/>
      <c r="P3" s="140">
        <f>SUM(C3:O3)</f>
        <v>3767000</v>
      </c>
      <c r="Q3" s="48">
        <f>'D1'!I13</f>
        <v>3767000</v>
      </c>
      <c r="R3" s="49">
        <f>(IF('1'!D13="VIP",('1'!D5+'1'!E5),0))*'1'!D10</f>
        <v>0</v>
      </c>
      <c r="S3" s="48">
        <f>R3*Q3</f>
        <v>0</v>
      </c>
      <c r="T3" s="584" t="s">
        <v>151</v>
      </c>
    </row>
    <row r="4" spans="1:23" x14ac:dyDescent="0.25">
      <c r="A4" s="46">
        <f t="shared" ref="A4:A21" si="0">A3+1</f>
        <v>2</v>
      </c>
      <c r="B4" s="47" t="s">
        <v>205</v>
      </c>
      <c r="C4" s="138"/>
      <c r="D4" s="47"/>
      <c r="E4" s="138"/>
      <c r="F4" s="138">
        <f>SUM('D1'!E5:E11)</f>
        <v>2192000</v>
      </c>
      <c r="G4" s="47"/>
      <c r="H4" s="47"/>
      <c r="I4" s="138">
        <f>SUM('D1'!E12)</f>
        <v>810000</v>
      </c>
      <c r="J4" s="138"/>
      <c r="K4" s="138"/>
      <c r="L4" s="138"/>
      <c r="M4" s="138"/>
      <c r="N4" s="138"/>
      <c r="O4" s="138"/>
      <c r="P4" s="140">
        <f t="shared" ref="P4:P6" si="1">SUM(C4:O4)</f>
        <v>3002000</v>
      </c>
      <c r="Q4" s="48">
        <f>'D1'!C13</f>
        <v>3002000</v>
      </c>
      <c r="R4" s="49" t="e">
        <f>(IF('1'!D13="REGULAR",('1'!D5+'1'!E5),0))*'1'!D10</f>
        <v>#VALUE!</v>
      </c>
      <c r="S4" s="48" t="e">
        <f>R4*Q4</f>
        <v>#VALUE!</v>
      </c>
      <c r="T4" s="585"/>
    </row>
    <row r="5" spans="1:23" x14ac:dyDescent="0.25">
      <c r="A5" s="46">
        <f t="shared" si="0"/>
        <v>3</v>
      </c>
      <c r="B5" s="47" t="s">
        <v>5</v>
      </c>
      <c r="C5" s="47"/>
      <c r="D5" s="47"/>
      <c r="E5" s="47"/>
      <c r="F5" s="138">
        <f>SUM('D1'!C33)</f>
        <v>2405000</v>
      </c>
      <c r="G5" s="47"/>
      <c r="H5" s="47"/>
      <c r="I5" s="47"/>
      <c r="J5" s="47"/>
      <c r="K5" s="47"/>
      <c r="L5" s="47"/>
      <c r="M5" s="47"/>
      <c r="N5" s="47"/>
      <c r="O5" s="47"/>
      <c r="P5" s="140">
        <f t="shared" si="1"/>
        <v>2405000</v>
      </c>
      <c r="Q5" s="48">
        <f>'D1'!C33</f>
        <v>2405000</v>
      </c>
      <c r="R5" s="50">
        <f>('1'!D5*'1'!D10)</f>
        <v>0</v>
      </c>
      <c r="S5" s="48">
        <f>R5*Q5</f>
        <v>0</v>
      </c>
      <c r="T5" s="585"/>
    </row>
    <row r="6" spans="1:23" x14ac:dyDescent="0.25">
      <c r="A6" s="51">
        <f t="shared" si="0"/>
        <v>4</v>
      </c>
      <c r="B6" s="52" t="s">
        <v>6</v>
      </c>
      <c r="C6" s="52"/>
      <c r="D6" s="52"/>
      <c r="E6" s="52"/>
      <c r="F6" s="139">
        <f>SUM('D1'!C53)</f>
        <v>2845000</v>
      </c>
      <c r="G6" s="52"/>
      <c r="H6" s="52"/>
      <c r="I6" s="52"/>
      <c r="J6" s="52"/>
      <c r="K6" s="52"/>
      <c r="L6" s="52"/>
      <c r="M6" s="52"/>
      <c r="N6" s="52"/>
      <c r="O6" s="52"/>
      <c r="P6" s="140">
        <f t="shared" si="1"/>
        <v>2845000</v>
      </c>
      <c r="Q6" s="53">
        <f>'D1'!C53</f>
        <v>2845000</v>
      </c>
      <c r="R6" s="54" t="e">
        <f>'1'!E5*'1'!D10</f>
        <v>#VALUE!</v>
      </c>
      <c r="S6" s="53" t="e">
        <f>R6*Q6</f>
        <v>#VALUE!</v>
      </c>
      <c r="T6" s="586"/>
    </row>
    <row r="7" spans="1:23" x14ac:dyDescent="0.25">
      <c r="A7" s="55">
        <f t="shared" si="0"/>
        <v>5</v>
      </c>
      <c r="B7" s="56" t="s">
        <v>134</v>
      </c>
      <c r="C7" s="141" t="e">
        <f>'D1'!K57</f>
        <v>#VALUE!</v>
      </c>
      <c r="D7" s="56"/>
      <c r="E7" s="141" t="e">
        <f>SUM('D1'!K60:K65)</f>
        <v>#VALUE!</v>
      </c>
      <c r="F7" s="56"/>
      <c r="G7" s="56"/>
      <c r="H7" s="141" t="e">
        <f>'D1'!K58</f>
        <v>#VALUE!</v>
      </c>
      <c r="I7" s="141" t="e">
        <f>SUM('D1'!K66)</f>
        <v>#VALUE!</v>
      </c>
      <c r="J7" s="141"/>
      <c r="K7" s="141"/>
      <c r="L7" s="141"/>
      <c r="M7" s="141"/>
      <c r="N7" s="141">
        <f>'D1'!K59</f>
        <v>-135000</v>
      </c>
      <c r="O7" s="141"/>
      <c r="P7" s="143" t="e">
        <f>SUM(C7:O7)</f>
        <v>#VALUE!</v>
      </c>
      <c r="Q7" s="57" t="e">
        <f>'D1'!I67</f>
        <v>#VALUE!</v>
      </c>
      <c r="R7" s="58">
        <f>(IF('1'!$D$17="VIP",('1'!$D$10),0))</f>
        <v>0</v>
      </c>
      <c r="S7" s="57" t="e">
        <f>Q7*R7</f>
        <v>#VALUE!</v>
      </c>
      <c r="T7" s="587" t="s">
        <v>148</v>
      </c>
    </row>
    <row r="8" spans="1:23" x14ac:dyDescent="0.25">
      <c r="A8" s="59">
        <f t="shared" si="0"/>
        <v>6</v>
      </c>
      <c r="B8" s="60" t="s">
        <v>135</v>
      </c>
      <c r="C8" s="142" t="e">
        <f>'D1'!E57</f>
        <v>#VALUE!</v>
      </c>
      <c r="D8" s="60"/>
      <c r="E8" s="142" t="e">
        <f>SUM('D1'!E60:E65)</f>
        <v>#VALUE!</v>
      </c>
      <c r="F8" s="60"/>
      <c r="G8" s="60"/>
      <c r="H8" s="142" t="e">
        <f>'D1'!E58</f>
        <v>#VALUE!</v>
      </c>
      <c r="I8" s="142" t="e">
        <f>SUM('D1'!E66)</f>
        <v>#VALUE!</v>
      </c>
      <c r="J8" s="141"/>
      <c r="K8" s="141"/>
      <c r="L8" s="141"/>
      <c r="M8" s="141"/>
      <c r="N8" s="141">
        <f>'D1'!E59</f>
        <v>-135000</v>
      </c>
      <c r="O8" s="141"/>
      <c r="P8" s="143" t="e">
        <f>SUM(C8:O8)</f>
        <v>#VALUE!</v>
      </c>
      <c r="Q8" s="45" t="e">
        <f>'D1'!C67</f>
        <v>#VALUE!</v>
      </c>
      <c r="R8" s="44">
        <f>(IF('1'!$D$13="REGULAR",('1'!$D$10),0))</f>
        <v>0</v>
      </c>
      <c r="S8" s="45" t="e">
        <f>Q8*R8</f>
        <v>#VALUE!</v>
      </c>
      <c r="T8" s="582"/>
    </row>
    <row r="9" spans="1:23" x14ac:dyDescent="0.25">
      <c r="A9" s="46">
        <f t="shared" si="0"/>
        <v>7</v>
      </c>
      <c r="B9" s="47" t="s">
        <v>49</v>
      </c>
      <c r="C9" s="47"/>
      <c r="D9" s="47"/>
      <c r="E9" s="138"/>
      <c r="F9" s="47"/>
      <c r="G9" s="47"/>
      <c r="H9" s="47"/>
      <c r="I9" s="138">
        <f>SUM('D1'!E86)</f>
        <v>1575000</v>
      </c>
      <c r="J9" s="47"/>
      <c r="K9" s="138">
        <f>SUM('D1'!E83:E85,'D1'!E87:E88)</f>
        <v>3460000</v>
      </c>
      <c r="L9" s="47"/>
      <c r="M9" s="47"/>
      <c r="N9" s="47"/>
      <c r="O9" s="47"/>
      <c r="P9" s="140">
        <f t="shared" ref="P9:P11" si="2">SUM(C9:O9)</f>
        <v>5035000</v>
      </c>
      <c r="Q9" s="48">
        <f>'D1'!C89</f>
        <v>5035000</v>
      </c>
      <c r="R9" s="49" t="e">
        <f>(IF(AND('1'!D8&gt;6,'1'!D8&lt;=8),1,IF(AND('1'!D8&gt;8,'1'!D8&lt;=10),2,0)))*('1'!D5+'1'!E5)*'1'!D10</f>
        <v>#VALUE!</v>
      </c>
      <c r="S9" s="48" t="e">
        <f>R9*Q9</f>
        <v>#VALUE!</v>
      </c>
      <c r="T9" s="584" t="s">
        <v>184</v>
      </c>
    </row>
    <row r="10" spans="1:23" x14ac:dyDescent="0.25">
      <c r="A10" s="46">
        <f t="shared" si="0"/>
        <v>8</v>
      </c>
      <c r="B10" s="47" t="s">
        <v>122</v>
      </c>
      <c r="C10" s="138">
        <f>SUM('D1'!E71)</f>
        <v>0</v>
      </c>
      <c r="D10" s="47"/>
      <c r="E10" s="138">
        <f>SUM('D1'!E75:E78)</f>
        <v>164000</v>
      </c>
      <c r="F10" s="47"/>
      <c r="G10" s="47"/>
      <c r="H10" s="47"/>
      <c r="I10" s="138">
        <f>SUM('D1'!E74)</f>
        <v>0</v>
      </c>
      <c r="J10" s="138"/>
      <c r="K10" s="138">
        <f>SUM('D1'!E72:E73)</f>
        <v>700000</v>
      </c>
      <c r="L10" s="138"/>
      <c r="M10" s="138"/>
      <c r="N10" s="138"/>
      <c r="O10" s="138"/>
      <c r="P10" s="140">
        <f t="shared" si="2"/>
        <v>864000</v>
      </c>
      <c r="Q10" s="48">
        <f>'D1'!C79</f>
        <v>864000</v>
      </c>
      <c r="R10" s="49" t="e">
        <f>(IF(AND('1'!D8&lt;=6),1,IF(AND('1'!D8&gt;6,'1'!D8&lt;=8),2,IF(AND('1'!D8&gt;8,'1'!D8&lt;=10),3,0))))*('1'!D5+'1'!E5-1)*'1'!D10</f>
        <v>#VALUE!</v>
      </c>
      <c r="S10" s="48" t="e">
        <f>R10*Q10</f>
        <v>#VALUE!</v>
      </c>
      <c r="T10" s="585"/>
      <c r="W10" s="39"/>
    </row>
    <row r="11" spans="1:23" x14ac:dyDescent="0.25">
      <c r="A11" s="51">
        <f t="shared" si="0"/>
        <v>9</v>
      </c>
      <c r="B11" s="52" t="s">
        <v>56</v>
      </c>
      <c r="C11" s="52"/>
      <c r="D11" s="52"/>
      <c r="E11" s="139"/>
      <c r="F11" s="52"/>
      <c r="G11" s="52"/>
      <c r="H11" s="52"/>
      <c r="I11" s="52"/>
      <c r="J11" s="138">
        <f>SUM('D1'!C97)</f>
        <v>302000</v>
      </c>
      <c r="K11" s="47"/>
      <c r="L11" s="47"/>
      <c r="M11" s="47"/>
      <c r="N11" s="47"/>
      <c r="O11" s="47"/>
      <c r="P11" s="140">
        <f t="shared" si="2"/>
        <v>302000</v>
      </c>
      <c r="Q11" s="53">
        <f>'D1'!C97</f>
        <v>302000</v>
      </c>
      <c r="R11" s="54">
        <f>('1'!D10)</f>
        <v>0</v>
      </c>
      <c r="S11" s="53">
        <f>R11*Q11</f>
        <v>0</v>
      </c>
      <c r="T11" s="586"/>
      <c r="V11" s="33"/>
    </row>
    <row r="12" spans="1:23" x14ac:dyDescent="0.25">
      <c r="A12" s="55">
        <f t="shared" si="0"/>
        <v>10</v>
      </c>
      <c r="B12" s="56" t="s">
        <v>140</v>
      </c>
      <c r="C12" s="56"/>
      <c r="D12" s="56"/>
      <c r="E12" s="141">
        <f>SUM('D1'!K107:K117)</f>
        <v>4927000</v>
      </c>
      <c r="F12" s="56"/>
      <c r="G12" s="141">
        <f>SUM('D1'!K101)</f>
        <v>60000000</v>
      </c>
      <c r="H12" s="56"/>
      <c r="I12" s="56"/>
      <c r="J12" s="141">
        <f>SUM('D1'!K102:K106)</f>
        <v>1660000</v>
      </c>
      <c r="K12" s="56"/>
      <c r="L12" s="56"/>
      <c r="M12" s="56"/>
      <c r="N12" s="56"/>
      <c r="O12" s="56"/>
      <c r="P12" s="143">
        <f>SUM(C12:O12)</f>
        <v>66587000</v>
      </c>
      <c r="Q12" s="57">
        <f>'D1'!I118</f>
        <v>66587000</v>
      </c>
      <c r="R12" s="58">
        <f>(IF('1'!$D$17="VIP",('1'!$D$10),0))</f>
        <v>0</v>
      </c>
      <c r="S12" s="57">
        <f>Q12*R12</f>
        <v>0</v>
      </c>
      <c r="T12" s="587" t="s">
        <v>149</v>
      </c>
      <c r="V12" s="33"/>
    </row>
    <row r="13" spans="1:23" ht="24" x14ac:dyDescent="0.25">
      <c r="A13" s="59">
        <f t="shared" si="0"/>
        <v>11</v>
      </c>
      <c r="B13" s="60" t="s">
        <v>141</v>
      </c>
      <c r="C13" s="60"/>
      <c r="D13" s="60"/>
      <c r="E13" s="142">
        <f>SUM('D1'!E107:E117)</f>
        <v>4327000</v>
      </c>
      <c r="F13" s="60"/>
      <c r="G13" s="142">
        <f>SUM('D1'!E101)</f>
        <v>0</v>
      </c>
      <c r="H13" s="60"/>
      <c r="I13" s="60"/>
      <c r="J13" s="141">
        <f>SUM('D1'!E102:E106)</f>
        <v>1660000</v>
      </c>
      <c r="K13" s="56"/>
      <c r="L13" s="56"/>
      <c r="M13" s="56"/>
      <c r="N13" s="56"/>
      <c r="O13" s="56"/>
      <c r="P13" s="143">
        <f>SUM(C13:O13)</f>
        <v>5987000</v>
      </c>
      <c r="Q13" s="45">
        <f>'D1'!C118</f>
        <v>5987000</v>
      </c>
      <c r="R13" s="44">
        <f>(IF('1'!$D$13="REGULAR",('1'!$D$10),0))</f>
        <v>0</v>
      </c>
      <c r="S13" s="45">
        <f>Q13*R13</f>
        <v>0</v>
      </c>
      <c r="T13" s="582"/>
      <c r="V13" s="33"/>
    </row>
    <row r="14" spans="1:23" ht="24" x14ac:dyDescent="0.25">
      <c r="A14" s="46">
        <f t="shared" si="0"/>
        <v>12</v>
      </c>
      <c r="B14" s="47" t="s">
        <v>143</v>
      </c>
      <c r="C14" s="138">
        <f>SUM('D1'!K123:K124)</f>
        <v>0</v>
      </c>
      <c r="D14" s="138">
        <f>SUM('D1'!K122)</f>
        <v>0</v>
      </c>
      <c r="E14" s="138">
        <f>SUM('D1'!K126:K133)</f>
        <v>727000</v>
      </c>
      <c r="F14" s="47"/>
      <c r="G14" s="47"/>
      <c r="H14" s="47"/>
      <c r="I14" s="138">
        <f>SUM('D1'!K134)</f>
        <v>0</v>
      </c>
      <c r="J14" s="138"/>
      <c r="K14" s="138"/>
      <c r="L14" s="138">
        <f>'D1'!K125</f>
        <v>0</v>
      </c>
      <c r="M14" s="138"/>
      <c r="N14" s="138"/>
      <c r="O14" s="138"/>
      <c r="P14" s="140">
        <f t="shared" ref="P14:P18" si="3">SUM(C14:O14)</f>
        <v>727000</v>
      </c>
      <c r="Q14" s="48">
        <f>'D1'!I135</f>
        <v>727000</v>
      </c>
      <c r="R14" s="49">
        <f>(IF('1'!$D$17="VIP",('1'!$D$10),0))</f>
        <v>0</v>
      </c>
      <c r="S14" s="48">
        <f>Q14*R14</f>
        <v>0</v>
      </c>
      <c r="T14" s="588" t="s">
        <v>185</v>
      </c>
      <c r="V14" s="33"/>
    </row>
    <row r="15" spans="1:23" ht="24" x14ac:dyDescent="0.25">
      <c r="A15" s="51">
        <f t="shared" si="0"/>
        <v>13</v>
      </c>
      <c r="B15" s="52" t="s">
        <v>142</v>
      </c>
      <c r="C15" s="139">
        <f>SUM('D1'!E123:E124)</f>
        <v>0</v>
      </c>
      <c r="D15" s="139">
        <f>SUM('D1'!E122)</f>
        <v>0</v>
      </c>
      <c r="E15" s="139">
        <f>SUM('D1'!E126:E133)</f>
        <v>727000</v>
      </c>
      <c r="F15" s="52"/>
      <c r="G15" s="52"/>
      <c r="H15" s="52"/>
      <c r="I15" s="139">
        <f>SUM('D1'!E134)</f>
        <v>0</v>
      </c>
      <c r="J15" s="138"/>
      <c r="K15" s="138"/>
      <c r="L15" s="138">
        <f>'D1'!E125</f>
        <v>0</v>
      </c>
      <c r="M15" s="138"/>
      <c r="N15" s="138"/>
      <c r="O15" s="138"/>
      <c r="P15" s="140">
        <f t="shared" si="3"/>
        <v>727000</v>
      </c>
      <c r="Q15" s="53">
        <f>'D1'!C135</f>
        <v>727000</v>
      </c>
      <c r="R15" s="61">
        <f>(IF('1'!$D$13="REGULAR",('1'!$D$10),0))</f>
        <v>0</v>
      </c>
      <c r="S15" s="53">
        <f>Q15*R15</f>
        <v>0</v>
      </c>
      <c r="T15" s="589"/>
      <c r="V15" s="33"/>
    </row>
    <row r="16" spans="1:23" ht="18.75" customHeight="1" x14ac:dyDescent="0.25">
      <c r="A16" s="62">
        <f t="shared" si="0"/>
        <v>14</v>
      </c>
      <c r="B16" s="63" t="s">
        <v>76</v>
      </c>
      <c r="C16" s="63"/>
      <c r="D16" s="144">
        <f>'D1'!E139</f>
        <v>0</v>
      </c>
      <c r="E16" s="144" t="e">
        <f>SUM('D1'!E144:E149)</f>
        <v>#VALUE!</v>
      </c>
      <c r="F16" s="63"/>
      <c r="G16" s="63"/>
      <c r="H16" s="63"/>
      <c r="I16" s="144">
        <f>SUM('D1'!E150)</f>
        <v>0</v>
      </c>
      <c r="J16" s="141" t="e">
        <f>SUM('D1'!E140:E142)</f>
        <v>#VALUE!</v>
      </c>
      <c r="K16" s="141">
        <f>'D1'!E143</f>
        <v>3700000</v>
      </c>
      <c r="L16" s="141"/>
      <c r="M16" s="141"/>
      <c r="N16" s="141"/>
      <c r="O16" s="141"/>
      <c r="P16" s="143" t="e">
        <f>SUM(C16:O16)</f>
        <v>#VALUE!</v>
      </c>
      <c r="Q16" s="64" t="e">
        <f>'D1'!C151</f>
        <v>#VALUE!</v>
      </c>
      <c r="R16" s="65">
        <f>'1'!D10</f>
        <v>0</v>
      </c>
      <c r="S16" s="64" t="e">
        <f>R16*Q16</f>
        <v>#VALUE!</v>
      </c>
      <c r="T16" s="135" t="s">
        <v>76</v>
      </c>
      <c r="V16" s="33"/>
    </row>
    <row r="17" spans="1:30" x14ac:dyDescent="0.25">
      <c r="A17" s="46">
        <f t="shared" si="0"/>
        <v>15</v>
      </c>
      <c r="B17" s="47" t="s">
        <v>144</v>
      </c>
      <c r="C17" s="138">
        <f>SUM('D1'!K155:K157)</f>
        <v>0</v>
      </c>
      <c r="D17" s="47"/>
      <c r="E17" s="138"/>
      <c r="F17" s="47"/>
      <c r="G17" s="47"/>
      <c r="H17" s="47"/>
      <c r="I17" s="138">
        <f>SUM('D1'!K166)</f>
        <v>5400000</v>
      </c>
      <c r="J17" s="138"/>
      <c r="K17" s="138"/>
      <c r="L17" s="138"/>
      <c r="M17" s="138"/>
      <c r="N17" s="138">
        <f>'D1'!K158</f>
        <v>0</v>
      </c>
      <c r="O17" s="138" t="e">
        <f>SUM('D1'!K159:K165)</f>
        <v>#VALUE!</v>
      </c>
      <c r="P17" s="140" t="e">
        <f t="shared" si="3"/>
        <v>#VALUE!</v>
      </c>
      <c r="Q17" s="48" t="e">
        <f>'D1'!I167</f>
        <v>#VALUE!</v>
      </c>
      <c r="R17" s="49">
        <f>(IF('1'!$D$17="vip",('1'!$D$10),0))</f>
        <v>0</v>
      </c>
      <c r="S17" s="48" t="e">
        <f>Q17*R17</f>
        <v>#VALUE!</v>
      </c>
      <c r="T17" s="585" t="s">
        <v>150</v>
      </c>
      <c r="V17" s="33"/>
    </row>
    <row r="18" spans="1:30" ht="24" x14ac:dyDescent="0.25">
      <c r="A18" s="51">
        <f t="shared" si="0"/>
        <v>16</v>
      </c>
      <c r="B18" s="52" t="s">
        <v>145</v>
      </c>
      <c r="C18" s="139">
        <f>SUM('D1'!E157)</f>
        <v>0</v>
      </c>
      <c r="D18" s="52"/>
      <c r="E18" s="139"/>
      <c r="F18" s="52"/>
      <c r="G18" s="52"/>
      <c r="H18" s="52"/>
      <c r="I18" s="139">
        <f>SUM('D1'!E166)</f>
        <v>5400000</v>
      </c>
      <c r="J18" s="138"/>
      <c r="K18" s="138"/>
      <c r="L18" s="138"/>
      <c r="M18" s="138"/>
      <c r="N18" s="138">
        <f>'D1'!E158</f>
        <v>0</v>
      </c>
      <c r="O18" s="138" t="e">
        <f>SUM('D1'!E159:E165)</f>
        <v>#VALUE!</v>
      </c>
      <c r="P18" s="140" t="e">
        <f t="shared" si="3"/>
        <v>#VALUE!</v>
      </c>
      <c r="Q18" s="53" t="e">
        <f>'D1'!C167</f>
        <v>#VALUE!</v>
      </c>
      <c r="R18" s="61">
        <f>(IF('1'!$D$13="REGULAR",('1'!$D$10),0))</f>
        <v>0</v>
      </c>
      <c r="S18" s="53" t="e">
        <f>Q18*R18</f>
        <v>#VALUE!</v>
      </c>
      <c r="T18" s="586"/>
      <c r="V18" s="33"/>
    </row>
    <row r="19" spans="1:30" ht="24" x14ac:dyDescent="0.25">
      <c r="A19" s="55">
        <f>A18+1</f>
        <v>17</v>
      </c>
      <c r="B19" s="56" t="s">
        <v>146</v>
      </c>
      <c r="C19" s="141" t="e">
        <f>SUM('D1'!E171:E172)</f>
        <v>#VALUE!</v>
      </c>
      <c r="D19" s="56"/>
      <c r="E19" s="141" t="e">
        <f>'D1'!E177</f>
        <v>#VALUE!</v>
      </c>
      <c r="F19" s="56"/>
      <c r="G19" s="56"/>
      <c r="H19" s="56"/>
      <c r="I19" s="141" t="e">
        <f>SUM('D1'!E173)</f>
        <v>#VALUE!</v>
      </c>
      <c r="J19" s="141" t="e">
        <f>SUM('D1'!E174:E175)</f>
        <v>#VALUE!</v>
      </c>
      <c r="K19" s="141" t="e">
        <f>'D1'!E176</f>
        <v>#VALUE!</v>
      </c>
      <c r="L19" s="141"/>
      <c r="M19" s="141"/>
      <c r="N19" s="141"/>
      <c r="O19" s="141"/>
      <c r="P19" s="143" t="e">
        <f>SUM(C19:O19)</f>
        <v>#VALUE!</v>
      </c>
      <c r="Q19" s="57" t="e">
        <f>'D1'!C178</f>
        <v>#VALUE!</v>
      </c>
      <c r="R19" s="58">
        <f>(IF(AND('1'!$D$13="REGULAR",'1'!$D$15="SAYANEH"),('1'!$D$10),0))</f>
        <v>0</v>
      </c>
      <c r="S19" s="57" t="e">
        <f>R19*Q19</f>
        <v>#VALUE!</v>
      </c>
      <c r="T19" s="581"/>
      <c r="V19" s="33"/>
    </row>
    <row r="20" spans="1:30" ht="24" x14ac:dyDescent="0.25">
      <c r="A20" s="55">
        <f>A19+1</f>
        <v>18</v>
      </c>
      <c r="B20" s="60" t="s">
        <v>147</v>
      </c>
      <c r="C20" s="142" t="e">
        <f>SUM('D1'!E182:E183)</f>
        <v>#VALUE!</v>
      </c>
      <c r="D20" s="60"/>
      <c r="E20" s="142" t="e">
        <f>'D1'!E188</f>
        <v>#VALUE!</v>
      </c>
      <c r="F20" s="60"/>
      <c r="G20" s="60"/>
      <c r="H20" s="60"/>
      <c r="I20" s="142" t="e">
        <f>'D1'!E184</f>
        <v>#VALUE!</v>
      </c>
      <c r="J20" s="141" t="e">
        <f>SUM('D1'!E185:E186)</f>
        <v>#VALUE!</v>
      </c>
      <c r="K20" s="141" t="e">
        <f>'D1'!E187</f>
        <v>#VALUE!</v>
      </c>
      <c r="L20" s="141"/>
      <c r="M20" s="141"/>
      <c r="N20" s="141"/>
      <c r="O20" s="141"/>
      <c r="P20" s="143" t="e">
        <f>SUM(C20:O20)</f>
        <v>#VALUE!</v>
      </c>
      <c r="Q20" s="45" t="e">
        <f>'D1'!C189</f>
        <v>#VALUE!</v>
      </c>
      <c r="R20" s="44">
        <f>(IF(AND('1'!$D$13="REGULAR",'1'!$D$15="PAVLION"),('1'!$D$10),0))</f>
        <v>0</v>
      </c>
      <c r="S20" s="45" t="e">
        <f>R20*Q20</f>
        <v>#VALUE!</v>
      </c>
      <c r="T20" s="582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x14ac:dyDescent="0.25">
      <c r="A21" s="66">
        <f t="shared" si="0"/>
        <v>19</v>
      </c>
      <c r="B21" s="67" t="s">
        <v>114</v>
      </c>
      <c r="C21" s="67"/>
      <c r="D21" s="67"/>
      <c r="E21" s="145"/>
      <c r="F21" s="67"/>
      <c r="G21" s="67"/>
      <c r="H21" s="67"/>
      <c r="I21" s="145">
        <f>SUM('D1'!E195)</f>
        <v>9000000</v>
      </c>
      <c r="J21" s="138">
        <f>'D1'!E193</f>
        <v>3750000</v>
      </c>
      <c r="K21" s="138">
        <f>'D1'!E194</f>
        <v>7500000</v>
      </c>
      <c r="L21" s="138"/>
      <c r="M21" s="138"/>
      <c r="N21" s="138"/>
      <c r="O21" s="138"/>
      <c r="P21" s="140">
        <f t="shared" ref="P21" si="4">SUM(C21:O21)</f>
        <v>20250000</v>
      </c>
      <c r="Q21" s="68">
        <f>'D1'!C196</f>
        <v>20250000</v>
      </c>
      <c r="R21" s="69" t="e">
        <f>(IF(AND('1'!D8&gt;6,'1'!D8&lt;=8),1,IF(AND('1'!D8&gt;8,'1'!D8&lt;=10),2,0)))*('1'!D5+'1'!E5)*('1'!D10)</f>
        <v>#VALUE!</v>
      </c>
      <c r="S21" s="68" t="e">
        <f>R21*Q21</f>
        <v>#VALUE!</v>
      </c>
      <c r="T21" s="68"/>
      <c r="V21" s="38"/>
      <c r="W21" s="38"/>
      <c r="X21" s="38"/>
      <c r="Y21" s="38"/>
      <c r="Z21" s="38"/>
      <c r="AA21" s="38"/>
      <c r="AB21" s="38"/>
      <c r="AC21" s="38"/>
      <c r="AD21" s="38"/>
    </row>
    <row r="22" spans="1:30" ht="15" customHeight="1" x14ac:dyDescent="0.25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  <c r="R22" s="72"/>
      <c r="S22" s="583" t="e">
        <f>S23*'پیش فاکتور سقف متحرک'!G20</f>
        <v>#VALUE!</v>
      </c>
      <c r="T22" s="583"/>
      <c r="V22" s="38"/>
      <c r="W22" s="38"/>
      <c r="X22" s="38"/>
      <c r="Y22" s="38"/>
      <c r="Z22" s="38"/>
      <c r="AA22" s="38"/>
      <c r="AB22" s="38"/>
      <c r="AC22" s="38"/>
      <c r="AD22" s="38"/>
    </row>
    <row r="23" spans="1:30" ht="15.75" x14ac:dyDescent="0.25">
      <c r="A23" s="46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6" t="s">
        <v>7</v>
      </c>
      <c r="S23" s="579" t="e">
        <f>((SUM(S3:S21))/Q2)</f>
        <v>#VALUE!</v>
      </c>
      <c r="T23" s="579"/>
      <c r="V23" s="38"/>
      <c r="W23" s="38"/>
      <c r="X23" s="38"/>
      <c r="Y23" s="38"/>
      <c r="Z23" s="38"/>
      <c r="AA23" s="38"/>
      <c r="AB23" s="38"/>
      <c r="AC23" s="38"/>
      <c r="AD23" s="38"/>
    </row>
    <row r="24" spans="1:30" ht="15.75" x14ac:dyDescent="0.25">
      <c r="A24" s="55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7" t="s">
        <v>8</v>
      </c>
      <c r="S24" s="580">
        <v>3000000</v>
      </c>
      <c r="T24" s="580"/>
      <c r="V24" s="38"/>
      <c r="W24" s="38"/>
      <c r="X24" s="38"/>
      <c r="Y24" s="38"/>
      <c r="Z24" s="38"/>
      <c r="AA24" s="38"/>
      <c r="AB24" s="38"/>
      <c r="AC24" s="38"/>
      <c r="AD24" s="38"/>
    </row>
    <row r="25" spans="1:30" ht="15.75" x14ac:dyDescent="0.25">
      <c r="A25" s="46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8" t="s">
        <v>9</v>
      </c>
      <c r="S25" s="579" t="e">
        <f>(S23+S24)*('1'!G4*0.01)</f>
        <v>#VALUE!</v>
      </c>
      <c r="T25" s="579"/>
      <c r="V25" s="38"/>
      <c r="W25" s="38"/>
      <c r="X25" s="38"/>
      <c r="Y25" s="38"/>
      <c r="Z25" s="38"/>
      <c r="AA25" s="38"/>
      <c r="AB25" s="38"/>
      <c r="AC25" s="38"/>
      <c r="AD25" s="38"/>
    </row>
    <row r="26" spans="1:30" ht="15.75" x14ac:dyDescent="0.25">
      <c r="A26" s="5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9" t="s">
        <v>10</v>
      </c>
      <c r="S26" s="580" t="e">
        <f>(S23+S24)*('1'!G5*0.01)</f>
        <v>#VALUE!</v>
      </c>
      <c r="T26" s="580"/>
      <c r="V26" s="38"/>
      <c r="W26" s="38"/>
      <c r="X26" s="38"/>
      <c r="Y26" s="38"/>
      <c r="Z26" s="38"/>
      <c r="AA26" s="38"/>
      <c r="AB26" s="38"/>
      <c r="AC26" s="38"/>
      <c r="AD26" s="38"/>
    </row>
    <row r="27" spans="1:30" ht="15.75" x14ac:dyDescent="0.25">
      <c r="A27" s="46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8" t="s">
        <v>11</v>
      </c>
      <c r="S27" s="579" t="e">
        <f>(S23+S24)*('1'!G6*0.01)</f>
        <v>#VALUE!</v>
      </c>
      <c r="T27" s="579"/>
      <c r="V27" s="38"/>
      <c r="W27" s="38"/>
      <c r="X27" s="38"/>
      <c r="Y27" s="38"/>
      <c r="Z27" s="38"/>
      <c r="AA27" s="38"/>
      <c r="AB27" s="38"/>
      <c r="AC27" s="38"/>
      <c r="AD27" s="38"/>
    </row>
    <row r="28" spans="1:30" ht="15.75" x14ac:dyDescent="0.25">
      <c r="A28" s="5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9" t="s">
        <v>12</v>
      </c>
      <c r="S28" s="580" t="e">
        <f>(S23+S24)*('1'!G7*0.01)</f>
        <v>#VALUE!</v>
      </c>
      <c r="T28" s="580"/>
      <c r="V28" s="38"/>
      <c r="W28" s="38"/>
      <c r="X28" s="38"/>
      <c r="Y28" s="38"/>
      <c r="Z28" s="38"/>
      <c r="AA28" s="38"/>
      <c r="AB28" s="38"/>
      <c r="AC28" s="38"/>
      <c r="AD28" s="38"/>
    </row>
    <row r="29" spans="1:30" ht="15.75" x14ac:dyDescent="0.25">
      <c r="A29" s="46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8" t="s">
        <v>13</v>
      </c>
      <c r="S29" s="579" t="e">
        <f>(S23+S24+S25+S26+S27+S28)*('1'!G8*0.01)</f>
        <v>#VALUE!</v>
      </c>
      <c r="T29" s="579"/>
    </row>
    <row r="30" spans="1:30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30" ht="15" customHeight="1" x14ac:dyDescent="0.25">
      <c r="A31" s="9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3"/>
      <c r="R31" s="33"/>
      <c r="S31" s="40"/>
      <c r="T31" s="33"/>
      <c r="U31" s="39"/>
    </row>
    <row r="32" spans="1:30" ht="15" customHeight="1" x14ac:dyDescent="0.25">
      <c r="A32" s="98"/>
      <c r="B32" s="73" t="e">
        <f>SUM(C32:O32)</f>
        <v>#VALUE!</v>
      </c>
      <c r="C32" s="138" t="e">
        <f>SUM(C34:C52)</f>
        <v>#VALUE!</v>
      </c>
      <c r="D32" s="138" t="e">
        <f t="shared" ref="D32:O32" si="5">SUM(D34:D52)</f>
        <v>#VALUE!</v>
      </c>
      <c r="E32" s="138" t="e">
        <f t="shared" si="5"/>
        <v>#VALUE!</v>
      </c>
      <c r="F32" s="138" t="e">
        <f t="shared" si="5"/>
        <v>#VALUE!</v>
      </c>
      <c r="G32" s="138" t="e">
        <f t="shared" si="5"/>
        <v>#VALUE!</v>
      </c>
      <c r="H32" s="138" t="e">
        <f t="shared" si="5"/>
        <v>#VALUE!</v>
      </c>
      <c r="I32" s="138" t="e">
        <f t="shared" si="5"/>
        <v>#VALUE!</v>
      </c>
      <c r="J32" s="138" t="e">
        <f t="shared" si="5"/>
        <v>#VALUE!</v>
      </c>
      <c r="K32" s="138" t="e">
        <f t="shared" si="5"/>
        <v>#VALUE!</v>
      </c>
      <c r="L32" s="138" t="e">
        <f t="shared" si="5"/>
        <v>#VALUE!</v>
      </c>
      <c r="M32" s="138" t="e">
        <f t="shared" si="5"/>
        <v>#VALUE!</v>
      </c>
      <c r="N32" s="138" t="e">
        <f t="shared" si="5"/>
        <v>#VALUE!</v>
      </c>
      <c r="O32" s="138" t="e">
        <f t="shared" si="5"/>
        <v>#VALUE!</v>
      </c>
      <c r="P32" s="39"/>
      <c r="Q32" s="33"/>
      <c r="R32" s="33"/>
      <c r="S32" s="40"/>
      <c r="T32" s="33"/>
      <c r="U32" s="39"/>
    </row>
    <row r="33" spans="1:21" ht="24.6" customHeight="1" x14ac:dyDescent="0.25">
      <c r="A33" s="42"/>
      <c r="B33" s="43" t="s">
        <v>2</v>
      </c>
      <c r="C33" s="146" t="s">
        <v>193</v>
      </c>
      <c r="D33" s="146" t="s">
        <v>194</v>
      </c>
      <c r="E33" s="146" t="s">
        <v>195</v>
      </c>
      <c r="F33" s="146" t="s">
        <v>197</v>
      </c>
      <c r="G33" s="146" t="s">
        <v>199</v>
      </c>
      <c r="H33" s="146" t="s">
        <v>196</v>
      </c>
      <c r="I33" s="147" t="s">
        <v>200</v>
      </c>
      <c r="J33" s="137" t="s">
        <v>217</v>
      </c>
      <c r="K33" s="137" t="s">
        <v>218</v>
      </c>
      <c r="L33" s="137" t="s">
        <v>219</v>
      </c>
      <c r="M33" s="137" t="s">
        <v>220</v>
      </c>
      <c r="N33" s="137" t="s">
        <v>221</v>
      </c>
      <c r="O33" s="137" t="s">
        <v>222</v>
      </c>
      <c r="P33" s="39"/>
      <c r="Q33" s="33"/>
      <c r="R33" s="33"/>
      <c r="U33" s="39"/>
    </row>
    <row r="34" spans="1:21" ht="15" customHeight="1" x14ac:dyDescent="0.25">
      <c r="A34" s="46">
        <v>1</v>
      </c>
      <c r="B34" s="47" t="s">
        <v>156</v>
      </c>
      <c r="C34" s="138"/>
      <c r="D34" s="138"/>
      <c r="E34" s="138"/>
      <c r="F34" s="138">
        <f>F3*$R$3</f>
        <v>0</v>
      </c>
      <c r="G34" s="138"/>
      <c r="H34" s="138"/>
      <c r="I34" s="138">
        <f>I3*$R$3</f>
        <v>0</v>
      </c>
      <c r="J34" s="138"/>
      <c r="K34" s="138"/>
      <c r="L34" s="138"/>
      <c r="M34" s="138"/>
      <c r="N34" s="138"/>
      <c r="O34" s="138"/>
      <c r="P34" s="39"/>
      <c r="Q34" s="33"/>
      <c r="R34" s="33"/>
      <c r="U34" s="39"/>
    </row>
    <row r="35" spans="1:21" ht="15" customHeight="1" x14ac:dyDescent="0.25">
      <c r="A35" s="46">
        <f t="shared" ref="A35:A52" si="6">A34+1</f>
        <v>2</v>
      </c>
      <c r="B35" s="47" t="s">
        <v>205</v>
      </c>
      <c r="C35" s="138"/>
      <c r="D35" s="138"/>
      <c r="E35" s="138"/>
      <c r="F35" s="138" t="e">
        <f>F4*$R$4</f>
        <v>#VALUE!</v>
      </c>
      <c r="G35" s="138"/>
      <c r="H35" s="138"/>
      <c r="I35" s="138" t="e">
        <f>I4*$R$4</f>
        <v>#VALUE!</v>
      </c>
      <c r="J35" s="138"/>
      <c r="K35" s="138"/>
      <c r="L35" s="138"/>
      <c r="M35" s="138"/>
      <c r="N35" s="138"/>
      <c r="O35" s="138"/>
      <c r="P35" s="39"/>
      <c r="Q35" s="33"/>
      <c r="R35" s="33"/>
      <c r="U35" s="39"/>
    </row>
    <row r="36" spans="1:21" ht="15" customHeight="1" x14ac:dyDescent="0.25">
      <c r="A36" s="46">
        <f t="shared" si="6"/>
        <v>3</v>
      </c>
      <c r="B36" s="47" t="s">
        <v>5</v>
      </c>
      <c r="C36" s="138"/>
      <c r="D36" s="138"/>
      <c r="E36" s="138"/>
      <c r="F36" s="138">
        <f>F5*$R$5</f>
        <v>0</v>
      </c>
      <c r="G36" s="138"/>
      <c r="H36" s="138"/>
      <c r="I36" s="138">
        <f>I5*$R$5</f>
        <v>0</v>
      </c>
      <c r="J36" s="138"/>
      <c r="K36" s="138"/>
      <c r="L36" s="138"/>
      <c r="M36" s="138"/>
      <c r="N36" s="138"/>
      <c r="O36" s="138"/>
      <c r="P36" s="39"/>
      <c r="Q36" s="33"/>
      <c r="R36" s="33"/>
      <c r="U36" s="39"/>
    </row>
    <row r="37" spans="1:21" ht="15" customHeight="1" x14ac:dyDescent="0.25">
      <c r="A37" s="51">
        <f t="shared" si="6"/>
        <v>4</v>
      </c>
      <c r="B37" s="52" t="s">
        <v>6</v>
      </c>
      <c r="C37" s="139"/>
      <c r="D37" s="139"/>
      <c r="E37" s="139"/>
      <c r="F37" s="139" t="e">
        <f>F6*$R$6</f>
        <v>#VALUE!</v>
      </c>
      <c r="G37" s="139"/>
      <c r="H37" s="139"/>
      <c r="I37" s="138" t="e">
        <f>I6*$R$6</f>
        <v>#VALUE!</v>
      </c>
      <c r="J37" s="138"/>
      <c r="K37" s="138"/>
      <c r="L37" s="138"/>
      <c r="M37" s="138"/>
      <c r="N37" s="138"/>
      <c r="O37" s="138"/>
      <c r="P37" s="39"/>
      <c r="Q37" s="33"/>
      <c r="R37" s="33"/>
      <c r="U37" s="39"/>
    </row>
    <row r="38" spans="1:21" ht="15" customHeight="1" x14ac:dyDescent="0.25">
      <c r="A38" s="55">
        <f t="shared" si="6"/>
        <v>5</v>
      </c>
      <c r="B38" s="56" t="s">
        <v>134</v>
      </c>
      <c r="C38" s="148" t="e">
        <f>C7*$R$7</f>
        <v>#VALUE!</v>
      </c>
      <c r="D38" s="148"/>
      <c r="E38" s="148" t="e">
        <f>E7*$R$7</f>
        <v>#VALUE!</v>
      </c>
      <c r="F38" s="148"/>
      <c r="G38" s="148"/>
      <c r="H38" s="148" t="e">
        <f>H7*$R$7</f>
        <v>#VALUE!</v>
      </c>
      <c r="I38" s="151" t="e">
        <f>I7*$R$7</f>
        <v>#VALUE!</v>
      </c>
      <c r="J38" s="151">
        <f t="shared" ref="J38:O38" si="7">J7*$R$7</f>
        <v>0</v>
      </c>
      <c r="K38" s="151">
        <f t="shared" si="7"/>
        <v>0</v>
      </c>
      <c r="L38" s="151">
        <f t="shared" si="7"/>
        <v>0</v>
      </c>
      <c r="M38" s="151">
        <f t="shared" si="7"/>
        <v>0</v>
      </c>
      <c r="N38" s="151">
        <f t="shared" si="7"/>
        <v>0</v>
      </c>
      <c r="O38" s="151">
        <f t="shared" si="7"/>
        <v>0</v>
      </c>
      <c r="P38" s="39"/>
      <c r="Q38" s="33"/>
      <c r="R38" s="33"/>
      <c r="U38" s="39"/>
    </row>
    <row r="39" spans="1:21" ht="15" customHeight="1" x14ac:dyDescent="0.25">
      <c r="A39" s="59">
        <f t="shared" si="6"/>
        <v>6</v>
      </c>
      <c r="B39" s="60" t="s">
        <v>135</v>
      </c>
      <c r="C39" s="149" t="e">
        <f>C8*$R$8</f>
        <v>#VALUE!</v>
      </c>
      <c r="D39" s="149"/>
      <c r="E39" s="149" t="e">
        <f>E8*$R$8</f>
        <v>#VALUE!</v>
      </c>
      <c r="F39" s="149"/>
      <c r="G39" s="149"/>
      <c r="H39" s="149" t="e">
        <f>H8*$R$8</f>
        <v>#VALUE!</v>
      </c>
      <c r="I39" s="149" t="e">
        <f>I8*$R$8</f>
        <v>#VALUE!</v>
      </c>
      <c r="J39" s="149">
        <f t="shared" ref="J39:O39" si="8">J8*$R$8</f>
        <v>0</v>
      </c>
      <c r="K39" s="149">
        <f t="shared" si="8"/>
        <v>0</v>
      </c>
      <c r="L39" s="149">
        <f t="shared" si="8"/>
        <v>0</v>
      </c>
      <c r="M39" s="149">
        <f t="shared" si="8"/>
        <v>0</v>
      </c>
      <c r="N39" s="149">
        <f t="shared" si="8"/>
        <v>0</v>
      </c>
      <c r="O39" s="149">
        <f t="shared" si="8"/>
        <v>0</v>
      </c>
      <c r="P39" s="39"/>
      <c r="Q39" s="33"/>
      <c r="R39" s="33"/>
      <c r="U39" s="39"/>
    </row>
    <row r="40" spans="1:21" ht="15" customHeight="1" x14ac:dyDescent="0.25">
      <c r="A40" s="46">
        <f t="shared" si="6"/>
        <v>7</v>
      </c>
      <c r="B40" s="47" t="s">
        <v>49</v>
      </c>
      <c r="C40" s="138" t="e">
        <f>C9*$R$9</f>
        <v>#VALUE!</v>
      </c>
      <c r="D40" s="138"/>
      <c r="E40" s="138" t="e">
        <f>E9*$R$9</f>
        <v>#VALUE!</v>
      </c>
      <c r="F40" s="138"/>
      <c r="G40" s="138"/>
      <c r="H40" s="138"/>
      <c r="I40" s="138" t="e">
        <f>I9*$R$9</f>
        <v>#VALUE!</v>
      </c>
      <c r="J40" s="138" t="e">
        <f t="shared" ref="J40:O40" si="9">J9*$R$9</f>
        <v>#VALUE!</v>
      </c>
      <c r="K40" s="138" t="e">
        <f t="shared" si="9"/>
        <v>#VALUE!</v>
      </c>
      <c r="L40" s="138" t="e">
        <f t="shared" si="9"/>
        <v>#VALUE!</v>
      </c>
      <c r="M40" s="138" t="e">
        <f t="shared" si="9"/>
        <v>#VALUE!</v>
      </c>
      <c r="N40" s="138" t="e">
        <f t="shared" si="9"/>
        <v>#VALUE!</v>
      </c>
      <c r="O40" s="138" t="e">
        <f t="shared" si="9"/>
        <v>#VALUE!</v>
      </c>
      <c r="P40" s="39"/>
      <c r="Q40" s="33"/>
      <c r="R40" s="33"/>
      <c r="S40" s="40"/>
      <c r="T40" s="33"/>
      <c r="U40" s="39"/>
    </row>
    <row r="41" spans="1:21" ht="15" customHeight="1" x14ac:dyDescent="0.25">
      <c r="A41" s="46">
        <f t="shared" si="6"/>
        <v>8</v>
      </c>
      <c r="B41" s="47" t="s">
        <v>122</v>
      </c>
      <c r="C41" s="138" t="e">
        <f>C10*$R$10</f>
        <v>#VALUE!</v>
      </c>
      <c r="D41" s="138"/>
      <c r="E41" s="138" t="e">
        <f>E10*$R$10</f>
        <v>#VALUE!</v>
      </c>
      <c r="F41" s="138"/>
      <c r="G41" s="138"/>
      <c r="H41" s="138"/>
      <c r="I41" s="138" t="e">
        <f>I10*$R$10</f>
        <v>#VALUE!</v>
      </c>
      <c r="J41" s="138" t="e">
        <f t="shared" ref="J41:O41" si="10">J10*$R$10</f>
        <v>#VALUE!</v>
      </c>
      <c r="K41" s="138" t="e">
        <f t="shared" si="10"/>
        <v>#VALUE!</v>
      </c>
      <c r="L41" s="138" t="e">
        <f t="shared" si="10"/>
        <v>#VALUE!</v>
      </c>
      <c r="M41" s="138" t="e">
        <f t="shared" si="10"/>
        <v>#VALUE!</v>
      </c>
      <c r="N41" s="138" t="e">
        <f t="shared" si="10"/>
        <v>#VALUE!</v>
      </c>
      <c r="O41" s="138" t="e">
        <f t="shared" si="10"/>
        <v>#VALUE!</v>
      </c>
      <c r="P41" s="39"/>
      <c r="Q41" s="33"/>
      <c r="R41" s="33"/>
      <c r="S41" s="40"/>
      <c r="T41" s="33"/>
      <c r="U41" s="39"/>
    </row>
    <row r="42" spans="1:21" ht="15" customHeight="1" x14ac:dyDescent="0.25">
      <c r="A42" s="51">
        <f t="shared" si="6"/>
        <v>9</v>
      </c>
      <c r="B42" s="52" t="s">
        <v>56</v>
      </c>
      <c r="C42" s="139">
        <f>C11*$R$11</f>
        <v>0</v>
      </c>
      <c r="D42" s="139"/>
      <c r="E42" s="139">
        <f>E11*$R$11</f>
        <v>0</v>
      </c>
      <c r="F42" s="139"/>
      <c r="G42" s="139"/>
      <c r="H42" s="139"/>
      <c r="I42" s="139">
        <f>I11*$R$11</f>
        <v>0</v>
      </c>
      <c r="J42" s="139">
        <f t="shared" ref="J42:O42" si="11">J11*$R$11</f>
        <v>0</v>
      </c>
      <c r="K42" s="139">
        <f t="shared" si="11"/>
        <v>0</v>
      </c>
      <c r="L42" s="139">
        <f t="shared" si="11"/>
        <v>0</v>
      </c>
      <c r="M42" s="139">
        <f t="shared" si="11"/>
        <v>0</v>
      </c>
      <c r="N42" s="139">
        <f t="shared" si="11"/>
        <v>0</v>
      </c>
      <c r="O42" s="139">
        <f t="shared" si="11"/>
        <v>0</v>
      </c>
      <c r="P42" s="39"/>
      <c r="Q42" s="33"/>
      <c r="R42" s="33"/>
      <c r="S42" s="40"/>
      <c r="T42" s="33"/>
      <c r="U42" s="39"/>
    </row>
    <row r="43" spans="1:21" ht="15" customHeight="1" x14ac:dyDescent="0.25">
      <c r="A43" s="55">
        <f t="shared" si="6"/>
        <v>10</v>
      </c>
      <c r="B43" s="56" t="s">
        <v>140</v>
      </c>
      <c r="C43" s="148"/>
      <c r="D43" s="148"/>
      <c r="E43" s="148">
        <f>E12*$R$12</f>
        <v>0</v>
      </c>
      <c r="F43" s="148"/>
      <c r="G43" s="148">
        <f>G12*$R$12</f>
        <v>0</v>
      </c>
      <c r="H43" s="148">
        <f t="shared" ref="H43:I43" si="12">H12*$R$12</f>
        <v>0</v>
      </c>
      <c r="I43" s="148">
        <f t="shared" si="12"/>
        <v>0</v>
      </c>
      <c r="J43" s="148">
        <f>J12*$R$12</f>
        <v>0</v>
      </c>
      <c r="K43" s="148"/>
      <c r="L43" s="148"/>
      <c r="M43" s="148"/>
      <c r="N43" s="148"/>
      <c r="O43" s="148"/>
      <c r="P43" s="39"/>
      <c r="Q43" s="33"/>
      <c r="R43" s="33"/>
      <c r="S43" s="40"/>
      <c r="T43" s="33"/>
      <c r="U43" s="39"/>
    </row>
    <row r="44" spans="1:21" ht="15" customHeight="1" x14ac:dyDescent="0.25">
      <c r="A44" s="59">
        <f t="shared" si="6"/>
        <v>11</v>
      </c>
      <c r="B44" s="60" t="s">
        <v>141</v>
      </c>
      <c r="C44" s="149"/>
      <c r="D44" s="149"/>
      <c r="E44" s="149">
        <f>E13*$R$13</f>
        <v>0</v>
      </c>
      <c r="F44" s="149"/>
      <c r="G44" s="148">
        <f>G13*$R$13</f>
        <v>0</v>
      </c>
      <c r="H44" s="148">
        <f t="shared" ref="H44:I44" si="13">H13*$R$13</f>
        <v>0</v>
      </c>
      <c r="I44" s="148">
        <f t="shared" si="13"/>
        <v>0</v>
      </c>
      <c r="J44" s="148">
        <f>J13*$R$13</f>
        <v>0</v>
      </c>
      <c r="K44" s="149"/>
      <c r="L44" s="149"/>
      <c r="M44" s="149"/>
      <c r="N44" s="149"/>
      <c r="O44" s="149"/>
      <c r="P44" s="39"/>
      <c r="Q44" s="33"/>
      <c r="R44" s="33"/>
      <c r="S44" s="40"/>
      <c r="T44" s="33"/>
      <c r="U44" s="39"/>
    </row>
    <row r="45" spans="1:21" ht="15" customHeight="1" x14ac:dyDescent="0.25">
      <c r="A45" s="46">
        <f t="shared" si="6"/>
        <v>12</v>
      </c>
      <c r="B45" s="47" t="s">
        <v>143</v>
      </c>
      <c r="C45" s="138">
        <f>C14*$R$14</f>
        <v>0</v>
      </c>
      <c r="D45" s="138">
        <f>D14*$R$14</f>
        <v>0</v>
      </c>
      <c r="E45" s="138">
        <f>E14*$R$14</f>
        <v>0</v>
      </c>
      <c r="F45" s="138">
        <f t="shared" ref="F45:I45" si="14">F14*$R$14</f>
        <v>0</v>
      </c>
      <c r="G45" s="138">
        <f t="shared" si="14"/>
        <v>0</v>
      </c>
      <c r="H45" s="138">
        <f t="shared" si="14"/>
        <v>0</v>
      </c>
      <c r="I45" s="138">
        <f t="shared" si="14"/>
        <v>0</v>
      </c>
      <c r="J45" s="138">
        <f t="shared" ref="J45:O45" si="15">J14*$R$14</f>
        <v>0</v>
      </c>
      <c r="K45" s="138">
        <f t="shared" si="15"/>
        <v>0</v>
      </c>
      <c r="L45" s="138">
        <f t="shared" si="15"/>
        <v>0</v>
      </c>
      <c r="M45" s="138">
        <f t="shared" si="15"/>
        <v>0</v>
      </c>
      <c r="N45" s="138">
        <f t="shared" si="15"/>
        <v>0</v>
      </c>
      <c r="O45" s="138">
        <f t="shared" si="15"/>
        <v>0</v>
      </c>
      <c r="P45" s="39"/>
      <c r="Q45" s="33"/>
      <c r="R45" s="33"/>
      <c r="S45" s="40"/>
      <c r="T45" s="33"/>
      <c r="U45" s="39"/>
    </row>
    <row r="46" spans="1:21" ht="15" customHeight="1" x14ac:dyDescent="0.25">
      <c r="A46" s="51">
        <f t="shared" si="6"/>
        <v>13</v>
      </c>
      <c r="B46" s="52" t="s">
        <v>142</v>
      </c>
      <c r="C46" s="138">
        <f>C15*$R$15</f>
        <v>0</v>
      </c>
      <c r="D46" s="138">
        <f>D15*$R$15</f>
        <v>0</v>
      </c>
      <c r="E46" s="138">
        <f>E15*$R$15</f>
        <v>0</v>
      </c>
      <c r="F46" s="138">
        <f t="shared" ref="F46:I46" si="16">F15*$R$15</f>
        <v>0</v>
      </c>
      <c r="G46" s="138">
        <f t="shared" si="16"/>
        <v>0</v>
      </c>
      <c r="H46" s="138">
        <f t="shared" si="16"/>
        <v>0</v>
      </c>
      <c r="I46" s="138">
        <f t="shared" si="16"/>
        <v>0</v>
      </c>
      <c r="J46" s="138">
        <f t="shared" ref="J46:O46" si="17">J15*$R$15</f>
        <v>0</v>
      </c>
      <c r="K46" s="138">
        <f t="shared" si="17"/>
        <v>0</v>
      </c>
      <c r="L46" s="138">
        <f t="shared" si="17"/>
        <v>0</v>
      </c>
      <c r="M46" s="138">
        <f t="shared" si="17"/>
        <v>0</v>
      </c>
      <c r="N46" s="138">
        <f t="shared" si="17"/>
        <v>0</v>
      </c>
      <c r="O46" s="138">
        <f t="shared" si="17"/>
        <v>0</v>
      </c>
      <c r="P46" s="39"/>
      <c r="Q46" s="33"/>
      <c r="R46" s="33"/>
      <c r="S46" s="40"/>
      <c r="T46" s="33"/>
      <c r="U46" s="39"/>
    </row>
    <row r="47" spans="1:21" ht="15" customHeight="1" x14ac:dyDescent="0.25">
      <c r="A47" s="62">
        <f t="shared" si="6"/>
        <v>14</v>
      </c>
      <c r="B47" s="63" t="s">
        <v>76</v>
      </c>
      <c r="C47" s="150">
        <f t="shared" ref="C47:D47" si="18">C16*$R$16</f>
        <v>0</v>
      </c>
      <c r="D47" s="150">
        <f t="shared" si="18"/>
        <v>0</v>
      </c>
      <c r="E47" s="150" t="e">
        <f>E16*$R$16</f>
        <v>#VALUE!</v>
      </c>
      <c r="F47" s="150">
        <f t="shared" ref="F47:H47" si="19">F16*$R$16</f>
        <v>0</v>
      </c>
      <c r="G47" s="150">
        <f t="shared" si="19"/>
        <v>0</v>
      </c>
      <c r="H47" s="150">
        <f t="shared" si="19"/>
        <v>0</v>
      </c>
      <c r="I47" s="150">
        <f>I16*$R$16</f>
        <v>0</v>
      </c>
      <c r="J47" s="150" t="e">
        <f t="shared" ref="J47:O47" si="20">J16*$R$16</f>
        <v>#VALUE!</v>
      </c>
      <c r="K47" s="150">
        <f t="shared" si="20"/>
        <v>0</v>
      </c>
      <c r="L47" s="150">
        <f t="shared" si="20"/>
        <v>0</v>
      </c>
      <c r="M47" s="150">
        <f t="shared" si="20"/>
        <v>0</v>
      </c>
      <c r="N47" s="150">
        <f t="shared" si="20"/>
        <v>0</v>
      </c>
      <c r="O47" s="150">
        <f t="shared" si="20"/>
        <v>0</v>
      </c>
      <c r="P47" s="39"/>
      <c r="Q47" s="33"/>
      <c r="R47" s="33"/>
      <c r="S47" s="40"/>
      <c r="T47" s="33"/>
      <c r="U47" s="39"/>
    </row>
    <row r="48" spans="1:21" ht="15" customHeight="1" x14ac:dyDescent="0.25">
      <c r="A48" s="46">
        <f t="shared" si="6"/>
        <v>15</v>
      </c>
      <c r="B48" s="47" t="s">
        <v>144</v>
      </c>
      <c r="C48" s="138">
        <f>C17*$R$17</f>
        <v>0</v>
      </c>
      <c r="D48" s="138">
        <f t="shared" ref="D48:H48" si="21">D17*$R$17</f>
        <v>0</v>
      </c>
      <c r="E48" s="138">
        <f t="shared" si="21"/>
        <v>0</v>
      </c>
      <c r="F48" s="138">
        <f t="shared" si="21"/>
        <v>0</v>
      </c>
      <c r="G48" s="138">
        <f t="shared" si="21"/>
        <v>0</v>
      </c>
      <c r="H48" s="138">
        <f t="shared" si="21"/>
        <v>0</v>
      </c>
      <c r="I48" s="138">
        <f>I17*$R$17</f>
        <v>0</v>
      </c>
      <c r="J48" s="138">
        <f t="shared" ref="J48:O48" si="22">J17*$R$17</f>
        <v>0</v>
      </c>
      <c r="K48" s="138">
        <f t="shared" si="22"/>
        <v>0</v>
      </c>
      <c r="L48" s="138">
        <f t="shared" si="22"/>
        <v>0</v>
      </c>
      <c r="M48" s="138">
        <f t="shared" si="22"/>
        <v>0</v>
      </c>
      <c r="N48" s="138">
        <f t="shared" si="22"/>
        <v>0</v>
      </c>
      <c r="O48" s="138" t="e">
        <f t="shared" si="22"/>
        <v>#VALUE!</v>
      </c>
      <c r="P48" s="39"/>
      <c r="Q48" s="33"/>
      <c r="R48" s="33"/>
      <c r="S48" s="40"/>
      <c r="T48" s="33"/>
      <c r="U48" s="39"/>
    </row>
    <row r="49" spans="1:21" ht="15" customHeight="1" x14ac:dyDescent="0.25">
      <c r="A49" s="51">
        <f t="shared" si="6"/>
        <v>16</v>
      </c>
      <c r="B49" s="52" t="s">
        <v>145</v>
      </c>
      <c r="C49" s="139">
        <f>C18*$R$18</f>
        <v>0</v>
      </c>
      <c r="D49" s="139">
        <f t="shared" ref="D49:H49" si="23">D18*$R$18</f>
        <v>0</v>
      </c>
      <c r="E49" s="139">
        <f t="shared" si="23"/>
        <v>0</v>
      </c>
      <c r="F49" s="139">
        <f t="shared" si="23"/>
        <v>0</v>
      </c>
      <c r="G49" s="139">
        <f t="shared" si="23"/>
        <v>0</v>
      </c>
      <c r="H49" s="139">
        <f t="shared" si="23"/>
        <v>0</v>
      </c>
      <c r="I49" s="139">
        <f>I18*$R$18</f>
        <v>0</v>
      </c>
      <c r="J49" s="139">
        <f t="shared" ref="J49:O49" si="24">J18*$R$18</f>
        <v>0</v>
      </c>
      <c r="K49" s="139">
        <f t="shared" si="24"/>
        <v>0</v>
      </c>
      <c r="L49" s="139">
        <f t="shared" si="24"/>
        <v>0</v>
      </c>
      <c r="M49" s="139">
        <f t="shared" si="24"/>
        <v>0</v>
      </c>
      <c r="N49" s="139">
        <f t="shared" si="24"/>
        <v>0</v>
      </c>
      <c r="O49" s="139" t="e">
        <f t="shared" si="24"/>
        <v>#VALUE!</v>
      </c>
      <c r="P49" s="39"/>
      <c r="Q49" s="33"/>
      <c r="R49" s="33"/>
      <c r="S49" s="40"/>
      <c r="T49" s="33"/>
      <c r="U49" s="39"/>
    </row>
    <row r="50" spans="1:21" ht="15" customHeight="1" x14ac:dyDescent="0.25">
      <c r="A50" s="55">
        <f>A49+1</f>
        <v>17</v>
      </c>
      <c r="B50" s="56" t="s">
        <v>146</v>
      </c>
      <c r="C50" s="148" t="e">
        <f>C19*$R$19</f>
        <v>#VALUE!</v>
      </c>
      <c r="D50" s="148">
        <f t="shared" ref="D50:H50" si="25">D19*$R$19</f>
        <v>0</v>
      </c>
      <c r="E50" s="148" t="e">
        <f t="shared" si="25"/>
        <v>#VALUE!</v>
      </c>
      <c r="F50" s="148">
        <f t="shared" si="25"/>
        <v>0</v>
      </c>
      <c r="G50" s="148">
        <f t="shared" si="25"/>
        <v>0</v>
      </c>
      <c r="H50" s="148">
        <f t="shared" si="25"/>
        <v>0</v>
      </c>
      <c r="I50" s="148" t="e">
        <f t="shared" ref="I50:O50" si="26">I19*$R$19</f>
        <v>#VALUE!</v>
      </c>
      <c r="J50" s="148" t="e">
        <f t="shared" si="26"/>
        <v>#VALUE!</v>
      </c>
      <c r="K50" s="148" t="e">
        <f t="shared" si="26"/>
        <v>#VALUE!</v>
      </c>
      <c r="L50" s="148">
        <f t="shared" si="26"/>
        <v>0</v>
      </c>
      <c r="M50" s="148">
        <f t="shared" si="26"/>
        <v>0</v>
      </c>
      <c r="N50" s="148">
        <f t="shared" si="26"/>
        <v>0</v>
      </c>
      <c r="O50" s="148">
        <f t="shared" si="26"/>
        <v>0</v>
      </c>
      <c r="P50" s="39"/>
      <c r="Q50" s="33"/>
      <c r="R50" s="33"/>
      <c r="S50" s="40"/>
      <c r="T50" s="33"/>
      <c r="U50" s="39"/>
    </row>
    <row r="51" spans="1:21" ht="15" customHeight="1" x14ac:dyDescent="0.25">
      <c r="A51" s="55">
        <f>A50+1</f>
        <v>18</v>
      </c>
      <c r="B51" s="60" t="s">
        <v>147</v>
      </c>
      <c r="C51" s="149" t="e">
        <f>C20*$R$20</f>
        <v>#VALUE!</v>
      </c>
      <c r="D51" s="149">
        <f t="shared" ref="D51:H51" si="27">D20*$R$20</f>
        <v>0</v>
      </c>
      <c r="E51" s="149" t="e">
        <f t="shared" si="27"/>
        <v>#VALUE!</v>
      </c>
      <c r="F51" s="149">
        <f t="shared" si="27"/>
        <v>0</v>
      </c>
      <c r="G51" s="149">
        <f t="shared" si="27"/>
        <v>0</v>
      </c>
      <c r="H51" s="149">
        <f t="shared" si="27"/>
        <v>0</v>
      </c>
      <c r="I51" s="149" t="e">
        <f t="shared" ref="I51:O51" si="28">I20*$R$20</f>
        <v>#VALUE!</v>
      </c>
      <c r="J51" s="149" t="e">
        <f t="shared" si="28"/>
        <v>#VALUE!</v>
      </c>
      <c r="K51" s="149" t="e">
        <f t="shared" si="28"/>
        <v>#VALUE!</v>
      </c>
      <c r="L51" s="149">
        <f t="shared" si="28"/>
        <v>0</v>
      </c>
      <c r="M51" s="149">
        <f t="shared" si="28"/>
        <v>0</v>
      </c>
      <c r="N51" s="149">
        <f t="shared" si="28"/>
        <v>0</v>
      </c>
      <c r="O51" s="149">
        <f t="shared" si="28"/>
        <v>0</v>
      </c>
      <c r="P51" s="39"/>
      <c r="Q51" s="33"/>
      <c r="R51" s="33"/>
      <c r="S51" s="40"/>
      <c r="T51" s="33"/>
      <c r="U51" s="39"/>
    </row>
    <row r="52" spans="1:21" ht="15" customHeight="1" x14ac:dyDescent="0.25">
      <c r="A52" s="66">
        <f t="shared" si="6"/>
        <v>19</v>
      </c>
      <c r="B52" s="67" t="s">
        <v>114</v>
      </c>
      <c r="C52" s="145" t="e">
        <f t="shared" ref="C52:D52" si="29">C21*$R$21</f>
        <v>#VALUE!</v>
      </c>
      <c r="D52" s="145" t="e">
        <f t="shared" si="29"/>
        <v>#VALUE!</v>
      </c>
      <c r="E52" s="145" t="e">
        <f>E21*$R$21</f>
        <v>#VALUE!</v>
      </c>
      <c r="F52" s="145" t="e">
        <f t="shared" ref="F52:H52" si="30">F21*$R$21</f>
        <v>#VALUE!</v>
      </c>
      <c r="G52" s="145" t="e">
        <f t="shared" si="30"/>
        <v>#VALUE!</v>
      </c>
      <c r="H52" s="145" t="e">
        <f t="shared" si="30"/>
        <v>#VALUE!</v>
      </c>
      <c r="I52" s="145" t="e">
        <f>I21*$R$21</f>
        <v>#VALUE!</v>
      </c>
      <c r="J52" s="145" t="e">
        <f t="shared" ref="J52:O52" si="31">J21*$R$21</f>
        <v>#VALUE!</v>
      </c>
      <c r="K52" s="145" t="e">
        <f t="shared" si="31"/>
        <v>#VALUE!</v>
      </c>
      <c r="L52" s="145" t="e">
        <f t="shared" si="31"/>
        <v>#VALUE!</v>
      </c>
      <c r="M52" s="145" t="e">
        <f t="shared" si="31"/>
        <v>#VALUE!</v>
      </c>
      <c r="N52" s="145" t="e">
        <f t="shared" si="31"/>
        <v>#VALUE!</v>
      </c>
      <c r="O52" s="145" t="e">
        <f t="shared" si="31"/>
        <v>#VALUE!</v>
      </c>
      <c r="P52" s="39"/>
      <c r="Q52" s="33"/>
      <c r="R52" s="33"/>
      <c r="S52" s="40"/>
      <c r="T52" s="33"/>
      <c r="U52" s="39"/>
    </row>
    <row r="53" spans="1:21" ht="15" customHeight="1" x14ac:dyDescent="0.25">
      <c r="A53" s="9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3"/>
      <c r="R53" s="33"/>
      <c r="S53" s="40"/>
      <c r="T53" s="33"/>
      <c r="U53" s="39"/>
    </row>
    <row r="54" spans="1:21" ht="15" customHeight="1" x14ac:dyDescent="0.25">
      <c r="A54" s="9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3"/>
      <c r="R54" s="33"/>
      <c r="S54" s="40"/>
      <c r="T54" s="33"/>
      <c r="U54" s="39"/>
    </row>
    <row r="55" spans="1:21" ht="15" customHeight="1" x14ac:dyDescent="0.25">
      <c r="A55" s="98"/>
      <c r="B55" s="39"/>
      <c r="C55" s="39"/>
      <c r="D55" s="39"/>
      <c r="E55" s="39"/>
      <c r="F55" s="39"/>
      <c r="G55" s="39" t="s">
        <v>3</v>
      </c>
      <c r="H55" s="39"/>
      <c r="I55" s="39"/>
      <c r="J55" s="39"/>
      <c r="K55" s="39"/>
      <c r="L55" s="39"/>
      <c r="M55" s="39"/>
      <c r="N55" s="39"/>
      <c r="O55" s="39"/>
      <c r="P55" s="39"/>
      <c r="Q55" s="33"/>
      <c r="R55" s="33"/>
      <c r="S55" s="40"/>
      <c r="T55" s="33"/>
      <c r="U55" s="39"/>
    </row>
    <row r="56" spans="1:21" x14ac:dyDescent="0.25">
      <c r="A56" s="98"/>
      <c r="B56" s="39"/>
      <c r="C56" s="33"/>
      <c r="D56" s="33" t="e">
        <f>E56*'1'!E9</f>
        <v>#VALUE!</v>
      </c>
      <c r="E56" s="82" t="e">
        <f>SUM(E57:E63)</f>
        <v>#VALUE!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T56" s="33"/>
      <c r="U56" s="40"/>
    </row>
    <row r="57" spans="1:21" x14ac:dyDescent="0.25">
      <c r="A57" s="98"/>
      <c r="B57" s="86" t="s">
        <v>105</v>
      </c>
      <c r="C57" s="82" t="e">
        <f>'D1'!C57</f>
        <v>#VALUE!</v>
      </c>
      <c r="D57" s="87" t="s">
        <v>40</v>
      </c>
      <c r="E57" s="82" t="e">
        <f>C57*4.7</f>
        <v>#VALUE!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T57" s="33"/>
      <c r="U57" s="40"/>
    </row>
    <row r="58" spans="1:21" x14ac:dyDescent="0.25">
      <c r="A58" s="98"/>
      <c r="B58" s="81" t="s">
        <v>123</v>
      </c>
      <c r="C58" s="89">
        <f>'D1'!C71</f>
        <v>0</v>
      </c>
      <c r="D58" s="85" t="s">
        <v>40</v>
      </c>
      <c r="E58" s="89">
        <f>C58*3</f>
        <v>0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T58" s="33"/>
      <c r="U58" s="40"/>
    </row>
    <row r="59" spans="1:21" x14ac:dyDescent="0.25">
      <c r="A59" s="98"/>
      <c r="B59" s="81" t="s">
        <v>125</v>
      </c>
      <c r="C59" s="89">
        <f>'D1'!C123</f>
        <v>0</v>
      </c>
      <c r="D59" s="136" t="s">
        <v>40</v>
      </c>
      <c r="E59" s="89">
        <f>C59*1</f>
        <v>0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T59" s="33"/>
      <c r="U59" s="40"/>
    </row>
    <row r="60" spans="1:21" ht="15" customHeight="1" x14ac:dyDescent="0.25">
      <c r="A60" s="98"/>
      <c r="B60" s="81" t="s">
        <v>124</v>
      </c>
      <c r="C60" s="89">
        <f>'D1'!C124</f>
        <v>0</v>
      </c>
      <c r="D60" s="85" t="s">
        <v>40</v>
      </c>
      <c r="E60" s="82">
        <f>C60*1.9</f>
        <v>0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T60" s="33"/>
      <c r="U60" s="40"/>
    </row>
    <row r="61" spans="1:21" x14ac:dyDescent="0.25">
      <c r="A61" s="98"/>
      <c r="B61" s="95" t="s">
        <v>154</v>
      </c>
      <c r="C61" s="89">
        <f>'D1'!C157</f>
        <v>0</v>
      </c>
      <c r="D61" s="85" t="s">
        <v>40</v>
      </c>
      <c r="E61" s="89">
        <f>C61*3.67</f>
        <v>0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T61" s="33"/>
      <c r="U61" s="40"/>
    </row>
    <row r="62" spans="1:21" x14ac:dyDescent="0.25">
      <c r="A62" s="98"/>
      <c r="B62" s="81" t="s">
        <v>201</v>
      </c>
      <c r="C62" s="89">
        <f>IF('1'!$D$15="SAYANEH",'D1'!C171,0)</f>
        <v>0</v>
      </c>
      <c r="D62" s="85" t="s">
        <v>40</v>
      </c>
      <c r="E62" s="82">
        <f>C62*4.2</f>
        <v>0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T62" s="33"/>
      <c r="U62" s="40"/>
    </row>
    <row r="63" spans="1:21" x14ac:dyDescent="0.25">
      <c r="A63" s="98"/>
      <c r="B63" s="81" t="s">
        <v>202</v>
      </c>
      <c r="C63" s="89">
        <f>IF('1'!$D$15="SAYANEH",'D1'!C172,0)</f>
        <v>0</v>
      </c>
      <c r="D63" s="85" t="s">
        <v>40</v>
      </c>
      <c r="E63" s="82">
        <f>C63*4.2</f>
        <v>0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T63" s="33"/>
      <c r="U63" s="40"/>
    </row>
    <row r="64" spans="1:21" x14ac:dyDescent="0.25">
      <c r="A64" s="98"/>
      <c r="B64" s="81" t="s">
        <v>203</v>
      </c>
      <c r="C64" s="89">
        <f>IF('1'!$D$15="PAVLION",'D1'!C182,0)</f>
        <v>0</v>
      </c>
      <c r="D64" s="85" t="s">
        <v>40</v>
      </c>
      <c r="E64" s="82">
        <f>C64*4.2</f>
        <v>0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T64" s="33"/>
      <c r="U64" s="40"/>
    </row>
    <row r="65" spans="1:21" x14ac:dyDescent="0.25">
      <c r="A65" s="98"/>
      <c r="B65" s="81" t="s">
        <v>204</v>
      </c>
      <c r="C65" s="89">
        <f>IF('1'!$D$15="PAVLION",'D1'!C183,0)</f>
        <v>0</v>
      </c>
      <c r="D65" s="85" t="s">
        <v>40</v>
      </c>
      <c r="E65" s="82">
        <f>C65*4.2</f>
        <v>0</v>
      </c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T65" s="33"/>
      <c r="U65" s="33"/>
    </row>
    <row r="66" spans="1:21" x14ac:dyDescent="0.25">
      <c r="A66" s="9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40"/>
      <c r="T66" s="33"/>
    </row>
    <row r="67" spans="1:21" x14ac:dyDescent="0.25">
      <c r="A67" s="98"/>
      <c r="B67" s="114" t="s">
        <v>193</v>
      </c>
      <c r="C67" s="114" t="e">
        <f>C32</f>
        <v>#VALUE!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U67" s="33"/>
    </row>
    <row r="68" spans="1:21" x14ac:dyDescent="0.25">
      <c r="A68" s="98"/>
      <c r="B68" s="132" t="s">
        <v>194</v>
      </c>
      <c r="C68" s="115" t="e">
        <f>D32</f>
        <v>#VALUE!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U68" s="101"/>
    </row>
    <row r="69" spans="1:21" x14ac:dyDescent="0.25">
      <c r="A69" s="98"/>
      <c r="B69" s="114" t="s">
        <v>195</v>
      </c>
      <c r="C69" s="114" t="e">
        <f>E32</f>
        <v>#VALUE!</v>
      </c>
    </row>
    <row r="70" spans="1:21" x14ac:dyDescent="0.25">
      <c r="A70" s="98"/>
      <c r="B70" s="132" t="s">
        <v>197</v>
      </c>
      <c r="C70" s="115" t="e">
        <f>F32</f>
        <v>#VALUE!</v>
      </c>
      <c r="U70" s="40"/>
    </row>
    <row r="71" spans="1:21" x14ac:dyDescent="0.25">
      <c r="A71" s="98"/>
      <c r="B71" s="114" t="s">
        <v>196</v>
      </c>
      <c r="C71" s="114" t="e">
        <f>H32</f>
        <v>#VALUE!</v>
      </c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U71" s="40"/>
    </row>
    <row r="72" spans="1:21" x14ac:dyDescent="0.25">
      <c r="A72" s="98"/>
      <c r="B72" s="132" t="s">
        <v>199</v>
      </c>
      <c r="C72" s="116" t="e">
        <f>G32</f>
        <v>#VALUE!</v>
      </c>
      <c r="Q72" s="103"/>
      <c r="R72" s="104"/>
      <c r="S72" s="104"/>
      <c r="U72" s="40"/>
    </row>
    <row r="73" spans="1:21" x14ac:dyDescent="0.25">
      <c r="A73" s="98"/>
      <c r="B73" s="133" t="s">
        <v>200</v>
      </c>
      <c r="C73" s="114" t="e">
        <f>I32</f>
        <v>#VALUE!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98"/>
      <c r="R73" s="98"/>
      <c r="S73" s="98"/>
      <c r="T73" s="33"/>
      <c r="U73" s="40"/>
    </row>
    <row r="74" spans="1:21" ht="15" customHeight="1" x14ac:dyDescent="0.25">
      <c r="A74" s="98"/>
      <c r="B74" s="165" t="s">
        <v>217</v>
      </c>
      <c r="C74" s="116" t="e">
        <f>J32</f>
        <v>#VALUE!</v>
      </c>
      <c r="Q74" s="106"/>
      <c r="R74" s="106"/>
      <c r="S74" s="106"/>
      <c r="T74" s="33"/>
      <c r="U74" s="40"/>
    </row>
    <row r="75" spans="1:21" x14ac:dyDescent="0.25">
      <c r="A75" s="98"/>
      <c r="B75" s="114" t="s">
        <v>218</v>
      </c>
      <c r="C75" s="116" t="e">
        <f>K32</f>
        <v>#VALUE!</v>
      </c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99"/>
      <c r="R75" s="99"/>
      <c r="S75" s="100"/>
      <c r="U75" s="33"/>
    </row>
    <row r="76" spans="1:21" x14ac:dyDescent="0.25">
      <c r="A76" s="98"/>
      <c r="B76" s="132" t="s">
        <v>219</v>
      </c>
      <c r="C76" s="115" t="e">
        <f>L32</f>
        <v>#VALUE!</v>
      </c>
      <c r="U76" s="33"/>
    </row>
    <row r="77" spans="1:21" x14ac:dyDescent="0.25">
      <c r="A77" s="98"/>
      <c r="B77" s="114" t="s">
        <v>220</v>
      </c>
      <c r="C77" s="114">
        <f>(Q2*1900000)+(Q2*0.7*1200000)</f>
        <v>0</v>
      </c>
    </row>
    <row r="78" spans="1:21" x14ac:dyDescent="0.25">
      <c r="A78" s="98"/>
      <c r="B78" s="132" t="s">
        <v>221</v>
      </c>
      <c r="C78" s="116" t="e">
        <f>N32</f>
        <v>#VALUE!</v>
      </c>
      <c r="U78" s="101"/>
    </row>
    <row r="79" spans="1:21" x14ac:dyDescent="0.25">
      <c r="A79" s="98"/>
      <c r="B79" s="133" t="s">
        <v>222</v>
      </c>
      <c r="C79" s="114" t="e">
        <f>O32</f>
        <v>#VALUE!</v>
      </c>
    </row>
    <row r="80" spans="1:21" x14ac:dyDescent="0.25">
      <c r="A80" s="34"/>
      <c r="U80" s="40"/>
    </row>
    <row r="81" spans="1:21" x14ac:dyDescent="0.25">
      <c r="A81" s="98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T81" s="33"/>
      <c r="U81" s="40"/>
    </row>
    <row r="82" spans="1:21" x14ac:dyDescent="0.25">
      <c r="A82" s="98"/>
      <c r="B82" s="114" t="s">
        <v>223</v>
      </c>
      <c r="C82" s="114" t="e">
        <f>C67+C73</f>
        <v>#VALUE!</v>
      </c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8"/>
      <c r="R82" s="109"/>
      <c r="S82" s="109"/>
      <c r="T82" s="33"/>
      <c r="U82" s="40"/>
    </row>
    <row r="83" spans="1:21" x14ac:dyDescent="0.25">
      <c r="B83" s="132" t="s">
        <v>194</v>
      </c>
      <c r="C83" s="115" t="e">
        <f>C68</f>
        <v>#VALUE!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U83" s="40"/>
    </row>
    <row r="84" spans="1:21" x14ac:dyDescent="0.25">
      <c r="A84" s="98"/>
      <c r="B84" s="114" t="s">
        <v>195</v>
      </c>
      <c r="C84" s="114" t="e">
        <f>C69+C70+C71</f>
        <v>#VALUE!</v>
      </c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</row>
    <row r="85" spans="1:21" x14ac:dyDescent="0.25">
      <c r="A85" s="98"/>
      <c r="B85" s="132" t="s">
        <v>199</v>
      </c>
      <c r="C85" s="116" t="e">
        <f>C72</f>
        <v>#VALUE!</v>
      </c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</row>
    <row r="86" spans="1:21" x14ac:dyDescent="0.25">
      <c r="A86" s="98"/>
      <c r="B86" s="165" t="s">
        <v>217</v>
      </c>
      <c r="C86" s="116" t="e">
        <f t="shared" ref="C86:C91" si="32">C74</f>
        <v>#VALUE!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</row>
    <row r="87" spans="1:21" x14ac:dyDescent="0.25">
      <c r="A87" s="98"/>
      <c r="B87" s="114" t="s">
        <v>218</v>
      </c>
      <c r="C87" s="116" t="e">
        <f t="shared" si="32"/>
        <v>#VALUE!</v>
      </c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</row>
    <row r="88" spans="1:21" x14ac:dyDescent="0.25">
      <c r="A88" s="98"/>
      <c r="B88" s="132" t="s">
        <v>219</v>
      </c>
      <c r="C88" s="115" t="e">
        <f t="shared" si="32"/>
        <v>#VALUE!</v>
      </c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</row>
    <row r="89" spans="1:21" x14ac:dyDescent="0.25">
      <c r="B89" s="114" t="s">
        <v>220</v>
      </c>
      <c r="C89" s="114">
        <f t="shared" si="32"/>
        <v>0</v>
      </c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</row>
    <row r="90" spans="1:21" x14ac:dyDescent="0.25">
      <c r="B90" s="132" t="s">
        <v>221</v>
      </c>
      <c r="C90" s="116" t="e">
        <f t="shared" si="32"/>
        <v>#VALUE!</v>
      </c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</row>
    <row r="91" spans="1:21" x14ac:dyDescent="0.25">
      <c r="B91" s="133" t="s">
        <v>222</v>
      </c>
      <c r="C91" s="114" t="e">
        <f t="shared" si="32"/>
        <v>#VALUE!</v>
      </c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</row>
    <row r="92" spans="1:21" x14ac:dyDescent="0.25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</row>
    <row r="93" spans="1:21" x14ac:dyDescent="0.25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</row>
    <row r="94" spans="1:21" x14ac:dyDescent="0.25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</row>
    <row r="95" spans="1:21" x14ac:dyDescent="0.25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</row>
    <row r="96" spans="1:21" x14ac:dyDescent="0.25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U96" s="40"/>
    </row>
    <row r="97" spans="1:21" x14ac:dyDescent="0.25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U97" s="40"/>
    </row>
    <row r="98" spans="1:21" x14ac:dyDescent="0.25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U98" s="40"/>
    </row>
    <row r="99" spans="1:21" x14ac:dyDescent="0.25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U99" s="40"/>
    </row>
    <row r="100" spans="1:21" x14ac:dyDescent="0.25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U100" s="40"/>
    </row>
    <row r="101" spans="1:21" x14ac:dyDescent="0.25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U101" s="40"/>
    </row>
    <row r="102" spans="1:21" x14ac:dyDescent="0.25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U102" s="40"/>
    </row>
    <row r="103" spans="1:21" x14ac:dyDescent="0.25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U103" s="40"/>
    </row>
    <row r="104" spans="1:21" x14ac:dyDescent="0.25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U104" s="40"/>
    </row>
    <row r="105" spans="1:21" x14ac:dyDescent="0.25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U105" s="40"/>
    </row>
    <row r="106" spans="1:21" x14ac:dyDescent="0.25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U106" s="40"/>
    </row>
    <row r="107" spans="1:21" x14ac:dyDescent="0.25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U107" s="40"/>
    </row>
    <row r="108" spans="1:21" x14ac:dyDescent="0.25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U108" s="40"/>
    </row>
    <row r="109" spans="1:21" x14ac:dyDescent="0.25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U109" s="40"/>
    </row>
    <row r="110" spans="1:21" x14ac:dyDescent="0.25">
      <c r="A110" s="98"/>
      <c r="Q110" s="98"/>
      <c r="R110" s="98"/>
      <c r="S110" s="111"/>
    </row>
    <row r="111" spans="1:21" x14ac:dyDescent="0.25">
      <c r="A111" s="98"/>
      <c r="Q111" s="98"/>
      <c r="R111" s="98"/>
      <c r="S111" s="111"/>
    </row>
    <row r="112" spans="1:21" x14ac:dyDescent="0.25">
      <c r="A112" s="98"/>
      <c r="Q112" s="98"/>
      <c r="R112" s="98"/>
      <c r="S112" s="111"/>
    </row>
    <row r="113" spans="1:19" x14ac:dyDescent="0.25">
      <c r="A113" s="98"/>
      <c r="Q113" s="98"/>
      <c r="R113" s="98"/>
      <c r="S113" s="111"/>
    </row>
    <row r="114" spans="1:19" x14ac:dyDescent="0.25">
      <c r="A114" s="98"/>
      <c r="Q114" s="98"/>
      <c r="R114" s="98"/>
      <c r="S114" s="111"/>
    </row>
    <row r="115" spans="1:19" x14ac:dyDescent="0.25">
      <c r="A115" s="98"/>
      <c r="Q115" s="98"/>
      <c r="R115" s="98"/>
      <c r="S115" s="111"/>
    </row>
  </sheetData>
  <sheetProtection formatCells="0" formatColumns="0" formatRows="0" insertColumns="0" insertRows="0" insertHyperlinks="0" deleteColumns="0" deleteRows="0" sort="0" autoFilter="0" pivotTables="0"/>
  <mergeCells count="15">
    <mergeCell ref="T3:T6"/>
    <mergeCell ref="T7:T8"/>
    <mergeCell ref="T12:T13"/>
    <mergeCell ref="T14:T15"/>
    <mergeCell ref="T17:T18"/>
    <mergeCell ref="T9:T11"/>
    <mergeCell ref="S27:T27"/>
    <mergeCell ref="S28:T28"/>
    <mergeCell ref="S29:T29"/>
    <mergeCell ref="T19:T20"/>
    <mergeCell ref="S22:T22"/>
    <mergeCell ref="S23:T23"/>
    <mergeCell ref="S24:T24"/>
    <mergeCell ref="S25:T25"/>
    <mergeCell ref="S26:T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1</vt:lpstr>
      <vt:lpstr>2</vt:lpstr>
      <vt:lpstr>3</vt:lpstr>
      <vt:lpstr>4</vt:lpstr>
      <vt:lpstr>5</vt:lpstr>
      <vt:lpstr>پیش فاکتور سقف متحرک</vt:lpstr>
      <vt:lpstr>قرارداد</vt:lpstr>
      <vt:lpstr>SALE</vt:lpstr>
      <vt:lpstr>A1</vt:lpstr>
      <vt:lpstr>D1</vt:lpstr>
      <vt:lpstr>A2</vt:lpstr>
      <vt:lpstr>D2</vt:lpstr>
      <vt:lpstr>A3</vt:lpstr>
      <vt:lpstr>D3</vt:lpstr>
      <vt:lpstr>A4</vt:lpstr>
      <vt:lpstr>D4</vt:lpstr>
      <vt:lpstr>A5</vt:lpstr>
      <vt:lpstr>D5</vt:lpstr>
      <vt:lpstr>AAA1</vt:lpstr>
      <vt:lpstr>DDD1</vt:lpstr>
      <vt:lpstr>'1'!Print_Area</vt:lpstr>
      <vt:lpstr>'2'!Print_Area</vt:lpstr>
      <vt:lpstr>'3'!Print_Area</vt:lpstr>
      <vt:lpstr>'4'!Print_Area</vt:lpstr>
      <vt:lpstr>'5'!Print_Area</vt:lpstr>
      <vt:lpstr>SALE!Print_Area</vt:lpstr>
      <vt:lpstr>'پیش فاکتور سقف متحرک'!Print_Area</vt:lpstr>
      <vt:lpstr>قرارداد!Print_Area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Pourmalaekeh</dc:creator>
  <cp:lastModifiedBy>Amin</cp:lastModifiedBy>
  <cp:lastPrinted>2024-07-31T09:09:34Z</cp:lastPrinted>
  <dcterms:created xsi:type="dcterms:W3CDTF">2018-03-15T20:32:59Z</dcterms:created>
  <dcterms:modified xsi:type="dcterms:W3CDTF">2024-08-03T09:09:24Z</dcterms:modified>
</cp:coreProperties>
</file>