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drawings/drawing3.xml" ContentType="application/vnd.openxmlformats-officedocument.drawing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drawings/drawing4.xml" ContentType="application/vnd.openxmlformats-officedocument.drawing+xml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drawings/drawing5.xml" ContentType="application/vnd.openxmlformats-officedocument.drawing+xml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drawings/drawing6.xml" ContentType="application/vnd.openxmlformats-officedocument.drawing+xml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in\Desktop\"/>
    </mc:Choice>
  </mc:AlternateContent>
  <xr:revisionPtr revIDLastSave="0" documentId="13_ncr:1_{C5B680B7-A0FD-423A-88B0-19A342CEDE7A}" xr6:coauthVersionLast="47" xr6:coauthVersionMax="47" xr10:uidLastSave="{00000000-0000-0000-0000-000000000000}"/>
  <bookViews>
    <workbookView xWindow="-120" yWindow="-120" windowWidth="29040" windowHeight="15840" tabRatio="938" xr2:uid="{00000000-000D-0000-FFFF-FFFF00000000}"/>
  </bookViews>
  <sheets>
    <sheet name="پیش فاکتور گیوتین" sheetId="32" r:id="rId1"/>
    <sheet name="1" sheetId="51" state="hidden" r:id="rId2"/>
    <sheet name="2" sheetId="53" state="hidden" r:id="rId3"/>
    <sheet name="4" sheetId="57" state="hidden" r:id="rId4"/>
    <sheet name="A1" sheetId="52" state="hidden" r:id="rId5"/>
    <sheet name="5" sheetId="59" state="hidden" r:id="rId6"/>
    <sheet name="3" sheetId="55" state="hidden" r:id="rId7"/>
    <sheet name="A2" sheetId="54" state="hidden" r:id="rId8"/>
    <sheet name="A3" sheetId="56" state="hidden" r:id="rId9"/>
    <sheet name="A4" sheetId="58" state="hidden" r:id="rId10"/>
    <sheet name="A5" sheetId="60" state="hidden" r:id="rId11"/>
    <sheet name="قرارداد" sheetId="50" state="hidden" r:id="rId12"/>
  </sheets>
  <definedNames>
    <definedName name="_xlnm.Print_Area" localSheetId="0">'پیش فاکتور گیوتین'!$L$2:$V$100</definedName>
    <definedName name="_xlnm.Print_Area" localSheetId="11">قرارداد!$F$2:$S$61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9" i="32" l="1"/>
  <c r="T38" i="32"/>
  <c r="O20" i="32"/>
  <c r="E28" i="60" l="1"/>
  <c r="E28" i="58"/>
  <c r="E28" i="56"/>
  <c r="E28" i="54"/>
  <c r="E28" i="52"/>
  <c r="O37" i="32"/>
  <c r="O33" i="32"/>
  <c r="O29" i="32"/>
  <c r="O25" i="32"/>
  <c r="J11" i="32" l="1"/>
  <c r="L22" i="32" s="1"/>
  <c r="J12" i="32"/>
  <c r="L26" i="32" s="1"/>
  <c r="J13" i="32"/>
  <c r="L30" i="32" s="1"/>
  <c r="J14" i="32"/>
  <c r="L34" i="32" s="1"/>
  <c r="J10" i="32"/>
  <c r="L16" i="32" s="1"/>
  <c r="P37" i="50" l="1"/>
  <c r="K37" i="50"/>
  <c r="K36" i="50"/>
  <c r="P36" i="50" s="1"/>
  <c r="P35" i="50"/>
  <c r="K35" i="50"/>
  <c r="K34" i="50"/>
  <c r="P34" i="50" s="1"/>
  <c r="R23" i="50"/>
  <c r="N22" i="50"/>
  <c r="L22" i="50"/>
  <c r="H22" i="50"/>
  <c r="N21" i="50"/>
  <c r="L21" i="50"/>
  <c r="H21" i="50"/>
  <c r="N20" i="50"/>
  <c r="L20" i="50"/>
  <c r="H20" i="50"/>
  <c r="N19" i="50"/>
  <c r="L19" i="50"/>
  <c r="H19" i="50"/>
  <c r="N18" i="50"/>
  <c r="L18" i="50"/>
  <c r="H18" i="50"/>
  <c r="Q9" i="50"/>
  <c r="Q8" i="50"/>
  <c r="Q7" i="50"/>
  <c r="F62" i="60"/>
  <c r="C51" i="60"/>
  <c r="F51" i="60" s="1"/>
  <c r="C39" i="60"/>
  <c r="C54" i="60" s="1"/>
  <c r="F54" i="60" s="1"/>
  <c r="C38" i="60"/>
  <c r="C52" i="60" s="1"/>
  <c r="F52" i="60" s="1"/>
  <c r="C36" i="60"/>
  <c r="D54" i="60" s="1"/>
  <c r="F32" i="60"/>
  <c r="F31" i="60"/>
  <c r="E3" i="60"/>
  <c r="F62" i="58"/>
  <c r="C59" i="58"/>
  <c r="F59" i="58" s="1"/>
  <c r="D55" i="58"/>
  <c r="C52" i="58"/>
  <c r="F52" i="58" s="1"/>
  <c r="C50" i="58"/>
  <c r="C39" i="58"/>
  <c r="C56" i="58" s="1"/>
  <c r="C38" i="58"/>
  <c r="C53" i="58" s="1"/>
  <c r="F53" i="58" s="1"/>
  <c r="C36" i="58"/>
  <c r="D54" i="58" s="1"/>
  <c r="F32" i="58"/>
  <c r="F31" i="58"/>
  <c r="E3" i="58"/>
  <c r="F62" i="56"/>
  <c r="C59" i="56"/>
  <c r="F59" i="56" s="1"/>
  <c r="D55" i="56"/>
  <c r="C54" i="56"/>
  <c r="F54" i="56" s="1"/>
  <c r="C52" i="56"/>
  <c r="F52" i="56" s="1"/>
  <c r="C50" i="56"/>
  <c r="C39" i="56"/>
  <c r="C55" i="56" s="1"/>
  <c r="F55" i="56" s="1"/>
  <c r="C38" i="56"/>
  <c r="C58" i="56" s="1"/>
  <c r="C36" i="56"/>
  <c r="D54" i="56" s="1"/>
  <c r="F32" i="56"/>
  <c r="F31" i="56"/>
  <c r="E3" i="56"/>
  <c r="F62" i="54"/>
  <c r="C39" i="54"/>
  <c r="C54" i="54" s="1"/>
  <c r="C38" i="54"/>
  <c r="C52" i="54" s="1"/>
  <c r="F52" i="54" s="1"/>
  <c r="C36" i="54"/>
  <c r="C59" i="54" s="1"/>
  <c r="F32" i="54"/>
  <c r="F31" i="54"/>
  <c r="E3" i="54"/>
  <c r="F21" i="55"/>
  <c r="D17" i="55"/>
  <c r="C4" i="56" s="1"/>
  <c r="C27" i="56" s="1"/>
  <c r="D16" i="55"/>
  <c r="D15" i="55"/>
  <c r="E58" i="56" s="1"/>
  <c r="D14" i="55"/>
  <c r="C1" i="56" s="1"/>
  <c r="G12" i="55"/>
  <c r="F12" i="55"/>
  <c r="G11" i="55"/>
  <c r="F11" i="55"/>
  <c r="G10" i="55"/>
  <c r="F10" i="55"/>
  <c r="G9" i="55"/>
  <c r="F9" i="55"/>
  <c r="G8" i="55"/>
  <c r="F8" i="55"/>
  <c r="G7" i="55"/>
  <c r="F7" i="55"/>
  <c r="G6" i="55"/>
  <c r="F6" i="55"/>
  <c r="G5" i="55"/>
  <c r="F5" i="55"/>
  <c r="D4" i="55"/>
  <c r="E33" i="56" s="1"/>
  <c r="D3" i="55"/>
  <c r="C2" i="56" s="1"/>
  <c r="E25" i="56" s="1"/>
  <c r="F21" i="59"/>
  <c r="D17" i="59"/>
  <c r="C4" i="60" s="1"/>
  <c r="D16" i="59"/>
  <c r="D15" i="59"/>
  <c r="E58" i="60" s="1"/>
  <c r="D14" i="59"/>
  <c r="C1" i="60" s="1"/>
  <c r="G12" i="59"/>
  <c r="F12" i="59" s="1"/>
  <c r="G11" i="59"/>
  <c r="F11" i="59"/>
  <c r="G10" i="59"/>
  <c r="F10" i="59" s="1"/>
  <c r="G9" i="59"/>
  <c r="F9" i="59"/>
  <c r="G8" i="59"/>
  <c r="F8" i="59" s="1"/>
  <c r="G7" i="59"/>
  <c r="F7" i="59"/>
  <c r="G6" i="59"/>
  <c r="F6" i="59" s="1"/>
  <c r="G5" i="59"/>
  <c r="F5" i="59"/>
  <c r="D4" i="59"/>
  <c r="E33" i="60" s="1"/>
  <c r="D3" i="59"/>
  <c r="C2" i="60" s="1"/>
  <c r="E25" i="60" s="1"/>
  <c r="F62" i="52"/>
  <c r="C59" i="52"/>
  <c r="F59" i="52" s="1"/>
  <c r="D55" i="52"/>
  <c r="D54" i="52"/>
  <c r="C54" i="52"/>
  <c r="F54" i="52" s="1"/>
  <c r="C39" i="52"/>
  <c r="C55" i="52" s="1"/>
  <c r="F55" i="52" s="1"/>
  <c r="C38" i="52"/>
  <c r="C58" i="52" s="1"/>
  <c r="C36" i="52"/>
  <c r="F32" i="52"/>
  <c r="F31" i="52"/>
  <c r="E3" i="52"/>
  <c r="F21" i="57"/>
  <c r="D17" i="57"/>
  <c r="C4" i="58" s="1"/>
  <c r="D16" i="57"/>
  <c r="D15" i="57"/>
  <c r="E58" i="58" s="1"/>
  <c r="D14" i="57"/>
  <c r="C1" i="58" s="1"/>
  <c r="G12" i="57"/>
  <c r="F12" i="57"/>
  <c r="G11" i="57"/>
  <c r="F11" i="57" s="1"/>
  <c r="G10" i="57"/>
  <c r="F10" i="57"/>
  <c r="G9" i="57"/>
  <c r="F9" i="57" s="1"/>
  <c r="G8" i="57"/>
  <c r="F8" i="57"/>
  <c r="G7" i="57"/>
  <c r="F7" i="57" s="1"/>
  <c r="G6" i="57"/>
  <c r="F6" i="57"/>
  <c r="G5" i="57"/>
  <c r="F5" i="57" s="1"/>
  <c r="D4" i="57"/>
  <c r="E33" i="58" s="1"/>
  <c r="D3" i="57"/>
  <c r="C2" i="58" s="1"/>
  <c r="E25" i="58" s="1"/>
  <c r="F21" i="53"/>
  <c r="D17" i="53"/>
  <c r="C4" i="54" s="1"/>
  <c r="C27" i="54" s="1"/>
  <c r="D16" i="53"/>
  <c r="C3" i="54" s="1"/>
  <c r="D15" i="53"/>
  <c r="D56" i="54" s="1"/>
  <c r="D14" i="53"/>
  <c r="C1" i="54" s="1"/>
  <c r="G12" i="53"/>
  <c r="F12" i="53"/>
  <c r="G11" i="53"/>
  <c r="F11" i="53"/>
  <c r="G10" i="53"/>
  <c r="F10" i="53"/>
  <c r="G9" i="53"/>
  <c r="F9" i="53"/>
  <c r="G8" i="53"/>
  <c r="F8" i="53"/>
  <c r="G7" i="53"/>
  <c r="F7" i="53"/>
  <c r="G6" i="53"/>
  <c r="F6" i="53"/>
  <c r="G5" i="53"/>
  <c r="F5" i="53"/>
  <c r="D4" i="53"/>
  <c r="E33" i="54" s="1"/>
  <c r="D3" i="53"/>
  <c r="C2" i="54" s="1"/>
  <c r="E25" i="54" s="1"/>
  <c r="F21" i="51"/>
  <c r="D17" i="51"/>
  <c r="C4" i="52" s="1"/>
  <c r="D16" i="51"/>
  <c r="C3" i="52" s="1"/>
  <c r="D15" i="51"/>
  <c r="D56" i="52" s="1"/>
  <c r="D14" i="51"/>
  <c r="C1" i="52" s="1"/>
  <c r="G12" i="51"/>
  <c r="F12" i="51" s="1"/>
  <c r="G11" i="51"/>
  <c r="F11" i="51"/>
  <c r="G10" i="51"/>
  <c r="F10" i="51" s="1"/>
  <c r="G9" i="51"/>
  <c r="F9" i="51"/>
  <c r="G8" i="51"/>
  <c r="F8" i="51" s="1"/>
  <c r="G7" i="51"/>
  <c r="F7" i="51"/>
  <c r="G6" i="51"/>
  <c r="F6" i="51" s="1"/>
  <c r="G5" i="51"/>
  <c r="F5" i="51"/>
  <c r="D4" i="51"/>
  <c r="E33" i="52" s="1"/>
  <c r="D3" i="51"/>
  <c r="C2" i="52" s="1"/>
  <c r="E25" i="52" s="1"/>
  <c r="P68" i="32"/>
  <c r="T65" i="32"/>
  <c r="T64" i="32"/>
  <c r="T63" i="32"/>
  <c r="O44" i="32"/>
  <c r="M42" i="32"/>
  <c r="U41" i="32"/>
  <c r="S41" i="32"/>
  <c r="R41" i="32"/>
  <c r="M41" i="32"/>
  <c r="N40" i="32"/>
  <c r="M40" i="32"/>
  <c r="Q39" i="32"/>
  <c r="O39" i="32"/>
  <c r="N39" i="32"/>
  <c r="R39" i="32" s="1"/>
  <c r="M39" i="32"/>
  <c r="Q38" i="32"/>
  <c r="O38" i="32"/>
  <c r="R38" i="32" s="1"/>
  <c r="N38" i="32"/>
  <c r="M38" i="32"/>
  <c r="Q36" i="32"/>
  <c r="O36" i="32"/>
  <c r="N35" i="32"/>
  <c r="Q34" i="32"/>
  <c r="N34" i="32"/>
  <c r="M34" i="32"/>
  <c r="Q32" i="32"/>
  <c r="O32" i="32"/>
  <c r="N31" i="32"/>
  <c r="Q30" i="32"/>
  <c r="N30" i="32"/>
  <c r="M30" i="32"/>
  <c r="Q28" i="32"/>
  <c r="O28" i="32"/>
  <c r="N27" i="32"/>
  <c r="Q26" i="32"/>
  <c r="N26" i="32"/>
  <c r="M26" i="32"/>
  <c r="Q24" i="32"/>
  <c r="O24" i="32"/>
  <c r="N23" i="32"/>
  <c r="Q22" i="32"/>
  <c r="N22" i="32"/>
  <c r="M22" i="32"/>
  <c r="P19" i="32"/>
  <c r="O18" i="32"/>
  <c r="Q17" i="32"/>
  <c r="O17" i="32"/>
  <c r="Q16" i="32"/>
  <c r="N16" i="32"/>
  <c r="M16" i="32"/>
  <c r="U14" i="32"/>
  <c r="Q14" i="32"/>
  <c r="P14" i="32"/>
  <c r="T12" i="32"/>
  <c r="T11" i="32"/>
  <c r="T10" i="32"/>
  <c r="C61" i="54" l="1"/>
  <c r="F61" i="54" s="1"/>
  <c r="F59" i="54"/>
  <c r="C50" i="52"/>
  <c r="C61" i="52"/>
  <c r="F61" i="52" s="1"/>
  <c r="C61" i="56"/>
  <c r="F61" i="56" s="1"/>
  <c r="C55" i="58"/>
  <c r="F55" i="58" s="1"/>
  <c r="F58" i="56"/>
  <c r="C51" i="54"/>
  <c r="F51" i="54" s="1"/>
  <c r="C53" i="54"/>
  <c r="F53" i="54" s="1"/>
  <c r="C56" i="54"/>
  <c r="F56" i="54" s="1"/>
  <c r="F50" i="56"/>
  <c r="C54" i="58"/>
  <c r="F54" i="58" s="1"/>
  <c r="C61" i="58"/>
  <c r="F61" i="58" s="1"/>
  <c r="C55" i="60"/>
  <c r="C58" i="60"/>
  <c r="F58" i="58"/>
  <c r="C52" i="52"/>
  <c r="F52" i="52" s="1"/>
  <c r="D54" i="54"/>
  <c r="F54" i="54" s="1"/>
  <c r="C58" i="58"/>
  <c r="C53" i="60"/>
  <c r="F53" i="60" s="1"/>
  <c r="C56" i="60"/>
  <c r="C51" i="52"/>
  <c r="F51" i="52" s="1"/>
  <c r="C53" i="52"/>
  <c r="F53" i="52" s="1"/>
  <c r="C56" i="52"/>
  <c r="F56" i="52" s="1"/>
  <c r="F58" i="60"/>
  <c r="C55" i="54"/>
  <c r="F55" i="54" s="1"/>
  <c r="C58" i="54"/>
  <c r="C51" i="56"/>
  <c r="F51" i="56" s="1"/>
  <c r="C53" i="56"/>
  <c r="F53" i="56" s="1"/>
  <c r="C56" i="56"/>
  <c r="F50" i="58"/>
  <c r="C50" i="60"/>
  <c r="D55" i="60"/>
  <c r="C59" i="60"/>
  <c r="I40" i="52"/>
  <c r="C40" i="52" s="1"/>
  <c r="C50" i="54"/>
  <c r="D55" i="54"/>
  <c r="C51" i="58"/>
  <c r="F51" i="58" s="1"/>
  <c r="U39" i="32"/>
  <c r="U38" i="32"/>
  <c r="T34" i="32"/>
  <c r="H28" i="54"/>
  <c r="C21" i="59"/>
  <c r="H28" i="52"/>
  <c r="C21" i="57"/>
  <c r="P22" i="50"/>
  <c r="E63" i="56"/>
  <c r="C37" i="60"/>
  <c r="E57" i="60" s="1"/>
  <c r="D23" i="54"/>
  <c r="D22" i="54"/>
  <c r="D23" i="56"/>
  <c r="D22" i="56"/>
  <c r="D23" i="52"/>
  <c r="D22" i="52"/>
  <c r="D23" i="60"/>
  <c r="D22" i="60"/>
  <c r="D23" i="58"/>
  <c r="D22" i="58"/>
  <c r="C37" i="52"/>
  <c r="E57" i="52" s="1"/>
  <c r="C37" i="54"/>
  <c r="E57" i="54" s="1"/>
  <c r="C37" i="56"/>
  <c r="E57" i="56" s="1"/>
  <c r="C37" i="58"/>
  <c r="E57" i="58" s="1"/>
  <c r="C21" i="55"/>
  <c r="P21" i="50"/>
  <c r="E63" i="54"/>
  <c r="E63" i="58"/>
  <c r="E63" i="60"/>
  <c r="E63" i="52"/>
  <c r="C3" i="56"/>
  <c r="I40" i="56" s="1"/>
  <c r="C3" i="58"/>
  <c r="J41" i="58" s="1"/>
  <c r="D56" i="58"/>
  <c r="F56" i="58" s="1"/>
  <c r="D24" i="52"/>
  <c r="R30" i="32"/>
  <c r="R26" i="32"/>
  <c r="P20" i="50"/>
  <c r="C21" i="53"/>
  <c r="R34" i="32"/>
  <c r="P19" i="50"/>
  <c r="D24" i="58"/>
  <c r="D56" i="56"/>
  <c r="D24" i="60"/>
  <c r="D24" i="56"/>
  <c r="D56" i="60"/>
  <c r="F56" i="60" s="1"/>
  <c r="D27" i="56"/>
  <c r="F27" i="56" s="1"/>
  <c r="C20" i="58"/>
  <c r="F20" i="58" s="1"/>
  <c r="C21" i="58"/>
  <c r="C19" i="58"/>
  <c r="F19" i="58" s="1"/>
  <c r="C18" i="58"/>
  <c r="F18" i="58" s="1"/>
  <c r="C27" i="58"/>
  <c r="C19" i="60"/>
  <c r="F19" i="60" s="1"/>
  <c r="C18" i="60"/>
  <c r="F18" i="60" s="1"/>
  <c r="C27" i="60"/>
  <c r="C21" i="60"/>
  <c r="C20" i="60"/>
  <c r="F20" i="60" s="1"/>
  <c r="C19" i="56"/>
  <c r="F19" i="56" s="1"/>
  <c r="C3" i="60"/>
  <c r="H28" i="60" s="1"/>
  <c r="D28" i="60" s="1"/>
  <c r="C20" i="56"/>
  <c r="F20" i="56" s="1"/>
  <c r="C21" i="56"/>
  <c r="C18" i="56"/>
  <c r="F18" i="56" s="1"/>
  <c r="D24" i="54"/>
  <c r="E58" i="54"/>
  <c r="F58" i="54" s="1"/>
  <c r="D27" i="54"/>
  <c r="F27" i="54" s="1"/>
  <c r="I12" i="54"/>
  <c r="I46" i="54"/>
  <c r="J43" i="54"/>
  <c r="I9" i="54"/>
  <c r="J6" i="54"/>
  <c r="C6" i="54" s="1"/>
  <c r="I43" i="54"/>
  <c r="C43" i="54" s="1"/>
  <c r="J40" i="54"/>
  <c r="C30" i="54"/>
  <c r="F30" i="54" s="1"/>
  <c r="J11" i="54"/>
  <c r="C11" i="54" s="1"/>
  <c r="I6" i="54"/>
  <c r="I10" i="54"/>
  <c r="I44" i="54"/>
  <c r="J12" i="54"/>
  <c r="C12" i="54" s="1"/>
  <c r="J46" i="54"/>
  <c r="C22" i="54"/>
  <c r="J9" i="54"/>
  <c r="C9" i="54" s="1"/>
  <c r="J45" i="54"/>
  <c r="I40" i="54"/>
  <c r="I11" i="54"/>
  <c r="J8" i="54"/>
  <c r="C8" i="54" s="1"/>
  <c r="E26" i="54" s="1"/>
  <c r="I47" i="54"/>
  <c r="J44" i="54"/>
  <c r="C15" i="54"/>
  <c r="J7" i="54"/>
  <c r="C7" i="54" s="1"/>
  <c r="I45" i="54"/>
  <c r="C45" i="54" s="1"/>
  <c r="J42" i="54"/>
  <c r="C26" i="54"/>
  <c r="I8" i="54"/>
  <c r="J5" i="54"/>
  <c r="C5" i="54" s="1"/>
  <c r="J47" i="54"/>
  <c r="I42" i="54"/>
  <c r="C42" i="54" s="1"/>
  <c r="C23" i="54"/>
  <c r="J10" i="54"/>
  <c r="C10" i="54" s="1"/>
  <c r="I5" i="54"/>
  <c r="J41" i="54"/>
  <c r="I7" i="54"/>
  <c r="I41" i="54"/>
  <c r="R22" i="32"/>
  <c r="T22" i="32" s="1"/>
  <c r="C20" i="54"/>
  <c r="F20" i="54" s="1"/>
  <c r="C29" i="54"/>
  <c r="F29" i="54" s="1"/>
  <c r="C18" i="54"/>
  <c r="F18" i="54" s="1"/>
  <c r="C19" i="54"/>
  <c r="F19" i="54" s="1"/>
  <c r="C21" i="54"/>
  <c r="R16" i="32"/>
  <c r="P18" i="50"/>
  <c r="C18" i="52"/>
  <c r="F18" i="52" s="1"/>
  <c r="C21" i="52"/>
  <c r="F21" i="52" s="1"/>
  <c r="C27" i="52"/>
  <c r="C20" i="52"/>
  <c r="F20" i="52" s="1"/>
  <c r="C19" i="52"/>
  <c r="F19" i="52" s="1"/>
  <c r="I43" i="52"/>
  <c r="J40" i="52"/>
  <c r="C30" i="52"/>
  <c r="F30" i="52" s="1"/>
  <c r="I12" i="52"/>
  <c r="J9" i="52"/>
  <c r="C9" i="52" s="1"/>
  <c r="J45" i="52"/>
  <c r="I9" i="52"/>
  <c r="J6" i="52"/>
  <c r="C6" i="52" s="1"/>
  <c r="J11" i="52"/>
  <c r="C11" i="52" s="1"/>
  <c r="I6" i="52"/>
  <c r="I47" i="52"/>
  <c r="J44" i="52"/>
  <c r="C23" i="52"/>
  <c r="I8" i="52"/>
  <c r="I5" i="52"/>
  <c r="J7" i="52"/>
  <c r="C7" i="52" s="1"/>
  <c r="I45" i="52"/>
  <c r="J42" i="52"/>
  <c r="C29" i="52"/>
  <c r="F29" i="52" s="1"/>
  <c r="I44" i="52"/>
  <c r="J10" i="52"/>
  <c r="C10" i="52" s="1"/>
  <c r="I10" i="52"/>
  <c r="I46" i="52"/>
  <c r="C22" i="52"/>
  <c r="J47" i="52"/>
  <c r="I42" i="52"/>
  <c r="C26" i="52"/>
  <c r="I11" i="52"/>
  <c r="J8" i="52"/>
  <c r="C8" i="52" s="1"/>
  <c r="E58" i="52" s="1"/>
  <c r="F58" i="52" s="1"/>
  <c r="J5" i="52"/>
  <c r="C5" i="52" s="1"/>
  <c r="J41" i="52"/>
  <c r="C15" i="52"/>
  <c r="J46" i="52"/>
  <c r="I41" i="52"/>
  <c r="J43" i="52"/>
  <c r="J12" i="52"/>
  <c r="C12" i="52" s="1"/>
  <c r="I7" i="52"/>
  <c r="C21" i="51"/>
  <c r="F59" i="60" l="1"/>
  <c r="C61" i="60"/>
  <c r="F61" i="60" s="1"/>
  <c r="C60" i="58"/>
  <c r="F60" i="58" s="1"/>
  <c r="F56" i="56"/>
  <c r="F39" i="56" s="1"/>
  <c r="G18" i="55" s="1"/>
  <c r="C60" i="54"/>
  <c r="F60" i="54" s="1"/>
  <c r="F50" i="54"/>
  <c r="F39" i="54" s="1"/>
  <c r="F50" i="60"/>
  <c r="C60" i="60"/>
  <c r="F60" i="60" s="1"/>
  <c r="F55" i="60"/>
  <c r="C60" i="52"/>
  <c r="F60" i="52" s="1"/>
  <c r="F50" i="52"/>
  <c r="F39" i="52" s="1"/>
  <c r="C60" i="56"/>
  <c r="F60" i="56" s="1"/>
  <c r="F39" i="60"/>
  <c r="C63" i="60" s="1"/>
  <c r="F63" i="60" s="1"/>
  <c r="F39" i="58"/>
  <c r="G18" i="57" s="1"/>
  <c r="I8" i="58"/>
  <c r="F23" i="52"/>
  <c r="D28" i="52"/>
  <c r="F28" i="52" s="1"/>
  <c r="D28" i="54"/>
  <c r="F28" i="54" s="1"/>
  <c r="C40" i="54"/>
  <c r="C26" i="58"/>
  <c r="F23" i="54"/>
  <c r="I47" i="58"/>
  <c r="C47" i="58" s="1"/>
  <c r="I44" i="58"/>
  <c r="F22" i="54"/>
  <c r="J45" i="58"/>
  <c r="H28" i="58"/>
  <c r="I46" i="56"/>
  <c r="H28" i="56"/>
  <c r="D28" i="56" s="1"/>
  <c r="F28" i="56" s="1"/>
  <c r="I40" i="58"/>
  <c r="C30" i="56"/>
  <c r="F30" i="56" s="1"/>
  <c r="I10" i="58"/>
  <c r="I11" i="58"/>
  <c r="J7" i="58"/>
  <c r="C7" i="58" s="1"/>
  <c r="I41" i="58"/>
  <c r="C41" i="58" s="1"/>
  <c r="J5" i="58"/>
  <c r="C5" i="58" s="1"/>
  <c r="C15" i="58"/>
  <c r="C16" i="58" s="1"/>
  <c r="F16" i="58" s="1"/>
  <c r="J11" i="58"/>
  <c r="C11" i="58" s="1"/>
  <c r="J8" i="58"/>
  <c r="C8" i="58" s="1"/>
  <c r="E26" i="58" s="1"/>
  <c r="J47" i="58"/>
  <c r="C22" i="58"/>
  <c r="F22" i="58" s="1"/>
  <c r="I42" i="58"/>
  <c r="C42" i="58" s="1"/>
  <c r="I43" i="58"/>
  <c r="C43" i="58" s="1"/>
  <c r="I12" i="58"/>
  <c r="J42" i="58"/>
  <c r="I5" i="58"/>
  <c r="C30" i="58"/>
  <c r="F30" i="58" s="1"/>
  <c r="C46" i="54"/>
  <c r="C44" i="54"/>
  <c r="C43" i="52"/>
  <c r="C26" i="56"/>
  <c r="J8" i="56"/>
  <c r="C8" i="56" s="1"/>
  <c r="E26" i="56" s="1"/>
  <c r="J7" i="56"/>
  <c r="C7" i="56" s="1"/>
  <c r="I6" i="56"/>
  <c r="I8" i="56"/>
  <c r="C23" i="56"/>
  <c r="F23" i="56" s="1"/>
  <c r="I47" i="56"/>
  <c r="C47" i="56" s="1"/>
  <c r="J12" i="56"/>
  <c r="C12" i="56" s="1"/>
  <c r="J42" i="56"/>
  <c r="C29" i="56"/>
  <c r="F29" i="56" s="1"/>
  <c r="J41" i="56"/>
  <c r="J5" i="56"/>
  <c r="C5" i="56" s="1"/>
  <c r="J10" i="56"/>
  <c r="C10" i="56" s="1"/>
  <c r="J44" i="56"/>
  <c r="I7" i="56"/>
  <c r="I11" i="56"/>
  <c r="I10" i="56"/>
  <c r="J11" i="56"/>
  <c r="C11" i="56" s="1"/>
  <c r="J47" i="56"/>
  <c r="J43" i="56"/>
  <c r="I9" i="56"/>
  <c r="I43" i="56"/>
  <c r="I5" i="56"/>
  <c r="C15" i="56"/>
  <c r="F15" i="56" s="1"/>
  <c r="I42" i="56"/>
  <c r="C42" i="56" s="1"/>
  <c r="J6" i="56"/>
  <c r="C6" i="56" s="1"/>
  <c r="J40" i="56"/>
  <c r="C40" i="56" s="1"/>
  <c r="J45" i="56"/>
  <c r="I45" i="56"/>
  <c r="J9" i="58"/>
  <c r="C9" i="58" s="1"/>
  <c r="I46" i="58"/>
  <c r="J40" i="58"/>
  <c r="I12" i="56"/>
  <c r="J43" i="58"/>
  <c r="I6" i="58"/>
  <c r="J9" i="56"/>
  <c r="C9" i="56" s="1"/>
  <c r="I9" i="58"/>
  <c r="C45" i="52"/>
  <c r="C23" i="58"/>
  <c r="F23" i="58" s="1"/>
  <c r="J44" i="58"/>
  <c r="J12" i="58"/>
  <c r="C12" i="58" s="1"/>
  <c r="J6" i="58"/>
  <c r="C6" i="58" s="1"/>
  <c r="I45" i="58"/>
  <c r="J10" i="58"/>
  <c r="C10" i="58" s="1"/>
  <c r="I7" i="58"/>
  <c r="J46" i="58"/>
  <c r="I44" i="56"/>
  <c r="C22" i="56"/>
  <c r="F22" i="56" s="1"/>
  <c r="J46" i="56"/>
  <c r="C29" i="58"/>
  <c r="F29" i="58" s="1"/>
  <c r="I41" i="56"/>
  <c r="C47" i="54"/>
  <c r="C57" i="58"/>
  <c r="F57" i="58" s="1"/>
  <c r="C41" i="54"/>
  <c r="C47" i="52"/>
  <c r="E26" i="52"/>
  <c r="F26" i="52" s="1"/>
  <c r="C41" i="52"/>
  <c r="G18" i="59"/>
  <c r="J47" i="60"/>
  <c r="I42" i="60"/>
  <c r="C23" i="60"/>
  <c r="F23" i="60" s="1"/>
  <c r="J10" i="60"/>
  <c r="C10" i="60" s="1"/>
  <c r="I5" i="60"/>
  <c r="I47" i="60"/>
  <c r="J44" i="60"/>
  <c r="F28" i="60"/>
  <c r="C15" i="60"/>
  <c r="I10" i="60"/>
  <c r="J7" i="60"/>
  <c r="C7" i="60" s="1"/>
  <c r="I44" i="60"/>
  <c r="C44" i="60" s="1"/>
  <c r="J41" i="60"/>
  <c r="J12" i="60"/>
  <c r="C12" i="60" s="1"/>
  <c r="I7" i="60"/>
  <c r="J46" i="60"/>
  <c r="I41" i="60"/>
  <c r="C22" i="60"/>
  <c r="F22" i="60" s="1"/>
  <c r="I12" i="60"/>
  <c r="J9" i="60"/>
  <c r="C9" i="60" s="1"/>
  <c r="I45" i="60"/>
  <c r="C45" i="60" s="1"/>
  <c r="I8" i="60"/>
  <c r="I46" i="60"/>
  <c r="J43" i="60"/>
  <c r="I9" i="60"/>
  <c r="J6" i="60"/>
  <c r="C6" i="60" s="1"/>
  <c r="I43" i="60"/>
  <c r="C43" i="60" s="1"/>
  <c r="J40" i="60"/>
  <c r="C30" i="60"/>
  <c r="F30" i="60" s="1"/>
  <c r="J11" i="60"/>
  <c r="C11" i="60" s="1"/>
  <c r="I6" i="60"/>
  <c r="J42" i="60"/>
  <c r="J45" i="60"/>
  <c r="I40" i="60"/>
  <c r="I11" i="60"/>
  <c r="J8" i="60"/>
  <c r="C8" i="60" s="1"/>
  <c r="E26" i="60" s="1"/>
  <c r="C26" i="60"/>
  <c r="J5" i="60"/>
  <c r="C5" i="60" s="1"/>
  <c r="F21" i="56"/>
  <c r="D27" i="58"/>
  <c r="F27" i="58" s="1"/>
  <c r="D27" i="60"/>
  <c r="F27" i="60" s="1"/>
  <c r="C29" i="60"/>
  <c r="F29" i="60" s="1"/>
  <c r="F21" i="58"/>
  <c r="F21" i="60"/>
  <c r="F26" i="54"/>
  <c r="F21" i="54"/>
  <c r="C24" i="54"/>
  <c r="F24" i="54" s="1"/>
  <c r="C17" i="54"/>
  <c r="F17" i="54" s="1"/>
  <c r="C16" i="54"/>
  <c r="F16" i="54" s="1"/>
  <c r="F15" i="54"/>
  <c r="C42" i="52"/>
  <c r="C44" i="52"/>
  <c r="C46" i="52"/>
  <c r="D27" i="52"/>
  <c r="F27" i="52" s="1"/>
  <c r="C24" i="52"/>
  <c r="F24" i="52" s="1"/>
  <c r="F22" i="52"/>
  <c r="C17" i="52"/>
  <c r="F17" i="52" s="1"/>
  <c r="F15" i="52"/>
  <c r="C16" i="52"/>
  <c r="F16" i="52" s="1"/>
  <c r="C63" i="56" l="1"/>
  <c r="F63" i="56" s="1"/>
  <c r="C57" i="56"/>
  <c r="F57" i="56" s="1"/>
  <c r="G18" i="51"/>
  <c r="C57" i="52"/>
  <c r="F57" i="52" s="1"/>
  <c r="C63" i="52"/>
  <c r="F63" i="52" s="1"/>
  <c r="C48" i="52" s="1"/>
  <c r="E40" i="52" s="1"/>
  <c r="F40" i="52" s="1"/>
  <c r="F20" i="51" s="1"/>
  <c r="G19" i="51" s="1"/>
  <c r="C63" i="54"/>
  <c r="F63" i="54" s="1"/>
  <c r="C48" i="54" s="1"/>
  <c r="E40" i="54" s="1"/>
  <c r="F40" i="54" s="1"/>
  <c r="F20" i="53" s="1"/>
  <c r="G19" i="53" s="1"/>
  <c r="C57" i="54"/>
  <c r="F57" i="54" s="1"/>
  <c r="G18" i="53"/>
  <c r="C57" i="60"/>
  <c r="F57" i="60" s="1"/>
  <c r="C48" i="60" s="1"/>
  <c r="E40" i="60" s="1"/>
  <c r="F40" i="60" s="1"/>
  <c r="F20" i="59" s="1"/>
  <c r="G19" i="59" s="1"/>
  <c r="C63" i="58"/>
  <c r="F63" i="58" s="1"/>
  <c r="C48" i="58" s="1"/>
  <c r="E40" i="58" s="1"/>
  <c r="F40" i="58" s="1"/>
  <c r="F20" i="57" s="1"/>
  <c r="G19" i="57" s="1"/>
  <c r="F15" i="58"/>
  <c r="F26" i="56"/>
  <c r="D28" i="58"/>
  <c r="F28" i="58" s="1"/>
  <c r="C17" i="58"/>
  <c r="F17" i="58" s="1"/>
  <c r="F26" i="58"/>
  <c r="C40" i="60"/>
  <c r="C42" i="60"/>
  <c r="C45" i="56"/>
  <c r="C43" i="56"/>
  <c r="C44" i="58"/>
  <c r="C41" i="60"/>
  <c r="C45" i="58"/>
  <c r="C40" i="58"/>
  <c r="C46" i="60"/>
  <c r="C48" i="56"/>
  <c r="E40" i="56" s="1"/>
  <c r="F40" i="56" s="1"/>
  <c r="F20" i="55" s="1"/>
  <c r="G19" i="55" s="1"/>
  <c r="C46" i="58"/>
  <c r="C46" i="56"/>
  <c r="C24" i="58"/>
  <c r="F24" i="58" s="1"/>
  <c r="C16" i="56"/>
  <c r="F16" i="56" s="1"/>
  <c r="C17" i="56"/>
  <c r="F17" i="56" s="1"/>
  <c r="C24" i="56"/>
  <c r="F24" i="56" s="1"/>
  <c r="C41" i="56"/>
  <c r="C44" i="56"/>
  <c r="C24" i="60"/>
  <c r="F24" i="60" s="1"/>
  <c r="C47" i="60"/>
  <c r="F26" i="60"/>
  <c r="F15" i="60"/>
  <c r="C17" i="60"/>
  <c r="F17" i="60" s="1"/>
  <c r="C16" i="60"/>
  <c r="F16" i="60" s="1"/>
  <c r="F4" i="54"/>
  <c r="F4" i="52"/>
  <c r="F4" i="58" l="1"/>
  <c r="F4" i="56"/>
  <c r="C33" i="56" s="1"/>
  <c r="F33" i="56" s="1"/>
  <c r="F4" i="60"/>
  <c r="C25" i="60" s="1"/>
  <c r="F25" i="60" s="1"/>
  <c r="C33" i="58"/>
  <c r="F33" i="58" s="1"/>
  <c r="C25" i="58"/>
  <c r="F25" i="58" s="1"/>
  <c r="D18" i="57"/>
  <c r="C33" i="54"/>
  <c r="F33" i="54" s="1"/>
  <c r="D18" i="53"/>
  <c r="C25" i="54"/>
  <c r="F25" i="54" s="1"/>
  <c r="D18" i="51"/>
  <c r="C33" i="52"/>
  <c r="F33" i="52" s="1"/>
  <c r="C25" i="52"/>
  <c r="F25" i="52" s="1"/>
  <c r="D18" i="55" l="1"/>
  <c r="C25" i="56"/>
  <c r="F25" i="56" s="1"/>
  <c r="C13" i="56" s="1"/>
  <c r="E5" i="56" s="1"/>
  <c r="F5" i="56" s="1"/>
  <c r="C20" i="55" s="1"/>
  <c r="D19" i="55" s="1"/>
  <c r="T26" i="32" s="1"/>
  <c r="U26" i="32" s="1"/>
  <c r="R20" i="50" s="1"/>
  <c r="D18" i="59"/>
  <c r="C13" i="54"/>
  <c r="E5" i="54" s="1"/>
  <c r="F5" i="54" s="1"/>
  <c r="C20" i="53" s="1"/>
  <c r="D19" i="53" s="1"/>
  <c r="U22" i="32" s="1"/>
  <c r="R19" i="50" s="1"/>
  <c r="C33" i="60"/>
  <c r="F33" i="60" s="1"/>
  <c r="C13" i="60" s="1"/>
  <c r="E5" i="60" s="1"/>
  <c r="F5" i="60" s="1"/>
  <c r="C20" i="59" s="1"/>
  <c r="D19" i="59" s="1"/>
  <c r="U34" i="32" s="1"/>
  <c r="R22" i="50" s="1"/>
  <c r="C13" i="58"/>
  <c r="E5" i="58" s="1"/>
  <c r="F5" i="58" s="1"/>
  <c r="C20" i="57" s="1"/>
  <c r="D19" i="57" s="1"/>
  <c r="C13" i="52"/>
  <c r="E5" i="52" s="1"/>
  <c r="F5" i="52" s="1"/>
  <c r="C20" i="51" s="1"/>
  <c r="D19" i="51" s="1"/>
  <c r="T30" i="32" l="1"/>
  <c r="U30" i="32" s="1"/>
  <c r="R21" i="50" s="1"/>
  <c r="T16" i="32"/>
  <c r="U16" i="32" s="1"/>
  <c r="T2" i="32" l="1"/>
  <c r="U40" i="32" s="1"/>
  <c r="P33" i="50" s="1"/>
  <c r="P38" i="50" s="1"/>
  <c r="R18" i="50"/>
  <c r="K33" i="50" s="1"/>
  <c r="K38" i="50" s="1"/>
  <c r="K40" i="50" l="1"/>
  <c r="L44" i="50" s="1"/>
  <c r="U42" i="32"/>
  <c r="K52" i="50" l="1"/>
  <c r="K49" i="50"/>
</calcChain>
</file>

<file path=xl/sharedStrings.xml><?xml version="1.0" encoding="utf-8"?>
<sst xmlns="http://schemas.openxmlformats.org/spreadsheetml/2006/main" count="945" uniqueCount="209">
  <si>
    <t xml:space="preserve"> </t>
  </si>
  <si>
    <t>تعداد</t>
  </si>
  <si>
    <t>واحد</t>
  </si>
  <si>
    <t>عدد</t>
  </si>
  <si>
    <t>قیمت یورو</t>
  </si>
  <si>
    <t>رنگ پودری</t>
  </si>
  <si>
    <t>عرض دهانه</t>
  </si>
  <si>
    <t>-----</t>
  </si>
  <si>
    <t>پیش فاکتور</t>
  </si>
  <si>
    <t xml:space="preserve">شماره تماس : </t>
  </si>
  <si>
    <t>مبلغ کل (ریال)</t>
  </si>
  <si>
    <t>مبلغ جزء (ریال)</t>
  </si>
  <si>
    <t>ردیف</t>
  </si>
  <si>
    <t>به ابعاد :</t>
  </si>
  <si>
    <t xml:space="preserve">جمع کل </t>
  </si>
  <si>
    <t>• اعتبار این پیش فاکتور 48 ساعت می‌باشد.</t>
  </si>
  <si>
    <t>• تامین تکیه‌‌گاه مناسب (BASE) جهت نصب به عهده کارفرما می‌باشد.</t>
  </si>
  <si>
    <t xml:space="preserve">• تامین برق، داربست، حمل‌ونقل و جرثقیل(در صورت نیاز)  به عهده کارفرما می باشد. </t>
  </si>
  <si>
    <t>• 80 % مبلغ کل به عنوان پیش پرداخت، 10 % قبل از ارسال محصولات موضوع پیش‌فاکتور از درب کارخــانه و باقیمانده پس از نصب دریافت می‌گردد.</t>
  </si>
  <si>
    <t>• در بخش سقفهای ‌جمع‌شونده پوشش پروفیل‌های آلومینیومی از نوع پودری‌الکترواستاتیک به کد1013 و 9016 بر اساس استاندارد موسسه بین المللی RAL ارائه می‌گردد و در صورت انتخاب سایر رنگها مازاد هزینه دریافت خواهد شد.</t>
  </si>
  <si>
    <t>• درحوزه سقف‌های جمع‌شونده غشاء PVC، موتور و سایر قطعات حرکتی به مدت 5 سال دارای گارانتی و 15 سال خدمات پس‌از فروش می‌باشد.</t>
  </si>
  <si>
    <t>• سازه فولادی بعهده کارفرما و در صورت درخواست مبنی بر ساخت توسط پیمانکار، بابت کارمزد به ازای هر کیلوگرم مبلغ 390.000 ریال دریافت می‌شود.</t>
  </si>
  <si>
    <t>• سیستم نور پردازی یک آپشن می باشد که در صورت درخواست مشتری (با توجه به مدل انتخابی) محـاسبه و به قیمت اضافه می‌شود.</t>
  </si>
  <si>
    <r>
      <t xml:space="preserve">این قرارداد بین جناب آقای </t>
    </r>
    <r>
      <rPr>
        <sz val="12"/>
        <color rgb="FFFF0000"/>
        <rFont val="B Mitra"/>
        <charset val="178"/>
      </rPr>
      <t>محمدرضا سلیمیان</t>
    </r>
    <r>
      <rPr>
        <sz val="12"/>
        <color theme="1"/>
        <rFont val="B Mitra"/>
        <charset val="178"/>
      </rPr>
      <t xml:space="preserve">  فرزند </t>
    </r>
    <r>
      <rPr>
        <sz val="12"/>
        <color rgb="FFFF0000"/>
        <rFont val="B Mitra"/>
        <charset val="178"/>
      </rPr>
      <t>حسین</t>
    </r>
    <r>
      <rPr>
        <sz val="12"/>
        <color theme="1"/>
        <rFont val="B Mitra"/>
        <charset val="178"/>
      </rPr>
      <t xml:space="preserve"> دارای کد ملی </t>
    </r>
    <r>
      <rPr>
        <sz val="12"/>
        <color rgb="FFFF0000"/>
        <rFont val="B Mitra"/>
        <charset val="178"/>
      </rPr>
      <t>00000000000000</t>
    </r>
    <r>
      <rPr>
        <sz val="12"/>
        <color theme="1"/>
        <rFont val="B Mitra"/>
        <charset val="178"/>
      </rPr>
      <t xml:space="preserve">  به عنوان کارفرما، به آدرس: ا</t>
    </r>
    <r>
      <rPr>
        <sz val="12"/>
        <color rgb="FFFF0000"/>
        <rFont val="B Mitra"/>
        <charset val="178"/>
      </rPr>
      <t xml:space="preserve">صفهان – خ شهید کلینی- دومین پلاک بعد از خیابان استقلال روبروی پارک </t>
    </r>
    <r>
      <rPr>
        <sz val="12"/>
        <color theme="1"/>
        <rFont val="B Mitra"/>
        <charset val="178"/>
      </rPr>
      <t xml:space="preserve"> از یک سو و از سوی دیگر جناب آقای مرتضی سیامک به کد ملی 0941170543، مدیرعامل مجموعه تولیدی صنعتی سایه روشن به عنـوان پیمانکار، به آدرس: تهران، سعادت آباد، خیابان یازدهم شرقی،  پلاک 3، طبقه 2، واحد 201 و تلفن: 22367612-021 و شماره همراه 09123044354 منعقد میگردد.</t>
    </r>
  </si>
  <si>
    <t>ماده یک) موضوع قرارداد:</t>
  </si>
  <si>
    <t>الف)</t>
  </si>
  <si>
    <t xml:space="preserve">سقف جمع شونده پارچه ای </t>
  </si>
  <si>
    <t>در</t>
  </si>
  <si>
    <t xml:space="preserve">مجموعا به مساحت : </t>
  </si>
  <si>
    <t>متر مربع</t>
  </si>
  <si>
    <t>ب)</t>
  </si>
  <si>
    <t xml:space="preserve">سقف ثابت پارچه ای </t>
  </si>
  <si>
    <t>ج)</t>
  </si>
  <si>
    <t>پنجره گیوتینی 3 پانله - شیشه ثابت پایین</t>
  </si>
  <si>
    <t>د)</t>
  </si>
  <si>
    <t>پنجره اسلایدینگ 4 پانله یک طرفه</t>
  </si>
  <si>
    <t>ه)</t>
  </si>
  <si>
    <t>دو جداره</t>
  </si>
  <si>
    <t>5mm+10 air spacer+5mm</t>
  </si>
  <si>
    <t>کلیر سکوریت</t>
  </si>
  <si>
    <t>تبصره 1 ) :</t>
  </si>
  <si>
    <t xml:space="preserve"> ابعاد و انداره استراکچر، پیش از تولید به صورت دقیق برداشت و محصول نهایی بر اساس اندازه های ازبیلت وضع موجود در پروژه طراحی و پس از تایید کارفرما  ساخته خواهد شد.</t>
  </si>
  <si>
    <t>ماده چهار) مبلغ قرارداد :</t>
  </si>
  <si>
    <t xml:space="preserve">بابت بند الف موضوع قرارداد مبلغ : </t>
  </si>
  <si>
    <t>ریال</t>
  </si>
  <si>
    <t xml:space="preserve">پنجره گیوتینی 2 پانله </t>
  </si>
  <si>
    <t>پنجره گیوتینی 3 پانله - شیشه ثابت بالا</t>
  </si>
  <si>
    <t>پنجره گیوتینی 4 پانله - - شیشه ثابت بالا</t>
  </si>
  <si>
    <t>مجموع کل مبالغ فروش :</t>
  </si>
  <si>
    <t>و مجموع کارمزد نصب:</t>
  </si>
  <si>
    <t>پنجره گیوتینی 4 پانله - - شیشه ثابت پایین</t>
  </si>
  <si>
    <t xml:space="preserve">مجموع کل مبلغ قرارداد :   </t>
  </si>
  <si>
    <t>پنجره اسلایدینگ 5 پانله یک طرفه</t>
  </si>
  <si>
    <t>پنجره اسلایدینگ 6 پانله یک طرفه</t>
  </si>
  <si>
    <t>ماده پنج) شرح پرداخت :</t>
  </si>
  <si>
    <t xml:space="preserve">پیش پرداخت: </t>
  </si>
  <si>
    <t>پنجره اسلایدینگ 8 پانله - Expansion</t>
  </si>
  <si>
    <t xml:space="preserve">درصــد از مبــــلغ کل قرارداد برابر با </t>
  </si>
  <si>
    <t>تک جداره</t>
  </si>
  <si>
    <t>8mm</t>
  </si>
  <si>
    <t>10mm</t>
  </si>
  <si>
    <t>سوپر کلیر سکوریت</t>
  </si>
  <si>
    <t>لمینیت</t>
  </si>
  <si>
    <t>4mm+12 air spacer+4mm</t>
  </si>
  <si>
    <t>پرداخت دوم:</t>
  </si>
  <si>
    <t>5mm+1.52PVB+5mm</t>
  </si>
  <si>
    <t>6mm+1.52PVB+6mm</t>
  </si>
  <si>
    <t>پرداخت سوم :</t>
  </si>
  <si>
    <t>8mm+1.52PVB+8mm</t>
  </si>
  <si>
    <t>درصد نصب</t>
  </si>
  <si>
    <t>و کارمزد نصب آن مبلغ:</t>
  </si>
  <si>
    <t>که به صورت ذیل پرداخت میگردد :</t>
  </si>
  <si>
    <t>شهرستان</t>
  </si>
  <si>
    <t>محل نصب پروژه</t>
  </si>
  <si>
    <t>تهران</t>
  </si>
  <si>
    <t>قیمت آلومینیوم</t>
  </si>
  <si>
    <t>نصب تهران و مشهد</t>
  </si>
  <si>
    <t>نصب شهرستان</t>
  </si>
  <si>
    <t>مشهد</t>
  </si>
  <si>
    <t>سیستم روشنایی سقف های جمع‌شونده</t>
  </si>
  <si>
    <t>شماره</t>
  </si>
  <si>
    <t>تاریخ</t>
  </si>
  <si>
    <t>پیوست</t>
  </si>
  <si>
    <t xml:space="preserve">شماره تماس </t>
  </si>
  <si>
    <t>4930045/023</t>
  </si>
  <si>
    <t>ندارد</t>
  </si>
  <si>
    <t>سرکار خانم</t>
  </si>
  <si>
    <t>مشخصات کارفرما یا نماینده ایشان</t>
  </si>
  <si>
    <t>عنوان</t>
  </si>
  <si>
    <t>نام و نام خانوادگی</t>
  </si>
  <si>
    <t>مشخصات پیش فاکتور</t>
  </si>
  <si>
    <t>دارد</t>
  </si>
  <si>
    <t>جناب آقای</t>
  </si>
  <si>
    <r>
      <rPr>
        <b/>
        <sz val="10"/>
        <color theme="1"/>
        <rFont val="B Nazanin"/>
        <charset val="178"/>
      </rPr>
      <t>نام کارفرما یا نماینده ایشان :</t>
    </r>
    <r>
      <rPr>
        <sz val="10"/>
        <color theme="1"/>
        <rFont val="B Nazanin"/>
        <charset val="178"/>
      </rPr>
      <t xml:space="preserve"> </t>
    </r>
  </si>
  <si>
    <t>• مبلغ پیش فاکتور فوق بصورت خالص تنظیم گردیده و در صورت نیاز پرداخت کلیه حقوق دولتی اعم از تامین اجتماعی ،ارزش افزوده و..به این مبلغ اضافه خواهد شد .</t>
  </si>
  <si>
    <t xml:space="preserve">بسمه تعالی </t>
  </si>
  <si>
    <t>قرارداد سقف های جمع شونده پارچه ای</t>
  </si>
  <si>
    <t xml:space="preserve">بابت بند ب موضوع قرارداد مبلغ : </t>
  </si>
  <si>
    <t xml:space="preserve">بابت بند ج موضوع قرارداد مبلغ : </t>
  </si>
  <si>
    <t xml:space="preserve">بابت بند د موضوع قرارداد مبلغ : </t>
  </si>
  <si>
    <t xml:space="preserve">بابت بند ه موضوع قرارداد مبلغ : </t>
  </si>
  <si>
    <t xml:space="preserve">• کارمزد نصب سازه برای شهر تهران 8% و شهرستان 10%  لحاظ خواهد شد. </t>
  </si>
  <si>
    <t>• مدت زمان تحویل و نصب پروژه</t>
  </si>
  <si>
    <t xml:space="preserve">     پس از وصول پبش‌پرداخت می‌باشد.</t>
  </si>
  <si>
    <t>مدت زمان تحویل</t>
  </si>
  <si>
    <t>1401/05/02</t>
  </si>
  <si>
    <r>
      <t xml:space="preserve"> </t>
    </r>
    <r>
      <rPr>
        <sz val="12"/>
        <color rgb="FFFF0000"/>
        <rFont val="B Nazanin"/>
        <charset val="178"/>
      </rPr>
      <t>*</t>
    </r>
    <r>
      <rPr>
        <sz val="12"/>
        <color theme="1"/>
        <rFont val="B Nazanin"/>
        <charset val="178"/>
      </rPr>
      <t xml:space="preserve"> در جداول ذیل فقط خانه های خاکستری رنگ را تغییر دهید</t>
    </r>
  </si>
  <si>
    <t>به همراه موتور</t>
  </si>
  <si>
    <t xml:space="preserve">120Nm بکر آلمان </t>
  </si>
  <si>
    <t>نوع موتور</t>
  </si>
  <si>
    <t xml:space="preserve">120Nm  سامفی فرانسه </t>
  </si>
  <si>
    <t>مستطیلی</t>
  </si>
  <si>
    <t>مثلثی</t>
  </si>
  <si>
    <t>تخفیف در هر سیستم</t>
  </si>
  <si>
    <t>تخفیف شرکت همکار</t>
  </si>
  <si>
    <t>تخفیف ویژه طبق دستور مدیر عامل</t>
  </si>
  <si>
    <t>تخفیف کارشناس فروش</t>
  </si>
  <si>
    <t>تخفیف</t>
  </si>
  <si>
    <t>تنظیم کننده :</t>
  </si>
  <si>
    <t>تنظیم کننده پیش فاکتور</t>
  </si>
  <si>
    <t>گلچهره</t>
  </si>
  <si>
    <t>سیامک</t>
  </si>
  <si>
    <t>پورملائکه</t>
  </si>
  <si>
    <t>مبلغ</t>
  </si>
  <si>
    <t>درصد</t>
  </si>
  <si>
    <t>مبلغ تخفیف</t>
  </si>
  <si>
    <t>درصد تخفیف</t>
  </si>
  <si>
    <t>نوع تخفیف</t>
  </si>
  <si>
    <t>عنوان تخفیف</t>
  </si>
  <si>
    <t xml:space="preserve">• تمامی هزینه های ایاب و ذهاب پرسنل و اسکان در شهرستان ها به عهده کارفرما می باشد. </t>
  </si>
  <si>
    <t>شرکت</t>
  </si>
  <si>
    <t>نام شرکت</t>
  </si>
  <si>
    <t>PRICE ALUMINUM</t>
  </si>
  <si>
    <t>Clear</t>
  </si>
  <si>
    <t>Super Clear</t>
  </si>
  <si>
    <t>POWDER COATING</t>
  </si>
  <si>
    <t>PRICE SINGLE GLASS</t>
  </si>
  <si>
    <t>PRICE DOUBLE GLASS</t>
  </si>
  <si>
    <t>4+12+4</t>
  </si>
  <si>
    <t>5+10+5</t>
  </si>
  <si>
    <t>6+8+6</t>
  </si>
  <si>
    <t>PRICE LAMINATED GLASS</t>
  </si>
  <si>
    <t>5pvb5</t>
  </si>
  <si>
    <t>6pvb6</t>
  </si>
  <si>
    <t>8pvb8</t>
  </si>
  <si>
    <t>تعداد پانل</t>
  </si>
  <si>
    <t>GILUTINE SYSTEM</t>
  </si>
  <si>
    <t>SLIDING SYSTEM</t>
  </si>
  <si>
    <t>WIDTH</t>
  </si>
  <si>
    <t>HEIGTH</t>
  </si>
  <si>
    <t>ALUMINUM WEIGTH</t>
  </si>
  <si>
    <t>2+2</t>
  </si>
  <si>
    <t>3+3</t>
  </si>
  <si>
    <t>4+4</t>
  </si>
  <si>
    <t>Price Aluminum</t>
  </si>
  <si>
    <t>STATEMENT OF PRICE</t>
  </si>
  <si>
    <t>SALE PRICE</t>
  </si>
  <si>
    <t>PRICE SQ</t>
  </si>
  <si>
    <t>CUT LENGTH</t>
  </si>
  <si>
    <t>QTY</t>
  </si>
  <si>
    <t>kg/m</t>
  </si>
  <si>
    <t>total kg</t>
  </si>
  <si>
    <t>ALUMINUM</t>
  </si>
  <si>
    <t>GLASS</t>
  </si>
  <si>
    <t>BELT P2</t>
  </si>
  <si>
    <t>MOTOR</t>
  </si>
  <si>
    <t>BRUSH</t>
  </si>
  <si>
    <t>20X20</t>
  </si>
  <si>
    <t>SILICON</t>
  </si>
  <si>
    <t>ACCESSORIES OF BOX</t>
  </si>
  <si>
    <t>WHEEL</t>
  </si>
  <si>
    <t>ACCESSORIES</t>
  </si>
  <si>
    <t>ارتفاع</t>
  </si>
  <si>
    <t>شیشه ثابت</t>
  </si>
  <si>
    <t>مشخصات شیشه</t>
  </si>
  <si>
    <t>سوپرکلیر سکوریت</t>
  </si>
  <si>
    <t>پنچره گیوتین</t>
  </si>
  <si>
    <t xml:space="preserve">  مقاطع اختصاصی آلومینیومی دارای پوشش رنگ پودری‌الکترو‌استاتیک با پخت کوره‌ای </t>
  </si>
  <si>
    <t>Laminate Glass ( 5mm +1.52PVB+ 5mm )</t>
  </si>
  <si>
    <t>Laminate Glass ( 6mm +1.52PVB+ 6mm )</t>
  </si>
  <si>
    <t>Laminate Glass ( 8mm +1.52PVB+ 8mm )</t>
  </si>
  <si>
    <t>4mm + 12 air spacer + 4mm</t>
  </si>
  <si>
    <t>5mm + 10 air spacer + 5mm</t>
  </si>
  <si>
    <t>6mm + 8 air spacer + 6mm</t>
  </si>
  <si>
    <t>8mm Tempered Glass</t>
  </si>
  <si>
    <t>10mm Tempered Glass</t>
  </si>
  <si>
    <t xml:space="preserve">2 پانل </t>
  </si>
  <si>
    <t xml:space="preserve">3 پانل </t>
  </si>
  <si>
    <t xml:space="preserve">4 پانل </t>
  </si>
  <si>
    <t>8mm Tempered GlaSSS</t>
  </si>
  <si>
    <t>10mm Tempered GlaSSS</t>
  </si>
  <si>
    <t>Laminate GlaSSS ( 5mm +1.52PVB+ 5mm )</t>
  </si>
  <si>
    <t>Laminate GlaSSS ( 6mm +1.52PVB+ 6mm )</t>
  </si>
  <si>
    <t>Laminate GlaSSS ( 8mm +1.52PVB+ 8mm )</t>
  </si>
  <si>
    <t>با مشخصات فنی :</t>
  </si>
  <si>
    <t>اختصاصی سایه روشن 120Nm</t>
  </si>
  <si>
    <t>مونا مردانی</t>
  </si>
  <si>
    <t>نوع شیشه ثابت</t>
  </si>
  <si>
    <t>شیشه ثابت : لمینت 8mm +1.52PVB+ 8mm</t>
  </si>
  <si>
    <t>شیشه ثابت : لمینت 6mm +1.52PVB+ 6mm</t>
  </si>
  <si>
    <r>
      <rPr>
        <b/>
        <sz val="14"/>
        <color rgb="FFFF0000"/>
        <rFont val="B Nazanin"/>
        <charset val="178"/>
      </rPr>
      <t>*</t>
    </r>
    <r>
      <rPr>
        <b/>
        <sz val="11"/>
        <rFont val="B Nazanin"/>
        <charset val="178"/>
      </rPr>
      <t xml:space="preserve"> </t>
    </r>
    <r>
      <rPr>
        <b/>
        <sz val="10"/>
        <rFont val="B Nazanin"/>
        <charset val="178"/>
      </rPr>
      <t>در صورتیکه شیشه ثابت در سیستم گیوتین باید بصورت لمینت در نظر گرفته شود ، کافی است در قسمت مقابل نوع شیشه لمینت را انتخاب کنید</t>
    </r>
  </si>
  <si>
    <t>سارا قشقاوی</t>
  </si>
  <si>
    <t xml:space="preserve">امین دارابی </t>
  </si>
  <si>
    <t>روژین سبحانی</t>
  </si>
  <si>
    <t>1403/01/20</t>
  </si>
  <si>
    <t>Increase value</t>
  </si>
  <si>
    <t>clear</t>
  </si>
  <si>
    <t>super clear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</si>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</sst>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\ع\د\د\ \س\ی\س\ت\م* #,##0_);_(\ع\د\د\ \س\ی\س\ت\م* \(#,##0\);_(\ع\د\د\ \س\ی\س\ت\م* &quot;-&quot;_);_(@_)"/>
    <numFmt numFmtId="166" formatCode="_(\س\ا\ن\ت\ی\ \م\ت\ر\ \ع\ر\ض\ \د\ه\ا\ن\ه* #,##0_);_(\س\ا\ن\ت\ی\ \م\ت\ر\ \ع\ر\ض\ \د\ه\ا\ن\ه* \(#,##0\);_(\س\ا\ن\ت\ی\ \م\ت\ر\ \ع\ر\ض\ \د\ه\ا\ن\ه* &quot;-&quot;_);_(@_)"/>
    <numFmt numFmtId="167" formatCode="_(&quot;ریال&quot;* #,##0_);_(&quot;ریال&quot;* \(#,##0\);_(&quot;ریال&quot;* &quot;-&quot;?_);_(@_)"/>
    <numFmt numFmtId="168" formatCode="_(\ر\و\ز\ \ک\ا\ر\ی* #,##0_);_(\ر\و\ز\ \ک\ا\ر\ی* \(#,##0\);_(\ر\و\ز\ \ک\ا\ر\ی* &quot;-&quot;_);_(@_)"/>
    <numFmt numFmtId="169" formatCode="_(\م\ت\ر\م\ر\ب\ع* #,##0.00_);_(\م\ت\ر\م\ر\ب\ع* \(#,##0.00\);_(\م\ت\ر\م\ر\ب\ع* &quot;-&quot;_);_(@_)"/>
    <numFmt numFmtId="170" formatCode="_(\د\ر\ص\د* #,##0_);_(\د\ر\ص\د\ل* \(#,##0\);_(\د\ر\ص\د* &quot;-&quot;_);_(@_)"/>
    <numFmt numFmtId="171" formatCode="_(\س\ا\ن\ت\ی\ \م\ت\ر\ \ا\ر\ت\ف\ا\ع* #,##0_);_(\س\ا\ن\ت\ی\ \م\ت\ر\ \ا\ر\ت\ف\ا\ع* \(#,##0\);_(\س\ا\ن\ت\ی\ \م\ت\ر\ \ا\ر\ت\ف\ا\ع* &quot;-&quot;_);_(@_)"/>
    <numFmt numFmtId="172" formatCode="_(\ع\د\د\ \ش\ی\ش\ه\ \ث\ا\ب\ت* #,##0_);_(\ع\د\د\ \ش\ی\ش\ه\ \ث\ا\ب\ت* \(#,##0\);_(\ع\د\د\ \ش\ی\ش\ه\ \ث\ا\ب\ت* &quot;-&quot;_);_(@_)"/>
  </numFmts>
  <fonts count="7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B Nazanin"/>
      <charset val="178"/>
    </font>
    <font>
      <sz val="12"/>
      <color theme="1"/>
      <name val="B Nazanin"/>
      <charset val="178"/>
    </font>
    <font>
      <sz val="12"/>
      <color theme="1"/>
      <name val="B Titr"/>
      <charset val="178"/>
    </font>
    <font>
      <sz val="11.5"/>
      <color theme="1"/>
      <name val="B Nazanin"/>
      <charset val="178"/>
    </font>
    <font>
      <sz val="11"/>
      <color theme="1"/>
      <name val="B Mitra"/>
      <charset val="178"/>
    </font>
    <font>
      <sz val="12"/>
      <color theme="1"/>
      <name val="B Mitra"/>
      <charset val="178"/>
    </font>
    <font>
      <sz val="12"/>
      <color rgb="FFFF0000"/>
      <name val="B Mitra"/>
      <charset val="178"/>
    </font>
    <font>
      <b/>
      <sz val="12"/>
      <color theme="1"/>
      <name val="B Mitra"/>
      <charset val="178"/>
    </font>
    <font>
      <sz val="12"/>
      <color theme="1" tint="0.34998626667073579"/>
      <name val="B Mitra"/>
      <charset val="178"/>
    </font>
    <font>
      <sz val="12"/>
      <color rgb="FF002060"/>
      <name val="B Mitra"/>
      <charset val="178"/>
    </font>
    <font>
      <sz val="16"/>
      <color theme="1"/>
      <name val="B Mitra"/>
      <charset val="178"/>
    </font>
    <font>
      <b/>
      <sz val="11"/>
      <color theme="1"/>
      <name val="B Mitra"/>
      <charset val="178"/>
    </font>
    <font>
      <sz val="14"/>
      <color theme="1"/>
      <name val="B Mitra"/>
      <charset val="178"/>
    </font>
    <font>
      <sz val="12"/>
      <color rgb="FFC00000"/>
      <name val="Calibri"/>
      <family val="2"/>
      <charset val="178"/>
      <scheme val="minor"/>
    </font>
    <font>
      <sz val="11"/>
      <color rgb="FFFFC000"/>
      <name val="Calibri"/>
      <family val="2"/>
      <scheme val="minor"/>
    </font>
    <font>
      <sz val="10"/>
      <color rgb="FF66FFFF"/>
      <name val="Calibri"/>
      <family val="2"/>
      <charset val="178"/>
      <scheme val="minor"/>
    </font>
    <font>
      <sz val="11"/>
      <color rgb="FF002060"/>
      <name val="Calibri"/>
      <family val="2"/>
      <scheme val="minor"/>
    </font>
    <font>
      <sz val="12"/>
      <color rgb="FFFF0000"/>
      <name val="B Nazanin"/>
      <charset val="178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sz val="10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i/>
      <u/>
      <sz val="11"/>
      <color theme="1"/>
      <name val="B Mitra"/>
      <charset val="178"/>
    </font>
    <font>
      <b/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0"/>
      <name val="Calibri"/>
      <family val="2"/>
      <charset val="178"/>
      <scheme val="minor"/>
    </font>
    <font>
      <sz val="11"/>
      <color rgb="FF0070C0"/>
      <name val="Calibri"/>
      <family val="2"/>
    </font>
    <font>
      <b/>
      <sz val="11"/>
      <name val="B Nazanin"/>
      <charset val="178"/>
    </font>
    <font>
      <b/>
      <sz val="11"/>
      <name val="Calibri"/>
      <family val="2"/>
      <charset val="178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3" tint="0.39997558519241921"/>
      <name val="Calibri"/>
      <family val="2"/>
      <charset val="178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6"/>
      <color theme="3" tint="0.39997558519241921"/>
      <name val="Calibri"/>
      <family val="2"/>
    </font>
    <font>
      <b/>
      <sz val="16"/>
      <color theme="1"/>
      <name val="Calibri"/>
      <family val="2"/>
    </font>
    <font>
      <b/>
      <sz val="20"/>
      <color rgb="FFC00000"/>
      <name val="Calibri"/>
      <family val="2"/>
    </font>
    <font>
      <b/>
      <sz val="14"/>
      <color rgb="FFFF0000"/>
      <name val="Calibri"/>
      <family val="2"/>
    </font>
    <font>
      <b/>
      <sz val="20"/>
      <color rgb="FF002060"/>
      <name val="Calibri"/>
      <family val="2"/>
    </font>
    <font>
      <sz val="16"/>
      <color theme="1"/>
      <name val="Calibri"/>
      <family val="2"/>
      <charset val="178"/>
      <scheme val="minor"/>
    </font>
    <font>
      <sz val="18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b/>
      <sz val="20"/>
      <color rgb="FFFF0000"/>
      <name val="Calibri"/>
      <family val="2"/>
    </font>
    <font>
      <b/>
      <sz val="14"/>
      <color theme="1"/>
      <name val="Calibri"/>
      <family val="2"/>
    </font>
    <font>
      <b/>
      <sz val="18"/>
      <color rgb="FFC00000"/>
      <name val="Calibri"/>
      <family val="2"/>
    </font>
    <font>
      <b/>
      <sz val="22"/>
      <color rgb="FFC00000"/>
      <name val="Calibri"/>
      <family val="2"/>
    </font>
    <font>
      <b/>
      <sz val="11"/>
      <color rgb="FF3F3F3F"/>
      <name val="B Nazanin"/>
      <charset val="178"/>
    </font>
    <font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8"/>
      <color rgb="FF3F3F3F"/>
      <name val="Calibri"/>
      <family val="2"/>
    </font>
    <font>
      <sz val="16"/>
      <name val="Calibri"/>
      <family val="2"/>
    </font>
    <font>
      <b/>
      <sz val="18"/>
      <name val="Calibri"/>
      <family val="2"/>
    </font>
    <font>
      <b/>
      <sz val="16"/>
      <color rgb="FF3F3F3F"/>
      <name val="Calibri"/>
      <family val="2"/>
    </font>
    <font>
      <sz val="18"/>
      <color rgb="FFC00000"/>
      <name val="Calibri"/>
      <family val="2"/>
    </font>
    <font>
      <sz val="18"/>
      <color theme="1"/>
      <name val="Calibri"/>
      <family val="2"/>
    </font>
    <font>
      <b/>
      <sz val="14"/>
      <color rgb="FFFF0000"/>
      <name val="B Nazanin"/>
      <charset val="178"/>
    </font>
    <font>
      <b/>
      <sz val="10"/>
      <name val="B Nazanin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B Nazanin"/>
      <charset val="178"/>
    </font>
    <font>
      <b/>
      <sz val="16"/>
      <color rgb="FFC0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0"/>
      <name val="Calibri"/>
      <family val="2"/>
      <charset val="178"/>
      <scheme val="minor"/>
    </font>
    <font>
      <b/>
      <sz val="14"/>
      <color rgb="FFC00000"/>
      <name val="Calibri"/>
      <family val="2"/>
    </font>
    <font>
      <b/>
      <sz val="12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3" fillId="7" borderId="53" applyNumberFormat="0" applyAlignment="0" applyProtection="0"/>
  </cellStyleXfs>
  <cellXfs count="344">
    <xf numFmtId="0" fontId="0" fillId="0" borderId="0" xfId="0"/>
    <xf numFmtId="0" fontId="1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quotePrefix="1" applyBorder="1"/>
    <xf numFmtId="0" fontId="14" fillId="0" borderId="0" xfId="0" applyFont="1"/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/>
    <xf numFmtId="0" fontId="17" fillId="0" borderId="0" xfId="0" applyFont="1" applyAlignme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0" fillId="0" borderId="0" xfId="0" applyFont="1"/>
    <xf numFmtId="2" fontId="21" fillId="0" borderId="4" xfId="0" applyNumberFormat="1" applyFont="1" applyBorder="1"/>
    <xf numFmtId="0" fontId="0" fillId="0" borderId="0" xfId="0" applyAlignment="1">
      <alignment readingOrder="1"/>
    </xf>
    <xf numFmtId="0" fontId="0" fillId="0" borderId="0" xfId="0" applyAlignment="1">
      <alignment readingOrder="2"/>
    </xf>
    <xf numFmtId="4" fontId="14" fillId="0" borderId="0" xfId="0" applyNumberFormat="1" applyFont="1" applyAlignment="1">
      <alignment horizontal="center" vertical="center"/>
    </xf>
    <xf numFmtId="167" fontId="14" fillId="0" borderId="0" xfId="0" applyNumberFormat="1" applyFont="1"/>
    <xf numFmtId="0" fontId="22" fillId="0" borderId="0" xfId="0" applyFont="1" applyAlignment="1">
      <alignment horizontal="center" readingOrder="2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readingOrder="2"/>
    </xf>
    <xf numFmtId="0" fontId="10" fillId="0" borderId="0" xfId="0" applyFont="1" applyFill="1" applyBorder="1" applyAlignment="1">
      <alignment vertical="center" readingOrder="2"/>
    </xf>
    <xf numFmtId="0" fontId="0" fillId="0" borderId="0" xfId="0" applyBorder="1" applyAlignment="1">
      <alignment horizontal="center" vertical="center"/>
    </xf>
    <xf numFmtId="0" fontId="1" fillId="0" borderId="0" xfId="0" quotePrefix="1" applyFont="1" applyAlignment="1">
      <alignment horizontal="right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/>
    <xf numFmtId="0" fontId="17" fillId="0" borderId="0" xfId="0" applyFont="1" applyAlignment="1">
      <alignment horizontal="right"/>
    </xf>
    <xf numFmtId="0" fontId="24" fillId="0" borderId="0" xfId="0" applyFont="1" applyBorder="1" applyAlignment="1">
      <alignment horizontal="right" vertical="center" readingOrder="2"/>
    </xf>
    <xf numFmtId="0" fontId="23" fillId="0" borderId="0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right" vertical="center" readingOrder="2"/>
    </xf>
    <xf numFmtId="3" fontId="10" fillId="0" borderId="0" xfId="0" applyNumberFormat="1" applyFont="1" applyBorder="1" applyAlignment="1">
      <alignment horizontal="center" vertical="center" readingOrder="2"/>
    </xf>
    <xf numFmtId="3" fontId="10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 readingOrder="2"/>
    </xf>
    <xf numFmtId="0" fontId="10" fillId="0" borderId="0" xfId="0" applyFont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 wrapText="1" readingOrder="2"/>
    </xf>
    <xf numFmtId="0" fontId="10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vertical="center" readingOrder="2"/>
    </xf>
    <xf numFmtId="2" fontId="27" fillId="0" borderId="4" xfId="0" applyNumberFormat="1" applyFont="1" applyBorder="1" applyAlignment="1">
      <alignment horizontal="left" vertical="center" readingOrder="2"/>
    </xf>
    <xf numFmtId="0" fontId="27" fillId="0" borderId="20" xfId="0" applyFont="1" applyBorder="1" applyAlignment="1">
      <alignment horizontal="center" vertical="center" readingOrder="2"/>
    </xf>
    <xf numFmtId="165" fontId="27" fillId="0" borderId="26" xfId="0" applyNumberFormat="1" applyFont="1" applyBorder="1" applyAlignment="1">
      <alignment horizontal="center" vertical="center" readingOrder="2"/>
    </xf>
    <xf numFmtId="0" fontId="27" fillId="0" borderId="27" xfId="0" applyFont="1" applyBorder="1" applyAlignment="1">
      <alignment horizontal="center" vertical="top" wrapText="1" readingOrder="2"/>
    </xf>
    <xf numFmtId="165" fontId="27" fillId="0" borderId="34" xfId="0" applyNumberFormat="1" applyFont="1" applyBorder="1" applyAlignment="1">
      <alignment horizontal="center" vertical="center" readingOrder="2"/>
    </xf>
    <xf numFmtId="3" fontId="27" fillId="0" borderId="1" xfId="0" applyNumberFormat="1" applyFont="1" applyBorder="1" applyAlignment="1">
      <alignment horizontal="center" vertical="center" readingOrder="2"/>
    </xf>
    <xf numFmtId="3" fontId="27" fillId="0" borderId="1" xfId="0" applyNumberFormat="1" applyFont="1" applyBorder="1" applyAlignment="1">
      <alignment horizontal="center" vertical="center"/>
    </xf>
    <xf numFmtId="3" fontId="27" fillId="0" borderId="9" xfId="0" applyNumberFormat="1" applyFont="1" applyBorder="1" applyAlignment="1">
      <alignment vertical="center" readingOrder="2"/>
    </xf>
    <xf numFmtId="0" fontId="13" fillId="0" borderId="0" xfId="0" applyFont="1" applyAlignment="1">
      <alignment horizontal="right" vertical="center" wrapText="1" readingOrder="2"/>
    </xf>
    <xf numFmtId="0" fontId="0" fillId="0" borderId="0" xfId="0" applyAlignment="1">
      <alignment horizontal="right" wrapText="1" readingOrder="2"/>
    </xf>
    <xf numFmtId="3" fontId="13" fillId="0" borderId="0" xfId="0" applyNumberFormat="1" applyFont="1" applyBorder="1" applyAlignment="1">
      <alignment horizontal="right" vertical="center" wrapText="1" readingOrder="2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readingOrder="2"/>
    </xf>
    <xf numFmtId="0" fontId="10" fillId="0" borderId="0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2" fontId="27" fillId="0" borderId="0" xfId="0" applyNumberFormat="1" applyFont="1" applyBorder="1" applyAlignment="1">
      <alignment horizontal="left" vertical="center" readingOrder="2"/>
    </xf>
    <xf numFmtId="3" fontId="27" fillId="0" borderId="0" xfId="0" applyNumberFormat="1" applyFont="1" applyBorder="1" applyAlignment="1">
      <alignment horizontal="center" vertical="center" readingOrder="2"/>
    </xf>
    <xf numFmtId="3" fontId="27" fillId="0" borderId="0" xfId="0" applyNumberFormat="1" applyFont="1" applyBorder="1" applyAlignment="1">
      <alignment horizontal="center" vertical="center"/>
    </xf>
    <xf numFmtId="167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67" fontId="13" fillId="0" borderId="0" xfId="0" applyNumberFormat="1" applyFont="1"/>
    <xf numFmtId="0" fontId="14" fillId="0" borderId="0" xfId="0" applyFont="1" applyAlignment="1">
      <alignment horizontal="right"/>
    </xf>
    <xf numFmtId="0" fontId="27" fillId="0" borderId="1" xfId="0" applyFont="1" applyBorder="1" applyAlignment="1">
      <alignment horizontal="center" vertical="center" readingOrder="2"/>
    </xf>
    <xf numFmtId="0" fontId="31" fillId="0" borderId="0" xfId="0" applyFont="1" applyAlignment="1">
      <alignment horizontal="center" vertical="center" readingOrder="2"/>
    </xf>
    <xf numFmtId="0" fontId="20" fillId="0" borderId="0" xfId="0" applyFont="1" applyAlignment="1">
      <alignment horizontal="center" vertical="center" readingOrder="2"/>
    </xf>
    <xf numFmtId="168" fontId="32" fillId="0" borderId="0" xfId="0" applyNumberFormat="1" applyFont="1" applyBorder="1" applyAlignment="1">
      <alignment vertical="center" readingOrder="2"/>
    </xf>
    <xf numFmtId="3" fontId="13" fillId="0" borderId="0" xfId="0" applyNumberFormat="1" applyFont="1" applyBorder="1" applyAlignment="1">
      <alignment vertical="center" wrapText="1" readingOrder="2"/>
    </xf>
    <xf numFmtId="0" fontId="9" fillId="0" borderId="1" xfId="0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 wrapText="1" readingOrder="2"/>
    </xf>
    <xf numFmtId="0" fontId="27" fillId="0" borderId="1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168" fontId="36" fillId="4" borderId="15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27" fillId="0" borderId="2" xfId="0" applyFont="1" applyBorder="1" applyAlignment="1">
      <alignment horizontal="center" vertical="center" readingOrder="2"/>
    </xf>
    <xf numFmtId="3" fontId="8" fillId="6" borderId="11" xfId="0" applyNumberFormat="1" applyFont="1" applyFill="1" applyBorder="1" applyAlignment="1">
      <alignment vertical="center"/>
    </xf>
    <xf numFmtId="0" fontId="8" fillId="6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3" fontId="35" fillId="0" borderId="2" xfId="0" applyNumberFormat="1" applyFont="1" applyFill="1" applyBorder="1" applyAlignment="1">
      <alignment horizontal="center" vertical="center"/>
    </xf>
    <xf numFmtId="3" fontId="27" fillId="0" borderId="3" xfId="0" applyNumberFormat="1" applyFont="1" applyBorder="1" applyAlignment="1">
      <alignment vertical="center" readingOrder="1"/>
    </xf>
    <xf numFmtId="3" fontId="27" fillId="0" borderId="4" xfId="0" applyNumberFormat="1" applyFont="1" applyBorder="1" applyAlignment="1">
      <alignment horizontal="center" vertical="center"/>
    </xf>
    <xf numFmtId="3" fontId="27" fillId="0" borderId="9" xfId="0" applyNumberFormat="1" applyFont="1" applyBorder="1" applyAlignment="1">
      <alignment vertical="center" readingOrder="1"/>
    </xf>
    <xf numFmtId="0" fontId="0" fillId="0" borderId="2" xfId="0" applyBorder="1"/>
    <xf numFmtId="0" fontId="0" fillId="0" borderId="3" xfId="0" applyBorder="1"/>
    <xf numFmtId="170" fontId="27" fillId="0" borderId="3" xfId="0" applyNumberFormat="1" applyFont="1" applyBorder="1" applyAlignment="1">
      <alignment vertical="center" readingOrder="2"/>
    </xf>
    <xf numFmtId="3" fontId="13" fillId="0" borderId="0" xfId="0" applyNumberFormat="1" applyFont="1" applyBorder="1" applyAlignment="1">
      <alignment horizontal="right" vertical="center" wrapText="1" readingOrder="2"/>
    </xf>
    <xf numFmtId="3" fontId="13" fillId="0" borderId="0" xfId="0" applyNumberFormat="1" applyFont="1" applyBorder="1" applyAlignment="1">
      <alignment horizontal="right" vertical="center" wrapText="1" readingOrder="2"/>
    </xf>
    <xf numFmtId="3" fontId="13" fillId="0" borderId="0" xfId="0" applyNumberFormat="1" applyFont="1" applyBorder="1" applyAlignment="1">
      <alignment horizontal="right" vertical="center" wrapText="1" readingOrder="2"/>
    </xf>
    <xf numFmtId="0" fontId="44" fillId="8" borderId="0" xfId="0" applyFont="1" applyFill="1"/>
    <xf numFmtId="0" fontId="0" fillId="8" borderId="0" xfId="0" applyFill="1"/>
    <xf numFmtId="0" fontId="45" fillId="9" borderId="54" xfId="0" applyFont="1" applyFill="1" applyBorder="1" applyAlignment="1">
      <alignment vertical="center"/>
    </xf>
    <xf numFmtId="167" fontId="46" fillId="9" borderId="0" xfId="0" applyNumberFormat="1" applyFont="1" applyFill="1" applyBorder="1" applyAlignment="1">
      <alignment vertical="center"/>
    </xf>
    <xf numFmtId="0" fontId="45" fillId="2" borderId="54" xfId="0" applyFont="1" applyFill="1" applyBorder="1" applyAlignment="1">
      <alignment horizontal="center" vertical="center"/>
    </xf>
    <xf numFmtId="0" fontId="45" fillId="9" borderId="0" xfId="0" applyFont="1" applyFill="1" applyBorder="1" applyAlignment="1">
      <alignment vertical="center"/>
    </xf>
    <xf numFmtId="0" fontId="45" fillId="2" borderId="0" xfId="0" applyFont="1" applyFill="1" applyBorder="1" applyAlignment="1">
      <alignment horizontal="center" vertical="center"/>
    </xf>
    <xf numFmtId="0" fontId="47" fillId="8" borderId="54" xfId="0" applyFont="1" applyFill="1" applyBorder="1" applyAlignment="1">
      <alignment vertical="center"/>
    </xf>
    <xf numFmtId="167" fontId="6" fillId="10" borderId="0" xfId="0" applyNumberFormat="1" applyFont="1" applyFill="1" applyBorder="1" applyAlignment="1">
      <alignment vertical="center" wrapText="1"/>
    </xf>
    <xf numFmtId="167" fontId="6" fillId="10" borderId="0" xfId="0" applyNumberFormat="1" applyFont="1" applyFill="1" applyBorder="1" applyAlignment="1">
      <alignment vertical="center"/>
    </xf>
    <xf numFmtId="0" fontId="47" fillId="8" borderId="0" xfId="0" applyFont="1" applyFill="1" applyBorder="1" applyAlignment="1">
      <alignment vertical="center"/>
    </xf>
    <xf numFmtId="0" fontId="48" fillId="0" borderId="55" xfId="0" applyFont="1" applyBorder="1" applyAlignment="1">
      <alignment horizontal="center" vertical="center"/>
    </xf>
    <xf numFmtId="0" fontId="44" fillId="8" borderId="0" xfId="0" applyFont="1" applyFill="1" applyAlignment="1"/>
    <xf numFmtId="0" fontId="46" fillId="11" borderId="56" xfId="0" applyFont="1" applyFill="1" applyBorder="1" applyAlignment="1">
      <alignment horizontal="center" vertical="center"/>
    </xf>
    <xf numFmtId="0" fontId="48" fillId="0" borderId="57" xfId="0" applyFont="1" applyBorder="1" applyAlignment="1">
      <alignment horizontal="center" vertical="center"/>
    </xf>
    <xf numFmtId="167" fontId="6" fillId="1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6" fillId="9" borderId="58" xfId="0" applyFont="1" applyFill="1" applyBorder="1" applyAlignment="1">
      <alignment horizontal="center" vertical="center"/>
    </xf>
    <xf numFmtId="2" fontId="46" fillId="10" borderId="58" xfId="0" applyNumberFormat="1" applyFont="1" applyFill="1" applyBorder="1" applyAlignment="1">
      <alignment horizontal="center" vertical="center"/>
    </xf>
    <xf numFmtId="3" fontId="49" fillId="8" borderId="0" xfId="0" applyNumberFormat="1" applyFont="1" applyFill="1" applyBorder="1" applyAlignment="1">
      <alignment horizontal="center" vertical="center"/>
    </xf>
    <xf numFmtId="3" fontId="46" fillId="0" borderId="58" xfId="0" applyNumberFormat="1" applyFont="1" applyBorder="1" applyAlignment="1">
      <alignment horizontal="center" vertical="center"/>
    </xf>
    <xf numFmtId="0" fontId="50" fillId="0" borderId="58" xfId="0" applyFont="1" applyBorder="1" applyAlignment="1">
      <alignment horizontal="center" vertical="center"/>
    </xf>
    <xf numFmtId="3" fontId="46" fillId="0" borderId="59" xfId="0" applyNumberFormat="1" applyFont="1" applyBorder="1" applyAlignment="1">
      <alignment horizontal="center" vertical="center"/>
    </xf>
    <xf numFmtId="164" fontId="50" fillId="0" borderId="60" xfId="0" applyNumberFormat="1" applyFont="1" applyBorder="1" applyAlignment="1">
      <alignment horizontal="center" vertical="center"/>
    </xf>
    <xf numFmtId="3" fontId="46" fillId="0" borderId="60" xfId="0" applyNumberFormat="1" applyFont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3" fontId="53" fillId="0" borderId="0" xfId="0" applyNumberFormat="1" applyFont="1" applyAlignment="1">
      <alignment vertical="center"/>
    </xf>
    <xf numFmtId="3" fontId="54" fillId="10" borderId="58" xfId="0" applyNumberFormat="1" applyFont="1" applyFill="1" applyBorder="1" applyAlignment="1">
      <alignment horizontal="center" vertical="center"/>
    </xf>
    <xf numFmtId="2" fontId="54" fillId="10" borderId="61" xfId="0" applyNumberFormat="1" applyFont="1" applyFill="1" applyBorder="1" applyAlignment="1">
      <alignment horizontal="center" vertical="center"/>
    </xf>
    <xf numFmtId="3" fontId="55" fillId="0" borderId="58" xfId="0" applyNumberFormat="1" applyFont="1" applyBorder="1" applyAlignment="1">
      <alignment horizontal="center" vertical="center" wrapText="1"/>
    </xf>
    <xf numFmtId="2" fontId="55" fillId="0" borderId="58" xfId="0" applyNumberFormat="1" applyFont="1" applyBorder="1" applyAlignment="1">
      <alignment horizontal="center" vertical="center"/>
    </xf>
    <xf numFmtId="0" fontId="56" fillId="0" borderId="58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57" fillId="0" borderId="0" xfId="0" applyNumberFormat="1" applyFont="1" applyBorder="1" applyAlignment="1">
      <alignment horizontal="center" vertical="center"/>
    </xf>
    <xf numFmtId="3" fontId="59" fillId="0" borderId="0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52" fillId="0" borderId="64" xfId="0" applyNumberFormat="1" applyFont="1" applyBorder="1" applyAlignment="1">
      <alignment horizontal="center" vertical="center"/>
    </xf>
    <xf numFmtId="0" fontId="60" fillId="0" borderId="53" xfId="1" applyFont="1" applyFill="1" applyAlignment="1">
      <alignment horizontal="center" vertical="center"/>
    </xf>
    <xf numFmtId="0" fontId="61" fillId="0" borderId="53" xfId="1" applyFont="1" applyFill="1" applyAlignment="1">
      <alignment horizontal="center" vertical="center"/>
    </xf>
    <xf numFmtId="0" fontId="62" fillId="0" borderId="53" xfId="1" applyFont="1" applyFill="1" applyAlignment="1">
      <alignment horizontal="center" vertical="center"/>
    </xf>
    <xf numFmtId="0" fontId="0" fillId="0" borderId="1" xfId="0" applyBorder="1"/>
    <xf numFmtId="2" fontId="63" fillId="0" borderId="53" xfId="1" applyNumberFormat="1" applyFont="1" applyFill="1" applyAlignment="1">
      <alignment horizontal="center" vertical="center"/>
    </xf>
    <xf numFmtId="0" fontId="64" fillId="0" borderId="53" xfId="1" applyFont="1" applyFill="1" applyAlignment="1">
      <alignment horizontal="center" vertical="center"/>
    </xf>
    <xf numFmtId="2" fontId="65" fillId="0" borderId="53" xfId="1" applyNumberFormat="1" applyFont="1" applyFill="1" applyAlignment="1">
      <alignment horizontal="center" vertical="center"/>
    </xf>
    <xf numFmtId="0" fontId="66" fillId="0" borderId="53" xfId="1" applyFont="1" applyFill="1" applyAlignment="1">
      <alignment horizontal="center" vertical="center" wrapText="1"/>
    </xf>
    <xf numFmtId="3" fontId="64" fillId="0" borderId="53" xfId="1" applyNumberFormat="1" applyFont="1" applyFill="1" applyAlignment="1">
      <alignment horizontal="center" vertical="center"/>
    </xf>
    <xf numFmtId="0" fontId="66" fillId="0" borderId="53" xfId="1" applyFont="1" applyFill="1" applyAlignment="1">
      <alignment horizontal="center" vertical="center"/>
    </xf>
    <xf numFmtId="0" fontId="0" fillId="12" borderId="0" xfId="0" applyFill="1"/>
    <xf numFmtId="2" fontId="54" fillId="10" borderId="58" xfId="0" applyNumberFormat="1" applyFont="1" applyFill="1" applyBorder="1" applyAlignment="1">
      <alignment horizontal="center" vertical="center"/>
    </xf>
    <xf numFmtId="3" fontId="0" fillId="0" borderId="58" xfId="0" applyNumberFormat="1" applyBorder="1" applyAlignment="1">
      <alignment horizontal="center" vertical="center" wrapText="1"/>
    </xf>
    <xf numFmtId="3" fontId="49" fillId="0" borderId="58" xfId="0" applyNumberFormat="1" applyFont="1" applyBorder="1" applyAlignment="1">
      <alignment horizontal="center" vertical="center"/>
    </xf>
    <xf numFmtId="3" fontId="59" fillId="0" borderId="58" xfId="0" applyNumberFormat="1" applyFont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2" fontId="67" fillId="0" borderId="0" xfId="0" applyNumberFormat="1" applyFont="1" applyBorder="1" applyAlignment="1">
      <alignment horizontal="center" vertical="center"/>
    </xf>
    <xf numFmtId="0" fontId="45" fillId="0" borderId="0" xfId="0" applyFont="1" applyAlignment="1">
      <alignment horizontal="right" vertical="center"/>
    </xf>
    <xf numFmtId="3" fontId="68" fillId="0" borderId="0" xfId="0" applyNumberFormat="1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171" fontId="27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29" fillId="3" borderId="29" xfId="0" applyFont="1" applyFill="1" applyBorder="1" applyAlignment="1">
      <alignment horizontal="center" vertical="center" readingOrder="2"/>
    </xf>
    <xf numFmtId="0" fontId="48" fillId="0" borderId="55" xfId="0" applyFont="1" applyBorder="1" applyAlignment="1">
      <alignment horizontal="center" vertical="center" readingOrder="2"/>
    </xf>
    <xf numFmtId="0" fontId="52" fillId="0" borderId="0" xfId="0" applyFont="1" applyAlignment="1">
      <alignment horizontal="center" vertical="center" readingOrder="2"/>
    </xf>
    <xf numFmtId="0" fontId="29" fillId="3" borderId="35" xfId="0" applyFont="1" applyFill="1" applyBorder="1" applyAlignment="1">
      <alignment horizontal="center" vertical="center" readingOrder="2"/>
    </xf>
    <xf numFmtId="171" fontId="27" fillId="0" borderId="33" xfId="0" applyNumberFormat="1" applyFont="1" applyBorder="1" applyAlignment="1">
      <alignment horizontal="center" vertical="center" readingOrder="2"/>
    </xf>
    <xf numFmtId="0" fontId="45" fillId="11" borderId="56" xfId="0" applyFont="1" applyFill="1" applyBorder="1" applyAlignment="1">
      <alignment horizontal="center" vertical="center"/>
    </xf>
    <xf numFmtId="172" fontId="40" fillId="0" borderId="52" xfId="0" applyNumberFormat="1" applyFont="1" applyBorder="1" applyAlignment="1">
      <alignment vertical="center" readingOrder="2"/>
    </xf>
    <xf numFmtId="171" fontId="27" fillId="0" borderId="48" xfId="0" applyNumberFormat="1" applyFont="1" applyBorder="1" applyAlignment="1">
      <alignment vertical="center" readingOrder="2"/>
    </xf>
    <xf numFmtId="0" fontId="27" fillId="3" borderId="68" xfId="0" applyFont="1" applyFill="1" applyBorder="1" applyAlignment="1">
      <alignment horizontal="left" vertical="center" readingOrder="2"/>
    </xf>
    <xf numFmtId="0" fontId="29" fillId="3" borderId="6" xfId="0" applyFont="1" applyFill="1" applyBorder="1" applyAlignment="1">
      <alignment horizontal="center" vertical="center" readingOrder="2"/>
    </xf>
    <xf numFmtId="0" fontId="9" fillId="0" borderId="16" xfId="0" applyFont="1" applyBorder="1" applyAlignment="1">
      <alignment horizontal="left" vertical="center"/>
    </xf>
    <xf numFmtId="0" fontId="29" fillId="0" borderId="19" xfId="0" applyFont="1" applyBorder="1" applyAlignment="1">
      <alignment horizontal="center" vertical="center" wrapText="1"/>
    </xf>
    <xf numFmtId="0" fontId="38" fillId="4" borderId="75" xfId="0" applyFont="1" applyFill="1" applyBorder="1" applyAlignment="1">
      <alignment horizontal="center" vertical="center"/>
    </xf>
    <xf numFmtId="0" fontId="38" fillId="4" borderId="21" xfId="0" applyFont="1" applyFill="1" applyBorder="1" applyAlignment="1">
      <alignment horizontal="center" vertical="center"/>
    </xf>
    <xf numFmtId="0" fontId="27" fillId="0" borderId="52" xfId="0" applyFont="1" applyBorder="1" applyAlignment="1">
      <alignment vertical="top" readingOrder="2"/>
    </xf>
    <xf numFmtId="0" fontId="39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71" fillId="0" borderId="0" xfId="0" applyFont="1" applyAlignment="1">
      <alignment vertical="top"/>
    </xf>
    <xf numFmtId="3" fontId="35" fillId="0" borderId="36" xfId="0" applyNumberFormat="1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9" fillId="3" borderId="11" xfId="0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readingOrder="2"/>
    </xf>
    <xf numFmtId="0" fontId="0" fillId="0" borderId="0" xfId="0" applyAlignment="1">
      <alignment horizontal="right"/>
    </xf>
    <xf numFmtId="3" fontId="75" fillId="6" borderId="37" xfId="0" applyNumberFormat="1" applyFont="1" applyFill="1" applyBorder="1" applyAlignment="1">
      <alignment horizontal="center" vertical="center"/>
    </xf>
    <xf numFmtId="0" fontId="72" fillId="0" borderId="14" xfId="0" applyFont="1" applyBorder="1" applyAlignment="1">
      <alignment horizontal="center" vertical="center"/>
    </xf>
    <xf numFmtId="0" fontId="74" fillId="0" borderId="12" xfId="0" applyFont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3" fontId="8" fillId="6" borderId="75" xfId="0" applyNumberFormat="1" applyFont="1" applyFill="1" applyBorder="1" applyAlignment="1">
      <alignment vertical="center"/>
    </xf>
    <xf numFmtId="3" fontId="35" fillId="0" borderId="50" xfId="0" applyNumberFormat="1" applyFont="1" applyFill="1" applyBorder="1" applyAlignment="1">
      <alignment horizontal="center" vertical="center"/>
    </xf>
    <xf numFmtId="0" fontId="29" fillId="3" borderId="7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37" fontId="36" fillId="3" borderId="2" xfId="0" applyNumberFormat="1" applyFont="1" applyFill="1" applyBorder="1" applyAlignment="1">
      <alignment horizontal="center" vertical="center"/>
    </xf>
    <xf numFmtId="37" fontId="36" fillId="3" borderId="5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3" fontId="8" fillId="6" borderId="78" xfId="0" applyNumberFormat="1" applyFont="1" applyFill="1" applyBorder="1" applyAlignment="1">
      <alignment horizontal="center" vertical="center"/>
    </xf>
    <xf numFmtId="0" fontId="41" fillId="4" borderId="5" xfId="0" applyFont="1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25" fillId="4" borderId="77" xfId="0" applyFont="1" applyFill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38" fillId="4" borderId="82" xfId="0" applyFont="1" applyFill="1" applyBorder="1" applyAlignment="1">
      <alignment horizontal="center" vertical="center"/>
    </xf>
    <xf numFmtId="0" fontId="38" fillId="4" borderId="20" xfId="0" applyFont="1" applyFill="1" applyBorder="1" applyAlignment="1">
      <alignment horizontal="center" vertical="center"/>
    </xf>
    <xf numFmtId="0" fontId="41" fillId="4" borderId="8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38" fillId="4" borderId="83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readingOrder="2"/>
    </xf>
    <xf numFmtId="0" fontId="41" fillId="4" borderId="21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 readingOrder="2"/>
    </xf>
    <xf numFmtId="0" fontId="77" fillId="6" borderId="75" xfId="0" applyFont="1" applyFill="1" applyBorder="1" applyAlignment="1">
      <alignment horizontal="center" vertical="center"/>
    </xf>
    <xf numFmtId="0" fontId="78" fillId="0" borderId="15" xfId="0" applyFont="1" applyFill="1" applyBorder="1" applyAlignment="1">
      <alignment horizontal="center" vertical="center"/>
    </xf>
    <xf numFmtId="0" fontId="78" fillId="0" borderId="37" xfId="0" applyFont="1" applyFill="1" applyBorder="1" applyAlignment="1">
      <alignment horizontal="center" vertical="center"/>
    </xf>
    <xf numFmtId="3" fontId="27" fillId="0" borderId="16" xfId="0" applyNumberFormat="1" applyFont="1" applyBorder="1" applyAlignment="1">
      <alignment horizontal="center" vertical="center" readingOrder="2"/>
    </xf>
    <xf numFmtId="3" fontId="27" fillId="0" borderId="22" xfId="0" applyNumberFormat="1" applyFont="1" applyBorder="1" applyAlignment="1">
      <alignment horizontal="center" vertical="center" readingOrder="2"/>
    </xf>
    <xf numFmtId="3" fontId="27" fillId="0" borderId="20" xfId="0" applyNumberFormat="1" applyFont="1" applyBorder="1" applyAlignment="1">
      <alignment horizontal="center" vertical="center" readingOrder="2"/>
    </xf>
    <xf numFmtId="0" fontId="28" fillId="3" borderId="60" xfId="0" applyFont="1" applyFill="1" applyBorder="1" applyAlignment="1">
      <alignment horizontal="center" vertical="center" readingOrder="2"/>
    </xf>
    <xf numFmtId="0" fontId="28" fillId="3" borderId="67" xfId="0" applyFont="1" applyFill="1" applyBorder="1" applyAlignment="1">
      <alignment horizontal="center" vertical="center" readingOrder="2"/>
    </xf>
    <xf numFmtId="0" fontId="76" fillId="0" borderId="25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9" fontId="27" fillId="0" borderId="5" xfId="0" applyNumberFormat="1" applyFont="1" applyBorder="1" applyAlignment="1">
      <alignment horizontal="center" vertical="center" readingOrder="2"/>
    </xf>
    <xf numFmtId="169" fontId="27" fillId="0" borderId="7" xfId="0" applyNumberFormat="1" applyFont="1" applyBorder="1" applyAlignment="1">
      <alignment horizontal="center" vertical="center" readingOrder="2"/>
    </xf>
    <xf numFmtId="169" fontId="27" fillId="0" borderId="24" xfId="0" applyNumberFormat="1" applyFont="1" applyBorder="1" applyAlignment="1">
      <alignment horizontal="center" vertical="center" readingOrder="2"/>
    </xf>
    <xf numFmtId="169" fontId="27" fillId="0" borderId="25" xfId="0" applyNumberFormat="1" applyFont="1" applyBorder="1" applyAlignment="1">
      <alignment horizontal="center" vertical="center" readingOrder="2"/>
    </xf>
    <xf numFmtId="169" fontId="27" fillId="0" borderId="8" xfId="0" applyNumberFormat="1" applyFont="1" applyBorder="1" applyAlignment="1">
      <alignment horizontal="center" vertical="center" readingOrder="2"/>
    </xf>
    <xf numFmtId="169" fontId="27" fillId="0" borderId="10" xfId="0" applyNumberFormat="1" applyFont="1" applyBorder="1" applyAlignment="1">
      <alignment horizontal="center" vertical="center" readingOrder="2"/>
    </xf>
    <xf numFmtId="0" fontId="73" fillId="0" borderId="2" xfId="0" applyFont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73" fillId="0" borderId="4" xfId="0" applyFont="1" applyBorder="1" applyAlignment="1">
      <alignment horizontal="center"/>
    </xf>
    <xf numFmtId="0" fontId="27" fillId="0" borderId="71" xfId="0" applyFont="1" applyBorder="1" applyAlignment="1">
      <alignment horizontal="center"/>
    </xf>
    <xf numFmtId="0" fontId="27" fillId="0" borderId="56" xfId="0" applyFont="1" applyBorder="1" applyAlignment="1">
      <alignment horizontal="center"/>
    </xf>
    <xf numFmtId="166" fontId="27" fillId="0" borderId="48" xfId="0" applyNumberFormat="1" applyFont="1" applyBorder="1" applyAlignment="1">
      <alignment horizontal="center" vertical="center" readingOrder="2"/>
    </xf>
    <xf numFmtId="166" fontId="27" fillId="0" borderId="45" xfId="0" applyNumberFormat="1" applyFont="1" applyBorder="1" applyAlignment="1">
      <alignment horizontal="center" vertical="center" readingOrder="2"/>
    </xf>
    <xf numFmtId="0" fontId="3" fillId="0" borderId="56" xfId="0" applyFont="1" applyBorder="1" applyAlignment="1">
      <alignment horizontal="center" vertical="center" readingOrder="2"/>
    </xf>
    <xf numFmtId="0" fontId="3" fillId="0" borderId="72" xfId="0" applyFont="1" applyBorder="1" applyAlignment="1">
      <alignment horizontal="center" vertical="center" readingOrder="2"/>
    </xf>
    <xf numFmtId="0" fontId="3" fillId="0" borderId="71" xfId="0" applyFont="1" applyBorder="1" applyAlignment="1">
      <alignment horizontal="center" vertical="center" readingOrder="2"/>
    </xf>
    <xf numFmtId="0" fontId="27" fillId="0" borderId="49" xfId="0" applyFont="1" applyBorder="1" applyAlignment="1">
      <alignment horizontal="center" vertical="center" readingOrder="2"/>
    </xf>
    <xf numFmtId="0" fontId="27" fillId="0" borderId="46" xfId="0" applyFont="1" applyBorder="1" applyAlignment="1">
      <alignment horizontal="center" vertical="center" readingOrder="2"/>
    </xf>
    <xf numFmtId="0" fontId="27" fillId="0" borderId="35" xfId="0" applyFont="1" applyBorder="1" applyAlignment="1">
      <alignment horizontal="center" vertical="top" readingOrder="2"/>
    </xf>
    <xf numFmtId="0" fontId="27" fillId="0" borderId="66" xfId="0" applyFont="1" applyBorder="1" applyAlignment="1">
      <alignment horizontal="center" vertical="top" readingOrder="2"/>
    </xf>
    <xf numFmtId="166" fontId="27" fillId="0" borderId="3" xfId="0" applyNumberFormat="1" applyFont="1" applyBorder="1" applyAlignment="1">
      <alignment horizontal="center" vertical="center" readingOrder="2"/>
    </xf>
    <xf numFmtId="166" fontId="27" fillId="0" borderId="65" xfId="0" applyNumberFormat="1" applyFont="1" applyBorder="1" applyAlignment="1">
      <alignment horizontal="center" vertical="center" readingOrder="2"/>
    </xf>
    <xf numFmtId="0" fontId="3" fillId="0" borderId="24" xfId="0" applyFont="1" applyBorder="1" applyAlignment="1">
      <alignment horizontal="center" vertical="center" readingOrder="2"/>
    </xf>
    <xf numFmtId="0" fontId="3" fillId="0" borderId="0" xfId="0" applyFont="1" applyBorder="1" applyAlignment="1">
      <alignment horizontal="center" vertical="center" readingOrder="2"/>
    </xf>
    <xf numFmtId="0" fontId="3" fillId="0" borderId="25" xfId="0" applyFont="1" applyBorder="1" applyAlignment="1">
      <alignment horizontal="center" vertical="center" readingOrder="2"/>
    </xf>
    <xf numFmtId="0" fontId="27" fillId="0" borderId="47" xfId="0" applyFont="1" applyBorder="1" applyAlignment="1">
      <alignment horizontal="center" vertical="center" readingOrder="2"/>
    </xf>
    <xf numFmtId="0" fontId="27" fillId="0" borderId="44" xfId="0" applyFont="1" applyBorder="1" applyAlignment="1">
      <alignment horizontal="center" vertical="center" readingOrder="2"/>
    </xf>
    <xf numFmtId="0" fontId="27" fillId="0" borderId="16" xfId="0" applyFont="1" applyBorder="1" applyAlignment="1">
      <alignment horizontal="center" vertical="center" readingOrder="2"/>
    </xf>
    <xf numFmtId="0" fontId="27" fillId="0" borderId="22" xfId="0" applyFont="1" applyBorder="1" applyAlignment="1">
      <alignment horizontal="center" vertical="center" readingOrder="2"/>
    </xf>
    <xf numFmtId="0" fontId="27" fillId="0" borderId="20" xfId="0" applyFont="1" applyBorder="1" applyAlignment="1">
      <alignment horizontal="center" vertical="center" readingOrder="2"/>
    </xf>
    <xf numFmtId="49" fontId="36" fillId="4" borderId="5" xfId="0" applyNumberFormat="1" applyFont="1" applyFill="1" applyBorder="1" applyAlignment="1">
      <alignment horizontal="center" vertical="center"/>
    </xf>
    <xf numFmtId="49" fontId="36" fillId="4" borderId="7" xfId="0" applyNumberFormat="1" applyFont="1" applyFill="1" applyBorder="1" applyAlignment="1">
      <alignment horizontal="center" vertical="center"/>
    </xf>
    <xf numFmtId="0" fontId="9" fillId="0" borderId="73" xfId="0" applyFont="1" applyBorder="1" applyAlignment="1">
      <alignment horizontal="center" vertical="center" readingOrder="2"/>
    </xf>
    <xf numFmtId="0" fontId="9" fillId="0" borderId="7" xfId="0" applyFont="1" applyBorder="1" applyAlignment="1">
      <alignment horizontal="center" vertical="center" readingOrder="2"/>
    </xf>
    <xf numFmtId="0" fontId="37" fillId="4" borderId="5" xfId="0" applyFont="1" applyFill="1" applyBorder="1" applyAlignment="1">
      <alignment horizontal="center" vertical="center"/>
    </xf>
    <xf numFmtId="0" fontId="37" fillId="4" borderId="74" xfId="0" applyFont="1" applyFill="1" applyBorder="1" applyAlignment="1">
      <alignment horizontal="center" vertical="center"/>
    </xf>
    <xf numFmtId="3" fontId="30" fillId="6" borderId="0" xfId="0" applyNumberFormat="1" applyFont="1" applyFill="1" applyAlignment="1">
      <alignment horizontal="center"/>
    </xf>
    <xf numFmtId="0" fontId="27" fillId="0" borderId="24" xfId="0" applyFont="1" applyBorder="1" applyAlignment="1">
      <alignment horizontal="center" vertical="center" readingOrder="2"/>
    </xf>
    <xf numFmtId="0" fontId="27" fillId="0" borderId="25" xfId="0" applyFont="1" applyBorder="1" applyAlignment="1">
      <alignment horizontal="center" vertical="center" readingOrder="2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7" fillId="0" borderId="69" xfId="0" applyFont="1" applyBorder="1" applyAlignment="1">
      <alignment horizontal="center" vertical="center" readingOrder="2"/>
    </xf>
    <xf numFmtId="0" fontId="27" fillId="0" borderId="33" xfId="0" applyFont="1" applyBorder="1" applyAlignment="1">
      <alignment horizontal="center" vertical="center" readingOrder="2"/>
    </xf>
    <xf numFmtId="0" fontId="27" fillId="0" borderId="70" xfId="0" applyFont="1" applyBorder="1" applyAlignment="1">
      <alignment horizontal="center" vertical="center" readingOrder="2"/>
    </xf>
    <xf numFmtId="0" fontId="11" fillId="0" borderId="0" xfId="0" applyFont="1" applyBorder="1" applyAlignment="1">
      <alignment horizontal="center" vertical="top"/>
    </xf>
    <xf numFmtId="0" fontId="11" fillId="0" borderId="9" xfId="0" applyFont="1" applyBorder="1" applyAlignment="1">
      <alignment horizontal="center" vertical="top"/>
    </xf>
    <xf numFmtId="0" fontId="10" fillId="0" borderId="41" xfId="0" applyFont="1" applyBorder="1" applyAlignment="1">
      <alignment horizontal="center" vertical="center" readingOrder="2"/>
    </xf>
    <xf numFmtId="0" fontId="10" fillId="0" borderId="42" xfId="0" applyFont="1" applyBorder="1" applyAlignment="1">
      <alignment horizontal="center" vertical="center" readingOrder="2"/>
    </xf>
    <xf numFmtId="0" fontId="10" fillId="0" borderId="43" xfId="0" applyFont="1" applyBorder="1" applyAlignment="1">
      <alignment horizontal="center" vertical="center" readingOrder="2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0" xfId="0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6" fillId="4" borderId="2" xfId="0" applyFont="1" applyFill="1" applyBorder="1" applyAlignment="1">
      <alignment horizontal="center" vertical="center"/>
    </xf>
    <xf numFmtId="0" fontId="36" fillId="4" borderId="4" xfId="0" applyFont="1" applyFill="1" applyBorder="1" applyAlignment="1">
      <alignment horizontal="center" vertical="center"/>
    </xf>
    <xf numFmtId="0" fontId="36" fillId="4" borderId="38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 wrapText="1" readingOrder="2"/>
    </xf>
    <xf numFmtId="0" fontId="9" fillId="0" borderId="0" xfId="0" applyFont="1" applyAlignment="1">
      <alignment horizontal="right" wrapText="1" readingOrder="2"/>
    </xf>
    <xf numFmtId="3" fontId="27" fillId="0" borderId="9" xfId="0" applyNumberFormat="1" applyFont="1" applyBorder="1" applyAlignment="1">
      <alignment horizontal="left" vertical="center" readingOrder="2"/>
    </xf>
    <xf numFmtId="3" fontId="27" fillId="0" borderId="10" xfId="0" applyNumberFormat="1" applyFont="1" applyBorder="1" applyAlignment="1">
      <alignment horizontal="left" vertical="center" readingOrder="2"/>
    </xf>
    <xf numFmtId="3" fontId="27" fillId="0" borderId="5" xfId="0" applyNumberFormat="1" applyFont="1" applyBorder="1" applyAlignment="1">
      <alignment horizontal="left" vertical="center" readingOrder="1"/>
    </xf>
    <xf numFmtId="3" fontId="27" fillId="0" borderId="6" xfId="0" applyNumberFormat="1" applyFont="1" applyBorder="1" applyAlignment="1">
      <alignment horizontal="left" vertical="center" readingOrder="1"/>
    </xf>
    <xf numFmtId="3" fontId="27" fillId="0" borderId="7" xfId="0" applyNumberFormat="1" applyFont="1" applyBorder="1" applyAlignment="1">
      <alignment horizontal="left" vertical="center" readingOrder="1"/>
    </xf>
    <xf numFmtId="3" fontId="13" fillId="0" borderId="0" xfId="0" applyNumberFormat="1" applyFont="1" applyBorder="1" applyAlignment="1">
      <alignment horizontal="right" vertical="center" wrapText="1" readingOrder="2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3" fontId="27" fillId="0" borderId="3" xfId="0" applyNumberFormat="1" applyFont="1" applyBorder="1" applyAlignment="1">
      <alignment horizontal="left" vertical="center" readingOrder="1"/>
    </xf>
    <xf numFmtId="3" fontId="27" fillId="0" borderId="4" xfId="0" applyNumberFormat="1" applyFont="1" applyBorder="1" applyAlignment="1">
      <alignment horizontal="left" vertical="center" readingOrder="1"/>
    </xf>
    <xf numFmtId="0" fontId="42" fillId="0" borderId="79" xfId="0" applyFont="1" applyFill="1" applyBorder="1" applyAlignment="1">
      <alignment horizontal="center" vertical="center"/>
    </xf>
    <xf numFmtId="0" fontId="42" fillId="0" borderId="80" xfId="0" applyFont="1" applyFill="1" applyBorder="1" applyAlignment="1">
      <alignment horizontal="center" vertical="center"/>
    </xf>
    <xf numFmtId="0" fontId="35" fillId="6" borderId="80" xfId="0" applyFont="1" applyFill="1" applyBorder="1" applyAlignment="1">
      <alignment horizontal="center" vertical="center"/>
    </xf>
    <xf numFmtId="0" fontId="35" fillId="6" borderId="81" xfId="0" applyFont="1" applyFill="1" applyBorder="1" applyAlignment="1">
      <alignment horizontal="center" vertical="center"/>
    </xf>
    <xf numFmtId="0" fontId="36" fillId="0" borderId="17" xfId="0" applyFont="1" applyBorder="1" applyAlignment="1">
      <alignment horizontal="center" vertical="center" wrapText="1" readingOrder="2"/>
    </xf>
    <xf numFmtId="0" fontId="36" fillId="0" borderId="23" xfId="0" applyFont="1" applyBorder="1" applyAlignment="1">
      <alignment horizontal="center" vertical="center" wrapText="1" readingOrder="2"/>
    </xf>
    <xf numFmtId="0" fontId="36" fillId="0" borderId="18" xfId="0" applyFont="1" applyBorder="1" applyAlignment="1">
      <alignment horizontal="center" vertical="center" wrapText="1" readingOrder="2"/>
    </xf>
    <xf numFmtId="0" fontId="36" fillId="0" borderId="0" xfId="0" applyFont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167" fontId="49" fillId="0" borderId="59" xfId="0" applyNumberFormat="1" applyFont="1" applyBorder="1" applyAlignment="1">
      <alignment horizontal="center" vertical="center"/>
    </xf>
    <xf numFmtId="167" fontId="49" fillId="0" borderId="60" xfId="0" applyNumberFormat="1" applyFont="1" applyBorder="1" applyAlignment="1">
      <alignment horizontal="center" vertical="center"/>
    </xf>
    <xf numFmtId="3" fontId="51" fillId="0" borderId="0" xfId="0" applyNumberFormat="1" applyFont="1" applyBorder="1" applyAlignment="1">
      <alignment horizontal="center" vertical="center"/>
    </xf>
    <xf numFmtId="3" fontId="0" fillId="0" borderId="58" xfId="0" applyNumberFormat="1" applyBorder="1" applyAlignment="1">
      <alignment horizontal="center" vertical="center"/>
    </xf>
    <xf numFmtId="3" fontId="5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3" fontId="58" fillId="0" borderId="62" xfId="0" applyNumberFormat="1" applyFont="1" applyBorder="1" applyAlignment="1">
      <alignment horizontal="center" vertical="center"/>
    </xf>
    <xf numFmtId="3" fontId="58" fillId="0" borderId="63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167" fontId="14" fillId="0" borderId="0" xfId="0" applyNumberFormat="1" applyFont="1" applyAlignment="1">
      <alignment horizontal="left"/>
    </xf>
    <xf numFmtId="167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3" fontId="14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167" fontId="21" fillId="0" borderId="0" xfId="0" applyNumberFormat="1" applyFont="1" applyAlignment="1">
      <alignment horizontal="left"/>
    </xf>
    <xf numFmtId="2" fontId="16" fillId="0" borderId="2" xfId="0" applyNumberFormat="1" applyFont="1" applyBorder="1" applyAlignment="1">
      <alignment horizontal="left" vertical="center"/>
    </xf>
    <xf numFmtId="2" fontId="16" fillId="0" borderId="3" xfId="0" applyNumberFormat="1" applyFont="1" applyBorder="1" applyAlignment="1">
      <alignment horizontal="left" vertical="center"/>
    </xf>
    <xf numFmtId="3" fontId="19" fillId="0" borderId="3" xfId="0" applyNumberFormat="1" applyFont="1" applyBorder="1" applyAlignment="1">
      <alignment horizontal="center" vertical="center"/>
    </xf>
    <xf numFmtId="167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7" fontId="19" fillId="0" borderId="0" xfId="0" applyNumberFormat="1" applyFont="1" applyAlignment="1">
      <alignment vertical="center"/>
    </xf>
    <xf numFmtId="167" fontId="1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33" fillId="5" borderId="2" xfId="0" applyFont="1" applyFill="1" applyBorder="1" applyAlignment="1">
      <alignment horizontal="center" vertical="center"/>
    </xf>
    <xf numFmtId="0" fontId="33" fillId="5" borderId="38" xfId="0" applyFont="1" applyFill="1" applyBorder="1" applyAlignment="1">
      <alignment horizontal="center" vertical="center"/>
    </xf>
    <xf numFmtId="0" fontId="34" fillId="5" borderId="50" xfId="0" applyFont="1" applyFill="1" applyBorder="1" applyAlignment="1">
      <alignment horizontal="center" vertical="center"/>
    </xf>
    <xf numFmtId="0" fontId="34" fillId="5" borderId="51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7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F9900"/>
      <color rgb="FF008000"/>
      <color rgb="FF66FFFF"/>
      <color rgb="FFFFFFFF"/>
      <color rgb="FF66FF99"/>
      <color rgb="FFFFFF99"/>
      <color rgb="FFCCFF99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image" Target="../media/image16.wmf"/><Relationship Id="rId3" Type="http://schemas.openxmlformats.org/officeDocument/2006/relationships/image" Target="../media/image6.wmf"/><Relationship Id="rId7" Type="http://schemas.openxmlformats.org/officeDocument/2006/relationships/image" Target="../media/image10.wmf"/><Relationship Id="rId12" Type="http://schemas.openxmlformats.org/officeDocument/2006/relationships/image" Target="../media/image15.wmf"/><Relationship Id="rId2" Type="http://schemas.openxmlformats.org/officeDocument/2006/relationships/image" Target="../media/image5.wmf"/><Relationship Id="rId16" Type="http://schemas.openxmlformats.org/officeDocument/2006/relationships/image" Target="../media/image19.wmf"/><Relationship Id="rId1" Type="http://schemas.openxmlformats.org/officeDocument/2006/relationships/image" Target="../media/image4.wmf"/><Relationship Id="rId6" Type="http://schemas.openxmlformats.org/officeDocument/2006/relationships/image" Target="../media/image9.wmf"/><Relationship Id="rId11" Type="http://schemas.openxmlformats.org/officeDocument/2006/relationships/image" Target="../media/image14.wmf"/><Relationship Id="rId5" Type="http://schemas.openxmlformats.org/officeDocument/2006/relationships/image" Target="../media/image8.wmf"/><Relationship Id="rId15" Type="http://schemas.openxmlformats.org/officeDocument/2006/relationships/image" Target="../media/image18.wmf"/><Relationship Id="rId10" Type="http://schemas.openxmlformats.org/officeDocument/2006/relationships/image" Target="../media/image13.wmf"/><Relationship Id="rId4" Type="http://schemas.openxmlformats.org/officeDocument/2006/relationships/image" Target="../media/image7.wmf"/><Relationship Id="rId9" Type="http://schemas.openxmlformats.org/officeDocument/2006/relationships/image" Target="../media/image12.wmf"/><Relationship Id="rId14" Type="http://schemas.openxmlformats.org/officeDocument/2006/relationships/image" Target="../media/image17.w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image" Target="../media/image16.wmf"/><Relationship Id="rId3" Type="http://schemas.openxmlformats.org/officeDocument/2006/relationships/image" Target="../media/image6.wmf"/><Relationship Id="rId7" Type="http://schemas.openxmlformats.org/officeDocument/2006/relationships/image" Target="../media/image10.wmf"/><Relationship Id="rId12" Type="http://schemas.openxmlformats.org/officeDocument/2006/relationships/image" Target="../media/image15.wmf"/><Relationship Id="rId2" Type="http://schemas.openxmlformats.org/officeDocument/2006/relationships/image" Target="../media/image5.wmf"/><Relationship Id="rId16" Type="http://schemas.openxmlformats.org/officeDocument/2006/relationships/image" Target="../media/image19.wmf"/><Relationship Id="rId1" Type="http://schemas.openxmlformats.org/officeDocument/2006/relationships/image" Target="../media/image4.wmf"/><Relationship Id="rId6" Type="http://schemas.openxmlformats.org/officeDocument/2006/relationships/image" Target="../media/image9.wmf"/><Relationship Id="rId11" Type="http://schemas.openxmlformats.org/officeDocument/2006/relationships/image" Target="../media/image14.wmf"/><Relationship Id="rId5" Type="http://schemas.openxmlformats.org/officeDocument/2006/relationships/image" Target="../media/image8.wmf"/><Relationship Id="rId15" Type="http://schemas.openxmlformats.org/officeDocument/2006/relationships/image" Target="../media/image18.wmf"/><Relationship Id="rId10" Type="http://schemas.openxmlformats.org/officeDocument/2006/relationships/image" Target="../media/image13.wmf"/><Relationship Id="rId4" Type="http://schemas.openxmlformats.org/officeDocument/2006/relationships/image" Target="../media/image7.wmf"/><Relationship Id="rId9" Type="http://schemas.openxmlformats.org/officeDocument/2006/relationships/image" Target="../media/image12.wmf"/><Relationship Id="rId14" Type="http://schemas.openxmlformats.org/officeDocument/2006/relationships/image" Target="../media/image17.w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image" Target="../media/image16.wmf"/><Relationship Id="rId3" Type="http://schemas.openxmlformats.org/officeDocument/2006/relationships/image" Target="../media/image6.wmf"/><Relationship Id="rId7" Type="http://schemas.openxmlformats.org/officeDocument/2006/relationships/image" Target="../media/image10.wmf"/><Relationship Id="rId12" Type="http://schemas.openxmlformats.org/officeDocument/2006/relationships/image" Target="../media/image15.wmf"/><Relationship Id="rId2" Type="http://schemas.openxmlformats.org/officeDocument/2006/relationships/image" Target="../media/image5.wmf"/><Relationship Id="rId16" Type="http://schemas.openxmlformats.org/officeDocument/2006/relationships/image" Target="../media/image19.wmf"/><Relationship Id="rId1" Type="http://schemas.openxmlformats.org/officeDocument/2006/relationships/image" Target="../media/image4.wmf"/><Relationship Id="rId6" Type="http://schemas.openxmlformats.org/officeDocument/2006/relationships/image" Target="../media/image9.wmf"/><Relationship Id="rId11" Type="http://schemas.openxmlformats.org/officeDocument/2006/relationships/image" Target="../media/image14.wmf"/><Relationship Id="rId5" Type="http://schemas.openxmlformats.org/officeDocument/2006/relationships/image" Target="../media/image8.wmf"/><Relationship Id="rId15" Type="http://schemas.openxmlformats.org/officeDocument/2006/relationships/image" Target="../media/image18.wmf"/><Relationship Id="rId10" Type="http://schemas.openxmlformats.org/officeDocument/2006/relationships/image" Target="../media/image13.wmf"/><Relationship Id="rId4" Type="http://schemas.openxmlformats.org/officeDocument/2006/relationships/image" Target="../media/image7.wmf"/><Relationship Id="rId9" Type="http://schemas.openxmlformats.org/officeDocument/2006/relationships/image" Target="../media/image12.wmf"/><Relationship Id="rId14" Type="http://schemas.openxmlformats.org/officeDocument/2006/relationships/image" Target="../media/image17.w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image" Target="../media/image16.wmf"/><Relationship Id="rId3" Type="http://schemas.openxmlformats.org/officeDocument/2006/relationships/image" Target="../media/image6.wmf"/><Relationship Id="rId7" Type="http://schemas.openxmlformats.org/officeDocument/2006/relationships/image" Target="../media/image10.wmf"/><Relationship Id="rId12" Type="http://schemas.openxmlformats.org/officeDocument/2006/relationships/image" Target="../media/image15.wmf"/><Relationship Id="rId2" Type="http://schemas.openxmlformats.org/officeDocument/2006/relationships/image" Target="../media/image5.wmf"/><Relationship Id="rId16" Type="http://schemas.openxmlformats.org/officeDocument/2006/relationships/image" Target="../media/image19.wmf"/><Relationship Id="rId1" Type="http://schemas.openxmlformats.org/officeDocument/2006/relationships/image" Target="../media/image4.wmf"/><Relationship Id="rId6" Type="http://schemas.openxmlformats.org/officeDocument/2006/relationships/image" Target="../media/image9.wmf"/><Relationship Id="rId11" Type="http://schemas.openxmlformats.org/officeDocument/2006/relationships/image" Target="../media/image14.wmf"/><Relationship Id="rId5" Type="http://schemas.openxmlformats.org/officeDocument/2006/relationships/image" Target="../media/image8.wmf"/><Relationship Id="rId15" Type="http://schemas.openxmlformats.org/officeDocument/2006/relationships/image" Target="../media/image18.wmf"/><Relationship Id="rId10" Type="http://schemas.openxmlformats.org/officeDocument/2006/relationships/image" Target="../media/image13.wmf"/><Relationship Id="rId4" Type="http://schemas.openxmlformats.org/officeDocument/2006/relationships/image" Target="../media/image7.wmf"/><Relationship Id="rId9" Type="http://schemas.openxmlformats.org/officeDocument/2006/relationships/image" Target="../media/image12.wmf"/><Relationship Id="rId14" Type="http://schemas.openxmlformats.org/officeDocument/2006/relationships/image" Target="../media/image17.w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image" Target="../media/image16.wmf"/><Relationship Id="rId3" Type="http://schemas.openxmlformats.org/officeDocument/2006/relationships/image" Target="../media/image6.wmf"/><Relationship Id="rId7" Type="http://schemas.openxmlformats.org/officeDocument/2006/relationships/image" Target="../media/image10.wmf"/><Relationship Id="rId12" Type="http://schemas.openxmlformats.org/officeDocument/2006/relationships/image" Target="../media/image15.wmf"/><Relationship Id="rId2" Type="http://schemas.openxmlformats.org/officeDocument/2006/relationships/image" Target="../media/image5.wmf"/><Relationship Id="rId16" Type="http://schemas.openxmlformats.org/officeDocument/2006/relationships/image" Target="../media/image19.wmf"/><Relationship Id="rId1" Type="http://schemas.openxmlformats.org/officeDocument/2006/relationships/image" Target="../media/image4.wmf"/><Relationship Id="rId6" Type="http://schemas.openxmlformats.org/officeDocument/2006/relationships/image" Target="../media/image9.wmf"/><Relationship Id="rId11" Type="http://schemas.openxmlformats.org/officeDocument/2006/relationships/image" Target="../media/image14.wmf"/><Relationship Id="rId5" Type="http://schemas.openxmlformats.org/officeDocument/2006/relationships/image" Target="../media/image8.wmf"/><Relationship Id="rId15" Type="http://schemas.openxmlformats.org/officeDocument/2006/relationships/image" Target="../media/image18.wmf"/><Relationship Id="rId10" Type="http://schemas.openxmlformats.org/officeDocument/2006/relationships/image" Target="../media/image13.wmf"/><Relationship Id="rId4" Type="http://schemas.openxmlformats.org/officeDocument/2006/relationships/image" Target="../media/image7.wmf"/><Relationship Id="rId9" Type="http://schemas.openxmlformats.org/officeDocument/2006/relationships/image" Target="../media/image12.wmf"/><Relationship Id="rId14" Type="http://schemas.openxmlformats.org/officeDocument/2006/relationships/image" Target="../media/image17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88465</xdr:colOff>
      <xdr:row>41</xdr:row>
      <xdr:rowOff>195947</xdr:rowOff>
    </xdr:from>
    <xdr:to>
      <xdr:col>20</xdr:col>
      <xdr:colOff>560112</xdr:colOff>
      <xdr:row>49</xdr:row>
      <xdr:rowOff>4394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8883988" y="7930247"/>
          <a:ext cx="1671797" cy="1484846"/>
        </a:xfrm>
        <a:prstGeom prst="rect">
          <a:avLst/>
        </a:prstGeom>
      </xdr:spPr>
    </xdr:pic>
    <xdr:clientData/>
  </xdr:twoCellAnchor>
  <xdr:twoCellAnchor editAs="oneCell">
    <xdr:from>
      <xdr:col>19</xdr:col>
      <xdr:colOff>121775</xdr:colOff>
      <xdr:row>80</xdr:row>
      <xdr:rowOff>92561</xdr:rowOff>
    </xdr:from>
    <xdr:to>
      <xdr:col>21</xdr:col>
      <xdr:colOff>106937</xdr:colOff>
      <xdr:row>87</xdr:row>
      <xdr:rowOff>169410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9419212" y="16648743"/>
          <a:ext cx="1577786" cy="1472044"/>
        </a:xfrm>
        <a:prstGeom prst="rect">
          <a:avLst/>
        </a:prstGeom>
      </xdr:spPr>
    </xdr:pic>
    <xdr:clientData/>
  </xdr:twoCellAnchor>
  <xdr:twoCellAnchor editAs="oneCell">
    <xdr:from>
      <xdr:col>175</xdr:col>
      <xdr:colOff>175065</xdr:colOff>
      <xdr:row>4</xdr:row>
      <xdr:rowOff>163392</xdr:rowOff>
    </xdr:from>
    <xdr:to>
      <xdr:col>186</xdr:col>
      <xdr:colOff>345428</xdr:colOff>
      <xdr:row>52</xdr:row>
      <xdr:rowOff>181535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9669801" y="786847"/>
          <a:ext cx="6837862" cy="9767454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66488</xdr:colOff>
      <xdr:row>1</xdr:row>
      <xdr:rowOff>73172</xdr:rowOff>
    </xdr:from>
    <xdr:to>
      <xdr:col>21</xdr:col>
      <xdr:colOff>598738</xdr:colOff>
      <xdr:row>50</xdr:row>
      <xdr:rowOff>101363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48399834" y="263672"/>
          <a:ext cx="7381178" cy="10024905"/>
        </a:xfrm>
        <a:prstGeom prst="rect">
          <a:avLst/>
        </a:prstGeom>
      </xdr:spPr>
    </xdr:pic>
    <xdr:clientData/>
  </xdr:twoCellAnchor>
  <xdr:twoCellAnchor editAs="oneCell">
    <xdr:from>
      <xdr:col>11</xdr:col>
      <xdr:colOff>29256</xdr:colOff>
      <xdr:row>53</xdr:row>
      <xdr:rowOff>188406</xdr:rowOff>
    </xdr:from>
    <xdr:to>
      <xdr:col>21</xdr:col>
      <xdr:colOff>618004</xdr:colOff>
      <xdr:row>100</xdr:row>
      <xdr:rowOff>201631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6950567" y="10236758"/>
          <a:ext cx="7441166" cy="10061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17</xdr:row>
          <xdr:rowOff>38100</xdr:rowOff>
        </xdr:from>
        <xdr:to>
          <xdr:col>1</xdr:col>
          <xdr:colOff>1238250</xdr:colOff>
          <xdr:row>17</xdr:row>
          <xdr:rowOff>561975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4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809625</xdr:colOff>
          <xdr:row>18</xdr:row>
          <xdr:rowOff>57150</xdr:rowOff>
        </xdr:from>
        <xdr:to>
          <xdr:col>1</xdr:col>
          <xdr:colOff>1143000</xdr:colOff>
          <xdr:row>19</xdr:row>
          <xdr:rowOff>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4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20</xdr:row>
          <xdr:rowOff>0</xdr:rowOff>
        </xdr:from>
        <xdr:to>
          <xdr:col>1</xdr:col>
          <xdr:colOff>1152525</xdr:colOff>
          <xdr:row>20</xdr:row>
          <xdr:rowOff>438150</xdr:rowOff>
        </xdr:to>
        <xdr:sp macro="" textlink="">
          <xdr:nvSpPr>
            <xdr:cNvPr id="22531" name="Object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4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762000</xdr:colOff>
          <xdr:row>21</xdr:row>
          <xdr:rowOff>0</xdr:rowOff>
        </xdr:from>
        <xdr:to>
          <xdr:col>1</xdr:col>
          <xdr:colOff>1143000</xdr:colOff>
          <xdr:row>21</xdr:row>
          <xdr:rowOff>504825</xdr:rowOff>
        </xdr:to>
        <xdr:sp macro="" textlink="">
          <xdr:nvSpPr>
            <xdr:cNvPr id="22532" name="Object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4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723900</xdr:colOff>
          <xdr:row>22</xdr:row>
          <xdr:rowOff>0</xdr:rowOff>
        </xdr:from>
        <xdr:to>
          <xdr:col>1</xdr:col>
          <xdr:colOff>1133475</xdr:colOff>
          <xdr:row>22</xdr:row>
          <xdr:rowOff>504825</xdr:rowOff>
        </xdr:to>
        <xdr:sp macro="" textlink="">
          <xdr:nvSpPr>
            <xdr:cNvPr id="22533" name="Object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4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676275</xdr:colOff>
          <xdr:row>23</xdr:row>
          <xdr:rowOff>28575</xdr:rowOff>
        </xdr:from>
        <xdr:to>
          <xdr:col>1</xdr:col>
          <xdr:colOff>1181100</xdr:colOff>
          <xdr:row>23</xdr:row>
          <xdr:rowOff>457200</xdr:rowOff>
        </xdr:to>
        <xdr:sp macro="" textlink="">
          <xdr:nvSpPr>
            <xdr:cNvPr id="22534" name="Object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4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885825</xdr:colOff>
          <xdr:row>19</xdr:row>
          <xdr:rowOff>47625</xdr:rowOff>
        </xdr:from>
        <xdr:to>
          <xdr:col>1</xdr:col>
          <xdr:colOff>1143000</xdr:colOff>
          <xdr:row>20</xdr:row>
          <xdr:rowOff>0</xdr:rowOff>
        </xdr:to>
        <xdr:sp macro="" textlink="">
          <xdr:nvSpPr>
            <xdr:cNvPr id="22535" name="Object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4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55</xdr:row>
          <xdr:rowOff>47625</xdr:rowOff>
        </xdr:from>
        <xdr:to>
          <xdr:col>1</xdr:col>
          <xdr:colOff>1162050</xdr:colOff>
          <xdr:row>55</xdr:row>
          <xdr:rowOff>476250</xdr:rowOff>
        </xdr:to>
        <xdr:sp macro="" textlink="">
          <xdr:nvSpPr>
            <xdr:cNvPr id="22536" name="Object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4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49</xdr:row>
          <xdr:rowOff>66675</xdr:rowOff>
        </xdr:from>
        <xdr:to>
          <xdr:col>1</xdr:col>
          <xdr:colOff>1438275</xdr:colOff>
          <xdr:row>49</xdr:row>
          <xdr:rowOff>314325</xdr:rowOff>
        </xdr:to>
        <xdr:sp macro="" textlink="">
          <xdr:nvSpPr>
            <xdr:cNvPr id="22537" name="Object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4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50</xdr:row>
          <xdr:rowOff>123825</xdr:rowOff>
        </xdr:from>
        <xdr:to>
          <xdr:col>1</xdr:col>
          <xdr:colOff>1476375</xdr:colOff>
          <xdr:row>50</xdr:row>
          <xdr:rowOff>304800</xdr:rowOff>
        </xdr:to>
        <xdr:sp macro="" textlink="">
          <xdr:nvSpPr>
            <xdr:cNvPr id="22538" name="Object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4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352425</xdr:colOff>
          <xdr:row>51</xdr:row>
          <xdr:rowOff>180975</xdr:rowOff>
        </xdr:from>
        <xdr:to>
          <xdr:col>1</xdr:col>
          <xdr:colOff>1428750</xdr:colOff>
          <xdr:row>51</xdr:row>
          <xdr:rowOff>276225</xdr:rowOff>
        </xdr:to>
        <xdr:sp macro="" textlink="">
          <xdr:nvSpPr>
            <xdr:cNvPr id="22539" name="Object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4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52</xdr:row>
          <xdr:rowOff>66675</xdr:rowOff>
        </xdr:from>
        <xdr:to>
          <xdr:col>1</xdr:col>
          <xdr:colOff>1457325</xdr:colOff>
          <xdr:row>52</xdr:row>
          <xdr:rowOff>333375</xdr:rowOff>
        </xdr:to>
        <xdr:sp macro="" textlink="">
          <xdr:nvSpPr>
            <xdr:cNvPr id="22540" name="Object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4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523875</xdr:colOff>
          <xdr:row>53</xdr:row>
          <xdr:rowOff>28575</xdr:rowOff>
        </xdr:from>
        <xdr:to>
          <xdr:col>1</xdr:col>
          <xdr:colOff>1276350</xdr:colOff>
          <xdr:row>53</xdr:row>
          <xdr:rowOff>352425</xdr:rowOff>
        </xdr:to>
        <xdr:sp macro="" textlink="">
          <xdr:nvSpPr>
            <xdr:cNvPr id="22541" name="Object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4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666750</xdr:colOff>
          <xdr:row>53</xdr:row>
          <xdr:rowOff>495300</xdr:rowOff>
        </xdr:from>
        <xdr:to>
          <xdr:col>1</xdr:col>
          <xdr:colOff>1095375</xdr:colOff>
          <xdr:row>54</xdr:row>
          <xdr:rowOff>457200</xdr:rowOff>
        </xdr:to>
        <xdr:sp macro="" textlink="">
          <xdr:nvSpPr>
            <xdr:cNvPr id="22542" name="Object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4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581025</xdr:colOff>
          <xdr:row>15</xdr:row>
          <xdr:rowOff>38100</xdr:rowOff>
        </xdr:from>
        <xdr:to>
          <xdr:col>1</xdr:col>
          <xdr:colOff>1419225</xdr:colOff>
          <xdr:row>16</xdr:row>
          <xdr:rowOff>28575</xdr:rowOff>
        </xdr:to>
        <xdr:sp macro="" textlink="">
          <xdr:nvSpPr>
            <xdr:cNvPr id="22543" name="Object 15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400-00000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590550</xdr:colOff>
          <xdr:row>14</xdr:row>
          <xdr:rowOff>28575</xdr:rowOff>
        </xdr:from>
        <xdr:to>
          <xdr:col>1</xdr:col>
          <xdr:colOff>1409700</xdr:colOff>
          <xdr:row>14</xdr:row>
          <xdr:rowOff>609600</xdr:rowOff>
        </xdr:to>
        <xdr:sp macro="" textlink="">
          <xdr:nvSpPr>
            <xdr:cNvPr id="22544" name="Object 16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400-00001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16</xdr:row>
          <xdr:rowOff>238125</xdr:rowOff>
        </xdr:from>
        <xdr:to>
          <xdr:col>1</xdr:col>
          <xdr:colOff>1619250</xdr:colOff>
          <xdr:row>16</xdr:row>
          <xdr:rowOff>457200</xdr:rowOff>
        </xdr:to>
        <xdr:sp macro="" textlink="">
          <xdr:nvSpPr>
            <xdr:cNvPr id="22545" name="Object 17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4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17</xdr:row>
          <xdr:rowOff>38100</xdr:rowOff>
        </xdr:from>
        <xdr:to>
          <xdr:col>1</xdr:col>
          <xdr:colOff>1238250</xdr:colOff>
          <xdr:row>17</xdr:row>
          <xdr:rowOff>561975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809625</xdr:colOff>
          <xdr:row>18</xdr:row>
          <xdr:rowOff>57150</xdr:rowOff>
        </xdr:from>
        <xdr:to>
          <xdr:col>1</xdr:col>
          <xdr:colOff>1143000</xdr:colOff>
          <xdr:row>19</xdr:row>
          <xdr:rowOff>0</xdr:rowOff>
        </xdr:to>
        <xdr:sp macro="" textlink="">
          <xdr:nvSpPr>
            <xdr:cNvPr id="38914" name="Object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20</xdr:row>
          <xdr:rowOff>0</xdr:rowOff>
        </xdr:from>
        <xdr:to>
          <xdr:col>1</xdr:col>
          <xdr:colOff>1152525</xdr:colOff>
          <xdr:row>20</xdr:row>
          <xdr:rowOff>438150</xdr:rowOff>
        </xdr:to>
        <xdr:sp macro="" textlink="">
          <xdr:nvSpPr>
            <xdr:cNvPr id="38915" name="Object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07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762000</xdr:colOff>
          <xdr:row>21</xdr:row>
          <xdr:rowOff>0</xdr:rowOff>
        </xdr:from>
        <xdr:to>
          <xdr:col>1</xdr:col>
          <xdr:colOff>1143000</xdr:colOff>
          <xdr:row>21</xdr:row>
          <xdr:rowOff>504825</xdr:rowOff>
        </xdr:to>
        <xdr:sp macro="" textlink="">
          <xdr:nvSpPr>
            <xdr:cNvPr id="38916" name="Object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07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723900</xdr:colOff>
          <xdr:row>22</xdr:row>
          <xdr:rowOff>0</xdr:rowOff>
        </xdr:from>
        <xdr:to>
          <xdr:col>1</xdr:col>
          <xdr:colOff>1133475</xdr:colOff>
          <xdr:row>22</xdr:row>
          <xdr:rowOff>504825</xdr:rowOff>
        </xdr:to>
        <xdr:sp macro="" textlink="">
          <xdr:nvSpPr>
            <xdr:cNvPr id="38917" name="Object 5" hidden="1">
              <a:extLst>
                <a:ext uri="{63B3BB69-23CF-44E3-9099-C40C66FF867C}">
                  <a14:compatExt spid="_x0000_s38917"/>
                </a:ext>
                <a:ext uri="{FF2B5EF4-FFF2-40B4-BE49-F238E27FC236}">
                  <a16:creationId xmlns:a16="http://schemas.microsoft.com/office/drawing/2014/main" id="{00000000-0008-0000-0700-000005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676275</xdr:colOff>
          <xdr:row>23</xdr:row>
          <xdr:rowOff>28575</xdr:rowOff>
        </xdr:from>
        <xdr:to>
          <xdr:col>1</xdr:col>
          <xdr:colOff>1181100</xdr:colOff>
          <xdr:row>23</xdr:row>
          <xdr:rowOff>457200</xdr:rowOff>
        </xdr:to>
        <xdr:sp macro="" textlink="">
          <xdr:nvSpPr>
            <xdr:cNvPr id="38918" name="Object 6" hidden="1">
              <a:extLst>
                <a:ext uri="{63B3BB69-23CF-44E3-9099-C40C66FF867C}">
                  <a14:compatExt spid="_x0000_s38918"/>
                </a:ext>
                <a:ext uri="{FF2B5EF4-FFF2-40B4-BE49-F238E27FC236}">
                  <a16:creationId xmlns:a16="http://schemas.microsoft.com/office/drawing/2014/main" id="{00000000-0008-0000-0700-000006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885825</xdr:colOff>
          <xdr:row>19</xdr:row>
          <xdr:rowOff>47625</xdr:rowOff>
        </xdr:from>
        <xdr:to>
          <xdr:col>1</xdr:col>
          <xdr:colOff>1143000</xdr:colOff>
          <xdr:row>20</xdr:row>
          <xdr:rowOff>0</xdr:rowOff>
        </xdr:to>
        <xdr:sp macro="" textlink="">
          <xdr:nvSpPr>
            <xdr:cNvPr id="38919" name="Object 7" hidden="1">
              <a:extLst>
                <a:ext uri="{63B3BB69-23CF-44E3-9099-C40C66FF867C}">
                  <a14:compatExt spid="_x0000_s38919"/>
                </a:ext>
                <a:ext uri="{FF2B5EF4-FFF2-40B4-BE49-F238E27FC236}">
                  <a16:creationId xmlns:a16="http://schemas.microsoft.com/office/drawing/2014/main" id="{00000000-0008-0000-0700-000007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55</xdr:row>
          <xdr:rowOff>47625</xdr:rowOff>
        </xdr:from>
        <xdr:to>
          <xdr:col>1</xdr:col>
          <xdr:colOff>1162050</xdr:colOff>
          <xdr:row>55</xdr:row>
          <xdr:rowOff>476250</xdr:rowOff>
        </xdr:to>
        <xdr:sp macro="" textlink="">
          <xdr:nvSpPr>
            <xdr:cNvPr id="38920" name="Object 8" hidden="1">
              <a:extLst>
                <a:ext uri="{63B3BB69-23CF-44E3-9099-C40C66FF867C}">
                  <a14:compatExt spid="_x0000_s38920"/>
                </a:ext>
                <a:ext uri="{FF2B5EF4-FFF2-40B4-BE49-F238E27FC236}">
                  <a16:creationId xmlns:a16="http://schemas.microsoft.com/office/drawing/2014/main" id="{00000000-0008-0000-0700-000008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49</xdr:row>
          <xdr:rowOff>66675</xdr:rowOff>
        </xdr:from>
        <xdr:to>
          <xdr:col>1</xdr:col>
          <xdr:colOff>1438275</xdr:colOff>
          <xdr:row>49</xdr:row>
          <xdr:rowOff>314325</xdr:rowOff>
        </xdr:to>
        <xdr:sp macro="" textlink="">
          <xdr:nvSpPr>
            <xdr:cNvPr id="38921" name="Object 9" hidden="1">
              <a:extLst>
                <a:ext uri="{63B3BB69-23CF-44E3-9099-C40C66FF867C}">
                  <a14:compatExt spid="_x0000_s38921"/>
                </a:ext>
                <a:ext uri="{FF2B5EF4-FFF2-40B4-BE49-F238E27FC236}">
                  <a16:creationId xmlns:a16="http://schemas.microsoft.com/office/drawing/2014/main" id="{00000000-0008-0000-0700-000009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50</xdr:row>
          <xdr:rowOff>123825</xdr:rowOff>
        </xdr:from>
        <xdr:to>
          <xdr:col>1</xdr:col>
          <xdr:colOff>1476375</xdr:colOff>
          <xdr:row>50</xdr:row>
          <xdr:rowOff>304800</xdr:rowOff>
        </xdr:to>
        <xdr:sp macro="" textlink="">
          <xdr:nvSpPr>
            <xdr:cNvPr id="38922" name="Object 10" hidden="1">
              <a:extLst>
                <a:ext uri="{63B3BB69-23CF-44E3-9099-C40C66FF867C}">
                  <a14:compatExt spid="_x0000_s38922"/>
                </a:ext>
                <a:ext uri="{FF2B5EF4-FFF2-40B4-BE49-F238E27FC236}">
                  <a16:creationId xmlns:a16="http://schemas.microsoft.com/office/drawing/2014/main" id="{00000000-0008-0000-0700-00000A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352425</xdr:colOff>
          <xdr:row>51</xdr:row>
          <xdr:rowOff>180975</xdr:rowOff>
        </xdr:from>
        <xdr:to>
          <xdr:col>1</xdr:col>
          <xdr:colOff>1428750</xdr:colOff>
          <xdr:row>51</xdr:row>
          <xdr:rowOff>276225</xdr:rowOff>
        </xdr:to>
        <xdr:sp macro="" textlink="">
          <xdr:nvSpPr>
            <xdr:cNvPr id="38923" name="Object 11" hidden="1">
              <a:extLst>
                <a:ext uri="{63B3BB69-23CF-44E3-9099-C40C66FF867C}">
                  <a14:compatExt spid="_x0000_s38923"/>
                </a:ext>
                <a:ext uri="{FF2B5EF4-FFF2-40B4-BE49-F238E27FC236}">
                  <a16:creationId xmlns:a16="http://schemas.microsoft.com/office/drawing/2014/main" id="{00000000-0008-0000-0700-00000B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52</xdr:row>
          <xdr:rowOff>66675</xdr:rowOff>
        </xdr:from>
        <xdr:to>
          <xdr:col>1</xdr:col>
          <xdr:colOff>1457325</xdr:colOff>
          <xdr:row>52</xdr:row>
          <xdr:rowOff>333375</xdr:rowOff>
        </xdr:to>
        <xdr:sp macro="" textlink="">
          <xdr:nvSpPr>
            <xdr:cNvPr id="38924" name="Object 12" hidden="1">
              <a:extLst>
                <a:ext uri="{63B3BB69-23CF-44E3-9099-C40C66FF867C}">
                  <a14:compatExt spid="_x0000_s38924"/>
                </a:ext>
                <a:ext uri="{FF2B5EF4-FFF2-40B4-BE49-F238E27FC236}">
                  <a16:creationId xmlns:a16="http://schemas.microsoft.com/office/drawing/2014/main" id="{00000000-0008-0000-0700-00000C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523875</xdr:colOff>
          <xdr:row>53</xdr:row>
          <xdr:rowOff>28575</xdr:rowOff>
        </xdr:from>
        <xdr:to>
          <xdr:col>1</xdr:col>
          <xdr:colOff>1276350</xdr:colOff>
          <xdr:row>53</xdr:row>
          <xdr:rowOff>352425</xdr:rowOff>
        </xdr:to>
        <xdr:sp macro="" textlink="">
          <xdr:nvSpPr>
            <xdr:cNvPr id="38925" name="Object 13" hidden="1">
              <a:extLst>
                <a:ext uri="{63B3BB69-23CF-44E3-9099-C40C66FF867C}">
                  <a14:compatExt spid="_x0000_s38925"/>
                </a:ext>
                <a:ext uri="{FF2B5EF4-FFF2-40B4-BE49-F238E27FC236}">
                  <a16:creationId xmlns:a16="http://schemas.microsoft.com/office/drawing/2014/main" id="{00000000-0008-0000-0700-00000D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666750</xdr:colOff>
          <xdr:row>53</xdr:row>
          <xdr:rowOff>495300</xdr:rowOff>
        </xdr:from>
        <xdr:to>
          <xdr:col>1</xdr:col>
          <xdr:colOff>1095375</xdr:colOff>
          <xdr:row>54</xdr:row>
          <xdr:rowOff>457200</xdr:rowOff>
        </xdr:to>
        <xdr:sp macro="" textlink="">
          <xdr:nvSpPr>
            <xdr:cNvPr id="38926" name="Object 14" hidden="1">
              <a:extLst>
                <a:ext uri="{63B3BB69-23CF-44E3-9099-C40C66FF867C}">
                  <a14:compatExt spid="_x0000_s38926"/>
                </a:ext>
                <a:ext uri="{FF2B5EF4-FFF2-40B4-BE49-F238E27FC236}">
                  <a16:creationId xmlns:a16="http://schemas.microsoft.com/office/drawing/2014/main" id="{00000000-0008-0000-0700-00000E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581025</xdr:colOff>
          <xdr:row>15</xdr:row>
          <xdr:rowOff>38100</xdr:rowOff>
        </xdr:from>
        <xdr:to>
          <xdr:col>1</xdr:col>
          <xdr:colOff>1419225</xdr:colOff>
          <xdr:row>16</xdr:row>
          <xdr:rowOff>28575</xdr:rowOff>
        </xdr:to>
        <xdr:sp macro="" textlink="">
          <xdr:nvSpPr>
            <xdr:cNvPr id="38927" name="Object 15" hidden="1">
              <a:extLst>
                <a:ext uri="{63B3BB69-23CF-44E3-9099-C40C66FF867C}">
                  <a14:compatExt spid="_x0000_s38927"/>
                </a:ext>
                <a:ext uri="{FF2B5EF4-FFF2-40B4-BE49-F238E27FC236}">
                  <a16:creationId xmlns:a16="http://schemas.microsoft.com/office/drawing/2014/main" id="{00000000-0008-0000-0700-00000F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590550</xdr:colOff>
          <xdr:row>14</xdr:row>
          <xdr:rowOff>28575</xdr:rowOff>
        </xdr:from>
        <xdr:to>
          <xdr:col>1</xdr:col>
          <xdr:colOff>1409700</xdr:colOff>
          <xdr:row>14</xdr:row>
          <xdr:rowOff>609600</xdr:rowOff>
        </xdr:to>
        <xdr:sp macro="" textlink="">
          <xdr:nvSpPr>
            <xdr:cNvPr id="38928" name="Object 16" hidden="1">
              <a:extLst>
                <a:ext uri="{63B3BB69-23CF-44E3-9099-C40C66FF867C}">
                  <a14:compatExt spid="_x0000_s38928"/>
                </a:ext>
                <a:ext uri="{FF2B5EF4-FFF2-40B4-BE49-F238E27FC236}">
                  <a16:creationId xmlns:a16="http://schemas.microsoft.com/office/drawing/2014/main" id="{00000000-0008-0000-0700-000010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16</xdr:row>
          <xdr:rowOff>238125</xdr:rowOff>
        </xdr:from>
        <xdr:to>
          <xdr:col>1</xdr:col>
          <xdr:colOff>1619250</xdr:colOff>
          <xdr:row>16</xdr:row>
          <xdr:rowOff>457200</xdr:rowOff>
        </xdr:to>
        <xdr:sp macro="" textlink="">
          <xdr:nvSpPr>
            <xdr:cNvPr id="38929" name="Object 17" hidden="1">
              <a:extLst>
                <a:ext uri="{63B3BB69-23CF-44E3-9099-C40C66FF867C}">
                  <a14:compatExt spid="_x0000_s38929"/>
                </a:ext>
                <a:ext uri="{FF2B5EF4-FFF2-40B4-BE49-F238E27FC236}">
                  <a16:creationId xmlns:a16="http://schemas.microsoft.com/office/drawing/2014/main" id="{00000000-0008-0000-0700-00001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17</xdr:row>
          <xdr:rowOff>38100</xdr:rowOff>
        </xdr:from>
        <xdr:to>
          <xdr:col>1</xdr:col>
          <xdr:colOff>1238250</xdr:colOff>
          <xdr:row>17</xdr:row>
          <xdr:rowOff>561975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8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809625</xdr:colOff>
          <xdr:row>18</xdr:row>
          <xdr:rowOff>57150</xdr:rowOff>
        </xdr:from>
        <xdr:to>
          <xdr:col>1</xdr:col>
          <xdr:colOff>1143000</xdr:colOff>
          <xdr:row>19</xdr:row>
          <xdr:rowOff>0</xdr:rowOff>
        </xdr:to>
        <xdr:sp macro="" textlink="">
          <xdr:nvSpPr>
            <xdr:cNvPr id="40962" name="Object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8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20</xdr:row>
          <xdr:rowOff>0</xdr:rowOff>
        </xdr:from>
        <xdr:to>
          <xdr:col>1</xdr:col>
          <xdr:colOff>1152525</xdr:colOff>
          <xdr:row>20</xdr:row>
          <xdr:rowOff>438150</xdr:rowOff>
        </xdr:to>
        <xdr:sp macro="" textlink="">
          <xdr:nvSpPr>
            <xdr:cNvPr id="40963" name="Object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08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762000</xdr:colOff>
          <xdr:row>21</xdr:row>
          <xdr:rowOff>0</xdr:rowOff>
        </xdr:from>
        <xdr:to>
          <xdr:col>1</xdr:col>
          <xdr:colOff>1143000</xdr:colOff>
          <xdr:row>21</xdr:row>
          <xdr:rowOff>504825</xdr:rowOff>
        </xdr:to>
        <xdr:sp macro="" textlink="">
          <xdr:nvSpPr>
            <xdr:cNvPr id="40964" name="Object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8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723900</xdr:colOff>
          <xdr:row>22</xdr:row>
          <xdr:rowOff>0</xdr:rowOff>
        </xdr:from>
        <xdr:to>
          <xdr:col>1</xdr:col>
          <xdr:colOff>1133475</xdr:colOff>
          <xdr:row>22</xdr:row>
          <xdr:rowOff>504825</xdr:rowOff>
        </xdr:to>
        <xdr:sp macro="" textlink="">
          <xdr:nvSpPr>
            <xdr:cNvPr id="40965" name="Object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8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676275</xdr:colOff>
          <xdr:row>23</xdr:row>
          <xdr:rowOff>28575</xdr:rowOff>
        </xdr:from>
        <xdr:to>
          <xdr:col>1</xdr:col>
          <xdr:colOff>1181100</xdr:colOff>
          <xdr:row>23</xdr:row>
          <xdr:rowOff>457200</xdr:rowOff>
        </xdr:to>
        <xdr:sp macro="" textlink="">
          <xdr:nvSpPr>
            <xdr:cNvPr id="40966" name="Object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8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885825</xdr:colOff>
          <xdr:row>19</xdr:row>
          <xdr:rowOff>47625</xdr:rowOff>
        </xdr:from>
        <xdr:to>
          <xdr:col>1</xdr:col>
          <xdr:colOff>1143000</xdr:colOff>
          <xdr:row>20</xdr:row>
          <xdr:rowOff>0</xdr:rowOff>
        </xdr:to>
        <xdr:sp macro="" textlink="">
          <xdr:nvSpPr>
            <xdr:cNvPr id="40967" name="Object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8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55</xdr:row>
          <xdr:rowOff>47625</xdr:rowOff>
        </xdr:from>
        <xdr:to>
          <xdr:col>1</xdr:col>
          <xdr:colOff>1162050</xdr:colOff>
          <xdr:row>55</xdr:row>
          <xdr:rowOff>476250</xdr:rowOff>
        </xdr:to>
        <xdr:sp macro="" textlink="">
          <xdr:nvSpPr>
            <xdr:cNvPr id="40968" name="Object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8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49</xdr:row>
          <xdr:rowOff>66675</xdr:rowOff>
        </xdr:from>
        <xdr:to>
          <xdr:col>1</xdr:col>
          <xdr:colOff>1438275</xdr:colOff>
          <xdr:row>49</xdr:row>
          <xdr:rowOff>314325</xdr:rowOff>
        </xdr:to>
        <xdr:sp macro="" textlink="">
          <xdr:nvSpPr>
            <xdr:cNvPr id="40969" name="Object 9" hidden="1">
              <a:extLst>
                <a:ext uri="{63B3BB69-23CF-44E3-9099-C40C66FF867C}">
                  <a14:compatExt spid="_x0000_s40969"/>
                </a:ext>
                <a:ext uri="{FF2B5EF4-FFF2-40B4-BE49-F238E27FC236}">
                  <a16:creationId xmlns:a16="http://schemas.microsoft.com/office/drawing/2014/main" id="{00000000-0008-0000-0800-000009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50</xdr:row>
          <xdr:rowOff>123825</xdr:rowOff>
        </xdr:from>
        <xdr:to>
          <xdr:col>1</xdr:col>
          <xdr:colOff>1476375</xdr:colOff>
          <xdr:row>50</xdr:row>
          <xdr:rowOff>304800</xdr:rowOff>
        </xdr:to>
        <xdr:sp macro="" textlink="">
          <xdr:nvSpPr>
            <xdr:cNvPr id="40970" name="Object 10" hidden="1">
              <a:extLst>
                <a:ext uri="{63B3BB69-23CF-44E3-9099-C40C66FF867C}">
                  <a14:compatExt spid="_x0000_s40970"/>
                </a:ext>
                <a:ext uri="{FF2B5EF4-FFF2-40B4-BE49-F238E27FC236}">
                  <a16:creationId xmlns:a16="http://schemas.microsoft.com/office/drawing/2014/main" id="{00000000-0008-0000-0800-00000A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352425</xdr:colOff>
          <xdr:row>51</xdr:row>
          <xdr:rowOff>180975</xdr:rowOff>
        </xdr:from>
        <xdr:to>
          <xdr:col>1</xdr:col>
          <xdr:colOff>1428750</xdr:colOff>
          <xdr:row>51</xdr:row>
          <xdr:rowOff>276225</xdr:rowOff>
        </xdr:to>
        <xdr:sp macro="" textlink="">
          <xdr:nvSpPr>
            <xdr:cNvPr id="40971" name="Object 11" hidden="1">
              <a:extLst>
                <a:ext uri="{63B3BB69-23CF-44E3-9099-C40C66FF867C}">
                  <a14:compatExt spid="_x0000_s40971"/>
                </a:ext>
                <a:ext uri="{FF2B5EF4-FFF2-40B4-BE49-F238E27FC236}">
                  <a16:creationId xmlns:a16="http://schemas.microsoft.com/office/drawing/2014/main" id="{00000000-0008-0000-0800-00000B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52</xdr:row>
          <xdr:rowOff>66675</xdr:rowOff>
        </xdr:from>
        <xdr:to>
          <xdr:col>1</xdr:col>
          <xdr:colOff>1457325</xdr:colOff>
          <xdr:row>52</xdr:row>
          <xdr:rowOff>333375</xdr:rowOff>
        </xdr:to>
        <xdr:sp macro="" textlink="">
          <xdr:nvSpPr>
            <xdr:cNvPr id="40972" name="Object 12" hidden="1">
              <a:extLst>
                <a:ext uri="{63B3BB69-23CF-44E3-9099-C40C66FF867C}">
                  <a14:compatExt spid="_x0000_s40972"/>
                </a:ext>
                <a:ext uri="{FF2B5EF4-FFF2-40B4-BE49-F238E27FC236}">
                  <a16:creationId xmlns:a16="http://schemas.microsoft.com/office/drawing/2014/main" id="{00000000-0008-0000-0800-00000C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523875</xdr:colOff>
          <xdr:row>53</xdr:row>
          <xdr:rowOff>28575</xdr:rowOff>
        </xdr:from>
        <xdr:to>
          <xdr:col>1</xdr:col>
          <xdr:colOff>1276350</xdr:colOff>
          <xdr:row>53</xdr:row>
          <xdr:rowOff>352425</xdr:rowOff>
        </xdr:to>
        <xdr:sp macro="" textlink="">
          <xdr:nvSpPr>
            <xdr:cNvPr id="40973" name="Object 13" hidden="1">
              <a:extLst>
                <a:ext uri="{63B3BB69-23CF-44E3-9099-C40C66FF867C}">
                  <a14:compatExt spid="_x0000_s40973"/>
                </a:ext>
                <a:ext uri="{FF2B5EF4-FFF2-40B4-BE49-F238E27FC236}">
                  <a16:creationId xmlns:a16="http://schemas.microsoft.com/office/drawing/2014/main" id="{00000000-0008-0000-0800-00000D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666750</xdr:colOff>
          <xdr:row>53</xdr:row>
          <xdr:rowOff>495300</xdr:rowOff>
        </xdr:from>
        <xdr:to>
          <xdr:col>1</xdr:col>
          <xdr:colOff>1095375</xdr:colOff>
          <xdr:row>54</xdr:row>
          <xdr:rowOff>457200</xdr:rowOff>
        </xdr:to>
        <xdr:sp macro="" textlink="">
          <xdr:nvSpPr>
            <xdr:cNvPr id="40974" name="Object 14" hidden="1">
              <a:extLst>
                <a:ext uri="{63B3BB69-23CF-44E3-9099-C40C66FF867C}">
                  <a14:compatExt spid="_x0000_s40974"/>
                </a:ext>
                <a:ext uri="{FF2B5EF4-FFF2-40B4-BE49-F238E27FC236}">
                  <a16:creationId xmlns:a16="http://schemas.microsoft.com/office/drawing/2014/main" id="{00000000-0008-0000-0800-00000E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581025</xdr:colOff>
          <xdr:row>15</xdr:row>
          <xdr:rowOff>38100</xdr:rowOff>
        </xdr:from>
        <xdr:to>
          <xdr:col>1</xdr:col>
          <xdr:colOff>1419225</xdr:colOff>
          <xdr:row>16</xdr:row>
          <xdr:rowOff>28575</xdr:rowOff>
        </xdr:to>
        <xdr:sp macro="" textlink="">
          <xdr:nvSpPr>
            <xdr:cNvPr id="40975" name="Object 15" hidden="1">
              <a:extLst>
                <a:ext uri="{63B3BB69-23CF-44E3-9099-C40C66FF867C}">
                  <a14:compatExt spid="_x0000_s40975"/>
                </a:ext>
                <a:ext uri="{FF2B5EF4-FFF2-40B4-BE49-F238E27FC236}">
                  <a16:creationId xmlns:a16="http://schemas.microsoft.com/office/drawing/2014/main" id="{00000000-0008-0000-0800-00000F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590550</xdr:colOff>
          <xdr:row>14</xdr:row>
          <xdr:rowOff>28575</xdr:rowOff>
        </xdr:from>
        <xdr:to>
          <xdr:col>1</xdr:col>
          <xdr:colOff>1409700</xdr:colOff>
          <xdr:row>14</xdr:row>
          <xdr:rowOff>609600</xdr:rowOff>
        </xdr:to>
        <xdr:sp macro="" textlink="">
          <xdr:nvSpPr>
            <xdr:cNvPr id="40976" name="Object 16" hidden="1">
              <a:extLst>
                <a:ext uri="{63B3BB69-23CF-44E3-9099-C40C66FF867C}">
                  <a14:compatExt spid="_x0000_s40976"/>
                </a:ext>
                <a:ext uri="{FF2B5EF4-FFF2-40B4-BE49-F238E27FC236}">
                  <a16:creationId xmlns:a16="http://schemas.microsoft.com/office/drawing/2014/main" id="{00000000-0008-0000-0800-000010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16</xdr:row>
          <xdr:rowOff>238125</xdr:rowOff>
        </xdr:from>
        <xdr:to>
          <xdr:col>1</xdr:col>
          <xdr:colOff>1619250</xdr:colOff>
          <xdr:row>16</xdr:row>
          <xdr:rowOff>457200</xdr:rowOff>
        </xdr:to>
        <xdr:sp macro="" textlink="">
          <xdr:nvSpPr>
            <xdr:cNvPr id="40977" name="Object 17" hidden="1">
              <a:extLst>
                <a:ext uri="{63B3BB69-23CF-44E3-9099-C40C66FF867C}">
                  <a14:compatExt spid="_x0000_s40977"/>
                </a:ext>
                <a:ext uri="{FF2B5EF4-FFF2-40B4-BE49-F238E27FC236}">
                  <a16:creationId xmlns:a16="http://schemas.microsoft.com/office/drawing/2014/main" id="{00000000-0008-0000-0800-00001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17</xdr:row>
          <xdr:rowOff>38100</xdr:rowOff>
        </xdr:from>
        <xdr:to>
          <xdr:col>1</xdr:col>
          <xdr:colOff>1238250</xdr:colOff>
          <xdr:row>17</xdr:row>
          <xdr:rowOff>561975</xdr:rowOff>
        </xdr:to>
        <xdr:sp macro="" textlink="">
          <xdr:nvSpPr>
            <xdr:cNvPr id="43009" name="Object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9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809625</xdr:colOff>
          <xdr:row>18</xdr:row>
          <xdr:rowOff>57150</xdr:rowOff>
        </xdr:from>
        <xdr:to>
          <xdr:col>1</xdr:col>
          <xdr:colOff>1143000</xdr:colOff>
          <xdr:row>19</xdr:row>
          <xdr:rowOff>0</xdr:rowOff>
        </xdr:to>
        <xdr:sp macro="" textlink="">
          <xdr:nvSpPr>
            <xdr:cNvPr id="43010" name="Object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09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20</xdr:row>
          <xdr:rowOff>0</xdr:rowOff>
        </xdr:from>
        <xdr:to>
          <xdr:col>1</xdr:col>
          <xdr:colOff>1152525</xdr:colOff>
          <xdr:row>20</xdr:row>
          <xdr:rowOff>438150</xdr:rowOff>
        </xdr:to>
        <xdr:sp macro="" textlink="">
          <xdr:nvSpPr>
            <xdr:cNvPr id="43011" name="Object 3" hidden="1">
              <a:extLst>
                <a:ext uri="{63B3BB69-23CF-44E3-9099-C40C66FF867C}">
                  <a14:compatExt spid="_x0000_s43011"/>
                </a:ext>
                <a:ext uri="{FF2B5EF4-FFF2-40B4-BE49-F238E27FC236}">
                  <a16:creationId xmlns:a16="http://schemas.microsoft.com/office/drawing/2014/main" id="{00000000-0008-0000-0900-000003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762000</xdr:colOff>
          <xdr:row>21</xdr:row>
          <xdr:rowOff>0</xdr:rowOff>
        </xdr:from>
        <xdr:to>
          <xdr:col>1</xdr:col>
          <xdr:colOff>1143000</xdr:colOff>
          <xdr:row>21</xdr:row>
          <xdr:rowOff>504825</xdr:rowOff>
        </xdr:to>
        <xdr:sp macro="" textlink="">
          <xdr:nvSpPr>
            <xdr:cNvPr id="43012" name="Object 4" hidden="1">
              <a:extLst>
                <a:ext uri="{63B3BB69-23CF-44E3-9099-C40C66FF867C}">
                  <a14:compatExt spid="_x0000_s43012"/>
                </a:ext>
                <a:ext uri="{FF2B5EF4-FFF2-40B4-BE49-F238E27FC236}">
                  <a16:creationId xmlns:a16="http://schemas.microsoft.com/office/drawing/2014/main" id="{00000000-0008-0000-0900-000004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723900</xdr:colOff>
          <xdr:row>22</xdr:row>
          <xdr:rowOff>0</xdr:rowOff>
        </xdr:from>
        <xdr:to>
          <xdr:col>1</xdr:col>
          <xdr:colOff>1133475</xdr:colOff>
          <xdr:row>22</xdr:row>
          <xdr:rowOff>504825</xdr:rowOff>
        </xdr:to>
        <xdr:sp macro="" textlink="">
          <xdr:nvSpPr>
            <xdr:cNvPr id="43013" name="Object 5" hidden="1">
              <a:extLst>
                <a:ext uri="{63B3BB69-23CF-44E3-9099-C40C66FF867C}">
                  <a14:compatExt spid="_x0000_s43013"/>
                </a:ext>
                <a:ext uri="{FF2B5EF4-FFF2-40B4-BE49-F238E27FC236}">
                  <a16:creationId xmlns:a16="http://schemas.microsoft.com/office/drawing/2014/main" id="{00000000-0008-0000-0900-000005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676275</xdr:colOff>
          <xdr:row>23</xdr:row>
          <xdr:rowOff>28575</xdr:rowOff>
        </xdr:from>
        <xdr:to>
          <xdr:col>1</xdr:col>
          <xdr:colOff>1181100</xdr:colOff>
          <xdr:row>23</xdr:row>
          <xdr:rowOff>457200</xdr:rowOff>
        </xdr:to>
        <xdr:sp macro="" textlink="">
          <xdr:nvSpPr>
            <xdr:cNvPr id="43014" name="Object 6" hidden="1">
              <a:extLst>
                <a:ext uri="{63B3BB69-23CF-44E3-9099-C40C66FF867C}">
                  <a14:compatExt spid="_x0000_s43014"/>
                </a:ext>
                <a:ext uri="{FF2B5EF4-FFF2-40B4-BE49-F238E27FC236}">
                  <a16:creationId xmlns:a16="http://schemas.microsoft.com/office/drawing/2014/main" id="{00000000-0008-0000-0900-000006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885825</xdr:colOff>
          <xdr:row>19</xdr:row>
          <xdr:rowOff>47625</xdr:rowOff>
        </xdr:from>
        <xdr:to>
          <xdr:col>1</xdr:col>
          <xdr:colOff>1143000</xdr:colOff>
          <xdr:row>20</xdr:row>
          <xdr:rowOff>0</xdr:rowOff>
        </xdr:to>
        <xdr:sp macro="" textlink="">
          <xdr:nvSpPr>
            <xdr:cNvPr id="43015" name="Object 7" hidden="1">
              <a:extLst>
                <a:ext uri="{63B3BB69-23CF-44E3-9099-C40C66FF867C}">
                  <a14:compatExt spid="_x0000_s43015"/>
                </a:ext>
                <a:ext uri="{FF2B5EF4-FFF2-40B4-BE49-F238E27FC236}">
                  <a16:creationId xmlns:a16="http://schemas.microsoft.com/office/drawing/2014/main" id="{00000000-0008-0000-0900-000007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55</xdr:row>
          <xdr:rowOff>47625</xdr:rowOff>
        </xdr:from>
        <xdr:to>
          <xdr:col>1</xdr:col>
          <xdr:colOff>1162050</xdr:colOff>
          <xdr:row>55</xdr:row>
          <xdr:rowOff>476250</xdr:rowOff>
        </xdr:to>
        <xdr:sp macro="" textlink="">
          <xdr:nvSpPr>
            <xdr:cNvPr id="43016" name="Object 8" hidden="1">
              <a:extLst>
                <a:ext uri="{63B3BB69-23CF-44E3-9099-C40C66FF867C}">
                  <a14:compatExt spid="_x0000_s43016"/>
                </a:ext>
                <a:ext uri="{FF2B5EF4-FFF2-40B4-BE49-F238E27FC236}">
                  <a16:creationId xmlns:a16="http://schemas.microsoft.com/office/drawing/2014/main" id="{00000000-0008-0000-0900-000008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49</xdr:row>
          <xdr:rowOff>66675</xdr:rowOff>
        </xdr:from>
        <xdr:to>
          <xdr:col>1</xdr:col>
          <xdr:colOff>1438275</xdr:colOff>
          <xdr:row>49</xdr:row>
          <xdr:rowOff>314325</xdr:rowOff>
        </xdr:to>
        <xdr:sp macro="" textlink="">
          <xdr:nvSpPr>
            <xdr:cNvPr id="43017" name="Object 9" hidden="1">
              <a:extLst>
                <a:ext uri="{63B3BB69-23CF-44E3-9099-C40C66FF867C}">
                  <a14:compatExt spid="_x0000_s43017"/>
                </a:ext>
                <a:ext uri="{FF2B5EF4-FFF2-40B4-BE49-F238E27FC236}">
                  <a16:creationId xmlns:a16="http://schemas.microsoft.com/office/drawing/2014/main" id="{00000000-0008-0000-0900-000009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50</xdr:row>
          <xdr:rowOff>123825</xdr:rowOff>
        </xdr:from>
        <xdr:to>
          <xdr:col>1</xdr:col>
          <xdr:colOff>1476375</xdr:colOff>
          <xdr:row>50</xdr:row>
          <xdr:rowOff>304800</xdr:rowOff>
        </xdr:to>
        <xdr:sp macro="" textlink="">
          <xdr:nvSpPr>
            <xdr:cNvPr id="43018" name="Object 10" hidden="1">
              <a:extLst>
                <a:ext uri="{63B3BB69-23CF-44E3-9099-C40C66FF867C}">
                  <a14:compatExt spid="_x0000_s43018"/>
                </a:ext>
                <a:ext uri="{FF2B5EF4-FFF2-40B4-BE49-F238E27FC236}">
                  <a16:creationId xmlns:a16="http://schemas.microsoft.com/office/drawing/2014/main" id="{00000000-0008-0000-0900-00000A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352425</xdr:colOff>
          <xdr:row>51</xdr:row>
          <xdr:rowOff>180975</xdr:rowOff>
        </xdr:from>
        <xdr:to>
          <xdr:col>1</xdr:col>
          <xdr:colOff>1428750</xdr:colOff>
          <xdr:row>51</xdr:row>
          <xdr:rowOff>276225</xdr:rowOff>
        </xdr:to>
        <xdr:sp macro="" textlink="">
          <xdr:nvSpPr>
            <xdr:cNvPr id="43019" name="Object 11" hidden="1">
              <a:extLst>
                <a:ext uri="{63B3BB69-23CF-44E3-9099-C40C66FF867C}">
                  <a14:compatExt spid="_x0000_s43019"/>
                </a:ext>
                <a:ext uri="{FF2B5EF4-FFF2-40B4-BE49-F238E27FC236}">
                  <a16:creationId xmlns:a16="http://schemas.microsoft.com/office/drawing/2014/main" id="{00000000-0008-0000-0900-00000B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52</xdr:row>
          <xdr:rowOff>66675</xdr:rowOff>
        </xdr:from>
        <xdr:to>
          <xdr:col>1</xdr:col>
          <xdr:colOff>1457325</xdr:colOff>
          <xdr:row>52</xdr:row>
          <xdr:rowOff>333375</xdr:rowOff>
        </xdr:to>
        <xdr:sp macro="" textlink="">
          <xdr:nvSpPr>
            <xdr:cNvPr id="43020" name="Object 12" hidden="1">
              <a:extLst>
                <a:ext uri="{63B3BB69-23CF-44E3-9099-C40C66FF867C}">
                  <a14:compatExt spid="_x0000_s43020"/>
                </a:ext>
                <a:ext uri="{FF2B5EF4-FFF2-40B4-BE49-F238E27FC236}">
                  <a16:creationId xmlns:a16="http://schemas.microsoft.com/office/drawing/2014/main" id="{00000000-0008-0000-0900-00000C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523875</xdr:colOff>
          <xdr:row>53</xdr:row>
          <xdr:rowOff>28575</xdr:rowOff>
        </xdr:from>
        <xdr:to>
          <xdr:col>1</xdr:col>
          <xdr:colOff>1276350</xdr:colOff>
          <xdr:row>53</xdr:row>
          <xdr:rowOff>352425</xdr:rowOff>
        </xdr:to>
        <xdr:sp macro="" textlink="">
          <xdr:nvSpPr>
            <xdr:cNvPr id="43021" name="Object 13" hidden="1">
              <a:extLst>
                <a:ext uri="{63B3BB69-23CF-44E3-9099-C40C66FF867C}">
                  <a14:compatExt spid="_x0000_s43021"/>
                </a:ext>
                <a:ext uri="{FF2B5EF4-FFF2-40B4-BE49-F238E27FC236}">
                  <a16:creationId xmlns:a16="http://schemas.microsoft.com/office/drawing/2014/main" id="{00000000-0008-0000-0900-00000D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666750</xdr:colOff>
          <xdr:row>53</xdr:row>
          <xdr:rowOff>495300</xdr:rowOff>
        </xdr:from>
        <xdr:to>
          <xdr:col>1</xdr:col>
          <xdr:colOff>1095375</xdr:colOff>
          <xdr:row>54</xdr:row>
          <xdr:rowOff>457200</xdr:rowOff>
        </xdr:to>
        <xdr:sp macro="" textlink="">
          <xdr:nvSpPr>
            <xdr:cNvPr id="43022" name="Object 14" hidden="1">
              <a:extLst>
                <a:ext uri="{63B3BB69-23CF-44E3-9099-C40C66FF867C}">
                  <a14:compatExt spid="_x0000_s43022"/>
                </a:ext>
                <a:ext uri="{FF2B5EF4-FFF2-40B4-BE49-F238E27FC236}">
                  <a16:creationId xmlns:a16="http://schemas.microsoft.com/office/drawing/2014/main" id="{00000000-0008-0000-0900-00000E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581025</xdr:colOff>
          <xdr:row>15</xdr:row>
          <xdr:rowOff>38100</xdr:rowOff>
        </xdr:from>
        <xdr:to>
          <xdr:col>1</xdr:col>
          <xdr:colOff>1419225</xdr:colOff>
          <xdr:row>16</xdr:row>
          <xdr:rowOff>28575</xdr:rowOff>
        </xdr:to>
        <xdr:sp macro="" textlink="">
          <xdr:nvSpPr>
            <xdr:cNvPr id="43023" name="Object 15" hidden="1">
              <a:extLst>
                <a:ext uri="{63B3BB69-23CF-44E3-9099-C40C66FF867C}">
                  <a14:compatExt spid="_x0000_s43023"/>
                </a:ext>
                <a:ext uri="{FF2B5EF4-FFF2-40B4-BE49-F238E27FC236}">
                  <a16:creationId xmlns:a16="http://schemas.microsoft.com/office/drawing/2014/main" id="{00000000-0008-0000-0900-00000F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590550</xdr:colOff>
          <xdr:row>14</xdr:row>
          <xdr:rowOff>28575</xdr:rowOff>
        </xdr:from>
        <xdr:to>
          <xdr:col>1</xdr:col>
          <xdr:colOff>1409700</xdr:colOff>
          <xdr:row>14</xdr:row>
          <xdr:rowOff>609600</xdr:rowOff>
        </xdr:to>
        <xdr:sp macro="" textlink="">
          <xdr:nvSpPr>
            <xdr:cNvPr id="43024" name="Object 16" hidden="1">
              <a:extLst>
                <a:ext uri="{63B3BB69-23CF-44E3-9099-C40C66FF867C}">
                  <a14:compatExt spid="_x0000_s43024"/>
                </a:ext>
                <a:ext uri="{FF2B5EF4-FFF2-40B4-BE49-F238E27FC236}">
                  <a16:creationId xmlns:a16="http://schemas.microsoft.com/office/drawing/2014/main" id="{00000000-0008-0000-0900-000010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16</xdr:row>
          <xdr:rowOff>238125</xdr:rowOff>
        </xdr:from>
        <xdr:to>
          <xdr:col>1</xdr:col>
          <xdr:colOff>1619250</xdr:colOff>
          <xdr:row>16</xdr:row>
          <xdr:rowOff>457200</xdr:rowOff>
        </xdr:to>
        <xdr:sp macro="" textlink="">
          <xdr:nvSpPr>
            <xdr:cNvPr id="43025" name="Object 17" hidden="1">
              <a:extLst>
                <a:ext uri="{63B3BB69-23CF-44E3-9099-C40C66FF867C}">
                  <a14:compatExt spid="_x0000_s43025"/>
                </a:ext>
                <a:ext uri="{FF2B5EF4-FFF2-40B4-BE49-F238E27FC236}">
                  <a16:creationId xmlns:a16="http://schemas.microsoft.com/office/drawing/2014/main" id="{00000000-0008-0000-0900-00001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17</xdr:row>
          <xdr:rowOff>38100</xdr:rowOff>
        </xdr:from>
        <xdr:to>
          <xdr:col>1</xdr:col>
          <xdr:colOff>1238250</xdr:colOff>
          <xdr:row>17</xdr:row>
          <xdr:rowOff>561975</xdr:rowOff>
        </xdr:to>
        <xdr:sp macro="" textlink="">
          <xdr:nvSpPr>
            <xdr:cNvPr id="45057" name="Object 1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A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809625</xdr:colOff>
          <xdr:row>18</xdr:row>
          <xdr:rowOff>57150</xdr:rowOff>
        </xdr:from>
        <xdr:to>
          <xdr:col>1</xdr:col>
          <xdr:colOff>1143000</xdr:colOff>
          <xdr:row>19</xdr:row>
          <xdr:rowOff>0</xdr:rowOff>
        </xdr:to>
        <xdr:sp macro="" textlink="">
          <xdr:nvSpPr>
            <xdr:cNvPr id="45058" name="Object 2" hidden="1">
              <a:extLst>
                <a:ext uri="{63B3BB69-23CF-44E3-9099-C40C66FF867C}">
                  <a14:compatExt spid="_x0000_s45058"/>
                </a:ext>
                <a:ext uri="{FF2B5EF4-FFF2-40B4-BE49-F238E27FC236}">
                  <a16:creationId xmlns:a16="http://schemas.microsoft.com/office/drawing/2014/main" id="{00000000-0008-0000-0A00-000002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733425</xdr:colOff>
          <xdr:row>20</xdr:row>
          <xdr:rowOff>0</xdr:rowOff>
        </xdr:from>
        <xdr:to>
          <xdr:col>1</xdr:col>
          <xdr:colOff>1152525</xdr:colOff>
          <xdr:row>20</xdr:row>
          <xdr:rowOff>438150</xdr:rowOff>
        </xdr:to>
        <xdr:sp macro="" textlink="">
          <xdr:nvSpPr>
            <xdr:cNvPr id="45059" name="Object 3" hidden="1">
              <a:extLst>
                <a:ext uri="{63B3BB69-23CF-44E3-9099-C40C66FF867C}">
                  <a14:compatExt spid="_x0000_s45059"/>
                </a:ext>
                <a:ext uri="{FF2B5EF4-FFF2-40B4-BE49-F238E27FC236}">
                  <a16:creationId xmlns:a16="http://schemas.microsoft.com/office/drawing/2014/main" id="{00000000-0008-0000-0A00-000003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762000</xdr:colOff>
          <xdr:row>21</xdr:row>
          <xdr:rowOff>0</xdr:rowOff>
        </xdr:from>
        <xdr:to>
          <xdr:col>1</xdr:col>
          <xdr:colOff>1143000</xdr:colOff>
          <xdr:row>21</xdr:row>
          <xdr:rowOff>504825</xdr:rowOff>
        </xdr:to>
        <xdr:sp macro="" textlink="">
          <xdr:nvSpPr>
            <xdr:cNvPr id="45060" name="Object 4" hidden="1">
              <a:extLst>
                <a:ext uri="{63B3BB69-23CF-44E3-9099-C40C66FF867C}">
                  <a14:compatExt spid="_x0000_s45060"/>
                </a:ext>
                <a:ext uri="{FF2B5EF4-FFF2-40B4-BE49-F238E27FC236}">
                  <a16:creationId xmlns:a16="http://schemas.microsoft.com/office/drawing/2014/main" id="{00000000-0008-0000-0A00-000004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723900</xdr:colOff>
          <xdr:row>22</xdr:row>
          <xdr:rowOff>0</xdr:rowOff>
        </xdr:from>
        <xdr:to>
          <xdr:col>1</xdr:col>
          <xdr:colOff>1133475</xdr:colOff>
          <xdr:row>22</xdr:row>
          <xdr:rowOff>504825</xdr:rowOff>
        </xdr:to>
        <xdr:sp macro="" textlink="">
          <xdr:nvSpPr>
            <xdr:cNvPr id="45061" name="Object 5" hidden="1">
              <a:extLst>
                <a:ext uri="{63B3BB69-23CF-44E3-9099-C40C66FF867C}">
                  <a14:compatExt spid="_x0000_s45061"/>
                </a:ext>
                <a:ext uri="{FF2B5EF4-FFF2-40B4-BE49-F238E27FC236}">
                  <a16:creationId xmlns:a16="http://schemas.microsoft.com/office/drawing/2014/main" id="{00000000-0008-0000-0A00-000005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676275</xdr:colOff>
          <xdr:row>23</xdr:row>
          <xdr:rowOff>28575</xdr:rowOff>
        </xdr:from>
        <xdr:to>
          <xdr:col>1</xdr:col>
          <xdr:colOff>1181100</xdr:colOff>
          <xdr:row>23</xdr:row>
          <xdr:rowOff>457200</xdr:rowOff>
        </xdr:to>
        <xdr:sp macro="" textlink="">
          <xdr:nvSpPr>
            <xdr:cNvPr id="45062" name="Object 6" hidden="1">
              <a:extLst>
                <a:ext uri="{63B3BB69-23CF-44E3-9099-C40C66FF867C}">
                  <a14:compatExt spid="_x0000_s45062"/>
                </a:ext>
                <a:ext uri="{FF2B5EF4-FFF2-40B4-BE49-F238E27FC236}">
                  <a16:creationId xmlns:a16="http://schemas.microsoft.com/office/drawing/2014/main" id="{00000000-0008-0000-0A00-000006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885825</xdr:colOff>
          <xdr:row>19</xdr:row>
          <xdr:rowOff>47625</xdr:rowOff>
        </xdr:from>
        <xdr:to>
          <xdr:col>1</xdr:col>
          <xdr:colOff>1143000</xdr:colOff>
          <xdr:row>20</xdr:row>
          <xdr:rowOff>0</xdr:rowOff>
        </xdr:to>
        <xdr:sp macro="" textlink="">
          <xdr:nvSpPr>
            <xdr:cNvPr id="45063" name="Object 7" hidden="1">
              <a:extLst>
                <a:ext uri="{63B3BB69-23CF-44E3-9099-C40C66FF867C}">
                  <a14:compatExt spid="_x0000_s45063"/>
                </a:ext>
                <a:ext uri="{FF2B5EF4-FFF2-40B4-BE49-F238E27FC236}">
                  <a16:creationId xmlns:a16="http://schemas.microsoft.com/office/drawing/2014/main" id="{00000000-0008-0000-0A00-000007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657225</xdr:colOff>
          <xdr:row>55</xdr:row>
          <xdr:rowOff>47625</xdr:rowOff>
        </xdr:from>
        <xdr:to>
          <xdr:col>1</xdr:col>
          <xdr:colOff>1162050</xdr:colOff>
          <xdr:row>55</xdr:row>
          <xdr:rowOff>476250</xdr:rowOff>
        </xdr:to>
        <xdr:sp macro="" textlink="">
          <xdr:nvSpPr>
            <xdr:cNvPr id="45064" name="Object 8" hidden="1">
              <a:extLst>
                <a:ext uri="{63B3BB69-23CF-44E3-9099-C40C66FF867C}">
                  <a14:compatExt spid="_x0000_s45064"/>
                </a:ext>
                <a:ext uri="{FF2B5EF4-FFF2-40B4-BE49-F238E27FC236}">
                  <a16:creationId xmlns:a16="http://schemas.microsoft.com/office/drawing/2014/main" id="{00000000-0008-0000-0A00-000008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49</xdr:row>
          <xdr:rowOff>66675</xdr:rowOff>
        </xdr:from>
        <xdr:to>
          <xdr:col>1</xdr:col>
          <xdr:colOff>1438275</xdr:colOff>
          <xdr:row>49</xdr:row>
          <xdr:rowOff>314325</xdr:rowOff>
        </xdr:to>
        <xdr:sp macro="" textlink="">
          <xdr:nvSpPr>
            <xdr:cNvPr id="45065" name="Object 9" hidden="1">
              <a:extLst>
                <a:ext uri="{63B3BB69-23CF-44E3-9099-C40C66FF867C}">
                  <a14:compatExt spid="_x0000_s45065"/>
                </a:ext>
                <a:ext uri="{FF2B5EF4-FFF2-40B4-BE49-F238E27FC236}">
                  <a16:creationId xmlns:a16="http://schemas.microsoft.com/office/drawing/2014/main" id="{00000000-0008-0000-0A00-000009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50</xdr:row>
          <xdr:rowOff>123825</xdr:rowOff>
        </xdr:from>
        <xdr:to>
          <xdr:col>1</xdr:col>
          <xdr:colOff>1476375</xdr:colOff>
          <xdr:row>50</xdr:row>
          <xdr:rowOff>304800</xdr:rowOff>
        </xdr:to>
        <xdr:sp macro="" textlink="">
          <xdr:nvSpPr>
            <xdr:cNvPr id="45066" name="Object 10" hidden="1">
              <a:extLst>
                <a:ext uri="{63B3BB69-23CF-44E3-9099-C40C66FF867C}">
                  <a14:compatExt spid="_x0000_s45066"/>
                </a:ext>
                <a:ext uri="{FF2B5EF4-FFF2-40B4-BE49-F238E27FC236}">
                  <a16:creationId xmlns:a16="http://schemas.microsoft.com/office/drawing/2014/main" id="{00000000-0008-0000-0A00-00000A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352425</xdr:colOff>
          <xdr:row>51</xdr:row>
          <xdr:rowOff>180975</xdr:rowOff>
        </xdr:from>
        <xdr:to>
          <xdr:col>1</xdr:col>
          <xdr:colOff>1428750</xdr:colOff>
          <xdr:row>51</xdr:row>
          <xdr:rowOff>276225</xdr:rowOff>
        </xdr:to>
        <xdr:sp macro="" textlink="">
          <xdr:nvSpPr>
            <xdr:cNvPr id="45067" name="Object 11" hidden="1">
              <a:extLst>
                <a:ext uri="{63B3BB69-23CF-44E3-9099-C40C66FF867C}">
                  <a14:compatExt spid="_x0000_s45067"/>
                </a:ext>
                <a:ext uri="{FF2B5EF4-FFF2-40B4-BE49-F238E27FC236}">
                  <a16:creationId xmlns:a16="http://schemas.microsoft.com/office/drawing/2014/main" id="{00000000-0008-0000-0A00-00000B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52</xdr:row>
          <xdr:rowOff>66675</xdr:rowOff>
        </xdr:from>
        <xdr:to>
          <xdr:col>1</xdr:col>
          <xdr:colOff>1457325</xdr:colOff>
          <xdr:row>52</xdr:row>
          <xdr:rowOff>333375</xdr:rowOff>
        </xdr:to>
        <xdr:sp macro="" textlink="">
          <xdr:nvSpPr>
            <xdr:cNvPr id="45068" name="Object 12" hidden="1">
              <a:extLst>
                <a:ext uri="{63B3BB69-23CF-44E3-9099-C40C66FF867C}">
                  <a14:compatExt spid="_x0000_s45068"/>
                </a:ext>
                <a:ext uri="{FF2B5EF4-FFF2-40B4-BE49-F238E27FC236}">
                  <a16:creationId xmlns:a16="http://schemas.microsoft.com/office/drawing/2014/main" id="{00000000-0008-0000-0A00-00000C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523875</xdr:colOff>
          <xdr:row>53</xdr:row>
          <xdr:rowOff>28575</xdr:rowOff>
        </xdr:from>
        <xdr:to>
          <xdr:col>1</xdr:col>
          <xdr:colOff>1276350</xdr:colOff>
          <xdr:row>53</xdr:row>
          <xdr:rowOff>352425</xdr:rowOff>
        </xdr:to>
        <xdr:sp macro="" textlink="">
          <xdr:nvSpPr>
            <xdr:cNvPr id="45069" name="Object 13" hidden="1">
              <a:extLst>
                <a:ext uri="{63B3BB69-23CF-44E3-9099-C40C66FF867C}">
                  <a14:compatExt spid="_x0000_s45069"/>
                </a:ext>
                <a:ext uri="{FF2B5EF4-FFF2-40B4-BE49-F238E27FC236}">
                  <a16:creationId xmlns:a16="http://schemas.microsoft.com/office/drawing/2014/main" id="{00000000-0008-0000-0A00-00000D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666750</xdr:colOff>
          <xdr:row>53</xdr:row>
          <xdr:rowOff>495300</xdr:rowOff>
        </xdr:from>
        <xdr:to>
          <xdr:col>1</xdr:col>
          <xdr:colOff>1095375</xdr:colOff>
          <xdr:row>54</xdr:row>
          <xdr:rowOff>457200</xdr:rowOff>
        </xdr:to>
        <xdr:sp macro="" textlink="">
          <xdr:nvSpPr>
            <xdr:cNvPr id="45070" name="Object 14" hidden="1">
              <a:extLst>
                <a:ext uri="{63B3BB69-23CF-44E3-9099-C40C66FF867C}">
                  <a14:compatExt spid="_x0000_s45070"/>
                </a:ext>
                <a:ext uri="{FF2B5EF4-FFF2-40B4-BE49-F238E27FC236}">
                  <a16:creationId xmlns:a16="http://schemas.microsoft.com/office/drawing/2014/main" id="{00000000-0008-0000-0A00-00000E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581025</xdr:colOff>
          <xdr:row>15</xdr:row>
          <xdr:rowOff>38100</xdr:rowOff>
        </xdr:from>
        <xdr:to>
          <xdr:col>1</xdr:col>
          <xdr:colOff>1419225</xdr:colOff>
          <xdr:row>16</xdr:row>
          <xdr:rowOff>28575</xdr:rowOff>
        </xdr:to>
        <xdr:sp macro="" textlink="">
          <xdr:nvSpPr>
            <xdr:cNvPr id="45071" name="Object 15" hidden="1">
              <a:extLst>
                <a:ext uri="{63B3BB69-23CF-44E3-9099-C40C66FF867C}">
                  <a14:compatExt spid="_x0000_s45071"/>
                </a:ext>
                <a:ext uri="{FF2B5EF4-FFF2-40B4-BE49-F238E27FC236}">
                  <a16:creationId xmlns:a16="http://schemas.microsoft.com/office/drawing/2014/main" id="{00000000-0008-0000-0A00-00000F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590550</xdr:colOff>
          <xdr:row>14</xdr:row>
          <xdr:rowOff>28575</xdr:rowOff>
        </xdr:from>
        <xdr:to>
          <xdr:col>1</xdr:col>
          <xdr:colOff>1409700</xdr:colOff>
          <xdr:row>14</xdr:row>
          <xdr:rowOff>609600</xdr:rowOff>
        </xdr:to>
        <xdr:sp macro="" textlink="">
          <xdr:nvSpPr>
            <xdr:cNvPr id="45072" name="Object 16" hidden="1">
              <a:extLst>
                <a:ext uri="{63B3BB69-23CF-44E3-9099-C40C66FF867C}">
                  <a14:compatExt spid="_x0000_s45072"/>
                </a:ext>
                <a:ext uri="{FF2B5EF4-FFF2-40B4-BE49-F238E27FC236}">
                  <a16:creationId xmlns:a16="http://schemas.microsoft.com/office/drawing/2014/main" id="{00000000-0008-0000-0A00-000010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16</xdr:row>
          <xdr:rowOff>238125</xdr:rowOff>
        </xdr:from>
        <xdr:to>
          <xdr:col>1</xdr:col>
          <xdr:colOff>1619250</xdr:colOff>
          <xdr:row>16</xdr:row>
          <xdr:rowOff>457200</xdr:rowOff>
        </xdr:to>
        <xdr:sp macro="" textlink="">
          <xdr:nvSpPr>
            <xdr:cNvPr id="45073" name="Object 17" hidden="1">
              <a:extLst>
                <a:ext uri="{63B3BB69-23CF-44E3-9099-C40C66FF867C}">
                  <a14:compatExt spid="_x0000_s45073"/>
                </a:ext>
                <a:ext uri="{FF2B5EF4-FFF2-40B4-BE49-F238E27FC236}">
                  <a16:creationId xmlns:a16="http://schemas.microsoft.com/office/drawing/2014/main" id="{00000000-0008-0000-0A00-00001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73025</xdr:colOff>
      <xdr:row>1</xdr:row>
      <xdr:rowOff>21164</xdr:rowOff>
    </xdr:from>
    <xdr:to>
      <xdr:col>18</xdr:col>
      <xdr:colOff>650380</xdr:colOff>
      <xdr:row>57</xdr:row>
      <xdr:rowOff>139701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6206095" y="202139"/>
          <a:ext cx="8721230" cy="12329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7.bin"/><Relationship Id="rId18" Type="http://schemas.openxmlformats.org/officeDocument/2006/relationships/oleObject" Target="../embeddings/oleObject60.bin"/><Relationship Id="rId26" Type="http://schemas.openxmlformats.org/officeDocument/2006/relationships/oleObject" Target="../embeddings/oleObject64.bin"/><Relationship Id="rId3" Type="http://schemas.openxmlformats.org/officeDocument/2006/relationships/oleObject" Target="../embeddings/oleObject52.bin"/><Relationship Id="rId21" Type="http://schemas.openxmlformats.org/officeDocument/2006/relationships/image" Target="../media/image12.wmf"/><Relationship Id="rId34" Type="http://schemas.openxmlformats.org/officeDocument/2006/relationships/oleObject" Target="../embeddings/oleObject68.bin"/><Relationship Id="rId7" Type="http://schemas.openxmlformats.org/officeDocument/2006/relationships/oleObject" Target="../embeddings/oleObject54.bin"/><Relationship Id="rId12" Type="http://schemas.openxmlformats.org/officeDocument/2006/relationships/image" Target="../media/image8.wmf"/><Relationship Id="rId17" Type="http://schemas.openxmlformats.org/officeDocument/2006/relationships/oleObject" Target="../embeddings/oleObject59.bin"/><Relationship Id="rId25" Type="http://schemas.openxmlformats.org/officeDocument/2006/relationships/image" Target="../media/image14.wmf"/><Relationship Id="rId33" Type="http://schemas.openxmlformats.org/officeDocument/2006/relationships/image" Target="../media/image18.wmf"/><Relationship Id="rId2" Type="http://schemas.openxmlformats.org/officeDocument/2006/relationships/vmlDrawing" Target="../drawings/vmlDrawing4.vml"/><Relationship Id="rId16" Type="http://schemas.openxmlformats.org/officeDocument/2006/relationships/image" Target="../media/image10.wmf"/><Relationship Id="rId20" Type="http://schemas.openxmlformats.org/officeDocument/2006/relationships/oleObject" Target="../embeddings/oleObject61.bin"/><Relationship Id="rId29" Type="http://schemas.openxmlformats.org/officeDocument/2006/relationships/image" Target="../media/image16.wmf"/><Relationship Id="rId1" Type="http://schemas.openxmlformats.org/officeDocument/2006/relationships/drawing" Target="../drawings/drawing5.xml"/><Relationship Id="rId6" Type="http://schemas.openxmlformats.org/officeDocument/2006/relationships/image" Target="../media/image5.wmf"/><Relationship Id="rId11" Type="http://schemas.openxmlformats.org/officeDocument/2006/relationships/oleObject" Target="../embeddings/oleObject56.bin"/><Relationship Id="rId24" Type="http://schemas.openxmlformats.org/officeDocument/2006/relationships/oleObject" Target="../embeddings/oleObject63.bin"/><Relationship Id="rId32" Type="http://schemas.openxmlformats.org/officeDocument/2006/relationships/oleObject" Target="../embeddings/oleObject67.bin"/><Relationship Id="rId5" Type="http://schemas.openxmlformats.org/officeDocument/2006/relationships/oleObject" Target="../embeddings/oleObject53.bin"/><Relationship Id="rId15" Type="http://schemas.openxmlformats.org/officeDocument/2006/relationships/oleObject" Target="../embeddings/oleObject58.bin"/><Relationship Id="rId23" Type="http://schemas.openxmlformats.org/officeDocument/2006/relationships/image" Target="../media/image13.wmf"/><Relationship Id="rId28" Type="http://schemas.openxmlformats.org/officeDocument/2006/relationships/oleObject" Target="../embeddings/oleObject65.bin"/><Relationship Id="rId10" Type="http://schemas.openxmlformats.org/officeDocument/2006/relationships/image" Target="../media/image7.wmf"/><Relationship Id="rId19" Type="http://schemas.openxmlformats.org/officeDocument/2006/relationships/image" Target="../media/image11.wmf"/><Relationship Id="rId31" Type="http://schemas.openxmlformats.org/officeDocument/2006/relationships/image" Target="../media/image17.wmf"/><Relationship Id="rId4" Type="http://schemas.openxmlformats.org/officeDocument/2006/relationships/image" Target="../media/image4.wmf"/><Relationship Id="rId9" Type="http://schemas.openxmlformats.org/officeDocument/2006/relationships/oleObject" Target="../embeddings/oleObject55.bin"/><Relationship Id="rId14" Type="http://schemas.openxmlformats.org/officeDocument/2006/relationships/image" Target="../media/image9.wmf"/><Relationship Id="rId22" Type="http://schemas.openxmlformats.org/officeDocument/2006/relationships/oleObject" Target="../embeddings/oleObject62.bin"/><Relationship Id="rId27" Type="http://schemas.openxmlformats.org/officeDocument/2006/relationships/image" Target="../media/image15.wmf"/><Relationship Id="rId30" Type="http://schemas.openxmlformats.org/officeDocument/2006/relationships/oleObject" Target="../embeddings/oleObject66.bin"/><Relationship Id="rId35" Type="http://schemas.openxmlformats.org/officeDocument/2006/relationships/image" Target="../media/image19.wmf"/><Relationship Id="rId8" Type="http://schemas.openxmlformats.org/officeDocument/2006/relationships/image" Target="../media/image6.wmf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74.bin"/><Relationship Id="rId18" Type="http://schemas.openxmlformats.org/officeDocument/2006/relationships/oleObject" Target="../embeddings/oleObject77.bin"/><Relationship Id="rId26" Type="http://schemas.openxmlformats.org/officeDocument/2006/relationships/oleObject" Target="../embeddings/oleObject81.bin"/><Relationship Id="rId3" Type="http://schemas.openxmlformats.org/officeDocument/2006/relationships/oleObject" Target="../embeddings/oleObject69.bin"/><Relationship Id="rId21" Type="http://schemas.openxmlformats.org/officeDocument/2006/relationships/image" Target="../media/image12.wmf"/><Relationship Id="rId34" Type="http://schemas.openxmlformats.org/officeDocument/2006/relationships/oleObject" Target="../embeddings/oleObject85.bin"/><Relationship Id="rId7" Type="http://schemas.openxmlformats.org/officeDocument/2006/relationships/oleObject" Target="../embeddings/oleObject71.bin"/><Relationship Id="rId12" Type="http://schemas.openxmlformats.org/officeDocument/2006/relationships/image" Target="../media/image8.wmf"/><Relationship Id="rId17" Type="http://schemas.openxmlformats.org/officeDocument/2006/relationships/oleObject" Target="../embeddings/oleObject76.bin"/><Relationship Id="rId25" Type="http://schemas.openxmlformats.org/officeDocument/2006/relationships/image" Target="../media/image14.wmf"/><Relationship Id="rId33" Type="http://schemas.openxmlformats.org/officeDocument/2006/relationships/image" Target="../media/image18.wmf"/><Relationship Id="rId2" Type="http://schemas.openxmlformats.org/officeDocument/2006/relationships/vmlDrawing" Target="../drawings/vmlDrawing5.vml"/><Relationship Id="rId16" Type="http://schemas.openxmlformats.org/officeDocument/2006/relationships/image" Target="../media/image10.wmf"/><Relationship Id="rId20" Type="http://schemas.openxmlformats.org/officeDocument/2006/relationships/oleObject" Target="../embeddings/oleObject78.bin"/><Relationship Id="rId29" Type="http://schemas.openxmlformats.org/officeDocument/2006/relationships/image" Target="../media/image16.wmf"/><Relationship Id="rId1" Type="http://schemas.openxmlformats.org/officeDocument/2006/relationships/drawing" Target="../drawings/drawing6.xml"/><Relationship Id="rId6" Type="http://schemas.openxmlformats.org/officeDocument/2006/relationships/image" Target="../media/image5.wmf"/><Relationship Id="rId11" Type="http://schemas.openxmlformats.org/officeDocument/2006/relationships/oleObject" Target="../embeddings/oleObject73.bin"/><Relationship Id="rId24" Type="http://schemas.openxmlformats.org/officeDocument/2006/relationships/oleObject" Target="../embeddings/oleObject80.bin"/><Relationship Id="rId32" Type="http://schemas.openxmlformats.org/officeDocument/2006/relationships/oleObject" Target="../embeddings/oleObject84.bin"/><Relationship Id="rId5" Type="http://schemas.openxmlformats.org/officeDocument/2006/relationships/oleObject" Target="../embeddings/oleObject70.bin"/><Relationship Id="rId15" Type="http://schemas.openxmlformats.org/officeDocument/2006/relationships/oleObject" Target="../embeddings/oleObject75.bin"/><Relationship Id="rId23" Type="http://schemas.openxmlformats.org/officeDocument/2006/relationships/image" Target="../media/image13.wmf"/><Relationship Id="rId28" Type="http://schemas.openxmlformats.org/officeDocument/2006/relationships/oleObject" Target="../embeddings/oleObject82.bin"/><Relationship Id="rId10" Type="http://schemas.openxmlformats.org/officeDocument/2006/relationships/image" Target="../media/image7.wmf"/><Relationship Id="rId19" Type="http://schemas.openxmlformats.org/officeDocument/2006/relationships/image" Target="../media/image11.wmf"/><Relationship Id="rId31" Type="http://schemas.openxmlformats.org/officeDocument/2006/relationships/image" Target="../media/image17.wmf"/><Relationship Id="rId4" Type="http://schemas.openxmlformats.org/officeDocument/2006/relationships/image" Target="../media/image4.wmf"/><Relationship Id="rId9" Type="http://schemas.openxmlformats.org/officeDocument/2006/relationships/oleObject" Target="../embeddings/oleObject72.bin"/><Relationship Id="rId14" Type="http://schemas.openxmlformats.org/officeDocument/2006/relationships/image" Target="../media/image9.wmf"/><Relationship Id="rId22" Type="http://schemas.openxmlformats.org/officeDocument/2006/relationships/oleObject" Target="../embeddings/oleObject79.bin"/><Relationship Id="rId27" Type="http://schemas.openxmlformats.org/officeDocument/2006/relationships/image" Target="../media/image15.wmf"/><Relationship Id="rId30" Type="http://schemas.openxmlformats.org/officeDocument/2006/relationships/oleObject" Target="../embeddings/oleObject83.bin"/><Relationship Id="rId35" Type="http://schemas.openxmlformats.org/officeDocument/2006/relationships/image" Target="../media/image19.wmf"/><Relationship Id="rId8" Type="http://schemas.openxmlformats.org/officeDocument/2006/relationships/image" Target="../media/image6.wmf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.wmf"/><Relationship Id="rId18" Type="http://schemas.openxmlformats.org/officeDocument/2006/relationships/oleObject" Target="../embeddings/oleObject8.bin"/><Relationship Id="rId26" Type="http://schemas.openxmlformats.org/officeDocument/2006/relationships/image" Target="../media/image14.wmf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34" Type="http://schemas.openxmlformats.org/officeDocument/2006/relationships/image" Target="../media/image18.wmf"/><Relationship Id="rId7" Type="http://schemas.openxmlformats.org/officeDocument/2006/relationships/image" Target="../media/image5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10.wmf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11.wmf"/><Relationship Id="rId29" Type="http://schemas.openxmlformats.org/officeDocument/2006/relationships/oleObject" Target="../embeddings/oleObject14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7.wmf"/><Relationship Id="rId24" Type="http://schemas.openxmlformats.org/officeDocument/2006/relationships/image" Target="../media/image13.wmf"/><Relationship Id="rId32" Type="http://schemas.openxmlformats.org/officeDocument/2006/relationships/image" Target="../media/image17.wmf"/><Relationship Id="rId5" Type="http://schemas.openxmlformats.org/officeDocument/2006/relationships/image" Target="../media/image4.wmf"/><Relationship Id="rId15" Type="http://schemas.openxmlformats.org/officeDocument/2006/relationships/image" Target="../media/image9.wmf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5.wmf"/><Relationship Id="rId36" Type="http://schemas.openxmlformats.org/officeDocument/2006/relationships/image" Target="../media/image19.w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6.wmf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12.w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6.wmf"/><Relationship Id="rId35" Type="http://schemas.openxmlformats.org/officeDocument/2006/relationships/oleObject" Target="../embeddings/oleObject17.bin"/><Relationship Id="rId8" Type="http://schemas.openxmlformats.org/officeDocument/2006/relationships/oleObject" Target="../embeddings/oleObject3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23.bin"/><Relationship Id="rId18" Type="http://schemas.openxmlformats.org/officeDocument/2006/relationships/oleObject" Target="../embeddings/oleObject26.bin"/><Relationship Id="rId26" Type="http://schemas.openxmlformats.org/officeDocument/2006/relationships/oleObject" Target="../embeddings/oleObject30.bin"/><Relationship Id="rId3" Type="http://schemas.openxmlformats.org/officeDocument/2006/relationships/oleObject" Target="../embeddings/oleObject18.bin"/><Relationship Id="rId21" Type="http://schemas.openxmlformats.org/officeDocument/2006/relationships/image" Target="../media/image12.wmf"/><Relationship Id="rId34" Type="http://schemas.openxmlformats.org/officeDocument/2006/relationships/oleObject" Target="../embeddings/oleObject34.bin"/><Relationship Id="rId7" Type="http://schemas.openxmlformats.org/officeDocument/2006/relationships/oleObject" Target="../embeddings/oleObject20.bin"/><Relationship Id="rId12" Type="http://schemas.openxmlformats.org/officeDocument/2006/relationships/image" Target="../media/image8.wmf"/><Relationship Id="rId17" Type="http://schemas.openxmlformats.org/officeDocument/2006/relationships/oleObject" Target="../embeddings/oleObject25.bin"/><Relationship Id="rId25" Type="http://schemas.openxmlformats.org/officeDocument/2006/relationships/image" Target="../media/image14.wmf"/><Relationship Id="rId33" Type="http://schemas.openxmlformats.org/officeDocument/2006/relationships/image" Target="../media/image18.wmf"/><Relationship Id="rId2" Type="http://schemas.openxmlformats.org/officeDocument/2006/relationships/vmlDrawing" Target="../drawings/vmlDrawing2.vml"/><Relationship Id="rId16" Type="http://schemas.openxmlformats.org/officeDocument/2006/relationships/image" Target="../media/image10.wmf"/><Relationship Id="rId20" Type="http://schemas.openxmlformats.org/officeDocument/2006/relationships/oleObject" Target="../embeddings/oleObject27.bin"/><Relationship Id="rId29" Type="http://schemas.openxmlformats.org/officeDocument/2006/relationships/image" Target="../media/image16.wmf"/><Relationship Id="rId1" Type="http://schemas.openxmlformats.org/officeDocument/2006/relationships/drawing" Target="../drawings/drawing3.xml"/><Relationship Id="rId6" Type="http://schemas.openxmlformats.org/officeDocument/2006/relationships/image" Target="../media/image5.wmf"/><Relationship Id="rId11" Type="http://schemas.openxmlformats.org/officeDocument/2006/relationships/oleObject" Target="../embeddings/oleObject22.bin"/><Relationship Id="rId24" Type="http://schemas.openxmlformats.org/officeDocument/2006/relationships/oleObject" Target="../embeddings/oleObject29.bin"/><Relationship Id="rId32" Type="http://schemas.openxmlformats.org/officeDocument/2006/relationships/oleObject" Target="../embeddings/oleObject33.bin"/><Relationship Id="rId5" Type="http://schemas.openxmlformats.org/officeDocument/2006/relationships/oleObject" Target="../embeddings/oleObject19.bin"/><Relationship Id="rId15" Type="http://schemas.openxmlformats.org/officeDocument/2006/relationships/oleObject" Target="../embeddings/oleObject24.bin"/><Relationship Id="rId23" Type="http://schemas.openxmlformats.org/officeDocument/2006/relationships/image" Target="../media/image13.wmf"/><Relationship Id="rId28" Type="http://schemas.openxmlformats.org/officeDocument/2006/relationships/oleObject" Target="../embeddings/oleObject31.bin"/><Relationship Id="rId10" Type="http://schemas.openxmlformats.org/officeDocument/2006/relationships/image" Target="../media/image7.wmf"/><Relationship Id="rId19" Type="http://schemas.openxmlformats.org/officeDocument/2006/relationships/image" Target="../media/image11.wmf"/><Relationship Id="rId31" Type="http://schemas.openxmlformats.org/officeDocument/2006/relationships/image" Target="../media/image17.wmf"/><Relationship Id="rId4" Type="http://schemas.openxmlformats.org/officeDocument/2006/relationships/image" Target="../media/image4.wmf"/><Relationship Id="rId9" Type="http://schemas.openxmlformats.org/officeDocument/2006/relationships/oleObject" Target="../embeddings/oleObject21.bin"/><Relationship Id="rId14" Type="http://schemas.openxmlformats.org/officeDocument/2006/relationships/image" Target="../media/image9.wmf"/><Relationship Id="rId22" Type="http://schemas.openxmlformats.org/officeDocument/2006/relationships/oleObject" Target="../embeddings/oleObject28.bin"/><Relationship Id="rId27" Type="http://schemas.openxmlformats.org/officeDocument/2006/relationships/image" Target="../media/image15.wmf"/><Relationship Id="rId30" Type="http://schemas.openxmlformats.org/officeDocument/2006/relationships/oleObject" Target="../embeddings/oleObject32.bin"/><Relationship Id="rId35" Type="http://schemas.openxmlformats.org/officeDocument/2006/relationships/image" Target="../media/image19.wmf"/><Relationship Id="rId8" Type="http://schemas.openxmlformats.org/officeDocument/2006/relationships/image" Target="../media/image6.wmf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40.bin"/><Relationship Id="rId18" Type="http://schemas.openxmlformats.org/officeDocument/2006/relationships/oleObject" Target="../embeddings/oleObject43.bin"/><Relationship Id="rId26" Type="http://schemas.openxmlformats.org/officeDocument/2006/relationships/oleObject" Target="../embeddings/oleObject47.bin"/><Relationship Id="rId3" Type="http://schemas.openxmlformats.org/officeDocument/2006/relationships/oleObject" Target="../embeddings/oleObject35.bin"/><Relationship Id="rId21" Type="http://schemas.openxmlformats.org/officeDocument/2006/relationships/image" Target="../media/image12.wmf"/><Relationship Id="rId34" Type="http://schemas.openxmlformats.org/officeDocument/2006/relationships/oleObject" Target="../embeddings/oleObject51.bin"/><Relationship Id="rId7" Type="http://schemas.openxmlformats.org/officeDocument/2006/relationships/oleObject" Target="../embeddings/oleObject37.bin"/><Relationship Id="rId12" Type="http://schemas.openxmlformats.org/officeDocument/2006/relationships/image" Target="../media/image8.wmf"/><Relationship Id="rId17" Type="http://schemas.openxmlformats.org/officeDocument/2006/relationships/oleObject" Target="../embeddings/oleObject42.bin"/><Relationship Id="rId25" Type="http://schemas.openxmlformats.org/officeDocument/2006/relationships/image" Target="../media/image14.wmf"/><Relationship Id="rId33" Type="http://schemas.openxmlformats.org/officeDocument/2006/relationships/image" Target="../media/image18.wmf"/><Relationship Id="rId2" Type="http://schemas.openxmlformats.org/officeDocument/2006/relationships/vmlDrawing" Target="../drawings/vmlDrawing3.vml"/><Relationship Id="rId16" Type="http://schemas.openxmlformats.org/officeDocument/2006/relationships/image" Target="../media/image10.wmf"/><Relationship Id="rId20" Type="http://schemas.openxmlformats.org/officeDocument/2006/relationships/oleObject" Target="../embeddings/oleObject44.bin"/><Relationship Id="rId29" Type="http://schemas.openxmlformats.org/officeDocument/2006/relationships/image" Target="../media/image16.wmf"/><Relationship Id="rId1" Type="http://schemas.openxmlformats.org/officeDocument/2006/relationships/drawing" Target="../drawings/drawing4.xml"/><Relationship Id="rId6" Type="http://schemas.openxmlformats.org/officeDocument/2006/relationships/image" Target="../media/image5.wmf"/><Relationship Id="rId11" Type="http://schemas.openxmlformats.org/officeDocument/2006/relationships/oleObject" Target="../embeddings/oleObject39.bin"/><Relationship Id="rId24" Type="http://schemas.openxmlformats.org/officeDocument/2006/relationships/oleObject" Target="../embeddings/oleObject46.bin"/><Relationship Id="rId32" Type="http://schemas.openxmlformats.org/officeDocument/2006/relationships/oleObject" Target="../embeddings/oleObject50.bin"/><Relationship Id="rId5" Type="http://schemas.openxmlformats.org/officeDocument/2006/relationships/oleObject" Target="../embeddings/oleObject36.bin"/><Relationship Id="rId15" Type="http://schemas.openxmlformats.org/officeDocument/2006/relationships/oleObject" Target="../embeddings/oleObject41.bin"/><Relationship Id="rId23" Type="http://schemas.openxmlformats.org/officeDocument/2006/relationships/image" Target="../media/image13.wmf"/><Relationship Id="rId28" Type="http://schemas.openxmlformats.org/officeDocument/2006/relationships/oleObject" Target="../embeddings/oleObject48.bin"/><Relationship Id="rId10" Type="http://schemas.openxmlformats.org/officeDocument/2006/relationships/image" Target="../media/image7.wmf"/><Relationship Id="rId19" Type="http://schemas.openxmlformats.org/officeDocument/2006/relationships/image" Target="../media/image11.wmf"/><Relationship Id="rId31" Type="http://schemas.openxmlformats.org/officeDocument/2006/relationships/image" Target="../media/image17.wmf"/><Relationship Id="rId4" Type="http://schemas.openxmlformats.org/officeDocument/2006/relationships/image" Target="../media/image4.wmf"/><Relationship Id="rId9" Type="http://schemas.openxmlformats.org/officeDocument/2006/relationships/oleObject" Target="../embeddings/oleObject38.bin"/><Relationship Id="rId14" Type="http://schemas.openxmlformats.org/officeDocument/2006/relationships/image" Target="../media/image9.wmf"/><Relationship Id="rId22" Type="http://schemas.openxmlformats.org/officeDocument/2006/relationships/oleObject" Target="../embeddings/oleObject45.bin"/><Relationship Id="rId27" Type="http://schemas.openxmlformats.org/officeDocument/2006/relationships/image" Target="../media/image15.wmf"/><Relationship Id="rId30" Type="http://schemas.openxmlformats.org/officeDocument/2006/relationships/oleObject" Target="../embeddings/oleObject49.bin"/><Relationship Id="rId35" Type="http://schemas.openxmlformats.org/officeDocument/2006/relationships/image" Target="../media/image19.wmf"/><Relationship Id="rId8" Type="http://schemas.openxmlformats.org/officeDocument/2006/relationships/image" Target="../media/image6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CFF99"/>
    <pageSetUpPr fitToPage="1"/>
  </sheetPr>
  <dimension ref="A1:Z145"/>
  <sheetViews>
    <sheetView rightToLeft="1" tabSelected="1" view="pageBreakPreview" zoomScaleNormal="100" zoomScaleSheetLayoutView="100" workbookViewId="0">
      <selection activeCell="E10" sqref="E10"/>
    </sheetView>
  </sheetViews>
  <sheetFormatPr defaultRowHeight="15" x14ac:dyDescent="0.25"/>
  <cols>
    <col min="1" max="1" width="3.5703125" customWidth="1"/>
    <col min="2" max="5" width="9.5703125" customWidth="1"/>
    <col min="6" max="6" width="21.140625" customWidth="1"/>
    <col min="7" max="7" width="34.140625" customWidth="1"/>
    <col min="8" max="8" width="14.5703125" customWidth="1"/>
    <col min="9" max="9" width="3.5703125" customWidth="1"/>
    <col min="10" max="10" width="6.5703125" customWidth="1"/>
    <col min="11" max="11" width="3.5703125" customWidth="1"/>
    <col min="12" max="12" width="9.7109375" customWidth="1"/>
    <col min="13" max="13" width="5.140625" customWidth="1"/>
    <col min="14" max="14" width="10.42578125" customWidth="1"/>
    <col min="15" max="15" width="5.42578125" customWidth="1"/>
    <col min="16" max="16" width="14.28515625" customWidth="1"/>
    <col min="17" max="17" width="17" customWidth="1"/>
    <col min="18" max="18" width="6.5703125" customWidth="1"/>
    <col min="19" max="19" width="5.7109375" customWidth="1"/>
    <col min="20" max="20" width="11.42578125" customWidth="1"/>
    <col min="21" max="21" width="12.140625" customWidth="1"/>
    <col min="22" max="22" width="9.7109375" customWidth="1"/>
    <col min="23" max="23" width="14.42578125" customWidth="1"/>
    <col min="24" max="24" width="9.140625" customWidth="1"/>
    <col min="25" max="25" width="13.28515625" customWidth="1"/>
    <col min="26" max="33" width="9.140625" customWidth="1"/>
    <col min="34" max="34" width="3.28515625" customWidth="1"/>
    <col min="35" max="41" width="9.140625" customWidth="1"/>
    <col min="42" max="42" width="11.7109375" customWidth="1"/>
    <col min="43" max="43" width="10.85546875" customWidth="1"/>
    <col min="44" max="46" width="9.140625" customWidth="1"/>
    <col min="47" max="47" width="17.5703125" customWidth="1"/>
    <col min="48" max="48" width="33.42578125" customWidth="1"/>
  </cols>
  <sheetData>
    <row r="1" spans="1:26" ht="15.75" thickBot="1" x14ac:dyDescent="0.3"/>
    <row r="2" spans="1:26" ht="16.5" customHeight="1" thickBot="1" x14ac:dyDescent="0.3">
      <c r="A2" s="85"/>
      <c r="B2" s="277" t="s">
        <v>106</v>
      </c>
      <c r="C2" s="278"/>
      <c r="D2" s="278"/>
      <c r="E2" s="278"/>
      <c r="F2" s="278"/>
      <c r="G2" s="278"/>
      <c r="H2" s="279"/>
      <c r="I2" s="85"/>
      <c r="T2" s="267">
        <f>SUM(U16:U39)</f>
        <v>0</v>
      </c>
      <c r="U2" s="267"/>
      <c r="V2" s="66"/>
      <c r="W2" s="31"/>
    </row>
    <row r="3" spans="1:26" ht="16.5" customHeight="1" x14ac:dyDescent="0.25">
      <c r="A3" s="85"/>
      <c r="B3" s="280" t="s">
        <v>87</v>
      </c>
      <c r="C3" s="281"/>
      <c r="D3" s="281"/>
      <c r="E3" s="282"/>
      <c r="F3" s="283" t="s">
        <v>90</v>
      </c>
      <c r="G3" s="284"/>
      <c r="H3" s="285"/>
      <c r="I3" s="85"/>
      <c r="T3" s="31"/>
      <c r="U3" s="31"/>
      <c r="V3" s="66"/>
      <c r="W3" s="31"/>
    </row>
    <row r="4" spans="1:26" ht="16.5" customHeight="1" x14ac:dyDescent="0.45">
      <c r="A4" s="85"/>
      <c r="B4" s="286" t="s">
        <v>88</v>
      </c>
      <c r="C4" s="287"/>
      <c r="D4" s="288" t="s">
        <v>92</v>
      </c>
      <c r="E4" s="289"/>
      <c r="F4" s="46" t="s">
        <v>80</v>
      </c>
      <c r="G4" s="288"/>
      <c r="H4" s="290"/>
      <c r="I4" s="85"/>
      <c r="T4" s="32"/>
      <c r="U4" s="32"/>
      <c r="V4" s="66"/>
      <c r="W4" s="32"/>
    </row>
    <row r="5" spans="1:26" ht="16.5" customHeight="1" x14ac:dyDescent="0.45">
      <c r="A5" s="85"/>
      <c r="B5" s="286" t="s">
        <v>89</v>
      </c>
      <c r="C5" s="287"/>
      <c r="D5" s="288"/>
      <c r="E5" s="289"/>
      <c r="F5" s="46" t="s">
        <v>81</v>
      </c>
      <c r="G5" s="288" t="s">
        <v>204</v>
      </c>
      <c r="H5" s="290"/>
      <c r="I5" s="85"/>
      <c r="T5" s="32"/>
      <c r="U5" s="32"/>
      <c r="V5" s="66"/>
      <c r="W5" s="32"/>
    </row>
    <row r="6" spans="1:26" ht="16.5" customHeight="1" thickBot="1" x14ac:dyDescent="0.3">
      <c r="A6" s="85"/>
      <c r="B6" s="263" t="s">
        <v>83</v>
      </c>
      <c r="C6" s="264"/>
      <c r="D6" s="261"/>
      <c r="E6" s="262"/>
      <c r="F6" s="174" t="s">
        <v>82</v>
      </c>
      <c r="G6" s="265" t="s">
        <v>85</v>
      </c>
      <c r="H6" s="266"/>
      <c r="I6" s="85"/>
      <c r="T6" s="32"/>
      <c r="U6" s="32"/>
      <c r="V6" s="66"/>
      <c r="W6" s="32"/>
    </row>
    <row r="7" spans="1:26" ht="16.5" customHeight="1" x14ac:dyDescent="0.25">
      <c r="A7" s="85"/>
      <c r="B7" s="307" t="s">
        <v>200</v>
      </c>
      <c r="C7" s="308"/>
      <c r="D7" s="308"/>
      <c r="E7" s="308"/>
      <c r="F7" s="308"/>
      <c r="G7" s="179" t="s">
        <v>197</v>
      </c>
      <c r="H7" s="180" t="s">
        <v>119</v>
      </c>
      <c r="I7" s="85"/>
      <c r="T7" s="32"/>
      <c r="U7" s="32"/>
      <c r="V7" s="66"/>
      <c r="W7" s="32"/>
    </row>
    <row r="8" spans="1:26" ht="16.5" customHeight="1" thickBot="1" x14ac:dyDescent="0.3">
      <c r="A8" s="85"/>
      <c r="B8" s="309"/>
      <c r="C8" s="310"/>
      <c r="D8" s="310"/>
      <c r="E8" s="310"/>
      <c r="F8" s="310"/>
      <c r="G8" s="203" t="s">
        <v>7</v>
      </c>
      <c r="H8" s="204"/>
      <c r="I8" s="85"/>
      <c r="T8" s="32"/>
      <c r="U8" s="32"/>
      <c r="V8" s="66"/>
      <c r="W8" s="32"/>
    </row>
    <row r="9" spans="1:26" ht="16.5" customHeight="1" x14ac:dyDescent="0.25">
      <c r="A9" s="85"/>
      <c r="B9" s="213" t="s">
        <v>12</v>
      </c>
      <c r="C9" s="214" t="s">
        <v>6</v>
      </c>
      <c r="D9" s="214" t="s">
        <v>172</v>
      </c>
      <c r="E9" s="214" t="s">
        <v>1</v>
      </c>
      <c r="F9" s="214" t="s">
        <v>109</v>
      </c>
      <c r="G9" s="214" t="s">
        <v>174</v>
      </c>
      <c r="H9" s="215" t="s">
        <v>145</v>
      </c>
      <c r="I9" s="85"/>
      <c r="T9" s="32"/>
      <c r="U9" s="32"/>
      <c r="V9" s="66"/>
      <c r="W9" s="32"/>
    </row>
    <row r="10" spans="1:26" ht="16.5" customHeight="1" x14ac:dyDescent="0.25">
      <c r="A10" s="85"/>
      <c r="B10" s="216">
        <v>1</v>
      </c>
      <c r="C10" s="191"/>
      <c r="D10" s="191"/>
      <c r="E10" s="191"/>
      <c r="F10" s="211" t="s">
        <v>195</v>
      </c>
      <c r="G10" s="212" t="s">
        <v>182</v>
      </c>
      <c r="H10" s="217" t="s">
        <v>187</v>
      </c>
      <c r="I10" s="85"/>
      <c r="J10" s="161">
        <f>C10*D10/10000</f>
        <v>0</v>
      </c>
      <c r="K10" s="37"/>
      <c r="M10" s="2"/>
      <c r="N10" s="2"/>
      <c r="O10" s="43"/>
      <c r="P10" s="47"/>
      <c r="Q10" s="2"/>
      <c r="R10" s="2"/>
      <c r="S10" s="2" t="s">
        <v>80</v>
      </c>
      <c r="T10" s="270">
        <f>G4</f>
        <v>0</v>
      </c>
      <c r="U10" s="270"/>
      <c r="V10" s="61"/>
      <c r="W10" s="24"/>
    </row>
    <row r="11" spans="1:26" ht="16.5" customHeight="1" x14ac:dyDescent="0.25">
      <c r="A11" s="85"/>
      <c r="B11" s="216">
        <v>2</v>
      </c>
      <c r="C11" s="191"/>
      <c r="D11" s="191"/>
      <c r="E11" s="191"/>
      <c r="F11" s="211" t="s">
        <v>195</v>
      </c>
      <c r="G11" s="212" t="s">
        <v>182</v>
      </c>
      <c r="H11" s="217" t="s">
        <v>187</v>
      </c>
      <c r="I11" s="86"/>
      <c r="J11" s="161">
        <f t="shared" ref="J11:J14" si="0">C11*D11/10000</f>
        <v>0</v>
      </c>
      <c r="K11" s="37"/>
      <c r="M11" s="2"/>
      <c r="N11" s="2"/>
      <c r="O11" s="43"/>
      <c r="P11" s="2"/>
      <c r="Q11" s="2"/>
      <c r="R11" s="2"/>
      <c r="S11" s="2" t="s">
        <v>81</v>
      </c>
      <c r="T11" s="271" t="str">
        <f>G5</f>
        <v>1403/01/20</v>
      </c>
      <c r="U11" s="271"/>
      <c r="V11" s="62"/>
      <c r="W11" s="25"/>
    </row>
    <row r="12" spans="1:26" ht="16.5" customHeight="1" x14ac:dyDescent="0.25">
      <c r="A12" s="85"/>
      <c r="B12" s="216">
        <v>3</v>
      </c>
      <c r="C12" s="191"/>
      <c r="D12" s="191"/>
      <c r="E12" s="191"/>
      <c r="F12" s="211" t="s">
        <v>195</v>
      </c>
      <c r="G12" s="212" t="s">
        <v>182</v>
      </c>
      <c r="H12" s="217" t="s">
        <v>187</v>
      </c>
      <c r="I12" s="86"/>
      <c r="J12" s="161">
        <f t="shared" si="0"/>
        <v>0</v>
      </c>
      <c r="K12" s="29"/>
      <c r="M12" s="2"/>
      <c r="N12" s="2"/>
      <c r="O12" s="43"/>
      <c r="Q12" s="275" t="s">
        <v>8</v>
      </c>
      <c r="R12" s="2"/>
      <c r="S12" s="2" t="s">
        <v>82</v>
      </c>
      <c r="T12" s="271" t="str">
        <f>G6</f>
        <v>ندارد</v>
      </c>
      <c r="U12" s="271"/>
      <c r="V12" s="62"/>
      <c r="W12" s="25"/>
      <c r="Z12" s="4"/>
    </row>
    <row r="13" spans="1:26" ht="16.5" customHeight="1" x14ac:dyDescent="0.25">
      <c r="A13" s="85"/>
      <c r="B13" s="216">
        <v>4</v>
      </c>
      <c r="C13" s="191"/>
      <c r="D13" s="191"/>
      <c r="E13" s="191"/>
      <c r="F13" s="211" t="s">
        <v>195</v>
      </c>
      <c r="G13" s="212" t="s">
        <v>182</v>
      </c>
      <c r="H13" s="217" t="s">
        <v>187</v>
      </c>
      <c r="I13" s="86"/>
      <c r="J13" s="161">
        <f t="shared" si="0"/>
        <v>0</v>
      </c>
      <c r="K13" s="38"/>
      <c r="M13" s="88"/>
      <c r="N13" s="88"/>
      <c r="O13" s="88"/>
      <c r="P13" s="88"/>
      <c r="Q13" s="276"/>
      <c r="R13" s="88"/>
      <c r="S13" s="88"/>
      <c r="T13" s="88"/>
      <c r="U13" s="88"/>
      <c r="V13" s="63"/>
      <c r="W13" s="26"/>
      <c r="Y13" s="1"/>
    </row>
    <row r="14" spans="1:26" ht="16.5" customHeight="1" thickBot="1" x14ac:dyDescent="0.3">
      <c r="A14" s="85"/>
      <c r="B14" s="181">
        <v>5</v>
      </c>
      <c r="C14" s="177"/>
      <c r="D14" s="177"/>
      <c r="E14" s="177"/>
      <c r="F14" s="218" t="s">
        <v>195</v>
      </c>
      <c r="G14" s="212" t="s">
        <v>182</v>
      </c>
      <c r="H14" s="219" t="s">
        <v>187</v>
      </c>
      <c r="I14" s="86"/>
      <c r="J14" s="161">
        <f t="shared" si="0"/>
        <v>0</v>
      </c>
      <c r="K14" s="38"/>
      <c r="M14" s="229" t="s">
        <v>93</v>
      </c>
      <c r="N14" s="230"/>
      <c r="O14" s="230"/>
      <c r="P14" s="48" t="str">
        <f>D4</f>
        <v>جناب آقای</v>
      </c>
      <c r="Q14" s="49">
        <f>D5</f>
        <v>0</v>
      </c>
      <c r="R14" s="49"/>
      <c r="S14" s="49"/>
      <c r="T14" s="49" t="s">
        <v>9</v>
      </c>
      <c r="U14" s="50">
        <f>D6</f>
        <v>0</v>
      </c>
      <c r="V14" s="67"/>
      <c r="W14" s="39"/>
    </row>
    <row r="15" spans="1:26" ht="16.5" customHeight="1" x14ac:dyDescent="0.4">
      <c r="A15" s="85"/>
      <c r="B15" s="205" t="s">
        <v>173</v>
      </c>
      <c r="C15" s="206"/>
      <c r="D15" s="207"/>
      <c r="E15" s="207"/>
      <c r="F15" s="208" t="s">
        <v>111</v>
      </c>
      <c r="G15" s="209" t="s">
        <v>73</v>
      </c>
      <c r="H15" s="210" t="s">
        <v>74</v>
      </c>
      <c r="I15" s="86"/>
      <c r="J15" s="75" t="s">
        <v>12</v>
      </c>
      <c r="K15" s="38"/>
      <c r="M15" s="51" t="s">
        <v>12</v>
      </c>
      <c r="N15" s="237"/>
      <c r="O15" s="238"/>
      <c r="P15" s="238"/>
      <c r="Q15" s="239"/>
      <c r="R15" s="268" t="s">
        <v>2</v>
      </c>
      <c r="S15" s="269"/>
      <c r="T15" s="51" t="s">
        <v>11</v>
      </c>
      <c r="U15" s="51" t="s">
        <v>10</v>
      </c>
      <c r="V15" s="64"/>
      <c r="W15" s="27"/>
    </row>
    <row r="16" spans="1:26" ht="16.5" customHeight="1" thickBot="1" x14ac:dyDescent="0.3">
      <c r="A16" s="85"/>
      <c r="B16" s="175"/>
      <c r="C16" s="176"/>
      <c r="D16" s="177"/>
      <c r="E16" s="177"/>
      <c r="F16" s="202" t="s">
        <v>111</v>
      </c>
      <c r="G16" s="192" t="s">
        <v>104</v>
      </c>
      <c r="H16" s="87">
        <v>45</v>
      </c>
      <c r="I16" s="86"/>
      <c r="J16" s="258">
        <v>1</v>
      </c>
      <c r="K16" s="38"/>
      <c r="L16" s="228">
        <f>IF(AND(J10&gt;=11.5,F10="اختصاصی سایه روشن 120Nm"),"در این حالت موتور را ، بکر آلمان انتخاب کنید",0)</f>
        <v>0</v>
      </c>
      <c r="M16" s="258">
        <f>J16</f>
        <v>1</v>
      </c>
      <c r="N16" s="52">
        <f>E10</f>
        <v>0</v>
      </c>
      <c r="O16" s="256" t="s">
        <v>176</v>
      </c>
      <c r="P16" s="257"/>
      <c r="Q16" s="164" t="str">
        <f>H10</f>
        <v xml:space="preserve">3 پانل </v>
      </c>
      <c r="R16" s="231">
        <f>Q17*O17*N16/10000</f>
        <v>0</v>
      </c>
      <c r="S16" s="232"/>
      <c r="T16" s="223">
        <f>FLOOR((IF(N16=0,0,FLOOR(IF(AND(O20=F106),(FLOOR(((IF(R16=0,0,FLOOR('1'!D19,10000)))*((100-F19)/100)),10000)),IF(AND(O20=F107),(FLOOR(((IF(R16=0,0,FLOOR('1'!D19,10000)))*((100-F19)/100)),10000)),IF(AND(O20=F108),((FLOOR(((IF(R16=0,0,FLOOR('1'!D19,10000)))*((100-F19)/100)),10000))),0))),100000)))*(1+(G20/100)),100000)</f>
        <v>0</v>
      </c>
      <c r="U16" s="223">
        <f>FLOOR(T16*R16,100000)</f>
        <v>0</v>
      </c>
      <c r="V16" s="68"/>
      <c r="W16" s="40"/>
      <c r="Z16" s="3"/>
    </row>
    <row r="17" spans="1:26" ht="16.5" customHeight="1" x14ac:dyDescent="0.25">
      <c r="A17" s="85"/>
      <c r="B17" s="91" t="s">
        <v>75</v>
      </c>
      <c r="C17" s="183">
        <v>2200000</v>
      </c>
      <c r="D17" s="184" t="s">
        <v>128</v>
      </c>
      <c r="E17" s="196" t="s">
        <v>117</v>
      </c>
      <c r="F17" s="303" t="s">
        <v>113</v>
      </c>
      <c r="G17" s="200" t="s">
        <v>76</v>
      </c>
      <c r="H17" s="221">
        <v>8</v>
      </c>
      <c r="I17" s="86"/>
      <c r="J17" s="259"/>
      <c r="K17" s="38"/>
      <c r="L17" s="228"/>
      <c r="M17" s="259"/>
      <c r="N17" s="53" t="s">
        <v>13</v>
      </c>
      <c r="O17" s="242">
        <f>C10</f>
        <v>0</v>
      </c>
      <c r="P17" s="243"/>
      <c r="Q17" s="162">
        <f>D10</f>
        <v>0</v>
      </c>
      <c r="R17" s="233"/>
      <c r="S17" s="234"/>
      <c r="T17" s="224"/>
      <c r="U17" s="224"/>
      <c r="V17" s="68"/>
      <c r="W17" s="40"/>
      <c r="Y17" s="1"/>
      <c r="Z17" s="3"/>
    </row>
    <row r="18" spans="1:26" ht="16.5" customHeight="1" thickBot="1" x14ac:dyDescent="0.3">
      <c r="A18" s="85"/>
      <c r="B18" s="92" t="s">
        <v>4</v>
      </c>
      <c r="C18" s="93">
        <v>700000</v>
      </c>
      <c r="D18" s="185" t="s">
        <v>127</v>
      </c>
      <c r="E18" s="197" t="s">
        <v>123</v>
      </c>
      <c r="F18" s="304"/>
      <c r="G18" s="201" t="s">
        <v>77</v>
      </c>
      <c r="H18" s="222">
        <v>10</v>
      </c>
      <c r="I18" s="86"/>
      <c r="J18" s="259"/>
      <c r="K18" s="38"/>
      <c r="L18" s="228"/>
      <c r="M18" s="259"/>
      <c r="N18" s="178" t="s">
        <v>194</v>
      </c>
      <c r="O18" s="249" t="str">
        <f>G8</f>
        <v>-----</v>
      </c>
      <c r="P18" s="249"/>
      <c r="Q18" s="250"/>
      <c r="R18" s="233"/>
      <c r="S18" s="234"/>
      <c r="T18" s="224"/>
      <c r="U18" s="224"/>
      <c r="V18" s="68"/>
      <c r="W18" s="40"/>
    </row>
    <row r="19" spans="1:26" ht="16.5" customHeight="1" x14ac:dyDescent="0.4">
      <c r="A19" s="85"/>
      <c r="B19" s="90" t="s">
        <v>5</v>
      </c>
      <c r="C19" s="93">
        <v>450000</v>
      </c>
      <c r="D19" s="185" t="s">
        <v>125</v>
      </c>
      <c r="E19" s="198">
        <v>0</v>
      </c>
      <c r="F19" s="305">
        <v>0</v>
      </c>
      <c r="G19" s="190">
        <v>2.2000000000000002</v>
      </c>
      <c r="H19" s="189" t="s">
        <v>208</v>
      </c>
      <c r="I19" s="86"/>
      <c r="J19" s="259"/>
      <c r="K19" s="38"/>
      <c r="L19" s="228"/>
      <c r="M19" s="259"/>
      <c r="N19" s="240" t="s">
        <v>61</v>
      </c>
      <c r="O19" s="241"/>
      <c r="P19" s="244" t="str">
        <f>G10</f>
        <v>5mm + 10 air spacer + 5mm</v>
      </c>
      <c r="Q19" s="245"/>
      <c r="R19" s="233"/>
      <c r="S19" s="234"/>
      <c r="T19" s="224"/>
      <c r="U19" s="224"/>
      <c r="V19" s="68"/>
      <c r="W19" s="40"/>
    </row>
    <row r="20" spans="1:26" ht="12.95" customHeight="1" thickBot="1" x14ac:dyDescent="0.3">
      <c r="A20" s="85"/>
      <c r="B20" s="193" t="s">
        <v>173</v>
      </c>
      <c r="C20" s="194">
        <v>45800000</v>
      </c>
      <c r="D20" s="195" t="s">
        <v>126</v>
      </c>
      <c r="E20" s="199">
        <v>0</v>
      </c>
      <c r="F20" s="306"/>
      <c r="G20" s="220">
        <v>0</v>
      </c>
      <c r="H20" s="188" t="s">
        <v>205</v>
      </c>
      <c r="I20" s="86"/>
      <c r="J20" s="259"/>
      <c r="K20" s="38"/>
      <c r="L20" s="228"/>
      <c r="M20" s="259"/>
      <c r="N20" s="172" t="s">
        <v>107</v>
      </c>
      <c r="O20" s="226" t="str">
        <f>F10</f>
        <v>اختصاصی سایه روشن 120Nm</v>
      </c>
      <c r="P20" s="226"/>
      <c r="Q20" s="227"/>
      <c r="R20" s="233"/>
      <c r="S20" s="234"/>
      <c r="T20" s="224"/>
      <c r="U20" s="224"/>
      <c r="V20" s="68"/>
      <c r="W20" s="40"/>
    </row>
    <row r="21" spans="1:26" ht="16.5" customHeight="1" x14ac:dyDescent="0.25">
      <c r="A21" s="85"/>
      <c r="I21" s="86"/>
      <c r="J21" s="260"/>
      <c r="K21" s="38"/>
      <c r="L21" s="228"/>
      <c r="M21" s="260"/>
      <c r="N21" s="272" t="s">
        <v>177</v>
      </c>
      <c r="O21" s="273"/>
      <c r="P21" s="273"/>
      <c r="Q21" s="274"/>
      <c r="R21" s="235"/>
      <c r="S21" s="236"/>
      <c r="T21" s="225"/>
      <c r="U21" s="225"/>
      <c r="V21" s="68"/>
      <c r="W21" s="40"/>
    </row>
    <row r="22" spans="1:26" ht="16.5" customHeight="1" x14ac:dyDescent="0.25">
      <c r="A22" s="85"/>
      <c r="I22" s="86"/>
      <c r="J22" s="258">
        <v>2</v>
      </c>
      <c r="K22" s="38"/>
      <c r="L22" s="228">
        <f>IF(AND(J11&gt;=11.5,F11="اختصاصی سایه روشن 120Nm"),"در این حالت موتور را ، بکر آلمان انتخاب کنید",0)</f>
        <v>0</v>
      </c>
      <c r="M22" s="258">
        <f>J22</f>
        <v>2</v>
      </c>
      <c r="N22" s="54">
        <f>E11</f>
        <v>0</v>
      </c>
      <c r="O22" s="247" t="s">
        <v>176</v>
      </c>
      <c r="P22" s="248"/>
      <c r="Q22" s="173" t="str">
        <f>H11</f>
        <v xml:space="preserve">3 پانل </v>
      </c>
      <c r="R22" s="231">
        <f>Q24*O24*N22/10000</f>
        <v>0</v>
      </c>
      <c r="S22" s="232"/>
      <c r="T22" s="223">
        <f>FLOOR((IF(N22=0,0,FLOOR(IF(AND(O20=F106),(FLOOR(((IF(R22=0,0,FLOOR('2'!D19,10000)))*((100-F19)/100)),10000)),IF(AND(O20=F107),(FLOOR(((IF(R22=0,0,FLOOR('2'!D19,10000)))*((100-F19)/100)),10000)),IF(AND(O20=F108),((FLOOR(((IF(R22=0,0,FLOOR('2'!D19,10000)))*((100-F19)/100)),10000))),0))),100000)))*(1+(G20/100)),100000)</f>
        <v>0</v>
      </c>
      <c r="U22" s="223">
        <f>FLOOR(T22*R22,100000)</f>
        <v>0</v>
      </c>
      <c r="V22" s="68"/>
      <c r="W22" s="40"/>
    </row>
    <row r="23" spans="1:26" ht="16.5" customHeight="1" x14ac:dyDescent="0.25">
      <c r="A23" s="85"/>
      <c r="I23" s="86"/>
      <c r="J23" s="259"/>
      <c r="K23" s="38"/>
      <c r="L23" s="228"/>
      <c r="M23" s="259"/>
      <c r="N23" s="246" t="str">
        <f>G11</f>
        <v>5mm + 10 air spacer + 5mm</v>
      </c>
      <c r="O23" s="244"/>
      <c r="P23" s="244"/>
      <c r="Q23" s="245"/>
      <c r="R23" s="233"/>
      <c r="S23" s="234"/>
      <c r="T23" s="224"/>
      <c r="U23" s="224"/>
      <c r="V23" s="68"/>
      <c r="W23" s="40"/>
    </row>
    <row r="24" spans="1:26" ht="16.5" customHeight="1" x14ac:dyDescent="0.25">
      <c r="A24" s="85"/>
      <c r="I24" s="86"/>
      <c r="J24" s="260"/>
      <c r="K24" s="38"/>
      <c r="L24" s="228"/>
      <c r="M24" s="259"/>
      <c r="N24" s="53" t="s">
        <v>13</v>
      </c>
      <c r="O24" s="242">
        <f>C11</f>
        <v>0</v>
      </c>
      <c r="P24" s="243"/>
      <c r="Q24" s="168">
        <f>D11</f>
        <v>0</v>
      </c>
      <c r="R24" s="233"/>
      <c r="S24" s="234"/>
      <c r="T24" s="224"/>
      <c r="U24" s="224"/>
      <c r="V24" s="68"/>
      <c r="W24" s="40" t="s">
        <v>0</v>
      </c>
    </row>
    <row r="25" spans="1:26" ht="12.95" customHeight="1" x14ac:dyDescent="0.25">
      <c r="A25" s="85"/>
      <c r="I25" s="86"/>
      <c r="J25" s="186"/>
      <c r="K25" s="38"/>
      <c r="L25" s="228"/>
      <c r="M25" s="260"/>
      <c r="N25" s="172" t="s">
        <v>107</v>
      </c>
      <c r="O25" s="226" t="str">
        <f>F11</f>
        <v>اختصاصی سایه روشن 120Nm</v>
      </c>
      <c r="P25" s="226"/>
      <c r="Q25" s="227"/>
      <c r="R25" s="235"/>
      <c r="S25" s="236"/>
      <c r="T25" s="225"/>
      <c r="U25" s="225"/>
      <c r="V25" s="68"/>
      <c r="W25" s="40"/>
    </row>
    <row r="26" spans="1:26" ht="16.5" customHeight="1" x14ac:dyDescent="0.25">
      <c r="A26" s="85"/>
      <c r="I26" s="86"/>
      <c r="J26" s="258">
        <v>3</v>
      </c>
      <c r="K26" s="38"/>
      <c r="L26" s="228">
        <f>IF(AND(J12&gt;=11.5,F12="اختصاصی سایه روشن 120Nm"),"در این حالت موتور را ، بکر آلمان انتخاب کنید",0)</f>
        <v>0</v>
      </c>
      <c r="M26" s="258">
        <f>J26</f>
        <v>3</v>
      </c>
      <c r="N26" s="54">
        <f>E12</f>
        <v>0</v>
      </c>
      <c r="O26" s="247" t="s">
        <v>176</v>
      </c>
      <c r="P26" s="248"/>
      <c r="Q26" s="173" t="str">
        <f>H12</f>
        <v xml:space="preserve">3 پانل </v>
      </c>
      <c r="R26" s="231">
        <f>Q28*O28*N26/10000</f>
        <v>0</v>
      </c>
      <c r="S26" s="232"/>
      <c r="T26" s="223">
        <f>FLOOR((IF(N26=0,0,FLOOR(IF(AND(O20=F106),(FLOOR(((IF(R26=0,0,FLOOR('3'!D19,10000)))*((100-F19)/100)),10000)),IF(AND(O20=F107),(FLOOR(((IF(R26=0,0,FLOOR('3'!D19,10000)))*((100-F19)/100)),10000)),IF(AND(O20=F108),((FLOOR(((IF(R26=0,0,FLOOR('3'!D19,10000)))*((100-F19)/100)),10000))),0))),100000)))*(1+(G20/100)),100000)</f>
        <v>0</v>
      </c>
      <c r="U26" s="223">
        <f>FLOOR(T26*R26,100000)</f>
        <v>0</v>
      </c>
      <c r="V26" s="68"/>
      <c r="W26" s="40"/>
    </row>
    <row r="27" spans="1:26" ht="16.5" customHeight="1" x14ac:dyDescent="0.25">
      <c r="A27" s="85"/>
      <c r="I27" s="86"/>
      <c r="J27" s="259"/>
      <c r="K27" s="38"/>
      <c r="L27" s="228"/>
      <c r="M27" s="259"/>
      <c r="N27" s="246" t="str">
        <f>G12</f>
        <v>5mm + 10 air spacer + 5mm</v>
      </c>
      <c r="O27" s="244"/>
      <c r="P27" s="244"/>
      <c r="Q27" s="245"/>
      <c r="R27" s="233"/>
      <c r="S27" s="234"/>
      <c r="T27" s="224"/>
      <c r="U27" s="224"/>
      <c r="V27" s="68"/>
      <c r="W27" s="40"/>
    </row>
    <row r="28" spans="1:26" ht="16.5" customHeight="1" x14ac:dyDescent="0.25">
      <c r="A28" s="85"/>
      <c r="C28" t="s">
        <v>0</v>
      </c>
      <c r="I28" s="86"/>
      <c r="J28" s="260"/>
      <c r="K28" s="38"/>
      <c r="L28" s="228"/>
      <c r="M28" s="259"/>
      <c r="N28" s="53" t="s">
        <v>13</v>
      </c>
      <c r="O28" s="242">
        <f>C12</f>
        <v>0</v>
      </c>
      <c r="P28" s="243"/>
      <c r="Q28" s="168">
        <f>D12</f>
        <v>0</v>
      </c>
      <c r="R28" s="233"/>
      <c r="S28" s="234"/>
      <c r="T28" s="224"/>
      <c r="U28" s="224"/>
      <c r="V28" s="68"/>
      <c r="W28" s="40"/>
    </row>
    <row r="29" spans="1:26" ht="12.95" customHeight="1" x14ac:dyDescent="0.25">
      <c r="A29" s="85"/>
      <c r="I29" s="86"/>
      <c r="J29" s="186"/>
      <c r="K29" s="38"/>
      <c r="L29" s="228"/>
      <c r="M29" s="260"/>
      <c r="N29" s="172" t="s">
        <v>107</v>
      </c>
      <c r="O29" s="226" t="str">
        <f>F12</f>
        <v>اختصاصی سایه روشن 120Nm</v>
      </c>
      <c r="P29" s="226"/>
      <c r="Q29" s="227"/>
      <c r="R29" s="235"/>
      <c r="S29" s="236"/>
      <c r="T29" s="225"/>
      <c r="U29" s="225"/>
      <c r="V29" s="68"/>
      <c r="W29" s="40"/>
    </row>
    <row r="30" spans="1:26" ht="16.5" customHeight="1" x14ac:dyDescent="0.25">
      <c r="A30" s="85"/>
      <c r="C30" t="s">
        <v>0</v>
      </c>
      <c r="I30" s="86"/>
      <c r="J30" s="258">
        <v>4</v>
      </c>
      <c r="K30" s="38"/>
      <c r="L30" s="228">
        <f>IF(AND(J13&gt;=11.5,F13="اختصاصی سایه روشن 120Nm"),"در این حالت موتور را ، بکر آلمان انتخاب کنید",0)</f>
        <v>0</v>
      </c>
      <c r="M30" s="258">
        <f>J30</f>
        <v>4</v>
      </c>
      <c r="N30" s="54">
        <f>E13</f>
        <v>0</v>
      </c>
      <c r="O30" s="247" t="s">
        <v>176</v>
      </c>
      <c r="P30" s="248"/>
      <c r="Q30" s="173" t="str">
        <f>H13</f>
        <v xml:space="preserve">3 پانل </v>
      </c>
      <c r="R30" s="231">
        <f>Q32*O32*N30/10000</f>
        <v>0</v>
      </c>
      <c r="S30" s="232"/>
      <c r="T30" s="223">
        <f>FLOOR((IF(N30=0,0,FLOOR(IF(AND(O20=F106),(FLOOR(((IF(R30=0,0,FLOOR('4'!D19,10000)))*((100-F19)/100)),10000)),IF(AND(O20=F107),(FLOOR(((IF(R30=0,0,FLOOR('4'!D19,10000)))*((100-F19)/100)),10000)),IF(AND(O20=F108),((FLOOR(((IF(R30=0,0,FLOOR('4'!D19,10000)))*((100-F19)/100)),10000))),0))),100000)))*(1+(G20/100)),100000)</f>
        <v>0</v>
      </c>
      <c r="U30" s="223">
        <f>FLOOR(T30*R30,100000)</f>
        <v>0</v>
      </c>
      <c r="V30" s="68"/>
      <c r="W30" s="40"/>
    </row>
    <row r="31" spans="1:26" ht="16.5" customHeight="1" x14ac:dyDescent="0.25">
      <c r="A31" s="85"/>
      <c r="C31" t="s">
        <v>0</v>
      </c>
      <c r="I31" s="86"/>
      <c r="J31" s="259"/>
      <c r="K31" s="38"/>
      <c r="L31" s="228"/>
      <c r="M31" s="259"/>
      <c r="N31" s="246" t="str">
        <f>G13</f>
        <v>5mm + 10 air spacer + 5mm</v>
      </c>
      <c r="O31" s="244"/>
      <c r="P31" s="244"/>
      <c r="Q31" s="245"/>
      <c r="R31" s="233"/>
      <c r="S31" s="234"/>
      <c r="T31" s="224"/>
      <c r="U31" s="224"/>
      <c r="V31" s="68"/>
      <c r="W31" s="40"/>
    </row>
    <row r="32" spans="1:26" ht="16.5" customHeight="1" x14ac:dyDescent="0.25">
      <c r="C32" t="s">
        <v>0</v>
      </c>
      <c r="J32" s="260"/>
      <c r="K32" s="38"/>
      <c r="L32" s="228"/>
      <c r="M32" s="259"/>
      <c r="N32" s="53" t="s">
        <v>13</v>
      </c>
      <c r="O32" s="242">
        <f>C13</f>
        <v>0</v>
      </c>
      <c r="P32" s="243"/>
      <c r="Q32" s="168">
        <f>D13</f>
        <v>0</v>
      </c>
      <c r="R32" s="233"/>
      <c r="S32" s="234"/>
      <c r="T32" s="224"/>
      <c r="U32" s="224"/>
      <c r="V32" s="68"/>
      <c r="W32" s="40"/>
    </row>
    <row r="33" spans="1:23" ht="12.95" customHeight="1" x14ac:dyDescent="0.25">
      <c r="A33" s="85"/>
      <c r="I33" s="86"/>
      <c r="J33" s="186"/>
      <c r="K33" s="38"/>
      <c r="L33" s="228"/>
      <c r="M33" s="260"/>
      <c r="N33" s="172" t="s">
        <v>107</v>
      </c>
      <c r="O33" s="226" t="str">
        <f>F13</f>
        <v>اختصاصی سایه روشن 120Nm</v>
      </c>
      <c r="P33" s="226"/>
      <c r="Q33" s="227"/>
      <c r="R33" s="235"/>
      <c r="S33" s="236"/>
      <c r="T33" s="225"/>
      <c r="U33" s="225"/>
      <c r="V33" s="68"/>
      <c r="W33" s="40"/>
    </row>
    <row r="34" spans="1:23" ht="16.5" customHeight="1" x14ac:dyDescent="0.25">
      <c r="C34" t="s">
        <v>0</v>
      </c>
      <c r="I34" s="20"/>
      <c r="J34" s="258">
        <v>5</v>
      </c>
      <c r="K34" s="38"/>
      <c r="L34" s="228">
        <f>IF(AND(J14&gt;=11.5,F14="اختصاصی سایه روشن 120Nm"),"در این حالت موتور را ، بکر آلمان انتخاب کنید",0)</f>
        <v>0</v>
      </c>
      <c r="M34" s="258">
        <f>J34</f>
        <v>5</v>
      </c>
      <c r="N34" s="52">
        <f>E14</f>
        <v>0</v>
      </c>
      <c r="O34" s="256" t="s">
        <v>176</v>
      </c>
      <c r="P34" s="257"/>
      <c r="Q34" s="167" t="str">
        <f>H14</f>
        <v xml:space="preserve">3 پانل </v>
      </c>
      <c r="R34" s="231">
        <f>Q36*O36*N34/10000</f>
        <v>0</v>
      </c>
      <c r="S34" s="232"/>
      <c r="T34" s="223">
        <f>FLOOR((IF(N34=0,0,FLOOR(IF(AND(O20=F106),(FLOOR(((IF(R34=0,0,FLOOR('5'!D19,10000)))*((100-F19)/100)),10000)),IF(AND(O20=F107),(FLOOR(((IF(R34=0,0,FLOOR('5'!D19,10000)))*((100-F19)/100)),10000)),IF(AND(O20=F108),((FLOOR(((IF(R34=0,0,FLOOR('5'!D19,10000)))*((100-F19)/100)),10000))),0))),100000)))*(1+(G20/100)),100000)</f>
        <v>0</v>
      </c>
      <c r="U34" s="223">
        <f>FLOOR(T34*R34,100000)</f>
        <v>0</v>
      </c>
      <c r="V34" s="68"/>
      <c r="W34" s="40"/>
    </row>
    <row r="35" spans="1:23" ht="16.5" customHeight="1" x14ac:dyDescent="0.25">
      <c r="C35" t="s">
        <v>0</v>
      </c>
      <c r="I35" s="20"/>
      <c r="J35" s="259"/>
      <c r="K35" s="38"/>
      <c r="L35" s="228"/>
      <c r="M35" s="259"/>
      <c r="N35" s="253" t="str">
        <f>G14</f>
        <v>5mm + 10 air spacer + 5mm</v>
      </c>
      <c r="O35" s="254"/>
      <c r="P35" s="254"/>
      <c r="Q35" s="255"/>
      <c r="R35" s="233"/>
      <c r="S35" s="234"/>
      <c r="T35" s="224"/>
      <c r="U35" s="224"/>
      <c r="V35" s="68"/>
      <c r="W35" s="40"/>
    </row>
    <row r="36" spans="1:23" ht="16.5" customHeight="1" x14ac:dyDescent="0.25">
      <c r="C36" t="s">
        <v>0</v>
      </c>
      <c r="J36" s="260"/>
      <c r="K36" s="38"/>
      <c r="L36" s="228"/>
      <c r="M36" s="259"/>
      <c r="N36" s="53" t="s">
        <v>13</v>
      </c>
      <c r="O36" s="242">
        <f>C14</f>
        <v>0</v>
      </c>
      <c r="P36" s="243"/>
      <c r="Q36" s="168">
        <f>D14</f>
        <v>0</v>
      </c>
      <c r="R36" s="233"/>
      <c r="S36" s="234"/>
      <c r="T36" s="224"/>
      <c r="U36" s="224"/>
      <c r="V36" s="68"/>
      <c r="W36" s="40"/>
    </row>
    <row r="37" spans="1:23" ht="12.95" customHeight="1" x14ac:dyDescent="0.25">
      <c r="A37" s="85"/>
      <c r="I37" s="86"/>
      <c r="J37" s="186"/>
      <c r="K37" s="38"/>
      <c r="L37" s="228"/>
      <c r="M37" s="260"/>
      <c r="N37" s="172" t="s">
        <v>107</v>
      </c>
      <c r="O37" s="226" t="str">
        <f>F14</f>
        <v>اختصاصی سایه روشن 120Nm</v>
      </c>
      <c r="P37" s="226"/>
      <c r="Q37" s="227"/>
      <c r="R37" s="235"/>
      <c r="S37" s="236"/>
      <c r="T37" s="225"/>
      <c r="U37" s="225"/>
      <c r="V37" s="68"/>
      <c r="W37" s="40"/>
    </row>
    <row r="38" spans="1:23" ht="16.5" customHeight="1" x14ac:dyDescent="0.25">
      <c r="J38" s="83">
        <v>6</v>
      </c>
      <c r="K38" s="38"/>
      <c r="M38" s="83">
        <f>J38</f>
        <v>6</v>
      </c>
      <c r="N38" s="170">
        <f>E15</f>
        <v>0</v>
      </c>
      <c r="O38" s="251">
        <f>C15</f>
        <v>0</v>
      </c>
      <c r="P38" s="252"/>
      <c r="Q38" s="171">
        <f>D15</f>
        <v>0</v>
      </c>
      <c r="R38" s="231">
        <f>IF(AND(F15=E111),(N38*O38*Q38/10000),IF(AND(F15=E112),(N38*O38*Q38/20000),0))</f>
        <v>0</v>
      </c>
      <c r="S38" s="232"/>
      <c r="T38" s="55">
        <f>FLOOR(C20*(1+(G20/100)),100000)</f>
        <v>45800000</v>
      </c>
      <c r="U38" s="55">
        <f>FLOOR(T38*R38,100000)</f>
        <v>0</v>
      </c>
      <c r="V38" s="68"/>
      <c r="W38" s="40"/>
    </row>
    <row r="39" spans="1:23" ht="16.5" customHeight="1" x14ac:dyDescent="0.25">
      <c r="J39" s="83">
        <v>7</v>
      </c>
      <c r="K39" s="38"/>
      <c r="M39" s="83">
        <f>J39</f>
        <v>7</v>
      </c>
      <c r="N39" s="170">
        <f>E16</f>
        <v>0</v>
      </c>
      <c r="O39" s="251">
        <f>C16</f>
        <v>0</v>
      </c>
      <c r="P39" s="252"/>
      <c r="Q39" s="171">
        <f>D16</f>
        <v>0</v>
      </c>
      <c r="R39" s="231">
        <f>IF(AND(F16=E111),(N39*O39*Q39/10000),IF(AND(F16=E112),(N39*O39*Q39/20000),0))</f>
        <v>0</v>
      </c>
      <c r="S39" s="232"/>
      <c r="T39" s="55">
        <f>FLOOR(C20*(1+(G20/100)),100000)</f>
        <v>45800000</v>
      </c>
      <c r="U39" s="55">
        <f>FLOOR(T39*R39,100000)</f>
        <v>0</v>
      </c>
      <c r="V39" s="68"/>
      <c r="W39" s="40"/>
    </row>
    <row r="40" spans="1:23" ht="16.5" customHeight="1" x14ac:dyDescent="0.25">
      <c r="J40" s="83">
        <v>8</v>
      </c>
      <c r="K40" s="38"/>
      <c r="M40" s="83">
        <f>J40</f>
        <v>8</v>
      </c>
      <c r="N40" s="295" t="str">
        <f>IF(AND(H15="تهران"),"نصب در تهران 8 درصد",IF(AND(H15="مشهد"),"نصب در مشهد 8 درصد",IF(AND(H15="شهرستان"),"نصب در شهرستان 10 درصد","---------")))</f>
        <v>نصب در تهران 8 درصد</v>
      </c>
      <c r="O40" s="296"/>
      <c r="P40" s="296"/>
      <c r="Q40" s="296"/>
      <c r="R40" s="296"/>
      <c r="S40" s="296"/>
      <c r="T40" s="297"/>
      <c r="U40" s="56">
        <f>FLOOR(IF(AND(H15="تهران"),T2*(H17/100),IF(AND(H15="مشهد"),T2*(H17/100),IF(AND(H15="شهرستان"),T2*(H18/100),0))),100000)</f>
        <v>0</v>
      </c>
      <c r="V40" s="69"/>
      <c r="W40" s="41"/>
    </row>
    <row r="41" spans="1:23" ht="16.5" customHeight="1" x14ac:dyDescent="0.25">
      <c r="J41" s="83">
        <v>9</v>
      </c>
      <c r="K41" s="38"/>
      <c r="M41" s="89">
        <f>J41</f>
        <v>9</v>
      </c>
      <c r="N41" s="97"/>
      <c r="O41" s="98"/>
      <c r="P41" s="94"/>
      <c r="Q41" s="94"/>
      <c r="R41" s="99">
        <f>IF(E18="مبلغ",0,E20)</f>
        <v>0</v>
      </c>
      <c r="S41" s="301" t="str">
        <f>E17</f>
        <v>تخفیف</v>
      </c>
      <c r="T41" s="302"/>
      <c r="U41" s="95">
        <f>IF(E18="مبلغ",E19,SUM(U16:U39)*(E20/100))</f>
        <v>0</v>
      </c>
      <c r="V41" s="68"/>
      <c r="W41" s="42"/>
    </row>
    <row r="42" spans="1:23" ht="16.5" customHeight="1" x14ac:dyDescent="0.25">
      <c r="J42" s="83">
        <v>10</v>
      </c>
      <c r="M42" s="83">
        <f>J42</f>
        <v>10</v>
      </c>
      <c r="N42" s="96"/>
      <c r="O42" s="96"/>
      <c r="P42" s="57"/>
      <c r="Q42" s="57"/>
      <c r="R42" s="293" t="s">
        <v>14</v>
      </c>
      <c r="S42" s="293"/>
      <c r="T42" s="294"/>
      <c r="U42" s="55">
        <f>FLOOR((SUM(U16:U40)-U41),100000)</f>
        <v>0</v>
      </c>
      <c r="W42" s="44"/>
    </row>
    <row r="43" spans="1:23" ht="16.5" customHeight="1" x14ac:dyDescent="0.25">
      <c r="W43" s="44"/>
    </row>
    <row r="44" spans="1:23" ht="16.5" customHeight="1" x14ac:dyDescent="0.25">
      <c r="N44" s="84" t="s">
        <v>118</v>
      </c>
      <c r="O44" s="300">
        <f>H8</f>
        <v>0</v>
      </c>
      <c r="P44" s="300"/>
      <c r="W44" s="44"/>
    </row>
    <row r="45" spans="1:23" ht="16.5" customHeight="1" x14ac:dyDescent="0.25">
      <c r="W45" s="44"/>
    </row>
    <row r="46" spans="1:23" ht="16.5" customHeight="1" x14ac:dyDescent="0.25">
      <c r="W46" s="101"/>
    </row>
    <row r="47" spans="1:23" ht="16.5" customHeight="1" x14ac:dyDescent="0.25">
      <c r="W47" s="102"/>
    </row>
    <row r="48" spans="1:23" ht="16.5" customHeight="1" x14ac:dyDescent="0.25">
      <c r="W48" s="102"/>
    </row>
    <row r="49" spans="19:23" ht="16.5" customHeight="1" x14ac:dyDescent="0.25">
      <c r="W49" s="101"/>
    </row>
    <row r="50" spans="19:23" ht="16.5" customHeight="1" x14ac:dyDescent="0.25">
      <c r="W50" s="44"/>
    </row>
    <row r="51" spans="19:23" ht="16.5" customHeight="1" x14ac:dyDescent="0.25">
      <c r="W51" s="44"/>
    </row>
    <row r="52" spans="19:23" ht="16.5" customHeight="1" x14ac:dyDescent="0.25">
      <c r="W52" s="44"/>
    </row>
    <row r="53" spans="19:23" ht="16.5" customHeight="1" x14ac:dyDescent="0.25">
      <c r="W53" s="44"/>
    </row>
    <row r="54" spans="19:23" ht="16.5" customHeight="1" x14ac:dyDescent="0.25">
      <c r="W54" s="44"/>
    </row>
    <row r="55" spans="19:23" ht="16.5" customHeight="1" x14ac:dyDescent="0.25"/>
    <row r="56" spans="19:23" ht="16.5" customHeight="1" x14ac:dyDescent="0.25"/>
    <row r="57" spans="19:23" ht="16.5" customHeight="1" x14ac:dyDescent="0.25"/>
    <row r="58" spans="19:23" ht="16.5" customHeight="1" x14ac:dyDescent="0.25"/>
    <row r="59" spans="19:23" ht="16.5" customHeight="1" x14ac:dyDescent="0.25"/>
    <row r="60" spans="19:23" ht="16.5" customHeight="1" x14ac:dyDescent="0.25"/>
    <row r="61" spans="19:23" ht="16.5" customHeight="1" x14ac:dyDescent="0.25"/>
    <row r="62" spans="19:23" ht="16.5" customHeight="1" x14ac:dyDescent="0.25"/>
    <row r="63" spans="19:23" ht="16.5" customHeight="1" x14ac:dyDescent="0.25">
      <c r="S63" s="43" t="s">
        <v>80</v>
      </c>
      <c r="T63" s="270">
        <f>G4</f>
        <v>0</v>
      </c>
      <c r="U63" s="270"/>
      <c r="V63" s="61"/>
    </row>
    <row r="64" spans="19:23" ht="16.5" customHeight="1" x14ac:dyDescent="0.25">
      <c r="S64" s="43" t="s">
        <v>81</v>
      </c>
      <c r="T64" s="271" t="str">
        <f>G5</f>
        <v>1403/01/20</v>
      </c>
      <c r="U64" s="271"/>
      <c r="V64" s="62"/>
    </row>
    <row r="65" spans="13:22" ht="16.5" customHeight="1" x14ac:dyDescent="0.25">
      <c r="S65" s="45" t="s">
        <v>82</v>
      </c>
      <c r="T65" s="299" t="str">
        <f>G6</f>
        <v>ندارد</v>
      </c>
      <c r="U65" s="299"/>
      <c r="V65" s="65"/>
    </row>
    <row r="66" spans="13:22" ht="16.5" customHeight="1" x14ac:dyDescent="0.25"/>
    <row r="67" spans="13:22" ht="16.5" customHeight="1" x14ac:dyDescent="0.25">
      <c r="M67" s="298" t="s">
        <v>15</v>
      </c>
      <c r="N67" s="298"/>
      <c r="O67" s="298"/>
      <c r="P67" s="298"/>
      <c r="Q67" s="298"/>
      <c r="R67" s="298"/>
      <c r="S67" s="298"/>
      <c r="T67" s="298"/>
      <c r="U67" s="298"/>
      <c r="V67" s="60"/>
    </row>
    <row r="68" spans="13:22" ht="16.5" customHeight="1" x14ac:dyDescent="0.25">
      <c r="M68" s="298" t="s">
        <v>102</v>
      </c>
      <c r="N68" s="298"/>
      <c r="O68" s="298"/>
      <c r="P68" s="78">
        <f>H16</f>
        <v>45</v>
      </c>
      <c r="Q68" s="298" t="s">
        <v>103</v>
      </c>
      <c r="R68" s="298"/>
      <c r="S68" s="298"/>
      <c r="T68" s="79"/>
      <c r="U68" s="79"/>
      <c r="V68" s="60"/>
    </row>
    <row r="69" spans="13:22" ht="16.5" customHeight="1" x14ac:dyDescent="0.25">
      <c r="M69" s="291" t="s">
        <v>101</v>
      </c>
      <c r="N69" s="291"/>
      <c r="O69" s="291"/>
      <c r="P69" s="291"/>
      <c r="Q69" s="291"/>
      <c r="R69" s="291"/>
      <c r="S69" s="291"/>
      <c r="T69" s="291"/>
      <c r="U69" s="291"/>
      <c r="V69" s="58"/>
    </row>
    <row r="70" spans="13:22" ht="16.5" customHeight="1" x14ac:dyDescent="0.25">
      <c r="M70" s="298" t="s">
        <v>16</v>
      </c>
      <c r="N70" s="298"/>
      <c r="O70" s="298"/>
      <c r="P70" s="298"/>
      <c r="Q70" s="298"/>
      <c r="R70" s="298"/>
      <c r="S70" s="298"/>
      <c r="T70" s="298"/>
      <c r="U70" s="298"/>
      <c r="V70" s="60"/>
    </row>
    <row r="71" spans="13:22" ht="16.5" customHeight="1" x14ac:dyDescent="0.25">
      <c r="M71" s="298" t="s">
        <v>17</v>
      </c>
      <c r="N71" s="298"/>
      <c r="O71" s="298"/>
      <c r="P71" s="298"/>
      <c r="Q71" s="298"/>
      <c r="R71" s="298"/>
      <c r="S71" s="298"/>
      <c r="T71" s="298"/>
      <c r="U71" s="298"/>
      <c r="V71" s="60"/>
    </row>
    <row r="72" spans="13:22" ht="16.5" customHeight="1" x14ac:dyDescent="0.25">
      <c r="M72" s="298" t="s">
        <v>129</v>
      </c>
      <c r="N72" s="298"/>
      <c r="O72" s="298"/>
      <c r="P72" s="298"/>
      <c r="Q72" s="298"/>
      <c r="R72" s="298"/>
      <c r="S72" s="298"/>
      <c r="T72" s="298"/>
      <c r="U72" s="298"/>
      <c r="V72" s="100"/>
    </row>
    <row r="73" spans="13:22" ht="16.5" customHeight="1" x14ac:dyDescent="0.25">
      <c r="M73" s="298" t="s">
        <v>18</v>
      </c>
      <c r="N73" s="298"/>
      <c r="O73" s="298"/>
      <c r="P73" s="298"/>
      <c r="Q73" s="298"/>
      <c r="R73" s="298"/>
      <c r="S73" s="298"/>
      <c r="T73" s="298"/>
      <c r="U73" s="298"/>
      <c r="V73" s="60"/>
    </row>
    <row r="74" spans="13:22" ht="16.5" customHeight="1" x14ac:dyDescent="0.25">
      <c r="M74" s="298" t="s">
        <v>19</v>
      </c>
      <c r="N74" s="298"/>
      <c r="O74" s="298"/>
      <c r="P74" s="298"/>
      <c r="Q74" s="298"/>
      <c r="R74" s="298"/>
      <c r="S74" s="298"/>
      <c r="T74" s="298"/>
      <c r="U74" s="298"/>
      <c r="V74" s="60"/>
    </row>
    <row r="75" spans="13:22" ht="16.5" customHeight="1" x14ac:dyDescent="0.25">
      <c r="M75" s="298"/>
      <c r="N75" s="298"/>
      <c r="O75" s="298"/>
      <c r="P75" s="298"/>
      <c r="Q75" s="298"/>
      <c r="R75" s="298"/>
      <c r="S75" s="298"/>
      <c r="T75" s="298"/>
      <c r="U75" s="298"/>
      <c r="V75" s="60"/>
    </row>
    <row r="76" spans="13:22" ht="16.5" customHeight="1" x14ac:dyDescent="0.25">
      <c r="M76" s="291" t="s">
        <v>20</v>
      </c>
      <c r="N76" s="291"/>
      <c r="O76" s="291"/>
      <c r="P76" s="291"/>
      <c r="Q76" s="291"/>
      <c r="R76" s="291"/>
      <c r="S76" s="291"/>
      <c r="T76" s="291"/>
      <c r="U76" s="291"/>
      <c r="V76" s="58"/>
    </row>
    <row r="77" spans="13:22" ht="16.5" customHeight="1" x14ac:dyDescent="0.25">
      <c r="M77" s="291" t="s">
        <v>21</v>
      </c>
      <c r="N77" s="291"/>
      <c r="O77" s="291"/>
      <c r="P77" s="291"/>
      <c r="Q77" s="291"/>
      <c r="R77" s="291"/>
      <c r="S77" s="291"/>
      <c r="T77" s="291"/>
      <c r="U77" s="291"/>
      <c r="V77" s="58"/>
    </row>
    <row r="78" spans="13:22" ht="16.5" customHeight="1" x14ac:dyDescent="0.25">
      <c r="M78" s="291" t="s">
        <v>22</v>
      </c>
      <c r="N78" s="291"/>
      <c r="O78" s="291"/>
      <c r="P78" s="291"/>
      <c r="Q78" s="291"/>
      <c r="R78" s="291"/>
      <c r="S78" s="291"/>
      <c r="T78" s="291"/>
      <c r="U78" s="291"/>
      <c r="V78" s="58"/>
    </row>
    <row r="79" spans="13:22" ht="33" customHeight="1" x14ac:dyDescent="0.45">
      <c r="M79" s="292" t="s">
        <v>94</v>
      </c>
      <c r="N79" s="292"/>
      <c r="O79" s="292"/>
      <c r="P79" s="292"/>
      <c r="Q79" s="292"/>
      <c r="R79" s="292"/>
      <c r="S79" s="292"/>
      <c r="T79" s="292"/>
      <c r="U79" s="292"/>
      <c r="V79" s="59"/>
    </row>
    <row r="80" spans="13:22" ht="16.5" customHeight="1" x14ac:dyDescent="0.25">
      <c r="M80" s="82"/>
      <c r="N80" s="82"/>
      <c r="O80" s="82"/>
      <c r="P80" s="82"/>
      <c r="Q80" s="82"/>
      <c r="R80" s="82"/>
      <c r="S80" s="82"/>
      <c r="T80" s="82"/>
      <c r="U80" s="82"/>
      <c r="V80" s="58"/>
    </row>
    <row r="81" spans="13:22" ht="16.5" customHeight="1" x14ac:dyDescent="0.25">
      <c r="M81" s="82"/>
      <c r="N81" s="82"/>
      <c r="O81" s="82"/>
      <c r="P81" s="82"/>
      <c r="Q81" s="82"/>
      <c r="R81" s="82"/>
      <c r="S81" s="82"/>
      <c r="T81" s="82"/>
      <c r="U81" s="82"/>
      <c r="V81" s="58"/>
    </row>
    <row r="82" spans="13:22" ht="16.5" customHeight="1" x14ac:dyDescent="0.25">
      <c r="M82" s="82"/>
      <c r="N82" s="82"/>
      <c r="O82" s="82"/>
      <c r="P82" s="82"/>
      <c r="Q82" s="82"/>
      <c r="R82" s="82"/>
      <c r="S82" s="82"/>
      <c r="T82" s="82"/>
      <c r="U82" s="82"/>
      <c r="V82" s="58"/>
    </row>
    <row r="83" spans="13:22" ht="16.5" customHeight="1" x14ac:dyDescent="0.25">
      <c r="M83" s="58"/>
      <c r="N83" s="58"/>
      <c r="O83" s="58"/>
      <c r="P83" s="58"/>
      <c r="Q83" s="58"/>
      <c r="R83" s="58"/>
      <c r="S83" s="58"/>
      <c r="T83" s="58"/>
      <c r="U83" s="58"/>
      <c r="V83" s="58"/>
    </row>
    <row r="84" spans="13:22" ht="16.5" customHeight="1" x14ac:dyDescent="0.25"/>
    <row r="85" spans="13:22" ht="16.5" customHeight="1" x14ac:dyDescent="0.25"/>
    <row r="86" spans="13:22" ht="16.5" customHeight="1" x14ac:dyDescent="0.25"/>
    <row r="87" spans="13:22" ht="16.5" customHeight="1" x14ac:dyDescent="0.25"/>
    <row r="88" spans="13:22" ht="16.5" customHeight="1" x14ac:dyDescent="0.25"/>
    <row r="89" spans="13:22" ht="16.5" customHeight="1" x14ac:dyDescent="0.25"/>
    <row r="90" spans="13:22" ht="16.5" customHeight="1" x14ac:dyDescent="0.25"/>
    <row r="91" spans="13:22" ht="16.5" customHeight="1" x14ac:dyDescent="0.25"/>
    <row r="92" spans="13:22" ht="16.5" customHeight="1" x14ac:dyDescent="0.25"/>
    <row r="93" spans="13:22" ht="16.5" customHeight="1" x14ac:dyDescent="0.25"/>
    <row r="94" spans="13:22" ht="16.5" customHeight="1" x14ac:dyDescent="0.25"/>
    <row r="95" spans="13:22" ht="16.5" customHeight="1" x14ac:dyDescent="0.25"/>
    <row r="96" spans="13:22" ht="16.5" customHeight="1" x14ac:dyDescent="0.25"/>
    <row r="97" spans="3:8" ht="16.5" customHeight="1" x14ac:dyDescent="0.25"/>
    <row r="98" spans="3:8" ht="16.5" customHeight="1" x14ac:dyDescent="0.25"/>
    <row r="99" spans="3:8" ht="16.5" customHeight="1" x14ac:dyDescent="0.25"/>
    <row r="100" spans="3:8" ht="16.5" customHeight="1" x14ac:dyDescent="0.25"/>
    <row r="101" spans="3:8" ht="16.5" customHeight="1" x14ac:dyDescent="0.25"/>
    <row r="102" spans="3:8" ht="16.5" customHeight="1" x14ac:dyDescent="0.25"/>
    <row r="103" spans="3:8" ht="16.5" customHeight="1" x14ac:dyDescent="0.25"/>
    <row r="104" spans="3:8" ht="16.5" customHeight="1" x14ac:dyDescent="0.25"/>
    <row r="105" spans="3:8" ht="16.5" customHeight="1" x14ac:dyDescent="0.25"/>
    <row r="106" spans="3:8" ht="17.45" customHeight="1" x14ac:dyDescent="0.25">
      <c r="F106" t="s">
        <v>108</v>
      </c>
      <c r="G106" s="160" t="s">
        <v>7</v>
      </c>
      <c r="H106" s="160" t="s">
        <v>7</v>
      </c>
    </row>
    <row r="107" spans="3:8" ht="17.45" customHeight="1" x14ac:dyDescent="0.25">
      <c r="F107" t="s">
        <v>110</v>
      </c>
      <c r="G107" s="161" t="s">
        <v>39</v>
      </c>
      <c r="H107" t="s">
        <v>199</v>
      </c>
    </row>
    <row r="108" spans="3:8" ht="17.45" customHeight="1" x14ac:dyDescent="0.25">
      <c r="F108" t="s">
        <v>195</v>
      </c>
      <c r="G108" s="161" t="s">
        <v>175</v>
      </c>
      <c r="H108" t="s">
        <v>198</v>
      </c>
    </row>
    <row r="109" spans="3:8" ht="17.45" customHeight="1" x14ac:dyDescent="0.25">
      <c r="C109" t="s">
        <v>89</v>
      </c>
      <c r="G109" s="161" t="s">
        <v>91</v>
      </c>
    </row>
    <row r="110" spans="3:8" ht="17.45" customHeight="1" x14ac:dyDescent="0.25">
      <c r="C110" t="s">
        <v>131</v>
      </c>
      <c r="E110" s="30" t="s">
        <v>7</v>
      </c>
      <c r="G110" s="161" t="s">
        <v>85</v>
      </c>
    </row>
    <row r="111" spans="3:8" ht="17.45" customHeight="1" x14ac:dyDescent="0.25">
      <c r="E111" t="s">
        <v>111</v>
      </c>
      <c r="G111" s="160" t="s">
        <v>7</v>
      </c>
    </row>
    <row r="112" spans="3:8" ht="17.45" customHeight="1" x14ac:dyDescent="0.25">
      <c r="E112" t="s">
        <v>112</v>
      </c>
      <c r="G112" s="163" t="s">
        <v>186</v>
      </c>
    </row>
    <row r="113" spans="3:14" ht="17.45" customHeight="1" x14ac:dyDescent="0.25">
      <c r="F113" t="s">
        <v>123</v>
      </c>
      <c r="G113" s="163" t="s">
        <v>187</v>
      </c>
    </row>
    <row r="114" spans="3:14" ht="17.45" customHeight="1" x14ac:dyDescent="0.25">
      <c r="F114" t="s">
        <v>124</v>
      </c>
      <c r="G114" s="163" t="s">
        <v>188</v>
      </c>
    </row>
    <row r="115" spans="3:14" ht="17.45" customHeight="1" x14ac:dyDescent="0.25">
      <c r="C115" t="s">
        <v>114</v>
      </c>
      <c r="G115" s="160" t="s">
        <v>7</v>
      </c>
      <c r="N115" s="163"/>
    </row>
    <row r="116" spans="3:14" ht="17.45" customHeight="1" x14ac:dyDescent="0.25">
      <c r="C116" t="s">
        <v>115</v>
      </c>
      <c r="F116" t="s">
        <v>86</v>
      </c>
      <c r="G116" s="19" t="s">
        <v>184</v>
      </c>
      <c r="N116" s="163"/>
    </row>
    <row r="117" spans="3:14" ht="17.45" customHeight="1" x14ac:dyDescent="0.25">
      <c r="C117" t="s">
        <v>116</v>
      </c>
      <c r="F117" t="s">
        <v>92</v>
      </c>
      <c r="G117" s="20" t="s">
        <v>185</v>
      </c>
      <c r="H117" s="3"/>
    </row>
    <row r="118" spans="3:14" ht="17.45" customHeight="1" x14ac:dyDescent="0.25">
      <c r="C118" t="s">
        <v>117</v>
      </c>
      <c r="F118" t="s">
        <v>130</v>
      </c>
      <c r="G118" s="20" t="s">
        <v>181</v>
      </c>
    </row>
    <row r="119" spans="3:14" ht="17.45" customHeight="1" x14ac:dyDescent="0.25">
      <c r="G119" s="20" t="s">
        <v>182</v>
      </c>
    </row>
    <row r="120" spans="3:14" ht="17.45" customHeight="1" x14ac:dyDescent="0.25">
      <c r="C120" t="s">
        <v>201</v>
      </c>
      <c r="F120" s="30" t="s">
        <v>7</v>
      </c>
      <c r="G120" s="20" t="s">
        <v>183</v>
      </c>
    </row>
    <row r="121" spans="3:14" ht="17.45" customHeight="1" x14ac:dyDescent="0.25">
      <c r="C121" t="s">
        <v>196</v>
      </c>
      <c r="F121" s="28" t="s">
        <v>74</v>
      </c>
      <c r="G121" s="20" t="s">
        <v>178</v>
      </c>
    </row>
    <row r="122" spans="3:14" ht="17.45" customHeight="1" x14ac:dyDescent="0.25">
      <c r="C122" t="s">
        <v>202</v>
      </c>
      <c r="F122" s="28" t="s">
        <v>78</v>
      </c>
      <c r="G122" s="20" t="s">
        <v>179</v>
      </c>
    </row>
    <row r="123" spans="3:14" ht="17.45" customHeight="1" x14ac:dyDescent="0.25">
      <c r="C123" t="s">
        <v>203</v>
      </c>
      <c r="F123" s="28" t="s">
        <v>72</v>
      </c>
      <c r="G123" s="20" t="s">
        <v>180</v>
      </c>
    </row>
    <row r="124" spans="3:14" ht="17.45" customHeight="1" x14ac:dyDescent="0.25">
      <c r="C124" t="s">
        <v>120</v>
      </c>
    </row>
    <row r="125" spans="3:14" ht="17.45" customHeight="1" x14ac:dyDescent="0.25">
      <c r="C125" t="s">
        <v>121</v>
      </c>
    </row>
    <row r="126" spans="3:14" ht="17.45" customHeight="1" x14ac:dyDescent="0.25">
      <c r="C126" t="s">
        <v>122</v>
      </c>
    </row>
    <row r="127" spans="3:14" ht="17.45" customHeight="1" x14ac:dyDescent="0.25"/>
    <row r="128" spans="3:14" ht="17.45" customHeight="1" x14ac:dyDescent="0.25"/>
    <row r="129" ht="17.45" customHeight="1" x14ac:dyDescent="0.25"/>
    <row r="130" ht="17.45" customHeight="1" x14ac:dyDescent="0.25"/>
    <row r="131" ht="17.45" customHeight="1" x14ac:dyDescent="0.25"/>
    <row r="132" ht="17.45" customHeight="1" x14ac:dyDescent="0.25"/>
    <row r="133" ht="17.45" customHeight="1" x14ac:dyDescent="0.25"/>
    <row r="134" ht="17.45" customHeight="1" x14ac:dyDescent="0.25"/>
    <row r="135" ht="17.45" customHeight="1" x14ac:dyDescent="0.25"/>
    <row r="136" ht="17.45" customHeight="1" x14ac:dyDescent="0.25"/>
    <row r="137" ht="17.45" customHeight="1" x14ac:dyDescent="0.25"/>
    <row r="138" ht="17.45" customHeight="1" x14ac:dyDescent="0.25"/>
    <row r="139" ht="17.45" customHeight="1" x14ac:dyDescent="0.25"/>
    <row r="140" ht="17.45" customHeight="1" x14ac:dyDescent="0.25"/>
    <row r="141" ht="17.45" customHeight="1" x14ac:dyDescent="0.25"/>
    <row r="142" ht="17.45" customHeight="1" x14ac:dyDescent="0.25"/>
    <row r="143" ht="17.45" customHeight="1" x14ac:dyDescent="0.25"/>
    <row r="144" ht="17.45" customHeight="1" x14ac:dyDescent="0.25"/>
    <row r="145" ht="17.45" customHeight="1" x14ac:dyDescent="0.25"/>
  </sheetData>
  <dataConsolidate/>
  <mergeCells count="100">
    <mergeCell ref="U22:U25"/>
    <mergeCell ref="B7:F8"/>
    <mergeCell ref="J30:J32"/>
    <mergeCell ref="J34:J36"/>
    <mergeCell ref="O24:P24"/>
    <mergeCell ref="O22:P22"/>
    <mergeCell ref="O26:P26"/>
    <mergeCell ref="J16:J21"/>
    <mergeCell ref="J22:J24"/>
    <mergeCell ref="M22:M25"/>
    <mergeCell ref="O29:Q29"/>
    <mergeCell ref="M26:M29"/>
    <mergeCell ref="M77:U77"/>
    <mergeCell ref="M73:U73"/>
    <mergeCell ref="S41:T41"/>
    <mergeCell ref="M72:U72"/>
    <mergeCell ref="R26:S29"/>
    <mergeCell ref="T26:T29"/>
    <mergeCell ref="U26:U29"/>
    <mergeCell ref="M78:U78"/>
    <mergeCell ref="M79:U79"/>
    <mergeCell ref="R42:T42"/>
    <mergeCell ref="N40:T40"/>
    <mergeCell ref="M70:U70"/>
    <mergeCell ref="T64:U64"/>
    <mergeCell ref="T65:U65"/>
    <mergeCell ref="O44:P44"/>
    <mergeCell ref="M71:U71"/>
    <mergeCell ref="M74:U75"/>
    <mergeCell ref="M76:U76"/>
    <mergeCell ref="M67:U67"/>
    <mergeCell ref="T63:U63"/>
    <mergeCell ref="M69:U69"/>
    <mergeCell ref="M68:O68"/>
    <mergeCell ref="Q68:S68"/>
    <mergeCell ref="B2:H2"/>
    <mergeCell ref="B3:E3"/>
    <mergeCell ref="F3:H3"/>
    <mergeCell ref="B4:C4"/>
    <mergeCell ref="B5:C5"/>
    <mergeCell ref="D5:E5"/>
    <mergeCell ref="D4:E4"/>
    <mergeCell ref="G4:H4"/>
    <mergeCell ref="G5:H5"/>
    <mergeCell ref="T2:U2"/>
    <mergeCell ref="R15:S15"/>
    <mergeCell ref="T10:U10"/>
    <mergeCell ref="T11:U11"/>
    <mergeCell ref="T12:U12"/>
    <mergeCell ref="T30:T33"/>
    <mergeCell ref="T34:T37"/>
    <mergeCell ref="D6:E6"/>
    <mergeCell ref="B6:C6"/>
    <mergeCell ref="O28:P28"/>
    <mergeCell ref="G6:H6"/>
    <mergeCell ref="N21:Q21"/>
    <mergeCell ref="O16:P16"/>
    <mergeCell ref="O17:P17"/>
    <mergeCell ref="M16:M21"/>
    <mergeCell ref="Q12:Q13"/>
    <mergeCell ref="T22:T25"/>
    <mergeCell ref="F17:F18"/>
    <mergeCell ref="F19:F20"/>
    <mergeCell ref="T16:T21"/>
    <mergeCell ref="J26:J28"/>
    <mergeCell ref="O34:P34"/>
    <mergeCell ref="O36:P36"/>
    <mergeCell ref="M30:M33"/>
    <mergeCell ref="M34:M37"/>
    <mergeCell ref="R30:S33"/>
    <mergeCell ref="R34:S37"/>
    <mergeCell ref="O38:P38"/>
    <mergeCell ref="O39:P39"/>
    <mergeCell ref="R38:S38"/>
    <mergeCell ref="R39:S39"/>
    <mergeCell ref="N35:Q35"/>
    <mergeCell ref="M14:O14"/>
    <mergeCell ref="U16:U21"/>
    <mergeCell ref="R16:S21"/>
    <mergeCell ref="N15:Q15"/>
    <mergeCell ref="N19:O19"/>
    <mergeCell ref="P19:Q19"/>
    <mergeCell ref="O20:Q20"/>
    <mergeCell ref="O18:Q18"/>
    <mergeCell ref="U30:U33"/>
    <mergeCell ref="U34:U37"/>
    <mergeCell ref="O33:Q33"/>
    <mergeCell ref="O37:Q37"/>
    <mergeCell ref="L16:L21"/>
    <mergeCell ref="L22:L25"/>
    <mergeCell ref="L26:L29"/>
    <mergeCell ref="L30:L33"/>
    <mergeCell ref="L34:L37"/>
    <mergeCell ref="O32:P32"/>
    <mergeCell ref="N23:Q23"/>
    <mergeCell ref="N27:Q27"/>
    <mergeCell ref="O30:P30"/>
    <mergeCell ref="N31:Q31"/>
    <mergeCell ref="O25:Q25"/>
    <mergeCell ref="R22:S25"/>
  </mergeCells>
  <conditionalFormatting sqref="R41">
    <cfRule type="cellIs" dxfId="6" priority="13" operator="equal">
      <formula>0</formula>
    </cfRule>
  </conditionalFormatting>
  <conditionalFormatting sqref="N15:Q15">
    <cfRule type="cellIs" dxfId="5" priority="12" operator="equal">
      <formula>"ERROR در این حالت موتور را ، بکر آلمان انتخاب کنید"</formula>
    </cfRule>
  </conditionalFormatting>
  <conditionalFormatting sqref="L16">
    <cfRule type="cellIs" dxfId="4" priority="10" operator="equal">
      <formula>"در این حالت موتور را ، بکر آلمان انتخاب کنید"</formula>
    </cfRule>
    <cfRule type="cellIs" priority="11" operator="equal">
      <formula>"error"</formula>
    </cfRule>
  </conditionalFormatting>
  <conditionalFormatting sqref="L22">
    <cfRule type="cellIs" dxfId="3" priority="7" operator="equal">
      <formula>"در این حالت موتور را ، بکر آلمان انتخاب کنید"</formula>
    </cfRule>
    <cfRule type="cellIs" priority="8" operator="equal">
      <formula>"error"</formula>
    </cfRule>
  </conditionalFormatting>
  <conditionalFormatting sqref="L26">
    <cfRule type="cellIs" dxfId="2" priority="5" operator="equal">
      <formula>"در این حالت موتور را ، بکر آلمان انتخاب کنید"</formula>
    </cfRule>
    <cfRule type="cellIs" priority="6" operator="equal">
      <formula>"error"</formula>
    </cfRule>
  </conditionalFormatting>
  <conditionalFormatting sqref="L30">
    <cfRule type="cellIs" dxfId="1" priority="3" operator="equal">
      <formula>"در این حالت موتور را ، بکر آلمان انتخاب کنید"</formula>
    </cfRule>
    <cfRule type="cellIs" priority="4" operator="equal">
      <formula>"error"</formula>
    </cfRule>
  </conditionalFormatting>
  <conditionalFormatting sqref="L34">
    <cfRule type="cellIs" dxfId="0" priority="1" operator="equal">
      <formula>"در این حالت موتور را ، بکر آلمان انتخاب کنید"</formula>
    </cfRule>
    <cfRule type="cellIs" priority="2" operator="equal">
      <formula>"error"</formula>
    </cfRule>
  </conditionalFormatting>
  <dataValidations count="12">
    <dataValidation type="list" allowBlank="1" showInputMessage="1" showErrorMessage="1" sqref="G6" xr:uid="{00000000-0002-0000-0500-000004000000}">
      <formula1>$G$109:$G$110</formula1>
    </dataValidation>
    <dataValidation type="list" allowBlank="1" showInputMessage="1" showErrorMessage="1" sqref="F15:F16" xr:uid="{00000000-0002-0000-0500-000007000000}">
      <formula1>$E$110:$E$112</formula1>
    </dataValidation>
    <dataValidation type="list" allowBlank="1" showInputMessage="1" showErrorMessage="1" sqref="E17" xr:uid="{00000000-0002-0000-0500-000008000000}">
      <formula1>$C$115:$C$118</formula1>
    </dataValidation>
    <dataValidation type="list" allowBlank="1" showInputMessage="1" showErrorMessage="1" sqref="B5:C5" xr:uid="{D4294B7D-1232-4166-AACC-5DAB14C30392}">
      <formula1>$C$109:$C$110</formula1>
    </dataValidation>
    <dataValidation type="list" allowBlank="1" showInputMessage="1" showErrorMessage="1" sqref="E18" xr:uid="{00000000-0002-0000-0500-00000A000000}">
      <formula1>$F$113:$F$114</formula1>
    </dataValidation>
    <dataValidation type="list" allowBlank="1" showInputMessage="1" showErrorMessage="1" sqref="D4:E4" xr:uid="{4C9EE3E0-27AB-49AA-836D-3037ABDFFB20}">
      <formula1>$F$116:$F$118</formula1>
    </dataValidation>
    <dataValidation type="list" allowBlank="1" showInputMessage="1" showErrorMessage="1" sqref="H15" xr:uid="{00000000-0002-0000-0500-000005000000}">
      <formula1>$F$120:$F$123</formula1>
    </dataValidation>
    <dataValidation type="list" allowBlank="1" showInputMessage="1" showErrorMessage="1" sqref="G10:G14" xr:uid="{25C70BBA-4462-485D-9121-5DC2B364C420}">
      <formula1>$G$115:$G$123</formula1>
    </dataValidation>
    <dataValidation type="list" allowBlank="1" showInputMessage="1" showErrorMessage="1" sqref="H10:H14" xr:uid="{DF9B4EED-E4FE-4E14-B6EB-89296BBC36EA}">
      <formula1>$G$111:$G$114</formula1>
    </dataValidation>
    <dataValidation type="list" allowBlank="1" showInputMessage="1" showErrorMessage="1" sqref="H8" xr:uid="{00000000-0002-0000-0500-000009000000}">
      <formula1>$C$120:$C$126</formula1>
    </dataValidation>
    <dataValidation type="list" allowBlank="1" showInputMessage="1" showErrorMessage="1" sqref="G8" xr:uid="{54207342-E6F7-4591-92A3-62F6012B032B}">
      <formula1>$H$106:$H$108</formula1>
    </dataValidation>
    <dataValidation type="list" allowBlank="1" showInputMessage="1" showErrorMessage="1" sqref="F10:F14" xr:uid="{7BE8BA4D-746D-4CB7-8703-2FDA3DFB1FBE}">
      <formula1>$F$106:$F$108</formula1>
    </dataValidation>
  </dataValidations>
  <pageMargins left="0" right="0" top="0" bottom="0" header="0" footer="0"/>
  <pageSetup paperSize="9" scale="97" fitToHeight="0" orientation="portrait" r:id="rId1"/>
  <rowBreaks count="1" manualBreakCount="1">
    <brk id="53" min="11" max="21" man="1"/>
  </rowBreaks>
  <colBreaks count="2" manualBreakCount="2">
    <brk id="11" min="1" max="106" man="1"/>
    <brk id="22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BCF-CA39-4334-8F86-D4114FB79021}">
  <dimension ref="B1:J63"/>
  <sheetViews>
    <sheetView topLeftCell="A21" workbookViewId="0">
      <selection activeCell="D29" sqref="D29"/>
    </sheetView>
  </sheetViews>
  <sheetFormatPr defaultRowHeight="15" x14ac:dyDescent="0.25"/>
  <cols>
    <col min="2" max="2" width="25.28515625" customWidth="1"/>
    <col min="3" max="3" width="15.7109375" customWidth="1"/>
    <col min="4" max="5" width="19.140625" customWidth="1"/>
    <col min="6" max="6" width="23.85546875" customWidth="1"/>
    <col min="8" max="8" width="10.42578125" customWidth="1"/>
    <col min="9" max="9" width="17.5703125" customWidth="1"/>
    <col min="10" max="10" width="14.5703125" customWidth="1"/>
  </cols>
  <sheetData>
    <row r="1" spans="2:10" ht="23.25" x14ac:dyDescent="0.25">
      <c r="B1" s="128" t="s">
        <v>145</v>
      </c>
      <c r="C1" s="166" t="str">
        <f>'4'!D14</f>
        <v xml:space="preserve">3 پانل </v>
      </c>
      <c r="D1" s="130"/>
      <c r="E1" s="130"/>
      <c r="F1" s="130"/>
    </row>
    <row r="2" spans="2:10" ht="23.25" x14ac:dyDescent="0.25">
      <c r="B2" s="128" t="s">
        <v>154</v>
      </c>
      <c r="C2" s="131">
        <f>'4'!$D$3</f>
        <v>2200000</v>
      </c>
      <c r="D2" s="318" t="s">
        <v>146</v>
      </c>
      <c r="E2" s="318"/>
      <c r="F2" s="318"/>
    </row>
    <row r="3" spans="2:10" ht="30" x14ac:dyDescent="0.25">
      <c r="B3" s="128" t="s">
        <v>148</v>
      </c>
      <c r="C3" s="132">
        <f>'4'!$D$16</f>
        <v>0</v>
      </c>
      <c r="D3" s="133" t="s">
        <v>155</v>
      </c>
      <c r="E3" s="134">
        <f>'پیش فاکتور گیوتین'!G19</f>
        <v>2.2000000000000002</v>
      </c>
      <c r="F3" s="134">
        <v>2.6</v>
      </c>
    </row>
    <row r="4" spans="2:10" ht="26.25" x14ac:dyDescent="0.25">
      <c r="B4" s="128" t="s">
        <v>149</v>
      </c>
      <c r="C4" s="132">
        <f>'4'!$D$17</f>
        <v>0</v>
      </c>
      <c r="D4" s="316" t="s">
        <v>150</v>
      </c>
      <c r="E4" s="316"/>
      <c r="F4" s="135">
        <f>SUM(F15:F24)*1.1</f>
        <v>0</v>
      </c>
    </row>
    <row r="5" spans="2:10" ht="18.75" x14ac:dyDescent="0.25">
      <c r="B5" s="19" t="s">
        <v>184</v>
      </c>
      <c r="C5" s="131">
        <f>J5</f>
        <v>0</v>
      </c>
      <c r="D5" s="316" t="s">
        <v>156</v>
      </c>
      <c r="E5" s="317" t="e">
        <f>C13*E3</f>
        <v>#DIV/0!</v>
      </c>
      <c r="F5" s="319" t="e">
        <f>E5*C3*C4</f>
        <v>#DIV/0!</v>
      </c>
      <c r="H5" s="19" t="s">
        <v>184</v>
      </c>
      <c r="I5" s="131">
        <f>IF(AND($C$3&gt;=2,$C$3&lt;=2.25),'4'!F5,IF(AND($C$3&gt;2.25,$C$3&lt;=3.25),'4'!F5*1.2,IF(AND($C$3&gt;3.25),'4'!F5*1.35,0)))</f>
        <v>0</v>
      </c>
      <c r="J5" s="131">
        <f>IF(AND($C$3&gt;=2,$C$3&lt;=2.25),'4'!G5,IF(AND($C$3&gt;2.25,$C$3&lt;=3.25),'4'!G5*1.2,IF(AND($C$3&gt;3.25),'4'!G5*1.35,0)))</f>
        <v>0</v>
      </c>
    </row>
    <row r="6" spans="2:10" ht="18.75" x14ac:dyDescent="0.25">
      <c r="B6" s="20" t="s">
        <v>185</v>
      </c>
      <c r="C6" s="131">
        <f t="shared" ref="C6:C12" si="0">J6</f>
        <v>0</v>
      </c>
      <c r="D6" s="316"/>
      <c r="E6" s="317"/>
      <c r="F6" s="320"/>
      <c r="H6" s="20" t="s">
        <v>185</v>
      </c>
      <c r="I6" s="131">
        <f>IF(AND($C$3&gt;=2,$C$3&lt;=2.25),'4'!F6,IF(AND($C$3&gt;2.25,$C$3&lt;=3.25),'4'!F6*1.2,IF(AND($C$3&gt;3.25),'4'!F6*1.35,0)))</f>
        <v>0</v>
      </c>
      <c r="J6" s="131">
        <f>IF(AND($C$3&gt;=2,$C$3&lt;=2.25),'4'!G6,IF(AND($C$3&gt;2.25,$C$3&lt;=3.25),'4'!G6*1.2,IF(AND($C$3&gt;3.25),'4'!G6*1.35,0)))</f>
        <v>0</v>
      </c>
    </row>
    <row r="7" spans="2:10" ht="28.5" x14ac:dyDescent="0.25">
      <c r="B7" s="20" t="s">
        <v>181</v>
      </c>
      <c r="C7" s="131">
        <f t="shared" si="0"/>
        <v>0</v>
      </c>
      <c r="D7" s="136"/>
      <c r="E7" s="137"/>
      <c r="F7" s="138"/>
      <c r="H7" s="20" t="s">
        <v>181</v>
      </c>
      <c r="I7" s="131">
        <f>IF(AND($C$3&gt;=2,$C$3&lt;=2.25),'4'!F7,IF(AND($C$3&gt;2.25,$C$3&lt;=3.25),'4'!F7*1.2,IF(AND($C$3&gt;3.25),'4'!F7*1.35,0)))</f>
        <v>0</v>
      </c>
      <c r="J7" s="131">
        <f>IF(AND($C$3&gt;=2,$C$3&lt;=2.25),'4'!G7,IF(AND($C$3&gt;2.25,$C$3&lt;=3.25),'4'!G7*1.2,IF(AND($C$3&gt;3.25),'4'!G7*1.35,0)))</f>
        <v>0</v>
      </c>
    </row>
    <row r="8" spans="2:10" ht="28.5" x14ac:dyDescent="0.25">
      <c r="B8" s="20" t="s">
        <v>182</v>
      </c>
      <c r="C8" s="131">
        <f t="shared" si="0"/>
        <v>0</v>
      </c>
      <c r="D8" s="136"/>
      <c r="E8" s="137"/>
      <c r="F8" s="138"/>
      <c r="H8" s="20" t="s">
        <v>182</v>
      </c>
      <c r="I8" s="131">
        <f>IF(AND($C$3&gt;=2,$C$3&lt;=2.25),'4'!F8,IF(AND($C$3&gt;2.25,$C$3&lt;=3.25),'4'!F8*1.2,IF(AND($C$3&gt;3.25),'4'!F8*1.35,0)))</f>
        <v>0</v>
      </c>
      <c r="J8" s="131">
        <f>IF(AND($C$3&gt;=2,$C$3&lt;=2.25),'4'!G8,IF(AND($C$3&gt;2.25,$C$3&lt;=3.25),'4'!G8*1.2,IF(AND($C$3&gt;3.25),'4'!G8*1.35,0)))</f>
        <v>0</v>
      </c>
    </row>
    <row r="9" spans="2:10" ht="28.5" x14ac:dyDescent="0.25">
      <c r="B9" s="20" t="s">
        <v>183</v>
      </c>
      <c r="C9" s="131">
        <f t="shared" si="0"/>
        <v>0</v>
      </c>
      <c r="D9" s="136"/>
      <c r="E9" s="137"/>
      <c r="F9" s="138"/>
      <c r="H9" s="20" t="s">
        <v>183</v>
      </c>
      <c r="I9" s="131">
        <f>IF(AND($C$3&gt;=2,$C$3&lt;=2.25),'4'!F9,IF(AND($C$3&gt;2.25,$C$3&lt;=3.25),'4'!F9*1.2,IF(AND($C$3&gt;3.25),'4'!F9*1.35,0)))</f>
        <v>0</v>
      </c>
      <c r="J9" s="131">
        <f>IF(AND($C$3&gt;=2,$C$3&lt;=2.25),'4'!G9,IF(AND($C$3&gt;2.25,$C$3&lt;=3.25),'4'!G9*1.2,IF(AND($C$3&gt;3.25),'4'!G9*1.35,0)))</f>
        <v>0</v>
      </c>
    </row>
    <row r="10" spans="2:10" ht="28.5" x14ac:dyDescent="0.25">
      <c r="B10" s="20" t="s">
        <v>178</v>
      </c>
      <c r="C10" s="131">
        <f t="shared" si="0"/>
        <v>0</v>
      </c>
      <c r="D10" s="136"/>
      <c r="E10" s="137"/>
      <c r="F10" s="138"/>
      <c r="H10" s="20" t="s">
        <v>178</v>
      </c>
      <c r="I10" s="131">
        <f>IF(AND($C$3&gt;=2,$C$3&lt;=2.25),'4'!F10,IF(AND($C$3&gt;2.25,$C$3&lt;=3.25),'4'!F10*1.2,IF(AND($C$3&gt;3.25),'4'!F10*1.35,0)))</f>
        <v>0</v>
      </c>
      <c r="J10" s="131">
        <f>IF(AND($C$3&gt;=2,$C$3&lt;=2.25),'4'!G10,IF(AND($C$3&gt;2.25,$C$3&lt;=3.25),'4'!G10*1.2,IF(AND($C$3&gt;3.25),'4'!G10*1.35,0)))</f>
        <v>0</v>
      </c>
    </row>
    <row r="11" spans="2:10" ht="28.5" x14ac:dyDescent="0.25">
      <c r="B11" s="20" t="s">
        <v>179</v>
      </c>
      <c r="C11" s="131">
        <f t="shared" si="0"/>
        <v>0</v>
      </c>
      <c r="D11" s="136"/>
      <c r="E11" s="137"/>
      <c r="F11" s="138"/>
      <c r="H11" s="20" t="s">
        <v>179</v>
      </c>
      <c r="I11" s="131">
        <f>IF(AND($C$3&gt;=2,$C$3&lt;=2.25),'4'!F11,IF(AND($C$3&gt;2.25,$C$3&lt;=3.25),'4'!F11*1.2,IF(AND($C$3&gt;3.25),'4'!F11*1.35,0)))</f>
        <v>0</v>
      </c>
      <c r="J11" s="131">
        <f>IF(AND($C$3&gt;=2,$C$3&lt;=2.25),'4'!G11,IF(AND($C$3&gt;2.25,$C$3&lt;=3.25),'4'!G11*1.2,IF(AND($C$3&gt;3.25),'4'!G11*1.35,0)))</f>
        <v>0</v>
      </c>
    </row>
    <row r="12" spans="2:10" ht="28.5" x14ac:dyDescent="0.25">
      <c r="B12" s="20" t="s">
        <v>180</v>
      </c>
      <c r="C12" s="131">
        <f t="shared" si="0"/>
        <v>0</v>
      </c>
      <c r="D12" s="136"/>
      <c r="E12" s="137"/>
      <c r="F12" s="138"/>
      <c r="H12" s="20" t="s">
        <v>180</v>
      </c>
      <c r="I12" s="131">
        <f>IF(AND($C$3&gt;=2,$C$3&lt;=2.25),'4'!F12,IF(AND($C$3&gt;2.25,$C$3&lt;=3.25),'4'!F12*1.2,IF(AND($C$3&gt;3.25),'4'!F12*1.35,0)))</f>
        <v>0</v>
      </c>
      <c r="J12" s="131">
        <f>IF(AND($C$3&gt;=2,$C$3&lt;=2.25),'4'!G12,IF(AND($C$3&gt;2.25,$C$3&lt;=3.25),'4'!G12*1.2,IF(AND($C$3&gt;3.25),'4'!G12*1.35,0)))</f>
        <v>0</v>
      </c>
    </row>
    <row r="13" spans="2:10" ht="21" x14ac:dyDescent="0.25">
      <c r="B13" s="139" t="s">
        <v>157</v>
      </c>
      <c r="C13" s="139" t="e">
        <f>SUM(F25:F33)/(C3*C4)</f>
        <v>#DIV/0!</v>
      </c>
      <c r="D13" s="139"/>
      <c r="E13" s="139"/>
      <c r="F13" s="140"/>
    </row>
    <row r="14" spans="2:10" ht="19.5" x14ac:dyDescent="0.25">
      <c r="B14" s="141"/>
      <c r="C14" s="142" t="s">
        <v>158</v>
      </c>
      <c r="D14" s="142" t="s">
        <v>159</v>
      </c>
      <c r="E14" s="143" t="s">
        <v>160</v>
      </c>
      <c r="F14" s="143" t="s">
        <v>161</v>
      </c>
    </row>
    <row r="15" spans="2:10" ht="35.1" customHeight="1" x14ac:dyDescent="0.25">
      <c r="B15" s="144"/>
      <c r="C15" s="145">
        <f>C3</f>
        <v>0</v>
      </c>
      <c r="D15" s="146">
        <v>1</v>
      </c>
      <c r="E15" s="146">
        <v>1.56</v>
      </c>
      <c r="F15" s="146">
        <f>C15*D15*E15</f>
        <v>0</v>
      </c>
    </row>
    <row r="16" spans="2:10" ht="35.1" customHeight="1" x14ac:dyDescent="0.25">
      <c r="B16" s="144"/>
      <c r="C16" s="145">
        <f>C15</f>
        <v>0</v>
      </c>
      <c r="D16" s="146">
        <v>1</v>
      </c>
      <c r="E16" s="146">
        <v>1.73</v>
      </c>
      <c r="F16" s="146">
        <f>C16*D16*E16</f>
        <v>0</v>
      </c>
    </row>
    <row r="17" spans="2:9" ht="35.1" customHeight="1" x14ac:dyDescent="0.25">
      <c r="B17" s="144"/>
      <c r="C17" s="145">
        <f>C15</f>
        <v>0</v>
      </c>
      <c r="D17" s="146">
        <v>1</v>
      </c>
      <c r="E17" s="146">
        <v>1.1559999999999999</v>
      </c>
      <c r="F17" s="146">
        <f>C17*D17*E17</f>
        <v>0</v>
      </c>
    </row>
    <row r="18" spans="2:9" ht="35.1" customHeight="1" x14ac:dyDescent="0.25">
      <c r="B18" s="141"/>
      <c r="C18" s="147">
        <f>C4</f>
        <v>0</v>
      </c>
      <c r="D18" s="146">
        <v>2</v>
      </c>
      <c r="E18" s="146">
        <v>1.87</v>
      </c>
      <c r="F18" s="146">
        <f>C18*D18*E18</f>
        <v>0</v>
      </c>
    </row>
    <row r="19" spans="2:9" ht="35.1" customHeight="1" x14ac:dyDescent="0.25">
      <c r="B19" s="141"/>
      <c r="C19" s="147">
        <f>C4</f>
        <v>0</v>
      </c>
      <c r="D19" s="146">
        <v>2</v>
      </c>
      <c r="E19" s="146">
        <v>0.75</v>
      </c>
      <c r="F19" s="146">
        <f t="shared" ref="F19:F33" si="1">C19*D19*E19</f>
        <v>0</v>
      </c>
    </row>
    <row r="20" spans="2:9" ht="35.1" customHeight="1" x14ac:dyDescent="0.25">
      <c r="B20" s="141"/>
      <c r="C20" s="147">
        <f>C4</f>
        <v>0</v>
      </c>
      <c r="D20" s="146">
        <v>2</v>
      </c>
      <c r="E20" s="146">
        <v>0.65</v>
      </c>
      <c r="F20" s="146">
        <f t="shared" si="1"/>
        <v>0</v>
      </c>
    </row>
    <row r="21" spans="2:9" ht="35.1" customHeight="1" x14ac:dyDescent="0.25">
      <c r="B21" s="141"/>
      <c r="C21" s="147">
        <f>C4</f>
        <v>0</v>
      </c>
      <c r="D21" s="146">
        <v>2</v>
      </c>
      <c r="E21" s="146">
        <v>0.56999999999999995</v>
      </c>
      <c r="F21" s="146">
        <f t="shared" si="1"/>
        <v>0</v>
      </c>
    </row>
    <row r="22" spans="2:9" ht="35.1" customHeight="1" x14ac:dyDescent="0.25">
      <c r="B22" s="141"/>
      <c r="C22" s="147">
        <f>C3</f>
        <v>0</v>
      </c>
      <c r="D22" s="146">
        <f>IF(AND(C1="2 پانل "),4,IF(AND(C1="3 پانل "),6,IF(AND(C1="4 پانل "),8,0)))</f>
        <v>6</v>
      </c>
      <c r="E22" s="146">
        <v>0.9</v>
      </c>
      <c r="F22" s="146">
        <f t="shared" si="1"/>
        <v>0</v>
      </c>
      <c r="I22" s="160" t="s">
        <v>7</v>
      </c>
    </row>
    <row r="23" spans="2:9" ht="35.1" customHeight="1" x14ac:dyDescent="0.25">
      <c r="B23" s="141"/>
      <c r="C23" s="147">
        <f>C3</f>
        <v>0</v>
      </c>
      <c r="D23" s="146">
        <f>IF(AND(C1="2 پانل "),2,IF(AND(C1="3 پانل "),4,IF(AND(C1="4 پانل "),6,0)))</f>
        <v>4</v>
      </c>
      <c r="E23" s="146">
        <v>0.34</v>
      </c>
      <c r="F23" s="146">
        <f t="shared" si="1"/>
        <v>0</v>
      </c>
      <c r="I23" s="163" t="s">
        <v>186</v>
      </c>
    </row>
    <row r="24" spans="2:9" ht="35.1" customHeight="1" x14ac:dyDescent="0.25">
      <c r="B24" s="141"/>
      <c r="C24" s="147">
        <f>(C21*D21)+(C22*D22)</f>
        <v>0</v>
      </c>
      <c r="D24" s="146">
        <f>IF(AND('4'!D15="8mm"),1,0)</f>
        <v>0</v>
      </c>
      <c r="E24" s="146">
        <v>0.25</v>
      </c>
      <c r="F24" s="146">
        <f t="shared" si="1"/>
        <v>0</v>
      </c>
      <c r="I24" s="163" t="s">
        <v>187</v>
      </c>
    </row>
    <row r="25" spans="2:9" ht="23.25" x14ac:dyDescent="0.25">
      <c r="B25" s="148" t="s">
        <v>162</v>
      </c>
      <c r="C25" s="147">
        <f>F4</f>
        <v>0</v>
      </c>
      <c r="D25" s="146">
        <v>1</v>
      </c>
      <c r="E25" s="149">
        <f>C2</f>
        <v>2200000</v>
      </c>
      <c r="F25" s="149">
        <f t="shared" si="1"/>
        <v>0</v>
      </c>
      <c r="I25" s="163" t="s">
        <v>188</v>
      </c>
    </row>
    <row r="26" spans="2:9" ht="23.25" x14ac:dyDescent="0.25">
      <c r="B26" s="148" t="s">
        <v>163</v>
      </c>
      <c r="C26" s="147">
        <f>C3*C4</f>
        <v>0</v>
      </c>
      <c r="D26" s="146">
        <v>1</v>
      </c>
      <c r="E26" s="149">
        <f>IF(AND('4'!D15="8mm Tempered Glass"),C5,IF(AND('4'!D15="10mm Tempered Glass"),C6,IF(AND('4'!D15="4mm + 12 air spacer + 4mm"),C7,IF(AND('4'!D15="5mm + 10 air spacer + 5mm"),C8,IF(AND('4'!D15="6mm + 8 air spacer + 6mm"),C9,IF(AND('4'!D15="Laminate Glass ( 5mm +1.52PVB+ 5mm )"),C10,IF(AND('4'!D15="Laminate Glass ( 6mm +1.52PVB+ 6mm )"),C11,IF(AND('4'!D15="Laminate Glass ( 8mm +1.52PVB+ 8mm )"),C12,0))))))))</f>
        <v>0</v>
      </c>
      <c r="F26" s="149">
        <f t="shared" si="1"/>
        <v>0</v>
      </c>
    </row>
    <row r="27" spans="2:9" ht="23.25" x14ac:dyDescent="0.25">
      <c r="B27" s="150" t="s">
        <v>164</v>
      </c>
      <c r="C27" s="147">
        <f>C4</f>
        <v>0</v>
      </c>
      <c r="D27" s="146">
        <f>C27*2</f>
        <v>0</v>
      </c>
      <c r="E27" s="149">
        <v>1200000</v>
      </c>
      <c r="F27" s="149">
        <f t="shared" si="1"/>
        <v>0</v>
      </c>
    </row>
    <row r="28" spans="2:9" ht="23.25" x14ac:dyDescent="0.25">
      <c r="B28" s="150" t="s">
        <v>165</v>
      </c>
      <c r="C28" s="147">
        <v>1</v>
      </c>
      <c r="D28" s="146">
        <f>IF(AND(H28&gt;=11.5),2,1)</f>
        <v>1</v>
      </c>
      <c r="E28" s="149">
        <f>IF(AND('پیش فاکتور گیوتین'!F13="120Nm بکر آلمان "),(390*'پیش فاکتور گیوتین'!C18),IF(AND('پیش فاکتور گیوتین'!F13="120Nm  سامفی فرانسه "),(450*'پیش فاکتور گیوتین'!C18),IF(AND('پیش فاکتور گیوتین'!F13="اختصاصی سایه روشن 120Nm"),(110*'پیش فاکتور گیوتین'!C18),0)))</f>
        <v>77000000</v>
      </c>
      <c r="F28" s="149">
        <f t="shared" si="1"/>
        <v>77000000</v>
      </c>
      <c r="H28">
        <f>C3*C4</f>
        <v>0</v>
      </c>
    </row>
    <row r="29" spans="2:9" ht="23.25" x14ac:dyDescent="0.25">
      <c r="B29" s="150" t="s">
        <v>166</v>
      </c>
      <c r="C29" s="147">
        <f>(C4*8*2)+(C3*12)</f>
        <v>0</v>
      </c>
      <c r="D29" s="146">
        <v>1</v>
      </c>
      <c r="E29" s="149">
        <v>15000</v>
      </c>
      <c r="F29" s="149">
        <f t="shared" si="1"/>
        <v>0</v>
      </c>
    </row>
    <row r="30" spans="2:9" ht="23.25" x14ac:dyDescent="0.25">
      <c r="B30" s="150" t="s">
        <v>167</v>
      </c>
      <c r="C30" s="147">
        <f>C3</f>
        <v>0</v>
      </c>
      <c r="D30" s="146">
        <v>4</v>
      </c>
      <c r="E30" s="149">
        <v>315000</v>
      </c>
      <c r="F30" s="149">
        <f t="shared" si="1"/>
        <v>0</v>
      </c>
    </row>
    <row r="31" spans="2:9" ht="23.25" x14ac:dyDescent="0.25">
      <c r="B31" s="148" t="s">
        <v>168</v>
      </c>
      <c r="C31" s="147">
        <v>9</v>
      </c>
      <c r="D31" s="146">
        <v>1</v>
      </c>
      <c r="E31" s="149">
        <v>1500000</v>
      </c>
      <c r="F31" s="149">
        <f t="shared" si="1"/>
        <v>13500000</v>
      </c>
    </row>
    <row r="32" spans="2:9" ht="42" x14ac:dyDescent="0.25">
      <c r="B32" s="148" t="s">
        <v>169</v>
      </c>
      <c r="C32" s="147">
        <v>1</v>
      </c>
      <c r="D32" s="146">
        <v>1</v>
      </c>
      <c r="E32" s="149">
        <v>25000000</v>
      </c>
      <c r="F32" s="149">
        <f t="shared" si="1"/>
        <v>25000000</v>
      </c>
    </row>
    <row r="33" spans="2:10" ht="23.25" x14ac:dyDescent="0.25">
      <c r="B33" s="148" t="s">
        <v>135</v>
      </c>
      <c r="C33" s="147">
        <f>F4</f>
        <v>0</v>
      </c>
      <c r="D33" s="146">
        <v>1</v>
      </c>
      <c r="E33" s="149">
        <f>'4'!D4</f>
        <v>450000</v>
      </c>
      <c r="F33" s="149">
        <f t="shared" si="1"/>
        <v>0</v>
      </c>
    </row>
    <row r="34" spans="2:10" x14ac:dyDescent="0.25">
      <c r="D34" s="139"/>
      <c r="E34" s="139"/>
    </row>
    <row r="35" spans="2:10" x14ac:dyDescent="0.25">
      <c r="B35" s="151"/>
      <c r="C35" s="151"/>
      <c r="D35" s="151"/>
      <c r="E35" s="151"/>
      <c r="F35" s="151"/>
    </row>
    <row r="36" spans="2:10" ht="21" x14ac:dyDescent="0.25">
      <c r="B36" s="128" t="s">
        <v>145</v>
      </c>
      <c r="C36" s="129">
        <f>'4'!G14</f>
        <v>5</v>
      </c>
    </row>
    <row r="37" spans="2:10" ht="23.25" x14ac:dyDescent="0.25">
      <c r="B37" s="128" t="s">
        <v>154</v>
      </c>
      <c r="C37" s="131">
        <f>'4'!D3</f>
        <v>2200000</v>
      </c>
      <c r="D37" s="318" t="s">
        <v>147</v>
      </c>
      <c r="E37" s="318"/>
      <c r="F37" s="318"/>
    </row>
    <row r="38" spans="2:10" ht="30" x14ac:dyDescent="0.25">
      <c r="B38" s="128" t="s">
        <v>148</v>
      </c>
      <c r="C38" s="152">
        <f>'4'!G16</f>
        <v>6.5</v>
      </c>
      <c r="D38" s="153" t="s">
        <v>155</v>
      </c>
      <c r="E38" s="134">
        <v>2.2000000000000002</v>
      </c>
    </row>
    <row r="39" spans="2:10" ht="26.25" x14ac:dyDescent="0.25">
      <c r="B39" s="128" t="s">
        <v>149</v>
      </c>
      <c r="C39" s="152">
        <f>'4'!G17</f>
        <v>2.2000000000000002</v>
      </c>
      <c r="D39" s="316" t="s">
        <v>150</v>
      </c>
      <c r="E39" s="316"/>
      <c r="F39" s="135">
        <f>SUM(F50:F56)*1.1</f>
        <v>59.18</v>
      </c>
    </row>
    <row r="40" spans="2:10" ht="26.25" x14ac:dyDescent="0.25">
      <c r="B40" s="118" t="s">
        <v>59</v>
      </c>
      <c r="C40" s="131">
        <f t="shared" ref="C40:C47" si="2">IF($C$3&lt;=3,I40,J40)</f>
        <v>0</v>
      </c>
      <c r="D40" s="316" t="s">
        <v>156</v>
      </c>
      <c r="E40" s="317">
        <f>C48*E38</f>
        <v>30960461.53846154</v>
      </c>
      <c r="F40" s="154">
        <f>E40*C38*C39</f>
        <v>442734600.00000006</v>
      </c>
      <c r="H40" s="118" t="s">
        <v>59</v>
      </c>
      <c r="I40" s="131">
        <f>IF(AND($C$3&gt;=2,$C$3&lt;=2.25),'4'!F5,IF(AND($C$3&gt;2.25,$C$3&lt;=3.25),'4'!F5*1.2,IF(AND($C$3&gt;3.25),'4'!F5*1.35,0)))</f>
        <v>0</v>
      </c>
      <c r="J40" s="131">
        <f>IF(AND($C$3&gt;=2,$C$3&lt;=2.25),'4'!G5,IF(AND($C$3&gt;2.25,$C$3&lt;=3.25),'4'!G5*1.2,IF(AND($C$3&gt;3.25),'4'!G5*1.35,0)))</f>
        <v>0</v>
      </c>
    </row>
    <row r="41" spans="2:10" ht="28.5" x14ac:dyDescent="0.25">
      <c r="B41" s="118" t="s">
        <v>60</v>
      </c>
      <c r="C41" s="131">
        <f t="shared" si="2"/>
        <v>0</v>
      </c>
      <c r="D41" s="316"/>
      <c r="E41" s="317"/>
      <c r="F41" s="155"/>
      <c r="H41" s="118" t="s">
        <v>60</v>
      </c>
      <c r="I41" s="131">
        <f>IF(AND($C$3&gt;=2,$C$3&lt;=2.25),'4'!F6,IF(AND($C$3&gt;2.25,$C$3&lt;=3.25),'4'!F6*1.2,IF(AND($C$3&gt;3.25),'4'!F6*1.35,0)))</f>
        <v>0</v>
      </c>
      <c r="J41" s="131">
        <f>IF(AND($C$3&gt;=2,$C$3&lt;=2.25),'4'!G6,IF(AND($C$3&gt;2.25,$C$3&lt;=3.25),'4'!G6*1.2,IF(AND($C$3&gt;3.25),'4'!G6*1.35,0)))</f>
        <v>0</v>
      </c>
    </row>
    <row r="42" spans="2:10" ht="23.25" x14ac:dyDescent="0.25">
      <c r="B42" s="112" t="s">
        <v>138</v>
      </c>
      <c r="C42" s="131">
        <f t="shared" si="2"/>
        <v>0</v>
      </c>
      <c r="D42" s="136"/>
      <c r="E42" s="156"/>
      <c r="F42" s="157"/>
      <c r="H42" s="112" t="s">
        <v>138</v>
      </c>
      <c r="I42" s="131">
        <f>IF(AND($C$3&gt;=2,$C$3&lt;=2.25),'4'!F7,IF(AND($C$3&gt;2.25,$C$3&lt;=3.25),'4'!F7*1.2,IF(AND($C$3&gt;3.25),'4'!F7*1.35,0)))</f>
        <v>0</v>
      </c>
      <c r="J42" s="131">
        <f>IF(AND($C$3&gt;=2,$C$3&lt;=2.25),'4'!G7,IF(AND($C$3&gt;2.25,$C$3&lt;=3.25),'4'!G7*1.2,IF(AND($C$3&gt;3.25),'4'!G7*1.35,0)))</f>
        <v>0</v>
      </c>
    </row>
    <row r="43" spans="2:10" ht="23.25" x14ac:dyDescent="0.25">
      <c r="B43" s="112" t="s">
        <v>139</v>
      </c>
      <c r="C43" s="131">
        <f t="shared" si="2"/>
        <v>0</v>
      </c>
      <c r="D43" s="136"/>
      <c r="E43" s="158"/>
      <c r="F43" s="159"/>
      <c r="H43" s="112" t="s">
        <v>139</v>
      </c>
      <c r="I43" s="131">
        <f>IF(AND($C$3&gt;=2,$C$3&lt;=2.25),'4'!F8,IF(AND($C$3&gt;2.25,$C$3&lt;=3.25),'4'!F8*1.2,IF(AND($C$3&gt;3.25),'4'!F8*1.35,0)))</f>
        <v>0</v>
      </c>
      <c r="J43" s="131">
        <f>IF(AND($C$3&gt;=2,$C$3&lt;=2.25),'4'!G8,IF(AND($C$3&gt;2.25,$C$3&lt;=3.25),'4'!G8*1.2,IF(AND($C$3&gt;3.25),'4'!G8*1.35,0)))</f>
        <v>0</v>
      </c>
    </row>
    <row r="44" spans="2:10" ht="23.25" x14ac:dyDescent="0.25">
      <c r="B44" s="112" t="s">
        <v>140</v>
      </c>
      <c r="C44" s="131">
        <f t="shared" si="2"/>
        <v>0</v>
      </c>
      <c r="D44" s="136"/>
      <c r="E44" s="158"/>
      <c r="F44" s="159"/>
      <c r="H44" s="112" t="s">
        <v>140</v>
      </c>
      <c r="I44" s="131">
        <f>IF(AND($C$3&gt;=2,$C$3&lt;=2.25),'4'!F9,IF(AND($C$3&gt;2.25,$C$3&lt;=3.25),'4'!F9*1.2,IF(AND($C$3&gt;3.25),'4'!F9*1.35,0)))</f>
        <v>0</v>
      </c>
      <c r="J44" s="131">
        <f>IF(AND($C$3&gt;=2,$C$3&lt;=2.25),'4'!G9,IF(AND($C$3&gt;2.25,$C$3&lt;=3.25),'4'!G9*1.2,IF(AND($C$3&gt;3.25),'4'!G9*1.35,0)))</f>
        <v>0</v>
      </c>
    </row>
    <row r="45" spans="2:10" ht="23.25" x14ac:dyDescent="0.25">
      <c r="B45" s="112" t="s">
        <v>142</v>
      </c>
      <c r="C45" s="131">
        <f t="shared" si="2"/>
        <v>0</v>
      </c>
      <c r="D45" s="136"/>
      <c r="E45" s="158"/>
      <c r="F45" s="159"/>
      <c r="H45" s="112" t="s">
        <v>142</v>
      </c>
      <c r="I45" s="131">
        <f>IF(AND($C$3&gt;=2,$C$3&lt;=2.25),'4'!F10,IF(AND($C$3&gt;2.25,$C$3&lt;=3.25),'4'!F10*1.2,IF(AND($C$3&gt;3.25),'4'!F10*1.35,0)))</f>
        <v>0</v>
      </c>
      <c r="J45" s="131">
        <f>IF(AND($C$3&gt;=2,$C$3&lt;=2.25),'4'!G10,IF(AND($C$3&gt;2.25,$C$3&lt;=3.25),'4'!G10*1.2,IF(AND($C$3&gt;3.25),'4'!G10*1.35,0)))</f>
        <v>0</v>
      </c>
    </row>
    <row r="46" spans="2:10" ht="23.25" x14ac:dyDescent="0.25">
      <c r="B46" s="112" t="s">
        <v>143</v>
      </c>
      <c r="C46" s="131">
        <f t="shared" si="2"/>
        <v>0</v>
      </c>
      <c r="D46" s="136"/>
      <c r="E46" s="158"/>
      <c r="F46" s="159"/>
      <c r="H46" s="112" t="s">
        <v>143</v>
      </c>
      <c r="I46" s="131">
        <f>IF(AND($C$3&gt;=2,$C$3&lt;=2.25),'4'!F11,IF(AND($C$3&gt;2.25,$C$3&lt;=3.25),'4'!F11*1.2,IF(AND($C$3&gt;3.25),'4'!F11*1.35,0)))</f>
        <v>0</v>
      </c>
      <c r="J46" s="131">
        <f>IF(AND($C$3&gt;=2,$C$3&lt;=2.25),'4'!G11,IF(AND($C$3&gt;2.25,$C$3&lt;=3.25),'4'!G11*1.2,IF(AND($C$3&gt;3.25),'4'!G11*1.35,0)))</f>
        <v>0</v>
      </c>
    </row>
    <row r="47" spans="2:10" ht="23.25" x14ac:dyDescent="0.25">
      <c r="B47" s="112" t="s">
        <v>144</v>
      </c>
      <c r="C47" s="131">
        <f t="shared" si="2"/>
        <v>0</v>
      </c>
      <c r="D47" s="136"/>
      <c r="E47" s="158"/>
      <c r="F47" s="159"/>
      <c r="H47" s="112" t="s">
        <v>144</v>
      </c>
      <c r="I47" s="131">
        <f>IF(AND($C$3&gt;=2,$C$3&lt;=2.25),'4'!F12,IF(AND($C$3&gt;2.25,$C$3&lt;=3.25),'4'!F12*1.2,IF(AND($C$3&gt;3.25),'4'!F12*1.35,0)))</f>
        <v>0</v>
      </c>
      <c r="J47" s="131">
        <f>IF(AND($C$3&gt;=2,$C$3&lt;=2.25),'4'!G12,IF(AND($C$3&gt;2.25,$C$3&lt;=3.25),'4'!G12*1.2,IF(AND($C$3&gt;3.25),'4'!G12*1.35,0)))</f>
        <v>0</v>
      </c>
    </row>
    <row r="48" spans="2:10" ht="21" x14ac:dyDescent="0.25">
      <c r="B48" s="139" t="s">
        <v>157</v>
      </c>
      <c r="C48" s="139">
        <f>SUM(F57:F63)/(C38*C39)</f>
        <v>14072937.062937062</v>
      </c>
      <c r="D48" s="139"/>
      <c r="E48" s="139"/>
      <c r="F48" s="140"/>
    </row>
    <row r="49" spans="2:6" ht="19.5" x14ac:dyDescent="0.25">
      <c r="B49" s="141"/>
      <c r="C49" s="142" t="s">
        <v>158</v>
      </c>
      <c r="D49" s="142" t="s">
        <v>159</v>
      </c>
      <c r="E49" s="143" t="s">
        <v>160</v>
      </c>
      <c r="F49" s="143" t="s">
        <v>161</v>
      </c>
    </row>
    <row r="50" spans="2:6" ht="23.25" x14ac:dyDescent="0.25">
      <c r="B50" s="141"/>
      <c r="C50" s="147">
        <f>C38</f>
        <v>6.5</v>
      </c>
      <c r="D50" s="146">
        <v>1</v>
      </c>
      <c r="E50" s="146">
        <v>2.1</v>
      </c>
      <c r="F50" s="146">
        <f>C50*D50*E50</f>
        <v>13.65</v>
      </c>
    </row>
    <row r="51" spans="2:6" ht="23.25" x14ac:dyDescent="0.25">
      <c r="B51" s="141"/>
      <c r="C51" s="147">
        <f>C39</f>
        <v>2.2000000000000002</v>
      </c>
      <c r="D51" s="146">
        <v>2</v>
      </c>
      <c r="E51" s="146">
        <v>1.25</v>
      </c>
      <c r="F51" s="146">
        <f t="shared" ref="F51:F63" si="3">C51*D51*E51</f>
        <v>5.5</v>
      </c>
    </row>
    <row r="52" spans="2:6" ht="23.25" x14ac:dyDescent="0.25">
      <c r="B52" s="141"/>
      <c r="C52" s="147">
        <f>C38</f>
        <v>6.5</v>
      </c>
      <c r="D52" s="146">
        <v>1</v>
      </c>
      <c r="E52" s="146">
        <v>1.8</v>
      </c>
      <c r="F52" s="146">
        <f t="shared" si="3"/>
        <v>11.700000000000001</v>
      </c>
    </row>
    <row r="53" spans="2:6" ht="23.25" x14ac:dyDescent="0.25">
      <c r="B53" s="141"/>
      <c r="C53" s="147">
        <f>C38</f>
        <v>6.5</v>
      </c>
      <c r="D53" s="146">
        <v>1</v>
      </c>
      <c r="E53" s="146">
        <v>1.5</v>
      </c>
      <c r="F53" s="146">
        <f t="shared" si="3"/>
        <v>9.75</v>
      </c>
    </row>
    <row r="54" spans="2:6" ht="23.25" x14ac:dyDescent="0.25">
      <c r="B54" s="141"/>
      <c r="C54" s="147">
        <f>C39</f>
        <v>2.2000000000000002</v>
      </c>
      <c r="D54" s="146">
        <f>IF(AND(C36=3),2,IF(AND(C36=4),2,IF(AND(C36=5),2,IF(AND(C36=6),2,IF(AND(C36="2+2"),3,IF(AND(C36="3+3"),3,IF(AND(C36="4+4"),3,0)))))))</f>
        <v>2</v>
      </c>
      <c r="E54" s="146">
        <v>1</v>
      </c>
      <c r="F54" s="146">
        <f t="shared" si="3"/>
        <v>4.4000000000000004</v>
      </c>
    </row>
    <row r="55" spans="2:6" ht="23.25" x14ac:dyDescent="0.25">
      <c r="B55" s="141"/>
      <c r="C55" s="147">
        <f>C39</f>
        <v>2.2000000000000002</v>
      </c>
      <c r="D55" s="146">
        <f>IF(AND(C36=3),4,IF(AND(C36=4),6,IF(AND(C36=5),8,IF(AND(C36=6),10,IF(AND(C36="2+2"),5,IF(AND(C36="3+3"),9,IF(AND(C36="4+4"),13,0)))))))</f>
        <v>8</v>
      </c>
      <c r="E55" s="146">
        <v>0.5</v>
      </c>
      <c r="F55" s="146">
        <f t="shared" si="3"/>
        <v>8.8000000000000007</v>
      </c>
    </row>
    <row r="56" spans="2:6" ht="23.25" x14ac:dyDescent="0.25">
      <c r="B56" s="141"/>
      <c r="C56" s="147">
        <f>C39*8+C38*2</f>
        <v>30.6</v>
      </c>
      <c r="D56" s="146">
        <f>IF(AND('4'!D15="8mm"),1,0)</f>
        <v>0</v>
      </c>
      <c r="E56" s="146">
        <v>0.25</v>
      </c>
      <c r="F56" s="146">
        <f t="shared" si="3"/>
        <v>0</v>
      </c>
    </row>
    <row r="57" spans="2:6" ht="23.25" x14ac:dyDescent="0.25">
      <c r="B57" s="148" t="s">
        <v>162</v>
      </c>
      <c r="C57" s="147">
        <f>F39</f>
        <v>59.18</v>
      </c>
      <c r="D57" s="146">
        <v>1</v>
      </c>
      <c r="E57" s="149">
        <f>C37</f>
        <v>2200000</v>
      </c>
      <c r="F57" s="149">
        <f t="shared" si="3"/>
        <v>130196000</v>
      </c>
    </row>
    <row r="58" spans="2:6" ht="23.25" x14ac:dyDescent="0.25">
      <c r="B58" s="148" t="s">
        <v>163</v>
      </c>
      <c r="C58" s="147">
        <f>C38*C39</f>
        <v>14.3</v>
      </c>
      <c r="D58" s="146">
        <v>1</v>
      </c>
      <c r="E58" s="149">
        <f>IF(AND('4'!D15="8mm"),C40,IF(AND('4'!D15="10mm"),C41,IF(AND('4'!D15="4+12+4"),C42,IF(AND('4'!D15="5+10+5"),C43,IF(AND('4'!D15="6+8+6"),C44,IF(AND('4'!D15="5pvb5"),C45,IF(AND('4'!D15="6pvb6"),C46,IF(AND('4'!D15="8pvb8"),C47,0))))))))</f>
        <v>0</v>
      </c>
      <c r="F58" s="149">
        <f t="shared" si="3"/>
        <v>0</v>
      </c>
    </row>
    <row r="59" spans="2:6" ht="23.25" x14ac:dyDescent="0.25">
      <c r="B59" s="150" t="s">
        <v>170</v>
      </c>
      <c r="C59" s="147">
        <f>IF(AND(C36=3),6,IF(AND(C36=4),8,IF(AND(C36=5),10,IF(AND(C36=6),12,IF(AND(C36="2+2"),8,IF(AND(C36="3+3"),12,IF(AND(C36="4+4"),16,0)))))))</f>
        <v>10</v>
      </c>
      <c r="D59" s="146">
        <v>1</v>
      </c>
      <c r="E59" s="149">
        <v>2800000</v>
      </c>
      <c r="F59" s="149">
        <f t="shared" si="3"/>
        <v>28000000</v>
      </c>
    </row>
    <row r="60" spans="2:6" ht="23.25" x14ac:dyDescent="0.25">
      <c r="B60" s="150" t="s">
        <v>166</v>
      </c>
      <c r="C60" s="147">
        <f>(C50*8)+(C51*2)+(C53*2)+(C54*D54*2)+(C55*D55)</f>
        <v>95.800000000000011</v>
      </c>
      <c r="D60" s="146">
        <v>1</v>
      </c>
      <c r="E60" s="149">
        <v>20000</v>
      </c>
      <c r="F60" s="149">
        <f t="shared" si="3"/>
        <v>1916000.0000000002</v>
      </c>
    </row>
    <row r="61" spans="2:6" ht="23.25" x14ac:dyDescent="0.25">
      <c r="B61" s="148" t="s">
        <v>168</v>
      </c>
      <c r="C61" s="147">
        <f>C59</f>
        <v>10</v>
      </c>
      <c r="D61" s="146">
        <v>1</v>
      </c>
      <c r="E61" s="149">
        <v>750000</v>
      </c>
      <c r="F61" s="149">
        <f t="shared" si="3"/>
        <v>7500000</v>
      </c>
    </row>
    <row r="62" spans="2:6" ht="23.25" x14ac:dyDescent="0.25">
      <c r="B62" s="148" t="s">
        <v>171</v>
      </c>
      <c r="C62" s="147">
        <v>1</v>
      </c>
      <c r="D62" s="146">
        <v>1</v>
      </c>
      <c r="E62" s="149">
        <v>7000000</v>
      </c>
      <c r="F62" s="149">
        <f t="shared" si="3"/>
        <v>7000000</v>
      </c>
    </row>
    <row r="63" spans="2:6" ht="23.25" x14ac:dyDescent="0.25">
      <c r="B63" s="148" t="s">
        <v>135</v>
      </c>
      <c r="C63" s="147">
        <f>F39</f>
        <v>59.18</v>
      </c>
      <c r="D63" s="146">
        <v>1</v>
      </c>
      <c r="E63" s="149">
        <f>'4'!D4</f>
        <v>450000</v>
      </c>
      <c r="F63" s="149">
        <f t="shared" si="3"/>
        <v>26631000</v>
      </c>
    </row>
  </sheetData>
  <mergeCells count="9">
    <mergeCell ref="D39:E39"/>
    <mergeCell ref="D40:D41"/>
    <mergeCell ref="E40:E41"/>
    <mergeCell ref="D2:F2"/>
    <mergeCell ref="D4:E4"/>
    <mergeCell ref="D5:D6"/>
    <mergeCell ref="E5:E6"/>
    <mergeCell ref="F5:F6"/>
    <mergeCell ref="D37:F3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utoCAD.Drawing.20" shapeId="43009" r:id="rId3">
          <objectPr defaultSize="0" autoPict="0" r:id="rId4">
            <anchor moveWithCells="1" sizeWithCells="1">
              <from>
                <xdr:col>1</xdr:col>
                <xdr:colOff>657225</xdr:colOff>
                <xdr:row>17</xdr:row>
                <xdr:rowOff>38100</xdr:rowOff>
              </from>
              <to>
                <xdr:col>1</xdr:col>
                <xdr:colOff>1238250</xdr:colOff>
                <xdr:row>17</xdr:row>
                <xdr:rowOff>561975</xdr:rowOff>
              </to>
            </anchor>
          </objectPr>
        </oleObject>
      </mc:Choice>
      <mc:Fallback>
        <oleObject progId="AutoCAD.Drawing.20" shapeId="43009" r:id="rId3"/>
      </mc:Fallback>
    </mc:AlternateContent>
    <mc:AlternateContent xmlns:mc="http://schemas.openxmlformats.org/markup-compatibility/2006">
      <mc:Choice Requires="x14">
        <oleObject progId="AutoCAD.Drawing.20" shapeId="43010" r:id="rId5">
          <objectPr defaultSize="0" autoPict="0" r:id="rId6">
            <anchor moveWithCells="1" sizeWithCells="1">
              <from>
                <xdr:col>1</xdr:col>
                <xdr:colOff>809625</xdr:colOff>
                <xdr:row>18</xdr:row>
                <xdr:rowOff>57150</xdr:rowOff>
              </from>
              <to>
                <xdr:col>1</xdr:col>
                <xdr:colOff>1143000</xdr:colOff>
                <xdr:row>19</xdr:row>
                <xdr:rowOff>0</xdr:rowOff>
              </to>
            </anchor>
          </objectPr>
        </oleObject>
      </mc:Choice>
      <mc:Fallback>
        <oleObject progId="AutoCAD.Drawing.20" shapeId="43010" r:id="rId5"/>
      </mc:Fallback>
    </mc:AlternateContent>
    <mc:AlternateContent xmlns:mc="http://schemas.openxmlformats.org/markup-compatibility/2006">
      <mc:Choice Requires="x14">
        <oleObject progId="AutoCAD.Drawing.20" shapeId="43011" r:id="rId7">
          <objectPr defaultSize="0" autoPict="0" r:id="rId8">
            <anchor moveWithCells="1" sizeWithCells="1">
              <from>
                <xdr:col>1</xdr:col>
                <xdr:colOff>733425</xdr:colOff>
                <xdr:row>20</xdr:row>
                <xdr:rowOff>0</xdr:rowOff>
              </from>
              <to>
                <xdr:col>1</xdr:col>
                <xdr:colOff>1152525</xdr:colOff>
                <xdr:row>20</xdr:row>
                <xdr:rowOff>438150</xdr:rowOff>
              </to>
            </anchor>
          </objectPr>
        </oleObject>
      </mc:Choice>
      <mc:Fallback>
        <oleObject progId="AutoCAD.Drawing.20" shapeId="43011" r:id="rId7"/>
      </mc:Fallback>
    </mc:AlternateContent>
    <mc:AlternateContent xmlns:mc="http://schemas.openxmlformats.org/markup-compatibility/2006">
      <mc:Choice Requires="x14">
        <oleObject progId="AutoCAD.Drawing.20" shapeId="43012" r:id="rId9">
          <objectPr defaultSize="0" autoPict="0" r:id="rId10">
            <anchor moveWithCells="1" sizeWithCells="1">
              <from>
                <xdr:col>1</xdr:col>
                <xdr:colOff>762000</xdr:colOff>
                <xdr:row>21</xdr:row>
                <xdr:rowOff>0</xdr:rowOff>
              </from>
              <to>
                <xdr:col>1</xdr:col>
                <xdr:colOff>1143000</xdr:colOff>
                <xdr:row>21</xdr:row>
                <xdr:rowOff>504825</xdr:rowOff>
              </to>
            </anchor>
          </objectPr>
        </oleObject>
      </mc:Choice>
      <mc:Fallback>
        <oleObject progId="AutoCAD.Drawing.20" shapeId="43012" r:id="rId9"/>
      </mc:Fallback>
    </mc:AlternateContent>
    <mc:AlternateContent xmlns:mc="http://schemas.openxmlformats.org/markup-compatibility/2006">
      <mc:Choice Requires="x14">
        <oleObject progId="AutoCAD.Drawing.20" shapeId="43013" r:id="rId11">
          <objectPr defaultSize="0" autoPict="0" r:id="rId12">
            <anchor moveWithCells="1" sizeWithCells="1">
              <from>
                <xdr:col>1</xdr:col>
                <xdr:colOff>723900</xdr:colOff>
                <xdr:row>22</xdr:row>
                <xdr:rowOff>0</xdr:rowOff>
              </from>
              <to>
                <xdr:col>1</xdr:col>
                <xdr:colOff>1133475</xdr:colOff>
                <xdr:row>22</xdr:row>
                <xdr:rowOff>504825</xdr:rowOff>
              </to>
            </anchor>
          </objectPr>
        </oleObject>
      </mc:Choice>
      <mc:Fallback>
        <oleObject progId="AutoCAD.Drawing.20" shapeId="43013" r:id="rId11"/>
      </mc:Fallback>
    </mc:AlternateContent>
    <mc:AlternateContent xmlns:mc="http://schemas.openxmlformats.org/markup-compatibility/2006">
      <mc:Choice Requires="x14">
        <oleObject progId="AutoCAD.Drawing.20" shapeId="43014" r:id="rId13">
          <objectPr defaultSize="0" autoPict="0" r:id="rId14">
            <anchor moveWithCells="1" sizeWithCells="1">
              <from>
                <xdr:col>1</xdr:col>
                <xdr:colOff>676275</xdr:colOff>
                <xdr:row>23</xdr:row>
                <xdr:rowOff>28575</xdr:rowOff>
              </from>
              <to>
                <xdr:col>1</xdr:col>
                <xdr:colOff>1181100</xdr:colOff>
                <xdr:row>23</xdr:row>
                <xdr:rowOff>457200</xdr:rowOff>
              </to>
            </anchor>
          </objectPr>
        </oleObject>
      </mc:Choice>
      <mc:Fallback>
        <oleObject progId="AutoCAD.Drawing.20" shapeId="43014" r:id="rId13"/>
      </mc:Fallback>
    </mc:AlternateContent>
    <mc:AlternateContent xmlns:mc="http://schemas.openxmlformats.org/markup-compatibility/2006">
      <mc:Choice Requires="x14">
        <oleObject progId="AutoCAD.Drawing.20" shapeId="43015" r:id="rId15">
          <objectPr defaultSize="0" autoPict="0" r:id="rId16">
            <anchor moveWithCells="1" sizeWithCells="1">
              <from>
                <xdr:col>1</xdr:col>
                <xdr:colOff>885825</xdr:colOff>
                <xdr:row>19</xdr:row>
                <xdr:rowOff>47625</xdr:rowOff>
              </from>
              <to>
                <xdr:col>1</xdr:col>
                <xdr:colOff>1143000</xdr:colOff>
                <xdr:row>20</xdr:row>
                <xdr:rowOff>0</xdr:rowOff>
              </to>
            </anchor>
          </objectPr>
        </oleObject>
      </mc:Choice>
      <mc:Fallback>
        <oleObject progId="AutoCAD.Drawing.20" shapeId="43015" r:id="rId15"/>
      </mc:Fallback>
    </mc:AlternateContent>
    <mc:AlternateContent xmlns:mc="http://schemas.openxmlformats.org/markup-compatibility/2006">
      <mc:Choice Requires="x14">
        <oleObject progId="AutoCAD.Drawing.20" shapeId="43016" r:id="rId17">
          <objectPr defaultSize="0" autoPict="0" r:id="rId14">
            <anchor moveWithCells="1" sizeWithCells="1">
              <from>
                <xdr:col>1</xdr:col>
                <xdr:colOff>657225</xdr:colOff>
                <xdr:row>55</xdr:row>
                <xdr:rowOff>47625</xdr:rowOff>
              </from>
              <to>
                <xdr:col>1</xdr:col>
                <xdr:colOff>1162050</xdr:colOff>
                <xdr:row>55</xdr:row>
                <xdr:rowOff>476250</xdr:rowOff>
              </to>
            </anchor>
          </objectPr>
        </oleObject>
      </mc:Choice>
      <mc:Fallback>
        <oleObject progId="AutoCAD.Drawing.20" shapeId="43016" r:id="rId17"/>
      </mc:Fallback>
    </mc:AlternateContent>
    <mc:AlternateContent xmlns:mc="http://schemas.openxmlformats.org/markup-compatibility/2006">
      <mc:Choice Requires="x14">
        <oleObject progId="AutoCAD.Drawing.20" shapeId="43017" r:id="rId18">
          <objectPr defaultSize="0" autoPict="0" r:id="rId19">
            <anchor moveWithCells="1" sizeWithCells="1">
              <from>
                <xdr:col>1</xdr:col>
                <xdr:colOff>381000</xdr:colOff>
                <xdr:row>49</xdr:row>
                <xdr:rowOff>66675</xdr:rowOff>
              </from>
              <to>
                <xdr:col>1</xdr:col>
                <xdr:colOff>1438275</xdr:colOff>
                <xdr:row>49</xdr:row>
                <xdr:rowOff>314325</xdr:rowOff>
              </to>
            </anchor>
          </objectPr>
        </oleObject>
      </mc:Choice>
      <mc:Fallback>
        <oleObject progId="AutoCAD.Drawing.20" shapeId="43017" r:id="rId18"/>
      </mc:Fallback>
    </mc:AlternateContent>
    <mc:AlternateContent xmlns:mc="http://schemas.openxmlformats.org/markup-compatibility/2006">
      <mc:Choice Requires="x14">
        <oleObject progId="AutoCAD.Drawing.20" shapeId="43018" r:id="rId20">
          <objectPr defaultSize="0" autoPict="0" r:id="rId21">
            <anchor moveWithCells="1" sizeWithCells="1">
              <from>
                <xdr:col>1</xdr:col>
                <xdr:colOff>371475</xdr:colOff>
                <xdr:row>50</xdr:row>
                <xdr:rowOff>123825</xdr:rowOff>
              </from>
              <to>
                <xdr:col>1</xdr:col>
                <xdr:colOff>1476375</xdr:colOff>
                <xdr:row>50</xdr:row>
                <xdr:rowOff>304800</xdr:rowOff>
              </to>
            </anchor>
          </objectPr>
        </oleObject>
      </mc:Choice>
      <mc:Fallback>
        <oleObject progId="AutoCAD.Drawing.20" shapeId="43018" r:id="rId20"/>
      </mc:Fallback>
    </mc:AlternateContent>
    <mc:AlternateContent xmlns:mc="http://schemas.openxmlformats.org/markup-compatibility/2006">
      <mc:Choice Requires="x14">
        <oleObject progId="AutoCAD.Drawing.20" shapeId="43019" r:id="rId22">
          <objectPr defaultSize="0" autoPict="0" r:id="rId23">
            <anchor moveWithCells="1" sizeWithCells="1">
              <from>
                <xdr:col>1</xdr:col>
                <xdr:colOff>352425</xdr:colOff>
                <xdr:row>51</xdr:row>
                <xdr:rowOff>180975</xdr:rowOff>
              </from>
              <to>
                <xdr:col>1</xdr:col>
                <xdr:colOff>1428750</xdr:colOff>
                <xdr:row>51</xdr:row>
                <xdr:rowOff>276225</xdr:rowOff>
              </to>
            </anchor>
          </objectPr>
        </oleObject>
      </mc:Choice>
      <mc:Fallback>
        <oleObject progId="AutoCAD.Drawing.20" shapeId="43019" r:id="rId22"/>
      </mc:Fallback>
    </mc:AlternateContent>
    <mc:AlternateContent xmlns:mc="http://schemas.openxmlformats.org/markup-compatibility/2006">
      <mc:Choice Requires="x14">
        <oleObject progId="AutoCAD.Drawing.20" shapeId="43020" r:id="rId24">
          <objectPr defaultSize="0" autoPict="0" r:id="rId25">
            <anchor moveWithCells="1" sizeWithCells="1">
              <from>
                <xdr:col>1</xdr:col>
                <xdr:colOff>361950</xdr:colOff>
                <xdr:row>52</xdr:row>
                <xdr:rowOff>66675</xdr:rowOff>
              </from>
              <to>
                <xdr:col>1</xdr:col>
                <xdr:colOff>1457325</xdr:colOff>
                <xdr:row>52</xdr:row>
                <xdr:rowOff>333375</xdr:rowOff>
              </to>
            </anchor>
          </objectPr>
        </oleObject>
      </mc:Choice>
      <mc:Fallback>
        <oleObject progId="AutoCAD.Drawing.20" shapeId="43020" r:id="rId24"/>
      </mc:Fallback>
    </mc:AlternateContent>
    <mc:AlternateContent xmlns:mc="http://schemas.openxmlformats.org/markup-compatibility/2006">
      <mc:Choice Requires="x14">
        <oleObject progId="AutoCAD.Drawing.20" shapeId="43021" r:id="rId26">
          <objectPr defaultSize="0" autoPict="0" r:id="rId27">
            <anchor moveWithCells="1" sizeWithCells="1">
              <from>
                <xdr:col>1</xdr:col>
                <xdr:colOff>523875</xdr:colOff>
                <xdr:row>53</xdr:row>
                <xdr:rowOff>28575</xdr:rowOff>
              </from>
              <to>
                <xdr:col>1</xdr:col>
                <xdr:colOff>1276350</xdr:colOff>
                <xdr:row>53</xdr:row>
                <xdr:rowOff>352425</xdr:rowOff>
              </to>
            </anchor>
          </objectPr>
        </oleObject>
      </mc:Choice>
      <mc:Fallback>
        <oleObject progId="AutoCAD.Drawing.20" shapeId="43021" r:id="rId26"/>
      </mc:Fallback>
    </mc:AlternateContent>
    <mc:AlternateContent xmlns:mc="http://schemas.openxmlformats.org/markup-compatibility/2006">
      <mc:Choice Requires="x14">
        <oleObject progId="AutoCAD.Drawing.20" shapeId="43022" r:id="rId28">
          <objectPr defaultSize="0" autoPict="0" r:id="rId29">
            <anchor moveWithCells="1" sizeWithCells="1">
              <from>
                <xdr:col>1</xdr:col>
                <xdr:colOff>666750</xdr:colOff>
                <xdr:row>53</xdr:row>
                <xdr:rowOff>495300</xdr:rowOff>
              </from>
              <to>
                <xdr:col>1</xdr:col>
                <xdr:colOff>1095375</xdr:colOff>
                <xdr:row>54</xdr:row>
                <xdr:rowOff>457200</xdr:rowOff>
              </to>
            </anchor>
          </objectPr>
        </oleObject>
      </mc:Choice>
      <mc:Fallback>
        <oleObject progId="AutoCAD.Drawing.20" shapeId="43022" r:id="rId28"/>
      </mc:Fallback>
    </mc:AlternateContent>
    <mc:AlternateContent xmlns:mc="http://schemas.openxmlformats.org/markup-compatibility/2006">
      <mc:Choice Requires="x14">
        <oleObject progId="AutoCAD.Drawing.24" shapeId="43023" r:id="rId30">
          <objectPr defaultSize="0" autoPict="0" r:id="rId31">
            <anchor moveWithCells="1" sizeWithCells="1">
              <from>
                <xdr:col>1</xdr:col>
                <xdr:colOff>581025</xdr:colOff>
                <xdr:row>15</xdr:row>
                <xdr:rowOff>38100</xdr:rowOff>
              </from>
              <to>
                <xdr:col>1</xdr:col>
                <xdr:colOff>1419225</xdr:colOff>
                <xdr:row>16</xdr:row>
                <xdr:rowOff>28575</xdr:rowOff>
              </to>
            </anchor>
          </objectPr>
        </oleObject>
      </mc:Choice>
      <mc:Fallback>
        <oleObject progId="AutoCAD.Drawing.24" shapeId="43023" r:id="rId30"/>
      </mc:Fallback>
    </mc:AlternateContent>
    <mc:AlternateContent xmlns:mc="http://schemas.openxmlformats.org/markup-compatibility/2006">
      <mc:Choice Requires="x14">
        <oleObject progId="AutoCAD.Drawing.24" shapeId="43024" r:id="rId32">
          <objectPr defaultSize="0" autoPict="0" r:id="rId33">
            <anchor moveWithCells="1" sizeWithCells="1">
              <from>
                <xdr:col>1</xdr:col>
                <xdr:colOff>590550</xdr:colOff>
                <xdr:row>14</xdr:row>
                <xdr:rowOff>28575</xdr:rowOff>
              </from>
              <to>
                <xdr:col>1</xdr:col>
                <xdr:colOff>1409700</xdr:colOff>
                <xdr:row>14</xdr:row>
                <xdr:rowOff>609600</xdr:rowOff>
              </to>
            </anchor>
          </objectPr>
        </oleObject>
      </mc:Choice>
      <mc:Fallback>
        <oleObject progId="AutoCAD.Drawing.24" shapeId="43024" r:id="rId32"/>
      </mc:Fallback>
    </mc:AlternateContent>
    <mc:AlternateContent xmlns:mc="http://schemas.openxmlformats.org/markup-compatibility/2006">
      <mc:Choice Requires="x14">
        <oleObject progId="AutoCAD.Drawing.24" shapeId="43025" r:id="rId34">
          <objectPr defaultSize="0" autoPict="0" r:id="rId35">
            <anchor moveWithCells="1" sizeWithCells="1">
              <from>
                <xdr:col>1</xdr:col>
                <xdr:colOff>361950</xdr:colOff>
                <xdr:row>16</xdr:row>
                <xdr:rowOff>238125</xdr:rowOff>
              </from>
              <to>
                <xdr:col>1</xdr:col>
                <xdr:colOff>1619250</xdr:colOff>
                <xdr:row>16</xdr:row>
                <xdr:rowOff>457200</xdr:rowOff>
              </to>
            </anchor>
          </objectPr>
        </oleObject>
      </mc:Choice>
      <mc:Fallback>
        <oleObject progId="AutoCAD.Drawing.24" shapeId="43025" r:id="rId3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69CE-06F3-4439-9DE0-DC636D3A7C73}">
  <dimension ref="B1:J63"/>
  <sheetViews>
    <sheetView topLeftCell="A21" workbookViewId="0">
      <selection activeCell="D29" sqref="D29"/>
    </sheetView>
  </sheetViews>
  <sheetFormatPr defaultRowHeight="15" x14ac:dyDescent="0.25"/>
  <cols>
    <col min="2" max="2" width="25.28515625" customWidth="1"/>
    <col min="3" max="3" width="15.7109375" customWidth="1"/>
    <col min="4" max="5" width="19.140625" customWidth="1"/>
    <col min="6" max="6" width="23.85546875" customWidth="1"/>
    <col min="8" max="8" width="10.42578125" customWidth="1"/>
    <col min="9" max="9" width="17.5703125" customWidth="1"/>
    <col min="10" max="10" width="14.5703125" customWidth="1"/>
  </cols>
  <sheetData>
    <row r="1" spans="2:10" ht="23.25" x14ac:dyDescent="0.25">
      <c r="B1" s="128" t="s">
        <v>145</v>
      </c>
      <c r="C1" s="166" t="str">
        <f>'5'!D14</f>
        <v xml:space="preserve">3 پانل </v>
      </c>
      <c r="D1" s="130"/>
      <c r="E1" s="130"/>
      <c r="F1" s="130"/>
    </row>
    <row r="2" spans="2:10" ht="23.25" x14ac:dyDescent="0.25">
      <c r="B2" s="128" t="s">
        <v>154</v>
      </c>
      <c r="C2" s="131">
        <f>'5'!$D$3</f>
        <v>2200000</v>
      </c>
      <c r="D2" s="318" t="s">
        <v>146</v>
      </c>
      <c r="E2" s="318"/>
      <c r="F2" s="318"/>
    </row>
    <row r="3" spans="2:10" ht="30" x14ac:dyDescent="0.25">
      <c r="B3" s="128" t="s">
        <v>148</v>
      </c>
      <c r="C3" s="132">
        <f>'5'!$D$16</f>
        <v>0</v>
      </c>
      <c r="D3" s="133" t="s">
        <v>155</v>
      </c>
      <c r="E3" s="134">
        <f>'پیش فاکتور گیوتین'!G19</f>
        <v>2.2000000000000002</v>
      </c>
      <c r="F3" s="134">
        <v>2.6</v>
      </c>
    </row>
    <row r="4" spans="2:10" ht="26.25" x14ac:dyDescent="0.25">
      <c r="B4" s="128" t="s">
        <v>149</v>
      </c>
      <c r="C4" s="132">
        <f>'5'!$D$17</f>
        <v>0</v>
      </c>
      <c r="D4" s="316" t="s">
        <v>150</v>
      </c>
      <c r="E4" s="316"/>
      <c r="F4" s="135">
        <f>SUM(F15:F24)*1.1</f>
        <v>0</v>
      </c>
    </row>
    <row r="5" spans="2:10" ht="18.75" x14ac:dyDescent="0.25">
      <c r="B5" s="19" t="s">
        <v>184</v>
      </c>
      <c r="C5" s="131">
        <f>J5</f>
        <v>0</v>
      </c>
      <c r="D5" s="316" t="s">
        <v>156</v>
      </c>
      <c r="E5" s="317" t="e">
        <f>C13*E3</f>
        <v>#DIV/0!</v>
      </c>
      <c r="F5" s="319" t="e">
        <f>E5*C3*C4</f>
        <v>#DIV/0!</v>
      </c>
      <c r="H5" s="19" t="s">
        <v>184</v>
      </c>
      <c r="I5" s="131">
        <f>IF(AND($C$3&gt;=2,$C$3&lt;=2.25),'5'!F5,IF(AND($C$3&gt;2.25,$C$3&lt;=3.25),'5'!F5*1.2,IF(AND($C$3&gt;3.25),'5'!F5*1.35,0)))</f>
        <v>0</v>
      </c>
      <c r="J5" s="131">
        <f>IF(AND($C$3&gt;=2,$C$3&lt;=2.25),'5'!G5,IF(AND($C$3&gt;2.25,$C$3&lt;=3.25),'5'!G5*1.2,IF(AND($C$3&gt;3.25),'5'!G5*1.35,0)))</f>
        <v>0</v>
      </c>
    </row>
    <row r="6" spans="2:10" ht="18.75" x14ac:dyDescent="0.25">
      <c r="B6" s="20" t="s">
        <v>185</v>
      </c>
      <c r="C6" s="131">
        <f>J6</f>
        <v>0</v>
      </c>
      <c r="D6" s="316"/>
      <c r="E6" s="317"/>
      <c r="F6" s="320"/>
      <c r="H6" s="20" t="s">
        <v>185</v>
      </c>
      <c r="I6" s="131">
        <f>IF(AND($C$3&gt;=2,$C$3&lt;=2.25),'5'!F6,IF(AND($C$3&gt;2.25,$C$3&lt;=3.25),'5'!F6*1.2,IF(AND($C$3&gt;3.25),'5'!F6*1.35,0)))</f>
        <v>0</v>
      </c>
      <c r="J6" s="131">
        <f>IF(AND($C$3&gt;=2,$C$3&lt;=2.25),'5'!G6,IF(AND($C$3&gt;2.25,$C$3&lt;=3.25),'5'!G6*1.2,IF(AND($C$3&gt;3.25),'5'!G6*1.35,0)))</f>
        <v>0</v>
      </c>
    </row>
    <row r="7" spans="2:10" ht="28.5" x14ac:dyDescent="0.25">
      <c r="B7" s="20" t="s">
        <v>181</v>
      </c>
      <c r="C7" s="131">
        <f t="shared" ref="C7:C12" si="0">J7</f>
        <v>0</v>
      </c>
      <c r="D7" s="136"/>
      <c r="E7" s="137"/>
      <c r="F7" s="138"/>
      <c r="H7" s="20" t="s">
        <v>181</v>
      </c>
      <c r="I7" s="131">
        <f>IF(AND($C$3&gt;=2,$C$3&lt;=2.25),'5'!F7,IF(AND($C$3&gt;2.25,$C$3&lt;=3.25),'5'!F7*1.2,IF(AND($C$3&gt;3.25),'5'!F7*1.35,0)))</f>
        <v>0</v>
      </c>
      <c r="J7" s="131">
        <f>IF(AND($C$3&gt;=2,$C$3&lt;=2.25),'5'!G7,IF(AND($C$3&gt;2.25,$C$3&lt;=3.25),'5'!G7*1.2,IF(AND($C$3&gt;3.25),'5'!G7*1.35,0)))</f>
        <v>0</v>
      </c>
    </row>
    <row r="8" spans="2:10" ht="28.5" x14ac:dyDescent="0.25">
      <c r="B8" s="20" t="s">
        <v>182</v>
      </c>
      <c r="C8" s="131">
        <f t="shared" si="0"/>
        <v>0</v>
      </c>
      <c r="D8" s="136"/>
      <c r="E8" s="137"/>
      <c r="F8" s="138"/>
      <c r="H8" s="20" t="s">
        <v>182</v>
      </c>
      <c r="I8" s="131">
        <f>IF(AND($C$3&gt;=2,$C$3&lt;=2.25),'5'!F8,IF(AND($C$3&gt;2.25,$C$3&lt;=3.25),'5'!F8*1.2,IF(AND($C$3&gt;3.25),'5'!F8*1.35,0)))</f>
        <v>0</v>
      </c>
      <c r="J8" s="131">
        <f>IF(AND($C$3&gt;=2,$C$3&lt;=2.25),'5'!G8,IF(AND($C$3&gt;2.25,$C$3&lt;=3.25),'5'!G8*1.2,IF(AND($C$3&gt;3.25),'5'!G8*1.35,0)))</f>
        <v>0</v>
      </c>
    </row>
    <row r="9" spans="2:10" ht="28.5" x14ac:dyDescent="0.25">
      <c r="B9" s="20" t="s">
        <v>183</v>
      </c>
      <c r="C9" s="131">
        <f t="shared" si="0"/>
        <v>0</v>
      </c>
      <c r="D9" s="136"/>
      <c r="E9" s="137"/>
      <c r="F9" s="138"/>
      <c r="H9" s="20" t="s">
        <v>183</v>
      </c>
      <c r="I9" s="131">
        <f>IF(AND($C$3&gt;=2,$C$3&lt;=2.25),'5'!F9,IF(AND($C$3&gt;2.25,$C$3&lt;=3.25),'5'!F9*1.2,IF(AND($C$3&gt;3.25),'5'!F9*1.35,0)))</f>
        <v>0</v>
      </c>
      <c r="J9" s="131">
        <f>IF(AND($C$3&gt;=2,$C$3&lt;=2.25),'5'!G9,IF(AND($C$3&gt;2.25,$C$3&lt;=3.25),'5'!G9*1.2,IF(AND($C$3&gt;3.25),'5'!G9*1.35,0)))</f>
        <v>0</v>
      </c>
    </row>
    <row r="10" spans="2:10" ht="28.5" x14ac:dyDescent="0.25">
      <c r="B10" s="20" t="s">
        <v>178</v>
      </c>
      <c r="C10" s="131">
        <f t="shared" si="0"/>
        <v>0</v>
      </c>
      <c r="D10" s="136"/>
      <c r="E10" s="137"/>
      <c r="F10" s="138"/>
      <c r="H10" s="20" t="s">
        <v>178</v>
      </c>
      <c r="I10" s="131">
        <f>IF(AND($C$3&gt;=2,$C$3&lt;=2.25),'5'!F10,IF(AND($C$3&gt;2.25,$C$3&lt;=3.25),'5'!F10*1.2,IF(AND($C$3&gt;3.25),'5'!F10*1.35,0)))</f>
        <v>0</v>
      </c>
      <c r="J10" s="131">
        <f>IF(AND($C$3&gt;=2,$C$3&lt;=2.25),'5'!G10,IF(AND($C$3&gt;2.25,$C$3&lt;=3.25),'5'!G10*1.2,IF(AND($C$3&gt;3.25),'5'!G10*1.35,0)))</f>
        <v>0</v>
      </c>
    </row>
    <row r="11" spans="2:10" ht="28.5" x14ac:dyDescent="0.25">
      <c r="B11" s="20" t="s">
        <v>179</v>
      </c>
      <c r="C11" s="131">
        <f t="shared" si="0"/>
        <v>0</v>
      </c>
      <c r="D11" s="136"/>
      <c r="E11" s="137"/>
      <c r="F11" s="138"/>
      <c r="H11" s="20" t="s">
        <v>179</v>
      </c>
      <c r="I11" s="131">
        <f>IF(AND($C$3&gt;=2,$C$3&lt;=2.25),'5'!F11,IF(AND($C$3&gt;2.25,$C$3&lt;=3.25),'5'!F11*1.2,IF(AND($C$3&gt;3.25),'5'!F11*1.35,0)))</f>
        <v>0</v>
      </c>
      <c r="J11" s="131">
        <f>IF(AND($C$3&gt;=2,$C$3&lt;=2.25),'5'!G11,IF(AND($C$3&gt;2.25,$C$3&lt;=3.25),'5'!G11*1.2,IF(AND($C$3&gt;3.25),'5'!G11*1.35,0)))</f>
        <v>0</v>
      </c>
    </row>
    <row r="12" spans="2:10" ht="28.5" x14ac:dyDescent="0.25">
      <c r="B12" s="20" t="s">
        <v>180</v>
      </c>
      <c r="C12" s="131">
        <f t="shared" si="0"/>
        <v>0</v>
      </c>
      <c r="D12" s="136"/>
      <c r="E12" s="137"/>
      <c r="F12" s="138"/>
      <c r="H12" s="20" t="s">
        <v>180</v>
      </c>
      <c r="I12" s="131">
        <f>IF(AND($C$3&gt;=2,$C$3&lt;=2.25),'5'!F12,IF(AND($C$3&gt;2.25,$C$3&lt;=3.25),'5'!F12*1.2,IF(AND($C$3&gt;3.25),'5'!F12*1.35,0)))</f>
        <v>0</v>
      </c>
      <c r="J12" s="131">
        <f>IF(AND($C$3&gt;=2,$C$3&lt;=2.25),'5'!G12,IF(AND($C$3&gt;2.25,$C$3&lt;=3.25),'5'!G12*1.2,IF(AND($C$3&gt;3.25),'5'!G12*1.35,0)))</f>
        <v>0</v>
      </c>
    </row>
    <row r="13" spans="2:10" ht="21" x14ac:dyDescent="0.25">
      <c r="B13" s="139" t="s">
        <v>157</v>
      </c>
      <c r="C13" s="139" t="e">
        <f>SUM(F25:F33)/(C3*C4)</f>
        <v>#DIV/0!</v>
      </c>
      <c r="D13" s="139"/>
      <c r="E13" s="139"/>
      <c r="F13" s="140"/>
    </row>
    <row r="14" spans="2:10" ht="19.5" x14ac:dyDescent="0.25">
      <c r="B14" s="141"/>
      <c r="C14" s="142" t="s">
        <v>158</v>
      </c>
      <c r="D14" s="142" t="s">
        <v>159</v>
      </c>
      <c r="E14" s="143" t="s">
        <v>160</v>
      </c>
      <c r="F14" s="143" t="s">
        <v>161</v>
      </c>
    </row>
    <row r="15" spans="2:10" ht="35.1" customHeight="1" x14ac:dyDescent="0.25">
      <c r="B15" s="144"/>
      <c r="C15" s="145">
        <f>C3</f>
        <v>0</v>
      </c>
      <c r="D15" s="146">
        <v>1</v>
      </c>
      <c r="E15" s="146">
        <v>1.56</v>
      </c>
      <c r="F15" s="146">
        <f>C15*D15*E15</f>
        <v>0</v>
      </c>
    </row>
    <row r="16" spans="2:10" ht="35.1" customHeight="1" x14ac:dyDescent="0.25">
      <c r="B16" s="144"/>
      <c r="C16" s="145">
        <f>C15</f>
        <v>0</v>
      </c>
      <c r="D16" s="146">
        <v>1</v>
      </c>
      <c r="E16" s="146">
        <v>1.73</v>
      </c>
      <c r="F16" s="146">
        <f>C16*D16*E16</f>
        <v>0</v>
      </c>
    </row>
    <row r="17" spans="2:9" ht="35.1" customHeight="1" x14ac:dyDescent="0.25">
      <c r="B17" s="144"/>
      <c r="C17" s="145">
        <f>C15</f>
        <v>0</v>
      </c>
      <c r="D17" s="146">
        <v>1</v>
      </c>
      <c r="E17" s="146">
        <v>1.1559999999999999</v>
      </c>
      <c r="F17" s="146">
        <f>C17*D17*E17</f>
        <v>0</v>
      </c>
    </row>
    <row r="18" spans="2:9" ht="35.1" customHeight="1" x14ac:dyDescent="0.25">
      <c r="B18" s="141"/>
      <c r="C18" s="147">
        <f>C4</f>
        <v>0</v>
      </c>
      <c r="D18" s="146">
        <v>2</v>
      </c>
      <c r="E18" s="146">
        <v>1.87</v>
      </c>
      <c r="F18" s="146">
        <f>C18*D18*E18</f>
        <v>0</v>
      </c>
    </row>
    <row r="19" spans="2:9" ht="35.1" customHeight="1" x14ac:dyDescent="0.25">
      <c r="B19" s="141"/>
      <c r="C19" s="147">
        <f>C4</f>
        <v>0</v>
      </c>
      <c r="D19" s="146">
        <v>2</v>
      </c>
      <c r="E19" s="146">
        <v>0.75</v>
      </c>
      <c r="F19" s="146">
        <f t="shared" ref="F19:F33" si="1">C19*D19*E19</f>
        <v>0</v>
      </c>
    </row>
    <row r="20" spans="2:9" ht="35.1" customHeight="1" x14ac:dyDescent="0.25">
      <c r="B20" s="141"/>
      <c r="C20" s="147">
        <f>C4</f>
        <v>0</v>
      </c>
      <c r="D20" s="146">
        <v>2</v>
      </c>
      <c r="E20" s="146">
        <v>0.65</v>
      </c>
      <c r="F20" s="146">
        <f t="shared" si="1"/>
        <v>0</v>
      </c>
    </row>
    <row r="21" spans="2:9" ht="35.1" customHeight="1" x14ac:dyDescent="0.25">
      <c r="B21" s="141"/>
      <c r="C21" s="147">
        <f>C4</f>
        <v>0</v>
      </c>
      <c r="D21" s="146">
        <v>2</v>
      </c>
      <c r="E21" s="146">
        <v>0.56999999999999995</v>
      </c>
      <c r="F21" s="146">
        <f t="shared" si="1"/>
        <v>0</v>
      </c>
    </row>
    <row r="22" spans="2:9" ht="35.1" customHeight="1" x14ac:dyDescent="0.25">
      <c r="B22" s="141"/>
      <c r="C22" s="147">
        <f>C3</f>
        <v>0</v>
      </c>
      <c r="D22" s="146">
        <f>IF(AND(C1="2 پانل "),4,IF(AND(C1="3 پانل "),6,IF(AND(C1="4 پانل "),8,0)))</f>
        <v>6</v>
      </c>
      <c r="E22" s="146">
        <v>0.9</v>
      </c>
      <c r="F22" s="146">
        <f t="shared" si="1"/>
        <v>0</v>
      </c>
      <c r="I22" s="160" t="s">
        <v>7</v>
      </c>
    </row>
    <row r="23" spans="2:9" ht="35.1" customHeight="1" x14ac:dyDescent="0.25">
      <c r="B23" s="141"/>
      <c r="C23" s="147">
        <f>C3</f>
        <v>0</v>
      </c>
      <c r="D23" s="146">
        <f>IF(AND(C1="2 پانل "),2,IF(AND(C1="3 پانل "),4,IF(AND(C1="4 پانل "),6,0)))</f>
        <v>4</v>
      </c>
      <c r="E23" s="146">
        <v>0.34</v>
      </c>
      <c r="F23" s="146">
        <f t="shared" si="1"/>
        <v>0</v>
      </c>
      <c r="I23" s="163" t="s">
        <v>186</v>
      </c>
    </row>
    <row r="24" spans="2:9" ht="35.1" customHeight="1" x14ac:dyDescent="0.25">
      <c r="B24" s="141"/>
      <c r="C24" s="147">
        <f>(C21*D21)+(C22*D22)</f>
        <v>0</v>
      </c>
      <c r="D24" s="146">
        <f>IF(AND('5'!D15="8mm"),1,0)</f>
        <v>0</v>
      </c>
      <c r="E24" s="146">
        <v>0.25</v>
      </c>
      <c r="F24" s="146">
        <f t="shared" si="1"/>
        <v>0</v>
      </c>
      <c r="I24" s="163" t="s">
        <v>187</v>
      </c>
    </row>
    <row r="25" spans="2:9" ht="23.25" x14ac:dyDescent="0.25">
      <c r="B25" s="148" t="s">
        <v>162</v>
      </c>
      <c r="C25" s="147">
        <f>F4</f>
        <v>0</v>
      </c>
      <c r="D25" s="146">
        <v>1</v>
      </c>
      <c r="E25" s="149">
        <f>C2</f>
        <v>2200000</v>
      </c>
      <c r="F25" s="149">
        <f t="shared" si="1"/>
        <v>0</v>
      </c>
      <c r="I25" s="163" t="s">
        <v>188</v>
      </c>
    </row>
    <row r="26" spans="2:9" ht="23.25" x14ac:dyDescent="0.25">
      <c r="B26" s="148" t="s">
        <v>163</v>
      </c>
      <c r="C26" s="147">
        <f>C3*C4</f>
        <v>0</v>
      </c>
      <c r="D26" s="146">
        <v>1</v>
      </c>
      <c r="E26" s="149">
        <f>IF(AND('5'!D15="8mm Tempered Glass"),C5,IF(AND('5'!D15="10mm Tempered Glass"),C6,IF(AND('5'!D15="4mm + 12 air spacer + 4mm"),C7,IF(AND('5'!D15="5mm + 10 air spacer + 5mm"),C8,IF(AND('5'!D15="6mm + 8 air spacer + 6mm"),C9,IF(AND('5'!D15="Laminate Glass ( 5mm +1.52PVB+ 5mm )"),C10,IF(AND('5'!D15="Laminate Glass ( 6mm +1.52PVB+ 6mm )"),C11,IF(AND('5'!D15="Laminate Glass ( 8mm +1.52PVB+ 8mm )"),C12,0))))))))</f>
        <v>0</v>
      </c>
      <c r="F26" s="149">
        <f t="shared" si="1"/>
        <v>0</v>
      </c>
    </row>
    <row r="27" spans="2:9" ht="23.25" x14ac:dyDescent="0.25">
      <c r="B27" s="150" t="s">
        <v>164</v>
      </c>
      <c r="C27" s="147">
        <f>C4</f>
        <v>0</v>
      </c>
      <c r="D27" s="146">
        <f>C27*2</f>
        <v>0</v>
      </c>
      <c r="E27" s="149">
        <v>1200000</v>
      </c>
      <c r="F27" s="149">
        <f t="shared" si="1"/>
        <v>0</v>
      </c>
    </row>
    <row r="28" spans="2:9" ht="23.25" x14ac:dyDescent="0.25">
      <c r="B28" s="150" t="s">
        <v>165</v>
      </c>
      <c r="C28" s="147">
        <v>1</v>
      </c>
      <c r="D28" s="146">
        <f>IF(AND(H28&gt;=11.5),2,1)</f>
        <v>1</v>
      </c>
      <c r="E28" s="149">
        <f>IF(AND('پیش فاکتور گیوتین'!F14="120Nm بکر آلمان "),(390*'پیش فاکتور گیوتین'!C18),IF(AND('پیش فاکتور گیوتین'!F14="120Nm  سامفی فرانسه "),(450*'پیش فاکتور گیوتین'!C18),IF(AND('پیش فاکتور گیوتین'!F14="اختصاصی سایه روشن 120Nm"),(110*'پیش فاکتور گیوتین'!C18),0)))</f>
        <v>77000000</v>
      </c>
      <c r="F28" s="149">
        <f t="shared" si="1"/>
        <v>77000000</v>
      </c>
      <c r="H28">
        <f>C3*C4</f>
        <v>0</v>
      </c>
    </row>
    <row r="29" spans="2:9" ht="23.25" x14ac:dyDescent="0.25">
      <c r="B29" s="150" t="s">
        <v>166</v>
      </c>
      <c r="C29" s="147">
        <f>(C4*8*2)+(C3*12)</f>
        <v>0</v>
      </c>
      <c r="D29" s="146">
        <v>1</v>
      </c>
      <c r="E29" s="149">
        <v>15000</v>
      </c>
      <c r="F29" s="149">
        <f t="shared" si="1"/>
        <v>0</v>
      </c>
    </row>
    <row r="30" spans="2:9" ht="23.25" x14ac:dyDescent="0.25">
      <c r="B30" s="150" t="s">
        <v>167</v>
      </c>
      <c r="C30" s="147">
        <f>C3</f>
        <v>0</v>
      </c>
      <c r="D30" s="146">
        <v>4</v>
      </c>
      <c r="E30" s="149">
        <v>315000</v>
      </c>
      <c r="F30" s="149">
        <f t="shared" si="1"/>
        <v>0</v>
      </c>
    </row>
    <row r="31" spans="2:9" ht="23.25" x14ac:dyDescent="0.25">
      <c r="B31" s="148" t="s">
        <v>168</v>
      </c>
      <c r="C31" s="147">
        <v>9</v>
      </c>
      <c r="D31" s="146">
        <v>1</v>
      </c>
      <c r="E31" s="149">
        <v>1500000</v>
      </c>
      <c r="F31" s="149">
        <f t="shared" si="1"/>
        <v>13500000</v>
      </c>
    </row>
    <row r="32" spans="2:9" ht="42" x14ac:dyDescent="0.25">
      <c r="B32" s="148" t="s">
        <v>169</v>
      </c>
      <c r="C32" s="147">
        <v>1</v>
      </c>
      <c r="D32" s="146">
        <v>1</v>
      </c>
      <c r="E32" s="149">
        <v>25000000</v>
      </c>
      <c r="F32" s="149">
        <f t="shared" si="1"/>
        <v>25000000</v>
      </c>
    </row>
    <row r="33" spans="2:10" ht="23.25" x14ac:dyDescent="0.25">
      <c r="B33" s="148" t="s">
        <v>135</v>
      </c>
      <c r="C33" s="147">
        <f>F4</f>
        <v>0</v>
      </c>
      <c r="D33" s="146">
        <v>1</v>
      </c>
      <c r="E33" s="149">
        <f>'5'!D4</f>
        <v>450000</v>
      </c>
      <c r="F33" s="149">
        <f t="shared" si="1"/>
        <v>0</v>
      </c>
    </row>
    <row r="34" spans="2:10" x14ac:dyDescent="0.25">
      <c r="D34" s="139"/>
      <c r="E34" s="139"/>
    </row>
    <row r="35" spans="2:10" x14ac:dyDescent="0.25">
      <c r="B35" s="151"/>
      <c r="C35" s="151"/>
      <c r="D35" s="151"/>
      <c r="E35" s="151"/>
      <c r="F35" s="151"/>
    </row>
    <row r="36" spans="2:10" ht="21" x14ac:dyDescent="0.25">
      <c r="B36" s="128" t="s">
        <v>145</v>
      </c>
      <c r="C36" s="129">
        <f>'5'!G14</f>
        <v>5</v>
      </c>
    </row>
    <row r="37" spans="2:10" ht="23.25" x14ac:dyDescent="0.25">
      <c r="B37" s="128" t="s">
        <v>154</v>
      </c>
      <c r="C37" s="131">
        <f>'5'!D3</f>
        <v>2200000</v>
      </c>
      <c r="D37" s="318" t="s">
        <v>147</v>
      </c>
      <c r="E37" s="318"/>
      <c r="F37" s="318"/>
    </row>
    <row r="38" spans="2:10" ht="30" x14ac:dyDescent="0.25">
      <c r="B38" s="128" t="s">
        <v>148</v>
      </c>
      <c r="C38" s="152">
        <f>'5'!G16</f>
        <v>6.5</v>
      </c>
      <c r="D38" s="153" t="s">
        <v>155</v>
      </c>
      <c r="E38" s="134">
        <v>2.2000000000000002</v>
      </c>
    </row>
    <row r="39" spans="2:10" ht="26.25" x14ac:dyDescent="0.25">
      <c r="B39" s="128" t="s">
        <v>149</v>
      </c>
      <c r="C39" s="152">
        <f>'5'!G17</f>
        <v>2.2000000000000002</v>
      </c>
      <c r="D39" s="316" t="s">
        <v>150</v>
      </c>
      <c r="E39" s="316"/>
      <c r="F39" s="135">
        <f>SUM(F50:F56)*1.1</f>
        <v>59.18</v>
      </c>
    </row>
    <row r="40" spans="2:10" ht="26.25" x14ac:dyDescent="0.25">
      <c r="B40" s="118" t="s">
        <v>59</v>
      </c>
      <c r="C40" s="131">
        <f t="shared" ref="C40:C47" si="2">IF($C$3&lt;=3,I40,J40)</f>
        <v>0</v>
      </c>
      <c r="D40" s="316" t="s">
        <v>156</v>
      </c>
      <c r="E40" s="317">
        <f>C48*E38</f>
        <v>30960461.53846154</v>
      </c>
      <c r="F40" s="154">
        <f>E40*C38*C39</f>
        <v>442734600.00000006</v>
      </c>
      <c r="H40" s="118" t="s">
        <v>59</v>
      </c>
      <c r="I40" s="131">
        <f>IF(AND($C$3&gt;=2,$C$3&lt;=2.25),'5'!F5,IF(AND($C$3&gt;2.25,$C$3&lt;=3.25),'5'!F5*1.2,IF(AND($C$3&gt;3.25),'5'!F5*1.35,0)))</f>
        <v>0</v>
      </c>
      <c r="J40" s="131">
        <f>IF(AND($C$3&gt;=2,$C$3&lt;=2.25),'5'!G5,IF(AND($C$3&gt;2.25,$C$3&lt;=3.25),'5'!G5*1.2,IF(AND($C$3&gt;3.25),'5'!G5*1.35,0)))</f>
        <v>0</v>
      </c>
    </row>
    <row r="41" spans="2:10" ht="28.5" x14ac:dyDescent="0.25">
      <c r="B41" s="118" t="s">
        <v>60</v>
      </c>
      <c r="C41" s="131">
        <f t="shared" si="2"/>
        <v>0</v>
      </c>
      <c r="D41" s="316"/>
      <c r="E41" s="317"/>
      <c r="F41" s="155"/>
      <c r="H41" s="118" t="s">
        <v>60</v>
      </c>
      <c r="I41" s="131">
        <f>IF(AND($C$3&gt;=2,$C$3&lt;=2.25),'5'!F6,IF(AND($C$3&gt;2.25,$C$3&lt;=3.25),'5'!F6*1.2,IF(AND($C$3&gt;3.25),'5'!F6*1.35,0)))</f>
        <v>0</v>
      </c>
      <c r="J41" s="131">
        <f>IF(AND($C$3&gt;=2,$C$3&lt;=2.25),'5'!G6,IF(AND($C$3&gt;2.25,$C$3&lt;=3.25),'5'!G6*1.2,IF(AND($C$3&gt;3.25),'5'!G6*1.35,0)))</f>
        <v>0</v>
      </c>
    </row>
    <row r="42" spans="2:10" ht="23.25" x14ac:dyDescent="0.25">
      <c r="B42" s="112" t="s">
        <v>138</v>
      </c>
      <c r="C42" s="131">
        <f t="shared" si="2"/>
        <v>0</v>
      </c>
      <c r="D42" s="136"/>
      <c r="E42" s="156"/>
      <c r="F42" s="157"/>
      <c r="H42" s="112" t="s">
        <v>138</v>
      </c>
      <c r="I42" s="131">
        <f>IF(AND($C$3&gt;=2,$C$3&lt;=2.25),'5'!F7,IF(AND($C$3&gt;2.25,$C$3&lt;=3.25),'5'!F7*1.2,IF(AND($C$3&gt;3.25),'5'!F7*1.35,0)))</f>
        <v>0</v>
      </c>
      <c r="J42" s="131">
        <f>IF(AND($C$3&gt;=2,$C$3&lt;=2.25),'5'!G7,IF(AND($C$3&gt;2.25,$C$3&lt;=3.25),'5'!G7*1.2,IF(AND($C$3&gt;3.25),'5'!G7*1.35,0)))</f>
        <v>0</v>
      </c>
    </row>
    <row r="43" spans="2:10" ht="23.25" x14ac:dyDescent="0.25">
      <c r="B43" s="112" t="s">
        <v>139</v>
      </c>
      <c r="C43" s="131">
        <f t="shared" si="2"/>
        <v>0</v>
      </c>
      <c r="D43" s="136"/>
      <c r="E43" s="158"/>
      <c r="F43" s="159"/>
      <c r="H43" s="112" t="s">
        <v>139</v>
      </c>
      <c r="I43" s="131">
        <f>IF(AND($C$3&gt;=2,$C$3&lt;=2.25),'5'!F8,IF(AND($C$3&gt;2.25,$C$3&lt;=3.25),'5'!F8*1.2,IF(AND($C$3&gt;3.25),'5'!F8*1.35,0)))</f>
        <v>0</v>
      </c>
      <c r="J43" s="131">
        <f>IF(AND($C$3&gt;=2,$C$3&lt;=2.25),'5'!G8,IF(AND($C$3&gt;2.25,$C$3&lt;=3.25),'5'!G8*1.2,IF(AND($C$3&gt;3.25),'5'!G8*1.35,0)))</f>
        <v>0</v>
      </c>
    </row>
    <row r="44" spans="2:10" ht="23.25" x14ac:dyDescent="0.25">
      <c r="B44" s="112" t="s">
        <v>140</v>
      </c>
      <c r="C44" s="131">
        <f t="shared" si="2"/>
        <v>0</v>
      </c>
      <c r="D44" s="136"/>
      <c r="E44" s="158"/>
      <c r="F44" s="159"/>
      <c r="H44" s="112" t="s">
        <v>140</v>
      </c>
      <c r="I44" s="131">
        <f>IF(AND($C$3&gt;=2,$C$3&lt;=2.25),'5'!F9,IF(AND($C$3&gt;2.25,$C$3&lt;=3.25),'5'!F9*1.2,IF(AND($C$3&gt;3.25),'5'!F9*1.35,0)))</f>
        <v>0</v>
      </c>
      <c r="J44" s="131">
        <f>IF(AND($C$3&gt;=2,$C$3&lt;=2.25),'5'!G9,IF(AND($C$3&gt;2.25,$C$3&lt;=3.25),'5'!G9*1.2,IF(AND($C$3&gt;3.25),'5'!G9*1.35,0)))</f>
        <v>0</v>
      </c>
    </row>
    <row r="45" spans="2:10" ht="23.25" x14ac:dyDescent="0.25">
      <c r="B45" s="112" t="s">
        <v>142</v>
      </c>
      <c r="C45" s="131">
        <f t="shared" si="2"/>
        <v>0</v>
      </c>
      <c r="D45" s="136"/>
      <c r="E45" s="158"/>
      <c r="F45" s="159"/>
      <c r="H45" s="112" t="s">
        <v>142</v>
      </c>
      <c r="I45" s="131">
        <f>IF(AND($C$3&gt;=2,$C$3&lt;=2.25),'5'!F10,IF(AND($C$3&gt;2.25,$C$3&lt;=3.25),'5'!F10*1.2,IF(AND($C$3&gt;3.25),'5'!F10*1.35,0)))</f>
        <v>0</v>
      </c>
      <c r="J45" s="131">
        <f>IF(AND($C$3&gt;=2,$C$3&lt;=2.25),'5'!G10,IF(AND($C$3&gt;2.25,$C$3&lt;=3.25),'5'!G10*1.2,IF(AND($C$3&gt;3.25),'5'!G10*1.35,0)))</f>
        <v>0</v>
      </c>
    </row>
    <row r="46" spans="2:10" ht="23.25" x14ac:dyDescent="0.25">
      <c r="B46" s="112" t="s">
        <v>143</v>
      </c>
      <c r="C46" s="131">
        <f t="shared" si="2"/>
        <v>0</v>
      </c>
      <c r="D46" s="136"/>
      <c r="E46" s="158"/>
      <c r="F46" s="159"/>
      <c r="H46" s="112" t="s">
        <v>143</v>
      </c>
      <c r="I46" s="131">
        <f>IF(AND($C$3&gt;=2,$C$3&lt;=2.25),'5'!F11,IF(AND($C$3&gt;2.25,$C$3&lt;=3.25),'5'!F11*1.2,IF(AND($C$3&gt;3.25),'5'!F11*1.35,0)))</f>
        <v>0</v>
      </c>
      <c r="J46" s="131">
        <f>IF(AND($C$3&gt;=2,$C$3&lt;=2.25),'5'!G11,IF(AND($C$3&gt;2.25,$C$3&lt;=3.25),'5'!G11*1.2,IF(AND($C$3&gt;3.25),'5'!G11*1.35,0)))</f>
        <v>0</v>
      </c>
    </row>
    <row r="47" spans="2:10" ht="23.25" x14ac:dyDescent="0.25">
      <c r="B47" s="112" t="s">
        <v>144</v>
      </c>
      <c r="C47" s="131">
        <f t="shared" si="2"/>
        <v>0</v>
      </c>
      <c r="D47" s="136"/>
      <c r="E47" s="158"/>
      <c r="F47" s="159"/>
      <c r="H47" s="112" t="s">
        <v>144</v>
      </c>
      <c r="I47" s="131">
        <f>IF(AND($C$3&gt;=2,$C$3&lt;=2.25),'5'!F12,IF(AND($C$3&gt;2.25,$C$3&lt;=3.25),'5'!F12*1.2,IF(AND($C$3&gt;3.25),'5'!F12*1.35,0)))</f>
        <v>0</v>
      </c>
      <c r="J47" s="131">
        <f>IF(AND($C$3&gt;=2,$C$3&lt;=2.25),'5'!G12,IF(AND($C$3&gt;2.25,$C$3&lt;=3.25),'5'!G12*1.2,IF(AND($C$3&gt;3.25),'5'!G12*1.35,0)))</f>
        <v>0</v>
      </c>
    </row>
    <row r="48" spans="2:10" ht="21" x14ac:dyDescent="0.25">
      <c r="B48" s="139" t="s">
        <v>157</v>
      </c>
      <c r="C48" s="139">
        <f>SUM(F57:F63)/(C38*C39)</f>
        <v>14072937.062937062</v>
      </c>
      <c r="D48" s="139"/>
      <c r="E48" s="139"/>
      <c r="F48" s="140"/>
    </row>
    <row r="49" spans="2:6" ht="19.5" x14ac:dyDescent="0.25">
      <c r="B49" s="141"/>
      <c r="C49" s="142" t="s">
        <v>158</v>
      </c>
      <c r="D49" s="142" t="s">
        <v>159</v>
      </c>
      <c r="E49" s="143" t="s">
        <v>160</v>
      </c>
      <c r="F49" s="143" t="s">
        <v>161</v>
      </c>
    </row>
    <row r="50" spans="2:6" ht="23.25" x14ac:dyDescent="0.25">
      <c r="B50" s="141"/>
      <c r="C50" s="147">
        <f>C38</f>
        <v>6.5</v>
      </c>
      <c r="D50" s="146">
        <v>1</v>
      </c>
      <c r="E50" s="146">
        <v>2.1</v>
      </c>
      <c r="F50" s="146">
        <f>C50*D50*E50</f>
        <v>13.65</v>
      </c>
    </row>
    <row r="51" spans="2:6" ht="23.25" x14ac:dyDescent="0.25">
      <c r="B51" s="141"/>
      <c r="C51" s="147">
        <f>C39</f>
        <v>2.2000000000000002</v>
      </c>
      <c r="D51" s="146">
        <v>2</v>
      </c>
      <c r="E51" s="146">
        <v>1.25</v>
      </c>
      <c r="F51" s="146">
        <f t="shared" ref="F51:F63" si="3">C51*D51*E51</f>
        <v>5.5</v>
      </c>
    </row>
    <row r="52" spans="2:6" ht="23.25" x14ac:dyDescent="0.25">
      <c r="B52" s="141"/>
      <c r="C52" s="147">
        <f>C38</f>
        <v>6.5</v>
      </c>
      <c r="D52" s="146">
        <v>1</v>
      </c>
      <c r="E52" s="146">
        <v>1.8</v>
      </c>
      <c r="F52" s="146">
        <f t="shared" si="3"/>
        <v>11.700000000000001</v>
      </c>
    </row>
    <row r="53" spans="2:6" ht="23.25" x14ac:dyDescent="0.25">
      <c r="B53" s="141"/>
      <c r="C53" s="147">
        <f>C38</f>
        <v>6.5</v>
      </c>
      <c r="D53" s="146">
        <v>1</v>
      </c>
      <c r="E53" s="146">
        <v>1.5</v>
      </c>
      <c r="F53" s="146">
        <f t="shared" si="3"/>
        <v>9.75</v>
      </c>
    </row>
    <row r="54" spans="2:6" ht="23.25" x14ac:dyDescent="0.25">
      <c r="B54" s="141"/>
      <c r="C54" s="147">
        <f>C39</f>
        <v>2.2000000000000002</v>
      </c>
      <c r="D54" s="146">
        <f>IF(AND(C36=3),2,IF(AND(C36=4),2,IF(AND(C36=5),2,IF(AND(C36=6),2,IF(AND(C36="2+2"),3,IF(AND(C36="3+3"),3,IF(AND(C36="4+4"),3,0)))))))</f>
        <v>2</v>
      </c>
      <c r="E54" s="146">
        <v>1</v>
      </c>
      <c r="F54" s="146">
        <f t="shared" si="3"/>
        <v>4.4000000000000004</v>
      </c>
    </row>
    <row r="55" spans="2:6" ht="23.25" x14ac:dyDescent="0.25">
      <c r="B55" s="141"/>
      <c r="C55" s="147">
        <f>C39</f>
        <v>2.2000000000000002</v>
      </c>
      <c r="D55" s="146">
        <f>IF(AND(C36=3),4,IF(AND(C36=4),6,IF(AND(C36=5),8,IF(AND(C36=6),10,IF(AND(C36="2+2"),5,IF(AND(C36="3+3"),9,IF(AND(C36="4+4"),13,0)))))))</f>
        <v>8</v>
      </c>
      <c r="E55" s="146">
        <v>0.5</v>
      </c>
      <c r="F55" s="146">
        <f t="shared" si="3"/>
        <v>8.8000000000000007</v>
      </c>
    </row>
    <row r="56" spans="2:6" ht="23.25" x14ac:dyDescent="0.25">
      <c r="B56" s="141"/>
      <c r="C56" s="147">
        <f>C39*8+C38*2</f>
        <v>30.6</v>
      </c>
      <c r="D56" s="146">
        <f>IF(AND('5'!D15="8mm"),1,0)</f>
        <v>0</v>
      </c>
      <c r="E56" s="146">
        <v>0.25</v>
      </c>
      <c r="F56" s="146">
        <f t="shared" si="3"/>
        <v>0</v>
      </c>
    </row>
    <row r="57" spans="2:6" ht="23.25" x14ac:dyDescent="0.25">
      <c r="B57" s="148" t="s">
        <v>162</v>
      </c>
      <c r="C57" s="147">
        <f>F39</f>
        <v>59.18</v>
      </c>
      <c r="D57" s="146">
        <v>1</v>
      </c>
      <c r="E57" s="149">
        <f>C37</f>
        <v>2200000</v>
      </c>
      <c r="F57" s="149">
        <f t="shared" si="3"/>
        <v>130196000</v>
      </c>
    </row>
    <row r="58" spans="2:6" ht="23.25" x14ac:dyDescent="0.25">
      <c r="B58" s="148" t="s">
        <v>163</v>
      </c>
      <c r="C58" s="147">
        <f>C38*C39</f>
        <v>14.3</v>
      </c>
      <c r="D58" s="146">
        <v>1</v>
      </c>
      <c r="E58" s="149">
        <f>IF(AND('5'!D15="8mm"),C40,IF(AND('5'!D15="10mm"),C41,IF(AND('5'!D15="4+12+4"),C42,IF(AND('5'!D15="5+10+5"),C43,IF(AND('5'!D15="6+8+6"),C44,IF(AND('5'!D15="5pvb5"),C45,IF(AND('5'!D15="6pvb6"),C46,IF(AND('5'!D15="8pvb8"),C47,0))))))))</f>
        <v>0</v>
      </c>
      <c r="F58" s="149">
        <f t="shared" si="3"/>
        <v>0</v>
      </c>
    </row>
    <row r="59" spans="2:6" ht="23.25" x14ac:dyDescent="0.25">
      <c r="B59" s="150" t="s">
        <v>170</v>
      </c>
      <c r="C59" s="147">
        <f>IF(AND(C36=3),6,IF(AND(C36=4),8,IF(AND(C36=5),10,IF(AND(C36=6),12,IF(AND(C36="2+2"),8,IF(AND(C36="3+3"),12,IF(AND(C36="4+4"),16,0)))))))</f>
        <v>10</v>
      </c>
      <c r="D59" s="146">
        <v>1</v>
      </c>
      <c r="E59" s="149">
        <v>2800000</v>
      </c>
      <c r="F59" s="149">
        <f t="shared" si="3"/>
        <v>28000000</v>
      </c>
    </row>
    <row r="60" spans="2:6" ht="23.25" x14ac:dyDescent="0.25">
      <c r="B60" s="150" t="s">
        <v>166</v>
      </c>
      <c r="C60" s="147">
        <f>(C50*8)+(C51*2)+(C53*2)+(C54*D54*2)+(C55*D55)</f>
        <v>95.800000000000011</v>
      </c>
      <c r="D60" s="146">
        <v>1</v>
      </c>
      <c r="E60" s="149">
        <v>20000</v>
      </c>
      <c r="F60" s="149">
        <f t="shared" si="3"/>
        <v>1916000.0000000002</v>
      </c>
    </row>
    <row r="61" spans="2:6" ht="23.25" x14ac:dyDescent="0.25">
      <c r="B61" s="148" t="s">
        <v>168</v>
      </c>
      <c r="C61" s="147">
        <f>C59</f>
        <v>10</v>
      </c>
      <c r="D61" s="146">
        <v>1</v>
      </c>
      <c r="E61" s="149">
        <v>750000</v>
      </c>
      <c r="F61" s="149">
        <f t="shared" si="3"/>
        <v>7500000</v>
      </c>
    </row>
    <row r="62" spans="2:6" ht="23.25" x14ac:dyDescent="0.25">
      <c r="B62" s="148" t="s">
        <v>171</v>
      </c>
      <c r="C62" s="147">
        <v>1</v>
      </c>
      <c r="D62" s="146">
        <v>1</v>
      </c>
      <c r="E62" s="149">
        <v>7000000</v>
      </c>
      <c r="F62" s="149">
        <f t="shared" si="3"/>
        <v>7000000</v>
      </c>
    </row>
    <row r="63" spans="2:6" ht="23.25" x14ac:dyDescent="0.25">
      <c r="B63" s="148" t="s">
        <v>135</v>
      </c>
      <c r="C63" s="147">
        <f>F39</f>
        <v>59.18</v>
      </c>
      <c r="D63" s="146">
        <v>1</v>
      </c>
      <c r="E63" s="149">
        <f>'5'!D4</f>
        <v>450000</v>
      </c>
      <c r="F63" s="149">
        <f t="shared" si="3"/>
        <v>26631000</v>
      </c>
    </row>
  </sheetData>
  <mergeCells count="9">
    <mergeCell ref="D39:E39"/>
    <mergeCell ref="D40:D41"/>
    <mergeCell ref="E40:E41"/>
    <mergeCell ref="D2:F2"/>
    <mergeCell ref="D4:E4"/>
    <mergeCell ref="D5:D6"/>
    <mergeCell ref="E5:E6"/>
    <mergeCell ref="F5:F6"/>
    <mergeCell ref="D37:F3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utoCAD.Drawing.20" shapeId="45057" r:id="rId3">
          <objectPr defaultSize="0" autoPict="0" r:id="rId4">
            <anchor moveWithCells="1" sizeWithCells="1">
              <from>
                <xdr:col>1</xdr:col>
                <xdr:colOff>657225</xdr:colOff>
                <xdr:row>17</xdr:row>
                <xdr:rowOff>38100</xdr:rowOff>
              </from>
              <to>
                <xdr:col>1</xdr:col>
                <xdr:colOff>1238250</xdr:colOff>
                <xdr:row>17</xdr:row>
                <xdr:rowOff>561975</xdr:rowOff>
              </to>
            </anchor>
          </objectPr>
        </oleObject>
      </mc:Choice>
      <mc:Fallback>
        <oleObject progId="AutoCAD.Drawing.20" shapeId="45057" r:id="rId3"/>
      </mc:Fallback>
    </mc:AlternateContent>
    <mc:AlternateContent xmlns:mc="http://schemas.openxmlformats.org/markup-compatibility/2006">
      <mc:Choice Requires="x14">
        <oleObject progId="AutoCAD.Drawing.20" shapeId="45058" r:id="rId5">
          <objectPr defaultSize="0" autoPict="0" r:id="rId6">
            <anchor moveWithCells="1" sizeWithCells="1">
              <from>
                <xdr:col>1</xdr:col>
                <xdr:colOff>809625</xdr:colOff>
                <xdr:row>18</xdr:row>
                <xdr:rowOff>57150</xdr:rowOff>
              </from>
              <to>
                <xdr:col>1</xdr:col>
                <xdr:colOff>1143000</xdr:colOff>
                <xdr:row>19</xdr:row>
                <xdr:rowOff>0</xdr:rowOff>
              </to>
            </anchor>
          </objectPr>
        </oleObject>
      </mc:Choice>
      <mc:Fallback>
        <oleObject progId="AutoCAD.Drawing.20" shapeId="45058" r:id="rId5"/>
      </mc:Fallback>
    </mc:AlternateContent>
    <mc:AlternateContent xmlns:mc="http://schemas.openxmlformats.org/markup-compatibility/2006">
      <mc:Choice Requires="x14">
        <oleObject progId="AutoCAD.Drawing.20" shapeId="45059" r:id="rId7">
          <objectPr defaultSize="0" autoPict="0" r:id="rId8">
            <anchor moveWithCells="1" sizeWithCells="1">
              <from>
                <xdr:col>1</xdr:col>
                <xdr:colOff>733425</xdr:colOff>
                <xdr:row>20</xdr:row>
                <xdr:rowOff>0</xdr:rowOff>
              </from>
              <to>
                <xdr:col>1</xdr:col>
                <xdr:colOff>1152525</xdr:colOff>
                <xdr:row>20</xdr:row>
                <xdr:rowOff>438150</xdr:rowOff>
              </to>
            </anchor>
          </objectPr>
        </oleObject>
      </mc:Choice>
      <mc:Fallback>
        <oleObject progId="AutoCAD.Drawing.20" shapeId="45059" r:id="rId7"/>
      </mc:Fallback>
    </mc:AlternateContent>
    <mc:AlternateContent xmlns:mc="http://schemas.openxmlformats.org/markup-compatibility/2006">
      <mc:Choice Requires="x14">
        <oleObject progId="AutoCAD.Drawing.20" shapeId="45060" r:id="rId9">
          <objectPr defaultSize="0" autoPict="0" r:id="rId10">
            <anchor moveWithCells="1" sizeWithCells="1">
              <from>
                <xdr:col>1</xdr:col>
                <xdr:colOff>762000</xdr:colOff>
                <xdr:row>21</xdr:row>
                <xdr:rowOff>0</xdr:rowOff>
              </from>
              <to>
                <xdr:col>1</xdr:col>
                <xdr:colOff>1143000</xdr:colOff>
                <xdr:row>21</xdr:row>
                <xdr:rowOff>504825</xdr:rowOff>
              </to>
            </anchor>
          </objectPr>
        </oleObject>
      </mc:Choice>
      <mc:Fallback>
        <oleObject progId="AutoCAD.Drawing.20" shapeId="45060" r:id="rId9"/>
      </mc:Fallback>
    </mc:AlternateContent>
    <mc:AlternateContent xmlns:mc="http://schemas.openxmlformats.org/markup-compatibility/2006">
      <mc:Choice Requires="x14">
        <oleObject progId="AutoCAD.Drawing.20" shapeId="45061" r:id="rId11">
          <objectPr defaultSize="0" autoPict="0" r:id="rId12">
            <anchor moveWithCells="1" sizeWithCells="1">
              <from>
                <xdr:col>1</xdr:col>
                <xdr:colOff>723900</xdr:colOff>
                <xdr:row>22</xdr:row>
                <xdr:rowOff>0</xdr:rowOff>
              </from>
              <to>
                <xdr:col>1</xdr:col>
                <xdr:colOff>1133475</xdr:colOff>
                <xdr:row>22</xdr:row>
                <xdr:rowOff>504825</xdr:rowOff>
              </to>
            </anchor>
          </objectPr>
        </oleObject>
      </mc:Choice>
      <mc:Fallback>
        <oleObject progId="AutoCAD.Drawing.20" shapeId="45061" r:id="rId11"/>
      </mc:Fallback>
    </mc:AlternateContent>
    <mc:AlternateContent xmlns:mc="http://schemas.openxmlformats.org/markup-compatibility/2006">
      <mc:Choice Requires="x14">
        <oleObject progId="AutoCAD.Drawing.20" shapeId="45062" r:id="rId13">
          <objectPr defaultSize="0" autoPict="0" r:id="rId14">
            <anchor moveWithCells="1" sizeWithCells="1">
              <from>
                <xdr:col>1</xdr:col>
                <xdr:colOff>676275</xdr:colOff>
                <xdr:row>23</xdr:row>
                <xdr:rowOff>28575</xdr:rowOff>
              </from>
              <to>
                <xdr:col>1</xdr:col>
                <xdr:colOff>1181100</xdr:colOff>
                <xdr:row>23</xdr:row>
                <xdr:rowOff>457200</xdr:rowOff>
              </to>
            </anchor>
          </objectPr>
        </oleObject>
      </mc:Choice>
      <mc:Fallback>
        <oleObject progId="AutoCAD.Drawing.20" shapeId="45062" r:id="rId13"/>
      </mc:Fallback>
    </mc:AlternateContent>
    <mc:AlternateContent xmlns:mc="http://schemas.openxmlformats.org/markup-compatibility/2006">
      <mc:Choice Requires="x14">
        <oleObject progId="AutoCAD.Drawing.20" shapeId="45063" r:id="rId15">
          <objectPr defaultSize="0" autoPict="0" r:id="rId16">
            <anchor moveWithCells="1" sizeWithCells="1">
              <from>
                <xdr:col>1</xdr:col>
                <xdr:colOff>885825</xdr:colOff>
                <xdr:row>19</xdr:row>
                <xdr:rowOff>47625</xdr:rowOff>
              </from>
              <to>
                <xdr:col>1</xdr:col>
                <xdr:colOff>1143000</xdr:colOff>
                <xdr:row>20</xdr:row>
                <xdr:rowOff>0</xdr:rowOff>
              </to>
            </anchor>
          </objectPr>
        </oleObject>
      </mc:Choice>
      <mc:Fallback>
        <oleObject progId="AutoCAD.Drawing.20" shapeId="45063" r:id="rId15"/>
      </mc:Fallback>
    </mc:AlternateContent>
    <mc:AlternateContent xmlns:mc="http://schemas.openxmlformats.org/markup-compatibility/2006">
      <mc:Choice Requires="x14">
        <oleObject progId="AutoCAD.Drawing.20" shapeId="45064" r:id="rId17">
          <objectPr defaultSize="0" autoPict="0" r:id="rId14">
            <anchor moveWithCells="1" sizeWithCells="1">
              <from>
                <xdr:col>1</xdr:col>
                <xdr:colOff>657225</xdr:colOff>
                <xdr:row>55</xdr:row>
                <xdr:rowOff>47625</xdr:rowOff>
              </from>
              <to>
                <xdr:col>1</xdr:col>
                <xdr:colOff>1162050</xdr:colOff>
                <xdr:row>55</xdr:row>
                <xdr:rowOff>476250</xdr:rowOff>
              </to>
            </anchor>
          </objectPr>
        </oleObject>
      </mc:Choice>
      <mc:Fallback>
        <oleObject progId="AutoCAD.Drawing.20" shapeId="45064" r:id="rId17"/>
      </mc:Fallback>
    </mc:AlternateContent>
    <mc:AlternateContent xmlns:mc="http://schemas.openxmlformats.org/markup-compatibility/2006">
      <mc:Choice Requires="x14">
        <oleObject progId="AutoCAD.Drawing.20" shapeId="45065" r:id="rId18">
          <objectPr defaultSize="0" autoPict="0" r:id="rId19">
            <anchor moveWithCells="1" sizeWithCells="1">
              <from>
                <xdr:col>1</xdr:col>
                <xdr:colOff>381000</xdr:colOff>
                <xdr:row>49</xdr:row>
                <xdr:rowOff>66675</xdr:rowOff>
              </from>
              <to>
                <xdr:col>1</xdr:col>
                <xdr:colOff>1438275</xdr:colOff>
                <xdr:row>49</xdr:row>
                <xdr:rowOff>314325</xdr:rowOff>
              </to>
            </anchor>
          </objectPr>
        </oleObject>
      </mc:Choice>
      <mc:Fallback>
        <oleObject progId="AutoCAD.Drawing.20" shapeId="45065" r:id="rId18"/>
      </mc:Fallback>
    </mc:AlternateContent>
    <mc:AlternateContent xmlns:mc="http://schemas.openxmlformats.org/markup-compatibility/2006">
      <mc:Choice Requires="x14">
        <oleObject progId="AutoCAD.Drawing.20" shapeId="45066" r:id="rId20">
          <objectPr defaultSize="0" autoPict="0" r:id="rId21">
            <anchor moveWithCells="1" sizeWithCells="1">
              <from>
                <xdr:col>1</xdr:col>
                <xdr:colOff>371475</xdr:colOff>
                <xdr:row>50</xdr:row>
                <xdr:rowOff>123825</xdr:rowOff>
              </from>
              <to>
                <xdr:col>1</xdr:col>
                <xdr:colOff>1476375</xdr:colOff>
                <xdr:row>50</xdr:row>
                <xdr:rowOff>304800</xdr:rowOff>
              </to>
            </anchor>
          </objectPr>
        </oleObject>
      </mc:Choice>
      <mc:Fallback>
        <oleObject progId="AutoCAD.Drawing.20" shapeId="45066" r:id="rId20"/>
      </mc:Fallback>
    </mc:AlternateContent>
    <mc:AlternateContent xmlns:mc="http://schemas.openxmlformats.org/markup-compatibility/2006">
      <mc:Choice Requires="x14">
        <oleObject progId="AutoCAD.Drawing.20" shapeId="45067" r:id="rId22">
          <objectPr defaultSize="0" autoPict="0" r:id="rId23">
            <anchor moveWithCells="1" sizeWithCells="1">
              <from>
                <xdr:col>1</xdr:col>
                <xdr:colOff>352425</xdr:colOff>
                <xdr:row>51</xdr:row>
                <xdr:rowOff>180975</xdr:rowOff>
              </from>
              <to>
                <xdr:col>1</xdr:col>
                <xdr:colOff>1428750</xdr:colOff>
                <xdr:row>51</xdr:row>
                <xdr:rowOff>276225</xdr:rowOff>
              </to>
            </anchor>
          </objectPr>
        </oleObject>
      </mc:Choice>
      <mc:Fallback>
        <oleObject progId="AutoCAD.Drawing.20" shapeId="45067" r:id="rId22"/>
      </mc:Fallback>
    </mc:AlternateContent>
    <mc:AlternateContent xmlns:mc="http://schemas.openxmlformats.org/markup-compatibility/2006">
      <mc:Choice Requires="x14">
        <oleObject progId="AutoCAD.Drawing.20" shapeId="45068" r:id="rId24">
          <objectPr defaultSize="0" autoPict="0" r:id="rId25">
            <anchor moveWithCells="1" sizeWithCells="1">
              <from>
                <xdr:col>1</xdr:col>
                <xdr:colOff>361950</xdr:colOff>
                <xdr:row>52</xdr:row>
                <xdr:rowOff>66675</xdr:rowOff>
              </from>
              <to>
                <xdr:col>1</xdr:col>
                <xdr:colOff>1457325</xdr:colOff>
                <xdr:row>52</xdr:row>
                <xdr:rowOff>333375</xdr:rowOff>
              </to>
            </anchor>
          </objectPr>
        </oleObject>
      </mc:Choice>
      <mc:Fallback>
        <oleObject progId="AutoCAD.Drawing.20" shapeId="45068" r:id="rId24"/>
      </mc:Fallback>
    </mc:AlternateContent>
    <mc:AlternateContent xmlns:mc="http://schemas.openxmlformats.org/markup-compatibility/2006">
      <mc:Choice Requires="x14">
        <oleObject progId="AutoCAD.Drawing.20" shapeId="45069" r:id="rId26">
          <objectPr defaultSize="0" autoPict="0" r:id="rId27">
            <anchor moveWithCells="1" sizeWithCells="1">
              <from>
                <xdr:col>1</xdr:col>
                <xdr:colOff>523875</xdr:colOff>
                <xdr:row>53</xdr:row>
                <xdr:rowOff>28575</xdr:rowOff>
              </from>
              <to>
                <xdr:col>1</xdr:col>
                <xdr:colOff>1276350</xdr:colOff>
                <xdr:row>53</xdr:row>
                <xdr:rowOff>352425</xdr:rowOff>
              </to>
            </anchor>
          </objectPr>
        </oleObject>
      </mc:Choice>
      <mc:Fallback>
        <oleObject progId="AutoCAD.Drawing.20" shapeId="45069" r:id="rId26"/>
      </mc:Fallback>
    </mc:AlternateContent>
    <mc:AlternateContent xmlns:mc="http://schemas.openxmlformats.org/markup-compatibility/2006">
      <mc:Choice Requires="x14">
        <oleObject progId="AutoCAD.Drawing.20" shapeId="45070" r:id="rId28">
          <objectPr defaultSize="0" autoPict="0" r:id="rId29">
            <anchor moveWithCells="1" sizeWithCells="1">
              <from>
                <xdr:col>1</xdr:col>
                <xdr:colOff>666750</xdr:colOff>
                <xdr:row>53</xdr:row>
                <xdr:rowOff>495300</xdr:rowOff>
              </from>
              <to>
                <xdr:col>1</xdr:col>
                <xdr:colOff>1095375</xdr:colOff>
                <xdr:row>54</xdr:row>
                <xdr:rowOff>457200</xdr:rowOff>
              </to>
            </anchor>
          </objectPr>
        </oleObject>
      </mc:Choice>
      <mc:Fallback>
        <oleObject progId="AutoCAD.Drawing.20" shapeId="45070" r:id="rId28"/>
      </mc:Fallback>
    </mc:AlternateContent>
    <mc:AlternateContent xmlns:mc="http://schemas.openxmlformats.org/markup-compatibility/2006">
      <mc:Choice Requires="x14">
        <oleObject progId="AutoCAD.Drawing.24" shapeId="45071" r:id="rId30">
          <objectPr defaultSize="0" autoPict="0" r:id="rId31">
            <anchor moveWithCells="1" sizeWithCells="1">
              <from>
                <xdr:col>1</xdr:col>
                <xdr:colOff>581025</xdr:colOff>
                <xdr:row>15</xdr:row>
                <xdr:rowOff>38100</xdr:rowOff>
              </from>
              <to>
                <xdr:col>1</xdr:col>
                <xdr:colOff>1419225</xdr:colOff>
                <xdr:row>16</xdr:row>
                <xdr:rowOff>28575</xdr:rowOff>
              </to>
            </anchor>
          </objectPr>
        </oleObject>
      </mc:Choice>
      <mc:Fallback>
        <oleObject progId="AutoCAD.Drawing.24" shapeId="45071" r:id="rId30"/>
      </mc:Fallback>
    </mc:AlternateContent>
    <mc:AlternateContent xmlns:mc="http://schemas.openxmlformats.org/markup-compatibility/2006">
      <mc:Choice Requires="x14">
        <oleObject progId="AutoCAD.Drawing.24" shapeId="45072" r:id="rId32">
          <objectPr defaultSize="0" autoPict="0" r:id="rId33">
            <anchor moveWithCells="1" sizeWithCells="1">
              <from>
                <xdr:col>1</xdr:col>
                <xdr:colOff>590550</xdr:colOff>
                <xdr:row>14</xdr:row>
                <xdr:rowOff>28575</xdr:rowOff>
              </from>
              <to>
                <xdr:col>1</xdr:col>
                <xdr:colOff>1409700</xdr:colOff>
                <xdr:row>14</xdr:row>
                <xdr:rowOff>609600</xdr:rowOff>
              </to>
            </anchor>
          </objectPr>
        </oleObject>
      </mc:Choice>
      <mc:Fallback>
        <oleObject progId="AutoCAD.Drawing.24" shapeId="45072" r:id="rId32"/>
      </mc:Fallback>
    </mc:AlternateContent>
    <mc:AlternateContent xmlns:mc="http://schemas.openxmlformats.org/markup-compatibility/2006">
      <mc:Choice Requires="x14">
        <oleObject progId="AutoCAD.Drawing.24" shapeId="45073" r:id="rId34">
          <objectPr defaultSize="0" autoPict="0" r:id="rId35">
            <anchor moveWithCells="1" sizeWithCells="1">
              <from>
                <xdr:col>1</xdr:col>
                <xdr:colOff>361950</xdr:colOff>
                <xdr:row>16</xdr:row>
                <xdr:rowOff>238125</xdr:rowOff>
              </from>
              <to>
                <xdr:col>1</xdr:col>
                <xdr:colOff>1619250</xdr:colOff>
                <xdr:row>16</xdr:row>
                <xdr:rowOff>457200</xdr:rowOff>
              </to>
            </anchor>
          </objectPr>
        </oleObject>
      </mc:Choice>
      <mc:Fallback>
        <oleObject progId="AutoCAD.Drawing.24" shapeId="45073" r:id="rId3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AO71"/>
  <sheetViews>
    <sheetView rightToLeft="1" zoomScaleNormal="100" zoomScaleSheetLayoutView="100" workbookViewId="0">
      <selection activeCell="D16" sqref="D16"/>
    </sheetView>
  </sheetViews>
  <sheetFormatPr defaultRowHeight="15" x14ac:dyDescent="0.25"/>
  <cols>
    <col min="1" max="1" width="5.7109375" customWidth="1"/>
    <col min="6" max="6" width="10.7109375" customWidth="1"/>
    <col min="7" max="7" width="3.7109375" customWidth="1"/>
    <col min="8" max="8" width="3.28515625" customWidth="1"/>
    <col min="9" max="9" width="3.5703125" customWidth="1"/>
    <col min="10" max="10" width="28.5703125" customWidth="1"/>
    <col min="11" max="12" width="5.28515625" customWidth="1"/>
    <col min="13" max="13" width="3.140625" customWidth="1"/>
    <col min="14" max="14" width="5.28515625" customWidth="1"/>
    <col min="15" max="15" width="15.140625" customWidth="1"/>
    <col min="16" max="16" width="8.7109375" customWidth="1"/>
    <col min="17" max="17" width="8.85546875" customWidth="1"/>
    <col min="18" max="18" width="15" customWidth="1"/>
    <col min="19" max="19" width="10.7109375" customWidth="1"/>
  </cols>
  <sheetData>
    <row r="2" spans="2:38" ht="15" customHeight="1" x14ac:dyDescent="0.25"/>
    <row r="3" spans="2:38" ht="15" customHeight="1" x14ac:dyDescent="0.25"/>
    <row r="4" spans="2:38" ht="15" customHeight="1" thickBot="1" x14ac:dyDescent="0.3"/>
    <row r="5" spans="2:38" ht="15" customHeight="1" x14ac:dyDescent="0.25">
      <c r="B5" s="283" t="s">
        <v>90</v>
      </c>
      <c r="C5" s="284"/>
      <c r="D5" s="285"/>
    </row>
    <row r="6" spans="2:38" ht="15" customHeight="1" x14ac:dyDescent="0.25">
      <c r="B6" s="80" t="s">
        <v>80</v>
      </c>
      <c r="C6" s="340" t="s">
        <v>84</v>
      </c>
      <c r="D6" s="341"/>
    </row>
    <row r="7" spans="2:38" ht="15" customHeight="1" x14ac:dyDescent="0.25">
      <c r="B7" s="80" t="s">
        <v>81</v>
      </c>
      <c r="C7" s="340" t="s">
        <v>105</v>
      </c>
      <c r="D7" s="341"/>
      <c r="P7" s="72" t="s">
        <v>80</v>
      </c>
      <c r="Q7" s="270" t="str">
        <f>C6</f>
        <v>4930045/023</v>
      </c>
      <c r="R7" s="270"/>
    </row>
    <row r="8" spans="2:38" ht="15" customHeight="1" thickBot="1" x14ac:dyDescent="0.3">
      <c r="B8" s="81" t="s">
        <v>82</v>
      </c>
      <c r="C8" s="342" t="s">
        <v>85</v>
      </c>
      <c r="D8" s="343"/>
      <c r="P8" s="72" t="s">
        <v>81</v>
      </c>
      <c r="Q8" s="271" t="str">
        <f>C7</f>
        <v>1401/05/02</v>
      </c>
      <c r="R8" s="271"/>
    </row>
    <row r="9" spans="2:38" ht="15" customHeight="1" x14ac:dyDescent="0.25">
      <c r="P9" s="72" t="s">
        <v>82</v>
      </c>
      <c r="Q9" s="271" t="str">
        <f>C8</f>
        <v>ندارد</v>
      </c>
      <c r="R9" s="271"/>
    </row>
    <row r="10" spans="2:38" ht="15" customHeight="1" x14ac:dyDescent="0.25"/>
    <row r="11" spans="2:38" ht="15" customHeight="1" x14ac:dyDescent="0.4">
      <c r="G11" s="5"/>
      <c r="H11" s="5"/>
      <c r="I11" s="5"/>
      <c r="J11" s="5"/>
      <c r="K11" s="5"/>
      <c r="L11" s="5"/>
      <c r="M11" s="76" t="s">
        <v>95</v>
      </c>
      <c r="N11" s="5"/>
      <c r="O11" s="5"/>
      <c r="P11" s="5"/>
      <c r="Q11" s="5"/>
      <c r="R11" s="5"/>
      <c r="S11" s="5"/>
      <c r="AI11" s="5"/>
      <c r="AJ11" s="5"/>
      <c r="AK11" s="5"/>
    </row>
    <row r="12" spans="2:38" ht="6.6" customHeight="1" x14ac:dyDescent="0.4"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AI12" s="5"/>
      <c r="AJ12" s="5"/>
      <c r="AK12" s="5"/>
    </row>
    <row r="13" spans="2:38" ht="15" customHeight="1" x14ac:dyDescent="0.4">
      <c r="G13" s="5"/>
      <c r="H13" s="5"/>
      <c r="I13" s="5"/>
      <c r="J13" s="5"/>
      <c r="K13" s="5"/>
      <c r="L13" s="5"/>
      <c r="M13" s="77" t="s">
        <v>96</v>
      </c>
      <c r="N13" s="5"/>
      <c r="O13" s="5"/>
      <c r="P13" s="5"/>
      <c r="Q13" s="5"/>
      <c r="R13" s="5"/>
      <c r="S13" s="5"/>
      <c r="AI13" s="5"/>
      <c r="AJ13" s="5"/>
      <c r="AK13" s="5"/>
    </row>
    <row r="14" spans="2:38" ht="8.1" customHeight="1" x14ac:dyDescent="0.4">
      <c r="G14" s="5"/>
      <c r="H14" s="5"/>
      <c r="I14" s="5"/>
      <c r="J14" s="5"/>
      <c r="K14" s="5"/>
      <c r="L14" s="5"/>
      <c r="M14" s="77"/>
      <c r="N14" s="5"/>
      <c r="O14" s="5"/>
      <c r="P14" s="5"/>
      <c r="Q14" s="5"/>
      <c r="R14" s="5"/>
      <c r="S14" s="5"/>
      <c r="AI14" s="5"/>
      <c r="AJ14" s="5"/>
      <c r="AK14" s="5"/>
    </row>
    <row r="15" spans="2:38" ht="74.25" customHeight="1" x14ac:dyDescent="0.25">
      <c r="G15" s="324" t="s">
        <v>23</v>
      </c>
      <c r="H15" s="324"/>
      <c r="I15" s="324"/>
      <c r="J15" s="324"/>
      <c r="K15" s="324"/>
      <c r="L15" s="324"/>
      <c r="M15" s="324"/>
      <c r="N15" s="324"/>
      <c r="O15" s="324"/>
      <c r="P15" s="324"/>
      <c r="Q15" s="324"/>
      <c r="R15" s="324"/>
      <c r="S15" s="6"/>
    </row>
    <row r="16" spans="2:38" ht="18" x14ac:dyDescent="0.4"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AL16" t="s">
        <v>39</v>
      </c>
    </row>
    <row r="17" spans="7:41" ht="17.100000000000001" customHeight="1" x14ac:dyDescent="0.4">
      <c r="G17" s="7" t="s">
        <v>24</v>
      </c>
      <c r="H17" s="7"/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AL17" t="s">
        <v>61</v>
      </c>
    </row>
    <row r="18" spans="7:41" ht="17.100000000000001" customHeight="1" x14ac:dyDescent="0.4">
      <c r="G18" s="8" t="s">
        <v>25</v>
      </c>
      <c r="H18" s="9">
        <f>'پیش فاکتور گیوتین'!E10</f>
        <v>0</v>
      </c>
      <c r="I18" s="10" t="s">
        <v>3</v>
      </c>
      <c r="J18" s="11" t="s">
        <v>26</v>
      </c>
      <c r="K18" s="33" t="s">
        <v>13</v>
      </c>
      <c r="L18" s="34">
        <f>'پیش فاکتور گیوتین'!C10/100</f>
        <v>0</v>
      </c>
      <c r="M18" s="34" t="s">
        <v>27</v>
      </c>
      <c r="N18" s="34">
        <f>'پیش فاکتور گیوتین'!D10/100</f>
        <v>0</v>
      </c>
      <c r="O18" s="5" t="s">
        <v>28</v>
      </c>
      <c r="P18" s="21">
        <f>L18*N18*H18</f>
        <v>0</v>
      </c>
      <c r="Q18" s="5" t="s">
        <v>29</v>
      </c>
      <c r="R18" s="73">
        <f>'پیش فاکتور گیوتین'!U16</f>
        <v>0</v>
      </c>
      <c r="S18" s="5"/>
    </row>
    <row r="19" spans="7:41" ht="17.100000000000001" customHeight="1" x14ac:dyDescent="0.4">
      <c r="G19" s="8"/>
      <c r="H19" s="9">
        <f>'پیش فاکتور گیوتین'!E11</f>
        <v>0</v>
      </c>
      <c r="I19" s="10" t="s">
        <v>3</v>
      </c>
      <c r="J19" s="11" t="s">
        <v>26</v>
      </c>
      <c r="K19" s="33" t="s">
        <v>13</v>
      </c>
      <c r="L19" s="34">
        <f>'پیش فاکتور گیوتین'!C11/100</f>
        <v>0</v>
      </c>
      <c r="M19" s="34" t="s">
        <v>27</v>
      </c>
      <c r="N19" s="34">
        <f>'پیش فاکتور گیوتین'!D11/100</f>
        <v>0</v>
      </c>
      <c r="O19" s="5" t="s">
        <v>28</v>
      </c>
      <c r="P19" s="21">
        <f>L19*N19*H19</f>
        <v>0</v>
      </c>
      <c r="Q19" s="5" t="s">
        <v>29</v>
      </c>
      <c r="R19" s="73">
        <f>'پیش فاکتور گیوتین'!U22</f>
        <v>0</v>
      </c>
      <c r="S19" s="5"/>
      <c r="AI19" s="10"/>
    </row>
    <row r="20" spans="7:41" ht="17.100000000000001" customHeight="1" x14ac:dyDescent="0.4">
      <c r="G20" s="8"/>
      <c r="H20" s="9">
        <f>'پیش فاکتور گیوتین'!E12</f>
        <v>0</v>
      </c>
      <c r="I20" s="10" t="s">
        <v>3</v>
      </c>
      <c r="J20" s="11" t="s">
        <v>26</v>
      </c>
      <c r="K20" s="33" t="s">
        <v>13</v>
      </c>
      <c r="L20" s="34">
        <f>'پیش فاکتور گیوتین'!C12/100</f>
        <v>0</v>
      </c>
      <c r="M20" s="34" t="s">
        <v>27</v>
      </c>
      <c r="N20" s="34">
        <f>'پیش فاکتور گیوتین'!D12/100</f>
        <v>0</v>
      </c>
      <c r="O20" s="5" t="s">
        <v>28</v>
      </c>
      <c r="P20" s="21">
        <f>L20*N20*H20</f>
        <v>0</v>
      </c>
      <c r="Q20" s="5" t="s">
        <v>29</v>
      </c>
      <c r="R20" s="22">
        <f>'پیش فاکتور گیوتین'!U26</f>
        <v>0</v>
      </c>
      <c r="S20" s="5"/>
      <c r="AI20" s="10" t="s">
        <v>31</v>
      </c>
    </row>
    <row r="21" spans="7:41" ht="17.100000000000001" customHeight="1" x14ac:dyDescent="0.4">
      <c r="G21" s="8"/>
      <c r="H21" s="9">
        <f>'پیش فاکتور گیوتین'!E13</f>
        <v>0</v>
      </c>
      <c r="I21" s="10" t="s">
        <v>3</v>
      </c>
      <c r="J21" s="11" t="s">
        <v>26</v>
      </c>
      <c r="K21" s="33" t="s">
        <v>13</v>
      </c>
      <c r="L21" s="34">
        <f>'پیش فاکتور گیوتین'!C13/100</f>
        <v>0</v>
      </c>
      <c r="M21" s="34" t="s">
        <v>27</v>
      </c>
      <c r="N21" s="34">
        <f>'پیش فاکتور گیوتین'!D13/100</f>
        <v>0</v>
      </c>
      <c r="O21" s="5" t="s">
        <v>28</v>
      </c>
      <c r="P21" s="21">
        <f>L21*N21*H21</f>
        <v>0</v>
      </c>
      <c r="Q21" s="5" t="s">
        <v>29</v>
      </c>
      <c r="R21" s="22">
        <f>'پیش فاکتور گیوتین'!U30</f>
        <v>0</v>
      </c>
      <c r="S21" s="5"/>
      <c r="AI21" s="5" t="s">
        <v>45</v>
      </c>
    </row>
    <row r="22" spans="7:41" ht="17.100000000000001" customHeight="1" x14ac:dyDescent="0.4">
      <c r="G22" s="8"/>
      <c r="H22" s="9">
        <f>'پیش فاکتور گیوتین'!E14</f>
        <v>0</v>
      </c>
      <c r="I22" s="10" t="s">
        <v>3</v>
      </c>
      <c r="J22" s="11" t="s">
        <v>26</v>
      </c>
      <c r="K22" s="33" t="s">
        <v>13</v>
      </c>
      <c r="L22" s="34">
        <f>'پیش فاکتور گیوتین'!C14/100</f>
        <v>0</v>
      </c>
      <c r="M22" s="34" t="s">
        <v>27</v>
      </c>
      <c r="N22" s="34">
        <f>'پیش فاکتور گیوتین'!D14/100</f>
        <v>0</v>
      </c>
      <c r="O22" s="5" t="s">
        <v>28</v>
      </c>
      <c r="P22" s="21">
        <f>L22*N22*H22</f>
        <v>0</v>
      </c>
      <c r="Q22" s="5" t="s">
        <v>29</v>
      </c>
      <c r="R22" s="22">
        <f>'پیش فاکتور گیوتین'!U34</f>
        <v>0</v>
      </c>
      <c r="S22" s="5"/>
      <c r="AI22" s="5" t="s">
        <v>46</v>
      </c>
      <c r="AM22" s="5" t="s">
        <v>58</v>
      </c>
      <c r="AO22" t="s">
        <v>91</v>
      </c>
    </row>
    <row r="23" spans="7:41" ht="17.100000000000001" customHeight="1" x14ac:dyDescent="0.4">
      <c r="G23" s="8"/>
      <c r="H23" s="9"/>
      <c r="I23" s="10"/>
      <c r="J23" s="36" t="s">
        <v>79</v>
      </c>
      <c r="K23" s="33"/>
      <c r="L23" s="34"/>
      <c r="M23" s="34"/>
      <c r="N23" s="34"/>
      <c r="O23" s="5"/>
      <c r="P23" s="21"/>
      <c r="Q23" s="5"/>
      <c r="R23" s="22" t="e">
        <f>SUM('پیش فاکتور گیوتین'!#REF!)</f>
        <v>#REF!</v>
      </c>
      <c r="S23" s="5"/>
      <c r="AI23" s="5" t="s">
        <v>33</v>
      </c>
      <c r="AM23" s="5" t="s">
        <v>37</v>
      </c>
      <c r="AO23" t="s">
        <v>85</v>
      </c>
    </row>
    <row r="24" spans="7:41" ht="17.100000000000001" customHeight="1" x14ac:dyDescent="0.4">
      <c r="G24" s="5" t="s">
        <v>30</v>
      </c>
      <c r="H24" s="13">
        <v>2</v>
      </c>
      <c r="I24" s="10" t="s">
        <v>3</v>
      </c>
      <c r="J24" s="11" t="s">
        <v>31</v>
      </c>
      <c r="K24" s="33" t="s">
        <v>13</v>
      </c>
      <c r="L24" s="33"/>
      <c r="M24" s="34" t="s">
        <v>27</v>
      </c>
      <c r="N24" s="35"/>
      <c r="O24" s="5" t="s">
        <v>28</v>
      </c>
      <c r="P24" s="5"/>
      <c r="Q24" s="5" t="s">
        <v>29</v>
      </c>
      <c r="R24" s="5"/>
      <c r="S24" s="5"/>
      <c r="AI24" s="5" t="s">
        <v>47</v>
      </c>
      <c r="AM24" s="5" t="s">
        <v>62</v>
      </c>
    </row>
    <row r="25" spans="7:41" ht="17.100000000000001" customHeight="1" x14ac:dyDescent="0.4">
      <c r="G25" s="5" t="s">
        <v>32</v>
      </c>
      <c r="H25" s="13">
        <v>2</v>
      </c>
      <c r="I25" s="10" t="s">
        <v>3</v>
      </c>
      <c r="J25" s="11" t="s">
        <v>33</v>
      </c>
      <c r="K25" s="35" t="s">
        <v>13</v>
      </c>
      <c r="L25" s="35"/>
      <c r="M25" s="34" t="s">
        <v>27</v>
      </c>
      <c r="N25" s="35"/>
      <c r="O25" s="5" t="s">
        <v>28</v>
      </c>
      <c r="P25" s="5"/>
      <c r="Q25" s="5" t="s">
        <v>29</v>
      </c>
      <c r="R25" s="5"/>
      <c r="S25" s="5"/>
      <c r="AI25" s="5" t="s">
        <v>50</v>
      </c>
      <c r="AN25" s="19" t="s">
        <v>59</v>
      </c>
    </row>
    <row r="26" spans="7:41" ht="17.100000000000001" customHeight="1" x14ac:dyDescent="0.4">
      <c r="G26" s="5" t="s">
        <v>34</v>
      </c>
      <c r="H26" s="13">
        <v>2</v>
      </c>
      <c r="I26" s="10" t="s">
        <v>3</v>
      </c>
      <c r="J26" s="11" t="s">
        <v>35</v>
      </c>
      <c r="K26" s="35" t="s">
        <v>13</v>
      </c>
      <c r="L26" s="35"/>
      <c r="M26" s="34" t="s">
        <v>27</v>
      </c>
      <c r="N26" s="35"/>
      <c r="O26" s="5" t="s">
        <v>28</v>
      </c>
      <c r="P26" s="5"/>
      <c r="Q26" s="5" t="s">
        <v>29</v>
      </c>
      <c r="R26" s="5"/>
      <c r="S26" s="5"/>
      <c r="AI26" s="5" t="s">
        <v>35</v>
      </c>
      <c r="AN26" s="20" t="s">
        <v>60</v>
      </c>
    </row>
    <row r="27" spans="7:41" ht="17.100000000000001" customHeight="1" x14ac:dyDescent="0.4">
      <c r="G27" s="5" t="s">
        <v>36</v>
      </c>
      <c r="H27" s="13">
        <v>2</v>
      </c>
      <c r="I27" s="10" t="s">
        <v>3</v>
      </c>
      <c r="J27" s="11" t="s">
        <v>56</v>
      </c>
      <c r="K27" s="35" t="s">
        <v>13</v>
      </c>
      <c r="L27" s="35"/>
      <c r="M27" s="34" t="s">
        <v>27</v>
      </c>
      <c r="N27" s="35"/>
      <c r="O27" s="5" t="s">
        <v>28</v>
      </c>
      <c r="P27" s="5"/>
      <c r="Q27" s="5" t="s">
        <v>29</v>
      </c>
      <c r="R27" s="5"/>
      <c r="S27" s="5"/>
      <c r="AI27" s="5" t="s">
        <v>52</v>
      </c>
      <c r="AN27" s="20" t="s">
        <v>63</v>
      </c>
    </row>
    <row r="28" spans="7:41" ht="17.100000000000001" customHeight="1" x14ac:dyDescent="0.4">
      <c r="G28" s="5"/>
      <c r="H28" s="15"/>
      <c r="I28" s="10"/>
      <c r="J28" s="5"/>
      <c r="K28" s="5"/>
      <c r="L28" s="16"/>
      <c r="M28" s="5"/>
      <c r="N28" s="16"/>
      <c r="O28" s="5"/>
      <c r="P28" s="16"/>
      <c r="Q28" s="5"/>
      <c r="R28" s="5"/>
      <c r="S28" s="5"/>
      <c r="AI28" s="5" t="s">
        <v>53</v>
      </c>
      <c r="AN28" s="20" t="s">
        <v>38</v>
      </c>
    </row>
    <row r="29" spans="7:41" ht="17.100000000000001" customHeight="1" x14ac:dyDescent="0.45">
      <c r="G29" s="325" t="s">
        <v>40</v>
      </c>
      <c r="H29" s="325"/>
      <c r="I29" s="325"/>
      <c r="J29" s="325"/>
      <c r="K29" s="5"/>
      <c r="L29" s="5"/>
      <c r="M29" s="5"/>
      <c r="N29" s="5"/>
      <c r="O29" s="5"/>
      <c r="P29" s="5"/>
      <c r="Q29" s="5"/>
      <c r="R29" s="5"/>
      <c r="S29" s="5"/>
      <c r="AI29" s="5" t="s">
        <v>56</v>
      </c>
      <c r="AN29" s="20" t="s">
        <v>65</v>
      </c>
    </row>
    <row r="30" spans="7:41" ht="17.100000000000001" customHeight="1" x14ac:dyDescent="0.4">
      <c r="G30" s="324" t="s">
        <v>41</v>
      </c>
      <c r="H30" s="324"/>
      <c r="I30" s="324"/>
      <c r="J30" s="324"/>
      <c r="K30" s="324"/>
      <c r="L30" s="324"/>
      <c r="M30" s="324"/>
      <c r="N30" s="324"/>
      <c r="O30" s="324"/>
      <c r="P30" s="324"/>
      <c r="Q30" s="324"/>
      <c r="R30" s="324"/>
      <c r="S30" s="5"/>
      <c r="AI30" s="5"/>
      <c r="AN30" s="20" t="s">
        <v>66</v>
      </c>
    </row>
    <row r="31" spans="7:41" ht="7.5" customHeight="1" x14ac:dyDescent="0.4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AN31" s="20" t="s">
        <v>68</v>
      </c>
    </row>
    <row r="32" spans="7:41" ht="17.100000000000001" customHeight="1" x14ac:dyDescent="0.45">
      <c r="G32" s="325" t="s">
        <v>42</v>
      </c>
      <c r="H32" s="325"/>
      <c r="I32" s="325"/>
      <c r="J32" s="325"/>
      <c r="K32" s="5"/>
      <c r="L32" s="5"/>
      <c r="M32" s="5"/>
      <c r="N32" s="5"/>
      <c r="O32" s="5"/>
      <c r="P32" s="5"/>
      <c r="Q32" s="5"/>
      <c r="R32" s="5"/>
      <c r="S32" s="5"/>
    </row>
    <row r="33" spans="7:36" ht="17.100000000000001" customHeight="1" x14ac:dyDescent="0.4">
      <c r="G33" s="321" t="s">
        <v>43</v>
      </c>
      <c r="H33" s="321"/>
      <c r="I33" s="321"/>
      <c r="J33" s="321"/>
      <c r="K33" s="323" t="e">
        <f>SUM(R18:R23)</f>
        <v>#REF!</v>
      </c>
      <c r="L33" s="323"/>
      <c r="M33" s="323"/>
      <c r="N33" s="323"/>
      <c r="O33" s="5" t="s">
        <v>70</v>
      </c>
      <c r="P33" s="322">
        <f>'پیش فاکتور گیوتین'!U40</f>
        <v>0</v>
      </c>
      <c r="Q33" s="322"/>
      <c r="R33" s="5"/>
      <c r="S33" s="5"/>
      <c r="AI33" s="5" t="s">
        <v>69</v>
      </c>
      <c r="AJ33" s="23">
        <v>8</v>
      </c>
    </row>
    <row r="34" spans="7:36" ht="17.100000000000001" customHeight="1" x14ac:dyDescent="0.4">
      <c r="G34" s="321" t="s">
        <v>97</v>
      </c>
      <c r="H34" s="321"/>
      <c r="I34" s="321"/>
      <c r="J34" s="321"/>
      <c r="K34" s="323">
        <f>R24</f>
        <v>0</v>
      </c>
      <c r="L34" s="323"/>
      <c r="M34" s="323"/>
      <c r="N34" s="323"/>
      <c r="O34" s="5" t="s">
        <v>70</v>
      </c>
      <c r="P34" s="322">
        <f>(K34/100)*AJ33</f>
        <v>0</v>
      </c>
      <c r="Q34" s="322"/>
      <c r="R34" s="5"/>
      <c r="S34" s="5"/>
      <c r="AI34" s="5" t="s">
        <v>69</v>
      </c>
      <c r="AJ34" s="23">
        <v>8</v>
      </c>
    </row>
    <row r="35" spans="7:36" ht="17.100000000000001" customHeight="1" x14ac:dyDescent="0.4">
      <c r="G35" s="321" t="s">
        <v>98</v>
      </c>
      <c r="H35" s="321"/>
      <c r="I35" s="321"/>
      <c r="J35" s="321"/>
      <c r="K35" s="323">
        <f>R25</f>
        <v>0</v>
      </c>
      <c r="L35" s="323"/>
      <c r="M35" s="323"/>
      <c r="N35" s="323"/>
      <c r="O35" s="5" t="s">
        <v>70</v>
      </c>
      <c r="P35" s="322">
        <f>(K35/100)*AJ34</f>
        <v>0</v>
      </c>
      <c r="Q35" s="322"/>
      <c r="R35" s="5"/>
      <c r="S35" s="5"/>
      <c r="AI35" s="5" t="s">
        <v>69</v>
      </c>
      <c r="AJ35" s="23">
        <v>8</v>
      </c>
    </row>
    <row r="36" spans="7:36" ht="17.100000000000001" customHeight="1" x14ac:dyDescent="0.4">
      <c r="G36" s="321" t="s">
        <v>99</v>
      </c>
      <c r="H36" s="321"/>
      <c r="I36" s="321"/>
      <c r="J36" s="321"/>
      <c r="K36" s="323">
        <f>R26</f>
        <v>0</v>
      </c>
      <c r="L36" s="323"/>
      <c r="M36" s="323"/>
      <c r="N36" s="323"/>
      <c r="O36" s="5" t="s">
        <v>70</v>
      </c>
      <c r="P36" s="322">
        <f>(K36/100)*AJ35</f>
        <v>0</v>
      </c>
      <c r="Q36" s="322"/>
      <c r="R36" s="5"/>
      <c r="S36" s="5"/>
      <c r="AI36" s="5" t="s">
        <v>69</v>
      </c>
      <c r="AJ36" s="23">
        <v>8</v>
      </c>
    </row>
    <row r="37" spans="7:36" ht="17.100000000000001" customHeight="1" x14ac:dyDescent="0.4">
      <c r="G37" s="321" t="s">
        <v>100</v>
      </c>
      <c r="H37" s="321"/>
      <c r="I37" s="321"/>
      <c r="J37" s="321"/>
      <c r="K37" s="323">
        <f>R27</f>
        <v>0</v>
      </c>
      <c r="L37" s="323"/>
      <c r="M37" s="323"/>
      <c r="N37" s="323"/>
      <c r="O37" s="5" t="s">
        <v>70</v>
      </c>
      <c r="P37" s="322">
        <f>(K37/100)*AJ36</f>
        <v>0</v>
      </c>
      <c r="Q37" s="322"/>
      <c r="R37" s="5"/>
      <c r="S37" s="5"/>
    </row>
    <row r="38" spans="7:36" ht="17.100000000000001" customHeight="1" x14ac:dyDescent="0.5">
      <c r="G38" s="329" t="s">
        <v>48</v>
      </c>
      <c r="H38" s="329"/>
      <c r="I38" s="329"/>
      <c r="J38" s="329"/>
      <c r="K38" s="334" t="e">
        <f>SUM(K33:N37)</f>
        <v>#REF!</v>
      </c>
      <c r="L38" s="334"/>
      <c r="M38" s="334"/>
      <c r="N38" s="334"/>
      <c r="O38" s="17" t="s">
        <v>49</v>
      </c>
      <c r="P38" s="330">
        <f>SUM(P33:Q37)</f>
        <v>0</v>
      </c>
      <c r="Q38" s="330"/>
      <c r="R38" s="5"/>
      <c r="S38" s="5"/>
    </row>
    <row r="39" spans="7:36" ht="17.100000000000001" customHeight="1" x14ac:dyDescent="0.4"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7:36" ht="17.100000000000001" customHeight="1" x14ac:dyDescent="0.5">
      <c r="G40" s="5"/>
      <c r="H40" s="5"/>
      <c r="I40" s="331" t="s">
        <v>51</v>
      </c>
      <c r="J40" s="332"/>
      <c r="K40" s="333" t="e">
        <f>FLOOR(K38+P38,100000)</f>
        <v>#REF!</v>
      </c>
      <c r="L40" s="333"/>
      <c r="M40" s="333"/>
      <c r="N40" s="333"/>
      <c r="O40" s="333"/>
      <c r="P40" s="18" t="s">
        <v>44</v>
      </c>
      <c r="Q40" s="5"/>
      <c r="R40" s="5"/>
      <c r="S40" s="5"/>
    </row>
    <row r="41" spans="7:36" ht="17.100000000000001" customHeight="1" x14ac:dyDescent="0.4"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7:36" ht="17.100000000000001" customHeight="1" x14ac:dyDescent="0.45">
      <c r="G42" s="325" t="s">
        <v>54</v>
      </c>
      <c r="H42" s="325"/>
      <c r="I42" s="325"/>
      <c r="J42" s="325"/>
      <c r="K42" s="5"/>
      <c r="L42" s="5"/>
      <c r="M42" s="5"/>
      <c r="N42" s="5"/>
      <c r="O42" s="5"/>
      <c r="P42" s="5"/>
      <c r="Q42" s="5"/>
      <c r="R42" s="5"/>
      <c r="S42" s="5"/>
    </row>
    <row r="43" spans="7:36" ht="17.100000000000001" customHeight="1" x14ac:dyDescent="0.4">
      <c r="G43" s="339" t="s">
        <v>55</v>
      </c>
      <c r="H43" s="339"/>
      <c r="I43" s="339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7:36" ht="17.100000000000001" customHeight="1" x14ac:dyDescent="0.4">
      <c r="G44" s="5"/>
      <c r="H44" s="5"/>
      <c r="I44" s="12">
        <v>80</v>
      </c>
      <c r="J44" s="328" t="s">
        <v>57</v>
      </c>
      <c r="K44" s="328"/>
      <c r="L44" s="338" t="e">
        <f>K40/100*I44</f>
        <v>#REF!</v>
      </c>
      <c r="M44" s="338"/>
      <c r="N44" s="338"/>
      <c r="O44" s="338"/>
      <c r="P44" s="328" t="s">
        <v>71</v>
      </c>
      <c r="Q44" s="328"/>
      <c r="R44" s="328"/>
      <c r="S44" s="5"/>
    </row>
    <row r="45" spans="7:36" ht="17.100000000000001" customHeight="1" x14ac:dyDescent="0.4">
      <c r="G45" s="326" t="s">
        <v>25</v>
      </c>
      <c r="H45" s="326"/>
      <c r="I45" s="327"/>
      <c r="J45" s="327"/>
      <c r="K45" s="328"/>
      <c r="L45" s="328"/>
      <c r="M45" s="328"/>
      <c r="N45" s="328"/>
      <c r="O45" s="328"/>
      <c r="P45" s="328"/>
      <c r="Q45" s="328"/>
      <c r="R45" s="328"/>
      <c r="S45" s="5"/>
    </row>
    <row r="46" spans="7:36" ht="17.100000000000001" customHeight="1" x14ac:dyDescent="0.4">
      <c r="G46" s="326" t="s">
        <v>30</v>
      </c>
      <c r="H46" s="326"/>
      <c r="I46" s="327"/>
      <c r="J46" s="327"/>
      <c r="K46" s="328"/>
      <c r="L46" s="328"/>
      <c r="M46" s="328"/>
      <c r="N46" s="328"/>
      <c r="O46" s="328"/>
      <c r="P46" s="328"/>
      <c r="Q46" s="328"/>
      <c r="R46" s="328"/>
      <c r="S46" s="5"/>
    </row>
    <row r="47" spans="7:36" ht="17.100000000000001" customHeight="1" x14ac:dyDescent="0.4">
      <c r="G47" s="326" t="s">
        <v>32</v>
      </c>
      <c r="H47" s="326"/>
      <c r="I47" s="327"/>
      <c r="J47" s="327"/>
      <c r="K47" s="328"/>
      <c r="L47" s="328"/>
      <c r="M47" s="328"/>
      <c r="N47" s="328"/>
      <c r="O47" s="328"/>
      <c r="P47" s="328"/>
      <c r="Q47" s="328"/>
      <c r="R47" s="328"/>
      <c r="S47" s="5"/>
    </row>
    <row r="48" spans="7:36" ht="17.100000000000001" customHeight="1" x14ac:dyDescent="0.45">
      <c r="G48" s="336" t="s">
        <v>64</v>
      </c>
      <c r="H48" s="336"/>
      <c r="I48" s="336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7:37" ht="17.100000000000001" customHeight="1" x14ac:dyDescent="0.4">
      <c r="G49" s="5"/>
      <c r="H49" s="5"/>
      <c r="I49" s="14">
        <v>15</v>
      </c>
      <c r="J49" s="10" t="s">
        <v>57</v>
      </c>
      <c r="K49" s="337" t="e">
        <f>K40/100*I49</f>
        <v>#REF!</v>
      </c>
      <c r="L49" s="337"/>
      <c r="M49" s="337"/>
      <c r="N49" s="337"/>
      <c r="O49" s="337"/>
      <c r="P49" s="335" t="s">
        <v>71</v>
      </c>
      <c r="Q49" s="335"/>
      <c r="R49" s="335"/>
      <c r="S49" s="5"/>
    </row>
    <row r="50" spans="7:37" ht="7.5" customHeight="1" x14ac:dyDescent="0.55000000000000004">
      <c r="G50" s="5"/>
      <c r="H50" s="5"/>
      <c r="I50" s="71"/>
      <c r="J50" s="10"/>
      <c r="K50" s="70"/>
      <c r="L50" s="70"/>
      <c r="M50" s="70"/>
      <c r="N50" s="70"/>
      <c r="O50" s="70"/>
      <c r="P50" s="74"/>
      <c r="Q50" s="74"/>
      <c r="R50" s="74"/>
      <c r="S50" s="5"/>
    </row>
    <row r="51" spans="7:37" ht="17.100000000000001" customHeight="1" x14ac:dyDescent="0.45">
      <c r="G51" s="336" t="s">
        <v>67</v>
      </c>
      <c r="H51" s="336"/>
      <c r="I51" s="336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7:37" ht="17.100000000000001" customHeight="1" x14ac:dyDescent="0.4">
      <c r="G52" s="5"/>
      <c r="H52" s="5"/>
      <c r="I52" s="14">
        <v>5</v>
      </c>
      <c r="J52" s="10" t="s">
        <v>57</v>
      </c>
      <c r="K52" s="338" t="e">
        <f>K40/100*I52</f>
        <v>#REF!</v>
      </c>
      <c r="L52" s="338"/>
      <c r="M52" s="338"/>
      <c r="N52" s="338"/>
      <c r="O52" s="338"/>
      <c r="P52" s="335" t="s">
        <v>71</v>
      </c>
      <c r="Q52" s="335"/>
      <c r="R52" s="335"/>
      <c r="S52" s="5"/>
      <c r="AI52" s="5"/>
      <c r="AJ52" s="5"/>
      <c r="AK52" s="5"/>
    </row>
    <row r="53" spans="7:37" ht="17.100000000000001" customHeight="1" x14ac:dyDescent="0.4"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AI53" s="5"/>
      <c r="AJ53" s="5"/>
      <c r="AK53" s="5"/>
    </row>
    <row r="54" spans="7:37" ht="17.100000000000001" customHeight="1" x14ac:dyDescent="0.4"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AI54" s="5"/>
      <c r="AJ54" s="5"/>
      <c r="AK54" s="5"/>
    </row>
    <row r="55" spans="7:37" ht="17.100000000000001" customHeight="1" x14ac:dyDescent="0.4"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AI55" s="5"/>
      <c r="AJ55" s="5"/>
      <c r="AK55" s="5"/>
    </row>
    <row r="56" spans="7:37" ht="18" x14ac:dyDescent="0.4"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AI56" s="5"/>
      <c r="AJ56" s="5"/>
      <c r="AK56" s="5"/>
    </row>
    <row r="57" spans="7:37" ht="18" x14ac:dyDescent="0.4"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AI57" s="5"/>
      <c r="AJ57" s="5"/>
      <c r="AK57" s="5"/>
    </row>
    <row r="58" spans="7:37" ht="18" x14ac:dyDescent="0.4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AI58" s="5"/>
      <c r="AJ58" s="5"/>
      <c r="AK58" s="5"/>
    </row>
    <row r="59" spans="7:37" ht="18" x14ac:dyDescent="0.4"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AI59" s="5"/>
      <c r="AJ59" s="5"/>
      <c r="AK59" s="5"/>
    </row>
    <row r="60" spans="7:37" ht="18" x14ac:dyDescent="0.4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AI60" s="5"/>
      <c r="AJ60" s="5"/>
      <c r="AK60" s="5"/>
    </row>
    <row r="61" spans="7:37" ht="18" x14ac:dyDescent="0.4"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AI61" s="5"/>
      <c r="AJ61" s="5"/>
      <c r="AK61" s="5"/>
    </row>
    <row r="62" spans="7:37" ht="18" x14ac:dyDescent="0.4"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AI62" s="5"/>
      <c r="AJ62" s="5"/>
      <c r="AK62" s="5"/>
    </row>
    <row r="63" spans="7:37" ht="18" x14ac:dyDescent="0.4"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AI63" s="5"/>
      <c r="AJ63" s="5"/>
      <c r="AK63" s="5"/>
    </row>
    <row r="64" spans="7:37" ht="18" x14ac:dyDescent="0.4"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AI64" s="5"/>
      <c r="AJ64" s="5"/>
      <c r="AK64" s="5"/>
    </row>
    <row r="65" spans="7:37" ht="18" x14ac:dyDescent="0.4"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AI65" s="5"/>
      <c r="AJ65" s="5"/>
      <c r="AK65" s="5"/>
    </row>
    <row r="66" spans="7:37" ht="18" x14ac:dyDescent="0.4"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AI66" s="5"/>
      <c r="AJ66" s="5"/>
      <c r="AK66" s="5"/>
    </row>
    <row r="67" spans="7:37" ht="18" x14ac:dyDescent="0.4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AI67" s="5"/>
      <c r="AJ67" s="5"/>
      <c r="AK67" s="5"/>
    </row>
    <row r="68" spans="7:37" ht="18" x14ac:dyDescent="0.4"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AI68" s="5"/>
      <c r="AJ68" s="5"/>
      <c r="AK68" s="5"/>
    </row>
    <row r="69" spans="7:37" ht="18" x14ac:dyDescent="0.4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AI69" s="5"/>
      <c r="AJ69" s="5"/>
      <c r="AK69" s="5"/>
    </row>
    <row r="70" spans="7:37" ht="18" x14ac:dyDescent="0.4"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AI70" s="5"/>
      <c r="AJ70" s="5"/>
      <c r="AK70" s="5"/>
    </row>
    <row r="71" spans="7:37" ht="18" x14ac:dyDescent="0.4"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AI71" s="5"/>
      <c r="AJ71" s="5"/>
      <c r="AK71" s="5"/>
    </row>
  </sheetData>
  <mergeCells count="51">
    <mergeCell ref="C7:D7"/>
    <mergeCell ref="C8:D8"/>
    <mergeCell ref="B5:D5"/>
    <mergeCell ref="C6:D6"/>
    <mergeCell ref="Q7:R7"/>
    <mergeCell ref="Q8:R8"/>
    <mergeCell ref="Q9:R9"/>
    <mergeCell ref="P49:R49"/>
    <mergeCell ref="P52:R52"/>
    <mergeCell ref="G48:I48"/>
    <mergeCell ref="G51:I51"/>
    <mergeCell ref="K49:O49"/>
    <mergeCell ref="K52:O52"/>
    <mergeCell ref="G46:H46"/>
    <mergeCell ref="I46:J46"/>
    <mergeCell ref="K46:R46"/>
    <mergeCell ref="G47:H47"/>
    <mergeCell ref="I47:J47"/>
    <mergeCell ref="K47:R47"/>
    <mergeCell ref="G43:I43"/>
    <mergeCell ref="J44:K44"/>
    <mergeCell ref="L44:O44"/>
    <mergeCell ref="G45:H45"/>
    <mergeCell ref="I45:J45"/>
    <mergeCell ref="K45:R45"/>
    <mergeCell ref="P44:R44"/>
    <mergeCell ref="G38:J38"/>
    <mergeCell ref="P38:Q38"/>
    <mergeCell ref="I40:J40"/>
    <mergeCell ref="K40:O40"/>
    <mergeCell ref="G42:J42"/>
    <mergeCell ref="K38:N38"/>
    <mergeCell ref="G36:J36"/>
    <mergeCell ref="P36:Q36"/>
    <mergeCell ref="G37:J37"/>
    <mergeCell ref="P37:Q37"/>
    <mergeCell ref="K36:N36"/>
    <mergeCell ref="K37:N37"/>
    <mergeCell ref="G34:J34"/>
    <mergeCell ref="P34:Q34"/>
    <mergeCell ref="G35:J35"/>
    <mergeCell ref="P35:Q35"/>
    <mergeCell ref="K34:N34"/>
    <mergeCell ref="K35:N35"/>
    <mergeCell ref="G33:J33"/>
    <mergeCell ref="P33:Q33"/>
    <mergeCell ref="K33:N33"/>
    <mergeCell ref="G15:R15"/>
    <mergeCell ref="G29:J29"/>
    <mergeCell ref="G30:R30"/>
    <mergeCell ref="G32:J32"/>
  </mergeCells>
  <dataValidations count="2">
    <dataValidation type="list" allowBlank="1" showInputMessage="1" showErrorMessage="1" sqref="J24:J27" xr:uid="{00000000-0002-0000-0600-000000000000}">
      <formula1>$AI$19:$AI$29</formula1>
    </dataValidation>
    <dataValidation type="list" allowBlank="1" showInputMessage="1" showErrorMessage="1" sqref="C8:D8" xr:uid="{00000000-0002-0000-0600-000001000000}">
      <formula1>$AO$22:$AO$23</formula1>
    </dataValidation>
  </dataValidations>
  <pageMargins left="0.3" right="0.3" top="0.4" bottom="0.1" header="0.3" footer="0.3"/>
  <pageSetup paperSize="9" scale="78" fitToHeight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306F-71FE-4CAA-A933-B0DD5CF5DB2A}">
  <dimension ref="B1:M44"/>
  <sheetViews>
    <sheetView rightToLeft="1" topLeftCell="D10" workbookViewId="0">
      <selection activeCell="M10" sqref="M10"/>
    </sheetView>
  </sheetViews>
  <sheetFormatPr defaultRowHeight="15" x14ac:dyDescent="0.25"/>
  <cols>
    <col min="1" max="1" width="8.140625" customWidth="1"/>
    <col min="2" max="2" width="1.5703125" customWidth="1"/>
    <col min="3" max="3" width="25.5703125" customWidth="1"/>
    <col min="4" max="4" width="32.5703125" customWidth="1"/>
    <col min="5" max="5" width="1.5703125" customWidth="1"/>
    <col min="6" max="6" width="32.5703125" customWidth="1"/>
    <col min="7" max="7" width="30.5703125" customWidth="1"/>
    <col min="8" max="8" width="1.5703125" customWidth="1"/>
    <col min="10" max="10" width="17.28515625" customWidth="1"/>
    <col min="11" max="12" width="5.140625" customWidth="1"/>
    <col min="13" max="13" width="18.140625" customWidth="1"/>
  </cols>
  <sheetData>
    <row r="1" spans="2:13" x14ac:dyDescent="0.25">
      <c r="B1" s="311"/>
      <c r="C1" s="311"/>
      <c r="D1" s="311"/>
      <c r="E1" s="311"/>
      <c r="F1" s="311"/>
      <c r="G1" s="311"/>
      <c r="H1" s="311"/>
    </row>
    <row r="2" spans="2:13" x14ac:dyDescent="0.25">
      <c r="B2" s="103"/>
      <c r="C2" s="104"/>
      <c r="D2" s="104"/>
      <c r="E2" s="104"/>
      <c r="F2" s="104"/>
      <c r="G2" s="104"/>
      <c r="H2" s="312"/>
      <c r="M2">
        <v>0.75</v>
      </c>
    </row>
    <row r="3" spans="2:13" ht="18.75" x14ac:dyDescent="0.25">
      <c r="B3" s="103"/>
      <c r="C3" s="105" t="s">
        <v>132</v>
      </c>
      <c r="D3" s="106">
        <f>'پیش فاکتور گیوتین'!C17</f>
        <v>2200000</v>
      </c>
      <c r="E3" s="105"/>
      <c r="F3" s="107" t="s">
        <v>133</v>
      </c>
      <c r="G3" s="107" t="s">
        <v>134</v>
      </c>
      <c r="H3" s="312"/>
      <c r="J3" s="4" t="s">
        <v>7</v>
      </c>
      <c r="M3">
        <v>1.18</v>
      </c>
    </row>
    <row r="4" spans="2:13" ht="18.75" x14ac:dyDescent="0.25">
      <c r="B4" s="103"/>
      <c r="C4" s="105" t="s">
        <v>135</v>
      </c>
      <c r="D4" s="106">
        <f>'پیش فاکتور گیوتین'!C19</f>
        <v>450000</v>
      </c>
      <c r="E4" s="108"/>
      <c r="F4" s="109"/>
      <c r="G4" s="109"/>
      <c r="H4" s="312"/>
      <c r="J4" s="4"/>
    </row>
    <row r="5" spans="2:13" ht="21" x14ac:dyDescent="0.25">
      <c r="B5" s="110"/>
      <c r="C5" s="105" t="s">
        <v>136</v>
      </c>
      <c r="D5" s="19" t="s">
        <v>184</v>
      </c>
      <c r="E5" s="111"/>
      <c r="F5" s="106">
        <f t="shared" ref="F5:F12" si="0">G5*$M$2</f>
        <v>5310000</v>
      </c>
      <c r="G5" s="106">
        <f t="shared" ref="G5:G12" si="1">M5*$M$3*0.75</f>
        <v>7080000</v>
      </c>
      <c r="H5" s="312"/>
      <c r="J5" s="19" t="s">
        <v>184</v>
      </c>
      <c r="M5" s="106">
        <v>8000000</v>
      </c>
    </row>
    <row r="6" spans="2:13" ht="21" x14ac:dyDescent="0.25">
      <c r="B6" s="110"/>
      <c r="C6" s="105" t="s">
        <v>136</v>
      </c>
      <c r="D6" s="20" t="s">
        <v>185</v>
      </c>
      <c r="E6" s="111"/>
      <c r="F6" s="106">
        <f t="shared" si="0"/>
        <v>6637500</v>
      </c>
      <c r="G6" s="106">
        <f t="shared" si="1"/>
        <v>8850000</v>
      </c>
      <c r="H6" s="312"/>
      <c r="J6" s="20" t="s">
        <v>185</v>
      </c>
      <c r="M6" s="106">
        <v>10000000</v>
      </c>
    </row>
    <row r="7" spans="2:13" ht="21" x14ac:dyDescent="0.25">
      <c r="B7" s="110"/>
      <c r="C7" s="105" t="s">
        <v>137</v>
      </c>
      <c r="D7" s="20" t="s">
        <v>181</v>
      </c>
      <c r="E7" s="112"/>
      <c r="F7" s="106">
        <f t="shared" si="0"/>
        <v>6637500</v>
      </c>
      <c r="G7" s="106">
        <f t="shared" si="1"/>
        <v>8850000</v>
      </c>
      <c r="H7" s="312"/>
      <c r="J7" s="20" t="s">
        <v>181</v>
      </c>
      <c r="M7" s="106">
        <v>10000000</v>
      </c>
    </row>
    <row r="8" spans="2:13" ht="21" x14ac:dyDescent="0.25">
      <c r="B8" s="110"/>
      <c r="C8" s="105" t="s">
        <v>137</v>
      </c>
      <c r="D8" s="20" t="s">
        <v>182</v>
      </c>
      <c r="E8" s="112"/>
      <c r="F8" s="106">
        <f t="shared" si="0"/>
        <v>7965000</v>
      </c>
      <c r="G8" s="106">
        <f t="shared" si="1"/>
        <v>10620000</v>
      </c>
      <c r="H8" s="312"/>
      <c r="J8" s="20" t="s">
        <v>182</v>
      </c>
      <c r="M8" s="106">
        <v>12000000</v>
      </c>
    </row>
    <row r="9" spans="2:13" ht="21" x14ac:dyDescent="0.25">
      <c r="B9" s="113"/>
      <c r="C9" s="105" t="s">
        <v>137</v>
      </c>
      <c r="D9" s="20" t="s">
        <v>183</v>
      </c>
      <c r="E9" s="112"/>
      <c r="F9" s="106">
        <f t="shared" si="0"/>
        <v>9292500</v>
      </c>
      <c r="G9" s="106">
        <f t="shared" si="1"/>
        <v>12390000</v>
      </c>
      <c r="H9" s="312"/>
      <c r="J9" s="20" t="s">
        <v>183</v>
      </c>
      <c r="M9" s="106">
        <v>14000000</v>
      </c>
    </row>
    <row r="10" spans="2:13" ht="21" x14ac:dyDescent="0.25">
      <c r="B10" s="113"/>
      <c r="C10" s="105" t="s">
        <v>141</v>
      </c>
      <c r="D10" s="20" t="s">
        <v>178</v>
      </c>
      <c r="E10" s="112"/>
      <c r="F10" s="106">
        <f t="shared" si="0"/>
        <v>11947500</v>
      </c>
      <c r="G10" s="106">
        <f t="shared" si="1"/>
        <v>15930000</v>
      </c>
      <c r="H10" s="312"/>
      <c r="J10" s="20" t="s">
        <v>178</v>
      </c>
      <c r="M10" s="106">
        <v>18000000</v>
      </c>
    </row>
    <row r="11" spans="2:13" ht="21" x14ac:dyDescent="0.25">
      <c r="B11" s="113"/>
      <c r="C11" s="105" t="s">
        <v>141</v>
      </c>
      <c r="D11" s="20" t="s">
        <v>179</v>
      </c>
      <c r="E11" s="112"/>
      <c r="F11" s="106">
        <f t="shared" si="0"/>
        <v>13275000</v>
      </c>
      <c r="G11" s="106">
        <f t="shared" si="1"/>
        <v>17700000</v>
      </c>
      <c r="H11" s="312"/>
      <c r="J11" s="20" t="s">
        <v>179</v>
      </c>
      <c r="M11" s="106">
        <v>20000000</v>
      </c>
    </row>
    <row r="12" spans="2:13" ht="21" x14ac:dyDescent="0.25">
      <c r="B12" s="113"/>
      <c r="C12" s="105" t="s">
        <v>141</v>
      </c>
      <c r="D12" s="20" t="s">
        <v>180</v>
      </c>
      <c r="E12" s="112"/>
      <c r="F12" s="106">
        <f t="shared" si="0"/>
        <v>14602500</v>
      </c>
      <c r="G12" s="106">
        <f t="shared" si="1"/>
        <v>19470000</v>
      </c>
      <c r="H12" s="312"/>
      <c r="J12" s="20" t="s">
        <v>180</v>
      </c>
      <c r="M12" s="106">
        <v>22000000</v>
      </c>
    </row>
    <row r="13" spans="2:13" x14ac:dyDescent="0.25">
      <c r="B13" s="103"/>
      <c r="C13" s="104"/>
      <c r="D13" s="104"/>
      <c r="E13" s="104"/>
      <c r="F13" s="104"/>
      <c r="G13" s="104"/>
      <c r="H13" s="312"/>
    </row>
    <row r="14" spans="2:13" ht="21" x14ac:dyDescent="0.25">
      <c r="B14" s="103"/>
      <c r="C14" s="114" t="s">
        <v>145</v>
      </c>
      <c r="D14" s="165" t="str">
        <f>'پیش فاکتور گیوتین'!H10</f>
        <v xml:space="preserve">3 پانل </v>
      </c>
      <c r="E14" s="104"/>
      <c r="F14" s="114" t="s">
        <v>145</v>
      </c>
      <c r="G14" s="114">
        <v>5</v>
      </c>
      <c r="H14" s="312"/>
    </row>
    <row r="15" spans="2:13" ht="21" x14ac:dyDescent="0.25">
      <c r="B15" s="115"/>
      <c r="C15" s="114" t="s">
        <v>146</v>
      </c>
      <c r="D15" s="116" t="str">
        <f>'پیش فاکتور گیوتین'!G10</f>
        <v>5mm + 10 air spacer + 5mm</v>
      </c>
      <c r="E15" s="104"/>
      <c r="F15" s="117" t="s">
        <v>147</v>
      </c>
      <c r="G15" s="116" t="s">
        <v>182</v>
      </c>
      <c r="H15" s="312"/>
      <c r="J15" s="19" t="s">
        <v>184</v>
      </c>
      <c r="K15">
        <v>2</v>
      </c>
      <c r="L15" s="119">
        <v>3</v>
      </c>
    </row>
    <row r="16" spans="2:13" ht="18.75" x14ac:dyDescent="0.25">
      <c r="B16" s="115"/>
      <c r="C16" s="120" t="s">
        <v>148</v>
      </c>
      <c r="D16" s="121">
        <f>'پیش فاکتور گیوتین'!C10/100</f>
        <v>0</v>
      </c>
      <c r="E16" s="104"/>
      <c r="F16" s="120" t="s">
        <v>148</v>
      </c>
      <c r="G16" s="121">
        <v>6.5</v>
      </c>
      <c r="H16" s="312"/>
      <c r="J16" s="20" t="s">
        <v>185</v>
      </c>
      <c r="K16">
        <v>3</v>
      </c>
      <c r="L16" s="119">
        <v>4</v>
      </c>
    </row>
    <row r="17" spans="2:12" ht="26.25" x14ac:dyDescent="0.25">
      <c r="B17" s="115"/>
      <c r="C17" s="120" t="s">
        <v>149</v>
      </c>
      <c r="D17" s="121">
        <f>'پیش فاکتور گیوتین'!D10/100</f>
        <v>0</v>
      </c>
      <c r="E17" s="122"/>
      <c r="F17" s="120" t="s">
        <v>149</v>
      </c>
      <c r="G17" s="121">
        <v>2.6</v>
      </c>
      <c r="H17" s="312"/>
      <c r="J17" s="20" t="s">
        <v>181</v>
      </c>
      <c r="K17">
        <v>4</v>
      </c>
      <c r="L17" s="119">
        <v>5</v>
      </c>
    </row>
    <row r="18" spans="2:12" ht="26.25" x14ac:dyDescent="0.25">
      <c r="B18" s="115"/>
      <c r="C18" s="123" t="s">
        <v>150</v>
      </c>
      <c r="D18" s="124">
        <f>'A1'!F4</f>
        <v>0</v>
      </c>
      <c r="E18" s="122"/>
      <c r="F18" s="123" t="s">
        <v>150</v>
      </c>
      <c r="G18" s="124">
        <f>'A1'!F39</f>
        <v>62.920000000000009</v>
      </c>
      <c r="H18" s="312"/>
      <c r="J18" s="20" t="s">
        <v>182</v>
      </c>
      <c r="L18" s="119">
        <v>6</v>
      </c>
    </row>
    <row r="19" spans="2:12" ht="26.25" x14ac:dyDescent="0.25">
      <c r="B19" s="115"/>
      <c r="C19" s="125"/>
      <c r="D19" s="126" t="e">
        <f>IF(OR(D15="-----",D14="-----"),0,(C20/(D16*D17)))</f>
        <v>#DIV/0!</v>
      </c>
      <c r="E19" s="122"/>
      <c r="F19" s="127"/>
      <c r="G19" s="126">
        <f>F20/(G16*G17)</f>
        <v>27502082.84023669</v>
      </c>
      <c r="H19" s="312"/>
      <c r="J19" s="20" t="s">
        <v>183</v>
      </c>
      <c r="L19" s="119" t="s">
        <v>151</v>
      </c>
    </row>
    <row r="20" spans="2:12" ht="26.25" x14ac:dyDescent="0.25">
      <c r="B20" s="115"/>
      <c r="C20" s="313" t="e">
        <f>'A1'!F5</f>
        <v>#DIV/0!</v>
      </c>
      <c r="D20" s="314"/>
      <c r="E20" s="122"/>
      <c r="F20" s="314">
        <f>'A1'!F40</f>
        <v>464785200.00000012</v>
      </c>
      <c r="G20" s="314"/>
      <c r="H20" s="312"/>
      <c r="J20" s="20" t="s">
        <v>178</v>
      </c>
      <c r="L20" s="119" t="s">
        <v>152</v>
      </c>
    </row>
    <row r="21" spans="2:12" ht="26.25" x14ac:dyDescent="0.25">
      <c r="B21" s="115"/>
      <c r="C21" s="315" t="str">
        <f>IF(AND(D16&gt;2,D16&lt;=4),"SAFE",IF(AND(D17&gt;=2.5,D17&lt;=4),"SAFE","OUT OF RANGE"))</f>
        <v>OUT OF RANGE</v>
      </c>
      <c r="D21" s="315"/>
      <c r="E21" s="122"/>
      <c r="F21" s="315" t="str">
        <f>IF(AND(G16&gt;1,G16&lt;=2),"2 PANEL",IF(AND(G16&gt;2,G16&lt;=3),"3 PANEL",IF(AND(G16&gt;3,G16&lt;=4.5),"4 PANEL",IF(AND(G16&gt;4.5,G16&lt;=6.5),"EXPANSION 3PANEL+ 3PANEL",IF(AND(G16&gt;6.5,G16&lt;=9),"EXPANSION 4PANEL+ 4PANEL",0)))))</f>
        <v>EXPANSION 3PANEL+ 3PANEL</v>
      </c>
      <c r="G21" s="315"/>
      <c r="H21" s="312"/>
      <c r="J21" s="20" t="s">
        <v>179</v>
      </c>
      <c r="L21" s="119" t="s">
        <v>153</v>
      </c>
    </row>
    <row r="22" spans="2:12" x14ac:dyDescent="0.25">
      <c r="B22" s="115"/>
      <c r="C22" s="104"/>
      <c r="D22" s="104"/>
      <c r="E22" s="104"/>
      <c r="F22" s="104"/>
      <c r="G22" s="104"/>
      <c r="H22" s="312"/>
      <c r="J22" s="20" t="s">
        <v>180</v>
      </c>
    </row>
    <row r="23" spans="2:12" x14ac:dyDescent="0.25">
      <c r="B23" s="311"/>
      <c r="C23" s="311"/>
      <c r="D23" s="311"/>
      <c r="E23" s="311"/>
      <c r="F23" s="311"/>
      <c r="G23" s="311"/>
      <c r="H23" s="311"/>
    </row>
    <row r="24" spans="2:12" x14ac:dyDescent="0.25">
      <c r="B24" s="311"/>
      <c r="C24" s="311"/>
      <c r="D24" s="311"/>
      <c r="E24" s="311"/>
      <c r="F24" s="311"/>
      <c r="G24" s="311"/>
      <c r="H24" s="311"/>
    </row>
    <row r="25" spans="2:12" x14ac:dyDescent="0.25">
      <c r="B25" s="311"/>
      <c r="C25" s="311"/>
      <c r="D25" s="311"/>
      <c r="E25" s="311"/>
      <c r="F25" s="311"/>
      <c r="G25" s="311"/>
      <c r="H25" s="311"/>
    </row>
    <row r="26" spans="2:12" x14ac:dyDescent="0.25">
      <c r="B26" s="311"/>
      <c r="C26" s="311"/>
      <c r="D26" s="311"/>
      <c r="E26" s="311"/>
      <c r="F26" s="311"/>
      <c r="G26" s="311"/>
      <c r="H26" s="311"/>
    </row>
    <row r="27" spans="2:12" x14ac:dyDescent="0.25">
      <c r="B27" s="311"/>
      <c r="C27" s="311"/>
      <c r="D27" s="311"/>
      <c r="E27" s="311"/>
      <c r="F27" s="311"/>
      <c r="G27" s="311"/>
      <c r="H27" s="311"/>
    </row>
    <row r="28" spans="2:12" x14ac:dyDescent="0.25">
      <c r="B28" s="311"/>
      <c r="C28" s="311"/>
      <c r="D28" s="311"/>
      <c r="E28" s="311"/>
      <c r="F28" s="311"/>
      <c r="G28" s="311"/>
      <c r="H28" s="311"/>
    </row>
    <row r="29" spans="2:12" x14ac:dyDescent="0.25">
      <c r="B29" s="311"/>
      <c r="C29" s="311"/>
      <c r="D29" s="311"/>
      <c r="E29" s="311"/>
      <c r="F29" s="311"/>
      <c r="G29" s="311"/>
      <c r="H29" s="311"/>
    </row>
    <row r="30" spans="2:12" x14ac:dyDescent="0.25">
      <c r="B30" s="311"/>
      <c r="C30" s="311"/>
      <c r="D30" s="311"/>
      <c r="E30" s="311"/>
      <c r="F30" s="311"/>
      <c r="G30" s="311"/>
      <c r="H30" s="311"/>
    </row>
    <row r="31" spans="2:12" x14ac:dyDescent="0.25">
      <c r="B31" s="311"/>
      <c r="C31" s="311"/>
      <c r="D31" s="311"/>
      <c r="E31" s="311"/>
      <c r="F31" s="311"/>
      <c r="G31" s="311"/>
      <c r="H31" s="311"/>
    </row>
    <row r="32" spans="2:12" x14ac:dyDescent="0.25">
      <c r="B32" s="311"/>
      <c r="C32" s="311"/>
      <c r="D32" s="311"/>
      <c r="E32" s="311"/>
      <c r="F32" s="311"/>
      <c r="G32" s="311"/>
      <c r="H32" s="311"/>
    </row>
    <row r="33" spans="2:8" x14ac:dyDescent="0.25">
      <c r="B33" s="311"/>
      <c r="C33" s="311"/>
      <c r="D33" s="311"/>
      <c r="E33" s="311"/>
      <c r="F33" s="311"/>
      <c r="G33" s="311"/>
      <c r="H33" s="311"/>
    </row>
    <row r="34" spans="2:8" x14ac:dyDescent="0.25">
      <c r="B34" s="311"/>
      <c r="C34" s="311"/>
      <c r="D34" s="311"/>
      <c r="E34" s="311"/>
      <c r="F34" s="311"/>
      <c r="G34" s="311"/>
      <c r="H34" s="311"/>
    </row>
    <row r="35" spans="2:8" x14ac:dyDescent="0.25">
      <c r="B35" s="311"/>
      <c r="C35" s="311"/>
      <c r="D35" s="311"/>
      <c r="E35" s="311"/>
      <c r="F35" s="311"/>
      <c r="G35" s="311"/>
      <c r="H35" s="311"/>
    </row>
    <row r="36" spans="2:8" x14ac:dyDescent="0.25">
      <c r="B36" s="311"/>
      <c r="C36" s="311"/>
      <c r="D36" s="311"/>
      <c r="E36" s="311"/>
      <c r="F36" s="311"/>
      <c r="G36" s="311"/>
      <c r="H36" s="311"/>
    </row>
    <row r="37" spans="2:8" x14ac:dyDescent="0.25">
      <c r="B37" s="311"/>
      <c r="C37" s="311"/>
      <c r="D37" s="311"/>
      <c r="E37" s="311"/>
      <c r="F37" s="311"/>
      <c r="G37" s="311"/>
      <c r="H37" s="311"/>
    </row>
    <row r="38" spans="2:8" x14ac:dyDescent="0.25">
      <c r="B38" s="311"/>
      <c r="C38" s="311"/>
      <c r="D38" s="311"/>
      <c r="E38" s="311"/>
      <c r="F38" s="311"/>
      <c r="G38" s="311"/>
      <c r="H38" s="311"/>
    </row>
    <row r="39" spans="2:8" x14ac:dyDescent="0.25">
      <c r="B39" s="311"/>
      <c r="C39" s="311"/>
      <c r="D39" s="311"/>
      <c r="E39" s="311"/>
      <c r="F39" s="311"/>
      <c r="G39" s="311"/>
      <c r="H39" s="311"/>
    </row>
    <row r="40" spans="2:8" x14ac:dyDescent="0.25">
      <c r="B40" s="311"/>
      <c r="C40" s="311"/>
      <c r="D40" s="311"/>
      <c r="E40" s="311"/>
      <c r="F40" s="311"/>
      <c r="G40" s="311"/>
      <c r="H40" s="311"/>
    </row>
    <row r="41" spans="2:8" x14ac:dyDescent="0.25">
      <c r="B41" s="311"/>
      <c r="C41" s="311"/>
      <c r="D41" s="311"/>
      <c r="E41" s="311"/>
      <c r="F41" s="311"/>
      <c r="G41" s="311"/>
      <c r="H41" s="311"/>
    </row>
    <row r="42" spans="2:8" x14ac:dyDescent="0.25">
      <c r="B42" s="311"/>
      <c r="C42" s="311"/>
      <c r="D42" s="311"/>
      <c r="E42" s="311"/>
      <c r="F42" s="311"/>
      <c r="G42" s="311"/>
      <c r="H42" s="311"/>
    </row>
    <row r="43" spans="2:8" x14ac:dyDescent="0.25">
      <c r="B43" s="311"/>
      <c r="C43" s="311"/>
      <c r="D43" s="311"/>
      <c r="E43" s="311"/>
      <c r="F43" s="311"/>
      <c r="G43" s="311"/>
      <c r="H43" s="311"/>
    </row>
    <row r="44" spans="2:8" x14ac:dyDescent="0.25">
      <c r="B44" s="311"/>
      <c r="C44" s="311"/>
      <c r="D44" s="311"/>
      <c r="E44" s="311"/>
      <c r="F44" s="311"/>
      <c r="G44" s="311"/>
      <c r="H44" s="311"/>
    </row>
  </sheetData>
  <mergeCells count="7">
    <mergeCell ref="B23:H44"/>
    <mergeCell ref="B1:H1"/>
    <mergeCell ref="H2:H22"/>
    <mergeCell ref="C20:D20"/>
    <mergeCell ref="F20:G20"/>
    <mergeCell ref="C21:D21"/>
    <mergeCell ref="F21:G21"/>
  </mergeCells>
  <dataValidations disablePrompts="1" count="2">
    <dataValidation type="list" allowBlank="1" showInputMessage="1" showErrorMessage="1" sqref="G14" xr:uid="{F9DEADCA-3A8D-43EA-BC52-9520D554EECC}">
      <formula1>$L$15:$L$21</formula1>
    </dataValidation>
    <dataValidation type="list" allowBlank="1" showInputMessage="1" showErrorMessage="1" sqref="G15" xr:uid="{A33E8194-52E5-4879-9D3F-EFF777D8DCC6}">
      <formula1>$J$15:$J$22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CCF9-2FA0-489A-8874-F1973A60F96C}">
  <dimension ref="B1:M44"/>
  <sheetViews>
    <sheetView rightToLeft="1" topLeftCell="D1" workbookViewId="0">
      <selection activeCell="M4" sqref="M4"/>
    </sheetView>
  </sheetViews>
  <sheetFormatPr defaultRowHeight="15" x14ac:dyDescent="0.25"/>
  <cols>
    <col min="1" max="1" width="8.140625" customWidth="1"/>
    <col min="2" max="2" width="1.5703125" customWidth="1"/>
    <col min="3" max="3" width="25.5703125" customWidth="1"/>
    <col min="4" max="4" width="32.5703125" customWidth="1"/>
    <col min="5" max="5" width="1.5703125" customWidth="1"/>
    <col min="6" max="6" width="32.5703125" customWidth="1"/>
    <col min="7" max="7" width="30.5703125" customWidth="1"/>
    <col min="8" max="8" width="1.5703125" customWidth="1"/>
    <col min="10" max="10" width="17.28515625" customWidth="1"/>
    <col min="11" max="12" width="5.140625" customWidth="1"/>
    <col min="13" max="13" width="18.140625" customWidth="1"/>
  </cols>
  <sheetData>
    <row r="1" spans="2:13" x14ac:dyDescent="0.25">
      <c r="B1" s="311"/>
      <c r="C1" s="311"/>
      <c r="D1" s="311"/>
      <c r="E1" s="311"/>
      <c r="F1" s="311"/>
      <c r="G1" s="311"/>
      <c r="H1" s="311"/>
    </row>
    <row r="2" spans="2:13" x14ac:dyDescent="0.25">
      <c r="B2" s="103"/>
      <c r="C2" s="104"/>
      <c r="D2" s="104"/>
      <c r="E2" s="104"/>
      <c r="F2" s="104"/>
      <c r="G2" s="104"/>
      <c r="H2" s="312"/>
      <c r="M2">
        <v>0.75</v>
      </c>
    </row>
    <row r="3" spans="2:13" ht="18.75" x14ac:dyDescent="0.25">
      <c r="B3" s="103"/>
      <c r="C3" s="105" t="s">
        <v>132</v>
      </c>
      <c r="D3" s="106">
        <f>'پیش فاکتور گیوتین'!C17</f>
        <v>2200000</v>
      </c>
      <c r="E3" s="105"/>
      <c r="F3" s="107" t="s">
        <v>133</v>
      </c>
      <c r="G3" s="107" t="s">
        <v>134</v>
      </c>
      <c r="H3" s="312"/>
      <c r="J3" s="4" t="s">
        <v>7</v>
      </c>
      <c r="M3">
        <v>1.18</v>
      </c>
    </row>
    <row r="4" spans="2:13" ht="18.75" x14ac:dyDescent="0.25">
      <c r="B4" s="103"/>
      <c r="C4" s="105" t="s">
        <v>135</v>
      </c>
      <c r="D4" s="106">
        <f>'پیش فاکتور گیوتین'!C19</f>
        <v>450000</v>
      </c>
      <c r="E4" s="108"/>
      <c r="F4" s="109"/>
      <c r="G4" s="109"/>
      <c r="H4" s="312"/>
      <c r="J4" s="4"/>
    </row>
    <row r="5" spans="2:13" ht="21" x14ac:dyDescent="0.25">
      <c r="B5" s="110"/>
      <c r="C5" s="105" t="s">
        <v>136</v>
      </c>
      <c r="D5" s="19" t="s">
        <v>184</v>
      </c>
      <c r="E5" s="111"/>
      <c r="F5" s="106">
        <f t="shared" ref="F5:F12" si="0">G5*$M$2</f>
        <v>5310000</v>
      </c>
      <c r="G5" s="106">
        <f t="shared" ref="G5:G12" si="1">M5*$M$3*0.75</f>
        <v>7080000</v>
      </c>
      <c r="H5" s="312"/>
      <c r="J5" s="19" t="s">
        <v>184</v>
      </c>
      <c r="M5" s="106">
        <v>8000000</v>
      </c>
    </row>
    <row r="6" spans="2:13" ht="21" x14ac:dyDescent="0.25">
      <c r="B6" s="110"/>
      <c r="C6" s="105" t="s">
        <v>136</v>
      </c>
      <c r="D6" s="20" t="s">
        <v>185</v>
      </c>
      <c r="E6" s="111"/>
      <c r="F6" s="106">
        <f t="shared" si="0"/>
        <v>6637500</v>
      </c>
      <c r="G6" s="106">
        <f t="shared" si="1"/>
        <v>8850000</v>
      </c>
      <c r="H6" s="312"/>
      <c r="J6" s="20" t="s">
        <v>185</v>
      </c>
      <c r="M6" s="106">
        <v>10000000</v>
      </c>
    </row>
    <row r="7" spans="2:13" ht="21" x14ac:dyDescent="0.25">
      <c r="B7" s="110"/>
      <c r="C7" s="105" t="s">
        <v>137</v>
      </c>
      <c r="D7" s="20" t="s">
        <v>181</v>
      </c>
      <c r="E7" s="112"/>
      <c r="F7" s="106">
        <f t="shared" si="0"/>
        <v>6637500</v>
      </c>
      <c r="G7" s="106">
        <f t="shared" si="1"/>
        <v>8850000</v>
      </c>
      <c r="H7" s="312"/>
      <c r="J7" s="20" t="s">
        <v>181</v>
      </c>
      <c r="M7" s="106">
        <v>10000000</v>
      </c>
    </row>
    <row r="8" spans="2:13" ht="21" x14ac:dyDescent="0.25">
      <c r="B8" s="110"/>
      <c r="C8" s="105" t="s">
        <v>137</v>
      </c>
      <c r="D8" s="20" t="s">
        <v>182</v>
      </c>
      <c r="E8" s="112"/>
      <c r="F8" s="106">
        <f t="shared" si="0"/>
        <v>7965000</v>
      </c>
      <c r="G8" s="106">
        <f t="shared" si="1"/>
        <v>10620000</v>
      </c>
      <c r="H8" s="312"/>
      <c r="J8" s="20" t="s">
        <v>182</v>
      </c>
      <c r="M8" s="106">
        <v>12000000</v>
      </c>
    </row>
    <row r="9" spans="2:13" ht="21" x14ac:dyDescent="0.25">
      <c r="B9" s="113"/>
      <c r="C9" s="105" t="s">
        <v>137</v>
      </c>
      <c r="D9" s="20" t="s">
        <v>183</v>
      </c>
      <c r="E9" s="112"/>
      <c r="F9" s="106">
        <f t="shared" si="0"/>
        <v>9292500</v>
      </c>
      <c r="G9" s="106">
        <f t="shared" si="1"/>
        <v>12390000</v>
      </c>
      <c r="H9" s="312"/>
      <c r="J9" s="20" t="s">
        <v>183</v>
      </c>
      <c r="M9" s="106">
        <v>14000000</v>
      </c>
    </row>
    <row r="10" spans="2:13" ht="21" x14ac:dyDescent="0.25">
      <c r="B10" s="113"/>
      <c r="C10" s="105" t="s">
        <v>141</v>
      </c>
      <c r="D10" s="20" t="s">
        <v>178</v>
      </c>
      <c r="E10" s="112"/>
      <c r="F10" s="106">
        <f t="shared" si="0"/>
        <v>11947500</v>
      </c>
      <c r="G10" s="106">
        <f t="shared" si="1"/>
        <v>15930000</v>
      </c>
      <c r="H10" s="312"/>
      <c r="J10" s="20" t="s">
        <v>178</v>
      </c>
      <c r="M10" s="106">
        <v>18000000</v>
      </c>
    </row>
    <row r="11" spans="2:13" ht="21" x14ac:dyDescent="0.25">
      <c r="B11" s="113"/>
      <c r="C11" s="105" t="s">
        <v>141</v>
      </c>
      <c r="D11" s="20" t="s">
        <v>179</v>
      </c>
      <c r="E11" s="112"/>
      <c r="F11" s="106">
        <f t="shared" si="0"/>
        <v>13275000</v>
      </c>
      <c r="G11" s="106">
        <f t="shared" si="1"/>
        <v>17700000</v>
      </c>
      <c r="H11" s="312"/>
      <c r="J11" s="20" t="s">
        <v>179</v>
      </c>
      <c r="M11" s="106">
        <v>20000000</v>
      </c>
    </row>
    <row r="12" spans="2:13" ht="21" x14ac:dyDescent="0.25">
      <c r="B12" s="113"/>
      <c r="C12" s="105" t="s">
        <v>141</v>
      </c>
      <c r="D12" s="20" t="s">
        <v>180</v>
      </c>
      <c r="E12" s="112"/>
      <c r="F12" s="106">
        <f t="shared" si="0"/>
        <v>14602500</v>
      </c>
      <c r="G12" s="106">
        <f t="shared" si="1"/>
        <v>19470000</v>
      </c>
      <c r="H12" s="312"/>
      <c r="J12" s="20" t="s">
        <v>180</v>
      </c>
      <c r="M12" s="106">
        <v>22000000</v>
      </c>
    </row>
    <row r="13" spans="2:13" x14ac:dyDescent="0.25">
      <c r="B13" s="103"/>
      <c r="C13" s="104"/>
      <c r="D13" s="104"/>
      <c r="E13" s="104"/>
      <c r="F13" s="104"/>
      <c r="G13" s="104"/>
      <c r="H13" s="312"/>
    </row>
    <row r="14" spans="2:13" ht="21" x14ac:dyDescent="0.25">
      <c r="B14" s="103"/>
      <c r="C14" s="114" t="s">
        <v>145</v>
      </c>
      <c r="D14" s="165" t="str">
        <f>'پیش فاکتور گیوتین'!H11</f>
        <v xml:space="preserve">3 پانل </v>
      </c>
      <c r="E14" s="104"/>
      <c r="F14" s="114" t="s">
        <v>145</v>
      </c>
      <c r="G14" s="114">
        <v>5</v>
      </c>
      <c r="H14" s="312"/>
    </row>
    <row r="15" spans="2:13" ht="21" x14ac:dyDescent="0.25">
      <c r="B15" s="115"/>
      <c r="C15" s="114" t="s">
        <v>146</v>
      </c>
      <c r="D15" s="116" t="str">
        <f>'پیش فاکتور گیوتین'!G11</f>
        <v>5mm + 10 air spacer + 5mm</v>
      </c>
      <c r="E15" s="104"/>
      <c r="F15" s="117" t="s">
        <v>147</v>
      </c>
      <c r="G15" s="116" t="s">
        <v>138</v>
      </c>
      <c r="H15" s="312"/>
      <c r="J15" s="19" t="s">
        <v>184</v>
      </c>
      <c r="K15">
        <v>2</v>
      </c>
      <c r="L15" s="119">
        <v>3</v>
      </c>
    </row>
    <row r="16" spans="2:13" ht="18.75" x14ac:dyDescent="0.25">
      <c r="B16" s="115"/>
      <c r="C16" s="120" t="s">
        <v>148</v>
      </c>
      <c r="D16" s="121">
        <f>'پیش فاکتور گیوتین'!C11/100</f>
        <v>0</v>
      </c>
      <c r="E16" s="104"/>
      <c r="F16" s="120" t="s">
        <v>148</v>
      </c>
      <c r="G16" s="121">
        <v>6.5</v>
      </c>
      <c r="H16" s="312"/>
      <c r="J16" s="20" t="s">
        <v>185</v>
      </c>
      <c r="K16">
        <v>3</v>
      </c>
      <c r="L16" s="119">
        <v>4</v>
      </c>
    </row>
    <row r="17" spans="2:12" ht="26.25" x14ac:dyDescent="0.25">
      <c r="B17" s="115"/>
      <c r="C17" s="120" t="s">
        <v>149</v>
      </c>
      <c r="D17" s="121">
        <f>'پیش فاکتور گیوتین'!D11/100</f>
        <v>0</v>
      </c>
      <c r="E17" s="122"/>
      <c r="F17" s="120" t="s">
        <v>149</v>
      </c>
      <c r="G17" s="121">
        <v>2.2000000000000002</v>
      </c>
      <c r="H17" s="312"/>
      <c r="J17" s="20" t="s">
        <v>181</v>
      </c>
      <c r="K17">
        <v>4</v>
      </c>
      <c r="L17" s="119">
        <v>5</v>
      </c>
    </row>
    <row r="18" spans="2:12" ht="26.25" x14ac:dyDescent="0.25">
      <c r="B18" s="115"/>
      <c r="C18" s="123" t="s">
        <v>150</v>
      </c>
      <c r="D18" s="124">
        <f>'A2'!F4</f>
        <v>0</v>
      </c>
      <c r="E18" s="122"/>
      <c r="F18" s="123" t="s">
        <v>150</v>
      </c>
      <c r="G18" s="124">
        <f>'A2'!F39</f>
        <v>59.18</v>
      </c>
      <c r="H18" s="312"/>
      <c r="J18" s="20" t="s">
        <v>182</v>
      </c>
      <c r="L18" s="119">
        <v>6</v>
      </c>
    </row>
    <row r="19" spans="2:12" ht="26.25" x14ac:dyDescent="0.25">
      <c r="B19" s="115"/>
      <c r="C19" s="125"/>
      <c r="D19" s="126" t="e">
        <f>IF(OR(D15="-----",D14="-----"),0,(C20/(D16*D17)))</f>
        <v>#DIV/0!</v>
      </c>
      <c r="E19" s="122"/>
      <c r="F19" s="127"/>
      <c r="G19" s="126">
        <f>F20/(G16*G17)</f>
        <v>30960461.53846154</v>
      </c>
      <c r="H19" s="312"/>
      <c r="J19" s="20" t="s">
        <v>183</v>
      </c>
      <c r="L19" s="119" t="s">
        <v>151</v>
      </c>
    </row>
    <row r="20" spans="2:12" ht="26.25" x14ac:dyDescent="0.25">
      <c r="B20" s="115"/>
      <c r="C20" s="313" t="e">
        <f>'A2'!F5</f>
        <v>#DIV/0!</v>
      </c>
      <c r="D20" s="314"/>
      <c r="E20" s="122"/>
      <c r="F20" s="314">
        <f>'A2'!F40</f>
        <v>442734600.00000006</v>
      </c>
      <c r="G20" s="314"/>
      <c r="H20" s="312"/>
      <c r="J20" s="20" t="s">
        <v>178</v>
      </c>
      <c r="L20" s="119" t="s">
        <v>152</v>
      </c>
    </row>
    <row r="21" spans="2:12" ht="26.25" x14ac:dyDescent="0.25">
      <c r="B21" s="115"/>
      <c r="C21" s="315" t="str">
        <f>IF(AND(D16&gt;2,D16&lt;=4),"SAFE",IF(AND(D17&gt;=2.5,D17&lt;=4),"SAFE","OUT OF RANGE"))</f>
        <v>OUT OF RANGE</v>
      </c>
      <c r="D21" s="315"/>
      <c r="E21" s="122"/>
      <c r="F21" s="315" t="str">
        <f>IF(AND(G16&gt;1,G16&lt;=2),"2 PANEL",IF(AND(G16&gt;2,G16&lt;=3),"3 PANEL",IF(AND(G16&gt;3,G16&lt;=4.5),"4 PANEL",IF(AND(G16&gt;4.5,G16&lt;=6.5),"EXPANSION 3PANEL+ 3PANEL",IF(AND(G16&gt;6.5,G16&lt;=9),"EXPANSION 4PANEL+ 4PANEL",0)))))</f>
        <v>EXPANSION 3PANEL+ 3PANEL</v>
      </c>
      <c r="G21" s="315"/>
      <c r="H21" s="312"/>
      <c r="J21" s="20" t="s">
        <v>179</v>
      </c>
      <c r="L21" s="119" t="s">
        <v>153</v>
      </c>
    </row>
    <row r="22" spans="2:12" x14ac:dyDescent="0.25">
      <c r="B22" s="115"/>
      <c r="C22" s="104"/>
      <c r="D22" s="104"/>
      <c r="E22" s="104"/>
      <c r="F22" s="104"/>
      <c r="G22" s="104"/>
      <c r="H22" s="312"/>
      <c r="J22" s="20" t="s">
        <v>180</v>
      </c>
    </row>
    <row r="23" spans="2:12" x14ac:dyDescent="0.25">
      <c r="B23" s="311"/>
      <c r="C23" s="311"/>
      <c r="D23" s="311"/>
      <c r="E23" s="311"/>
      <c r="F23" s="311"/>
      <c r="G23" s="311"/>
      <c r="H23" s="311"/>
    </row>
    <row r="24" spans="2:12" x14ac:dyDescent="0.25">
      <c r="B24" s="311"/>
      <c r="C24" s="311"/>
      <c r="D24" s="311"/>
      <c r="E24" s="311"/>
      <c r="F24" s="311"/>
      <c r="G24" s="311"/>
      <c r="H24" s="311"/>
    </row>
    <row r="25" spans="2:12" x14ac:dyDescent="0.25">
      <c r="B25" s="311"/>
      <c r="C25" s="311"/>
      <c r="D25" s="311"/>
      <c r="E25" s="311"/>
      <c r="F25" s="311"/>
      <c r="G25" s="311"/>
      <c r="H25" s="311"/>
    </row>
    <row r="26" spans="2:12" x14ac:dyDescent="0.25">
      <c r="B26" s="311"/>
      <c r="C26" s="311"/>
      <c r="D26" s="311"/>
      <c r="E26" s="311"/>
      <c r="F26" s="311"/>
      <c r="G26" s="311"/>
      <c r="H26" s="311"/>
    </row>
    <row r="27" spans="2:12" x14ac:dyDescent="0.25">
      <c r="B27" s="311"/>
      <c r="C27" s="311"/>
      <c r="D27" s="311"/>
      <c r="E27" s="311"/>
      <c r="F27" s="311"/>
      <c r="G27" s="311"/>
      <c r="H27" s="311"/>
    </row>
    <row r="28" spans="2:12" x14ac:dyDescent="0.25">
      <c r="B28" s="311"/>
      <c r="C28" s="311"/>
      <c r="D28" s="311"/>
      <c r="E28" s="311"/>
      <c r="F28" s="311"/>
      <c r="G28" s="311"/>
      <c r="H28" s="311"/>
    </row>
    <row r="29" spans="2:12" x14ac:dyDescent="0.25">
      <c r="B29" s="311"/>
      <c r="C29" s="311"/>
      <c r="D29" s="311"/>
      <c r="E29" s="311"/>
      <c r="F29" s="311"/>
      <c r="G29" s="311"/>
      <c r="H29" s="311"/>
    </row>
    <row r="30" spans="2:12" x14ac:dyDescent="0.25">
      <c r="B30" s="311"/>
      <c r="C30" s="311"/>
      <c r="D30" s="311"/>
      <c r="E30" s="311"/>
      <c r="F30" s="311"/>
      <c r="G30" s="311"/>
      <c r="H30" s="311"/>
    </row>
    <row r="31" spans="2:12" x14ac:dyDescent="0.25">
      <c r="B31" s="311"/>
      <c r="C31" s="311"/>
      <c r="D31" s="311"/>
      <c r="E31" s="311"/>
      <c r="F31" s="311"/>
      <c r="G31" s="311"/>
      <c r="H31" s="311"/>
    </row>
    <row r="32" spans="2:12" x14ac:dyDescent="0.25">
      <c r="B32" s="311"/>
      <c r="C32" s="311"/>
      <c r="D32" s="311"/>
      <c r="E32" s="311"/>
      <c r="F32" s="311"/>
      <c r="G32" s="311"/>
      <c r="H32" s="311"/>
    </row>
    <row r="33" spans="2:8" x14ac:dyDescent="0.25">
      <c r="B33" s="311"/>
      <c r="C33" s="311"/>
      <c r="D33" s="311"/>
      <c r="E33" s="311"/>
      <c r="F33" s="311"/>
      <c r="G33" s="311"/>
      <c r="H33" s="311"/>
    </row>
    <row r="34" spans="2:8" x14ac:dyDescent="0.25">
      <c r="B34" s="311"/>
      <c r="C34" s="311"/>
      <c r="D34" s="311"/>
      <c r="E34" s="311"/>
      <c r="F34" s="311"/>
      <c r="G34" s="311"/>
      <c r="H34" s="311"/>
    </row>
    <row r="35" spans="2:8" x14ac:dyDescent="0.25">
      <c r="B35" s="311"/>
      <c r="C35" s="311"/>
      <c r="D35" s="311"/>
      <c r="E35" s="311"/>
      <c r="F35" s="311"/>
      <c r="G35" s="311"/>
      <c r="H35" s="311"/>
    </row>
    <row r="36" spans="2:8" x14ac:dyDescent="0.25">
      <c r="B36" s="311"/>
      <c r="C36" s="311"/>
      <c r="D36" s="311"/>
      <c r="E36" s="311"/>
      <c r="F36" s="311"/>
      <c r="G36" s="311"/>
      <c r="H36" s="311"/>
    </row>
    <row r="37" spans="2:8" x14ac:dyDescent="0.25">
      <c r="B37" s="311"/>
      <c r="C37" s="311"/>
      <c r="D37" s="311"/>
      <c r="E37" s="311"/>
      <c r="F37" s="311"/>
      <c r="G37" s="311"/>
      <c r="H37" s="311"/>
    </row>
    <row r="38" spans="2:8" x14ac:dyDescent="0.25">
      <c r="B38" s="311"/>
      <c r="C38" s="311"/>
      <c r="D38" s="311"/>
      <c r="E38" s="311"/>
      <c r="F38" s="311"/>
      <c r="G38" s="311"/>
      <c r="H38" s="311"/>
    </row>
    <row r="39" spans="2:8" x14ac:dyDescent="0.25">
      <c r="B39" s="311"/>
      <c r="C39" s="311"/>
      <c r="D39" s="311"/>
      <c r="E39" s="311"/>
      <c r="F39" s="311"/>
      <c r="G39" s="311"/>
      <c r="H39" s="311"/>
    </row>
    <row r="40" spans="2:8" x14ac:dyDescent="0.25">
      <c r="B40" s="311"/>
      <c r="C40" s="311"/>
      <c r="D40" s="311"/>
      <c r="E40" s="311"/>
      <c r="F40" s="311"/>
      <c r="G40" s="311"/>
      <c r="H40" s="311"/>
    </row>
    <row r="41" spans="2:8" x14ac:dyDescent="0.25">
      <c r="B41" s="311"/>
      <c r="C41" s="311"/>
      <c r="D41" s="311"/>
      <c r="E41" s="311"/>
      <c r="F41" s="311"/>
      <c r="G41" s="311"/>
      <c r="H41" s="311"/>
    </row>
    <row r="42" spans="2:8" x14ac:dyDescent="0.25">
      <c r="B42" s="311"/>
      <c r="C42" s="311"/>
      <c r="D42" s="311"/>
      <c r="E42" s="311"/>
      <c r="F42" s="311"/>
      <c r="G42" s="311"/>
      <c r="H42" s="311"/>
    </row>
    <row r="43" spans="2:8" x14ac:dyDescent="0.25">
      <c r="B43" s="311"/>
      <c r="C43" s="311"/>
      <c r="D43" s="311"/>
      <c r="E43" s="311"/>
      <c r="F43" s="311"/>
      <c r="G43" s="311"/>
      <c r="H43" s="311"/>
    </row>
    <row r="44" spans="2:8" x14ac:dyDescent="0.25">
      <c r="B44" s="311"/>
      <c r="C44" s="311"/>
      <c r="D44" s="311"/>
      <c r="E44" s="311"/>
      <c r="F44" s="311"/>
      <c r="G44" s="311"/>
      <c r="H44" s="311"/>
    </row>
  </sheetData>
  <mergeCells count="7">
    <mergeCell ref="B23:H44"/>
    <mergeCell ref="B1:H1"/>
    <mergeCell ref="H2:H22"/>
    <mergeCell ref="C20:D20"/>
    <mergeCell ref="F20:G20"/>
    <mergeCell ref="C21:D21"/>
    <mergeCell ref="F21:G21"/>
  </mergeCells>
  <dataValidations count="2">
    <dataValidation type="list" allowBlank="1" showInputMessage="1" showErrorMessage="1" sqref="G15" xr:uid="{EC0608D5-1BFF-43C7-B7C2-FAFC3840CBCF}">
      <formula1>$J$15:$J$22</formula1>
    </dataValidation>
    <dataValidation type="list" allowBlank="1" showInputMessage="1" showErrorMessage="1" sqref="G14" xr:uid="{88EC6950-DD17-49C3-AD4A-E3758E8C9D9E}">
      <formula1>$L$15:$L$21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46A4-F0E4-46CB-87BE-FD782CEA09E6}">
  <dimension ref="B1:M44"/>
  <sheetViews>
    <sheetView rightToLeft="1" topLeftCell="D1" workbookViewId="0">
      <selection activeCell="M4" sqref="M4"/>
    </sheetView>
  </sheetViews>
  <sheetFormatPr defaultRowHeight="15" x14ac:dyDescent="0.25"/>
  <cols>
    <col min="1" max="1" width="8.140625" customWidth="1"/>
    <col min="2" max="2" width="1.5703125" customWidth="1"/>
    <col min="3" max="3" width="25.5703125" customWidth="1"/>
    <col min="4" max="4" width="32.5703125" customWidth="1"/>
    <col min="5" max="5" width="1.5703125" customWidth="1"/>
    <col min="6" max="6" width="32.5703125" customWidth="1"/>
    <col min="7" max="7" width="30.5703125" customWidth="1"/>
    <col min="8" max="8" width="1.5703125" customWidth="1"/>
    <col min="10" max="10" width="17.28515625" customWidth="1"/>
    <col min="11" max="12" width="5.140625" customWidth="1"/>
    <col min="13" max="13" width="18.140625" customWidth="1"/>
  </cols>
  <sheetData>
    <row r="1" spans="2:13" x14ac:dyDescent="0.25">
      <c r="B1" s="311"/>
      <c r="C1" s="311"/>
      <c r="D1" s="311"/>
      <c r="E1" s="311"/>
      <c r="F1" s="311"/>
      <c r="G1" s="311"/>
      <c r="H1" s="311"/>
    </row>
    <row r="2" spans="2:13" x14ac:dyDescent="0.25">
      <c r="B2" s="103"/>
      <c r="C2" s="104"/>
      <c r="D2" s="104"/>
      <c r="E2" s="104"/>
      <c r="F2" s="104"/>
      <c r="G2" s="104"/>
      <c r="H2" s="312"/>
      <c r="M2">
        <v>0.75</v>
      </c>
    </row>
    <row r="3" spans="2:13" ht="18.75" x14ac:dyDescent="0.25">
      <c r="B3" s="103"/>
      <c r="C3" s="105" t="s">
        <v>132</v>
      </c>
      <c r="D3" s="106">
        <f>'پیش فاکتور گیوتین'!C17</f>
        <v>2200000</v>
      </c>
      <c r="E3" s="105"/>
      <c r="F3" s="107" t="s">
        <v>133</v>
      </c>
      <c r="G3" s="107" t="s">
        <v>134</v>
      </c>
      <c r="H3" s="312"/>
      <c r="J3" s="4" t="s">
        <v>7</v>
      </c>
      <c r="M3">
        <v>1.18</v>
      </c>
    </row>
    <row r="4" spans="2:13" ht="18.75" x14ac:dyDescent="0.25">
      <c r="B4" s="103"/>
      <c r="C4" s="105" t="s">
        <v>135</v>
      </c>
      <c r="D4" s="106">
        <f>'پیش فاکتور گیوتین'!C19</f>
        <v>450000</v>
      </c>
      <c r="E4" s="108"/>
      <c r="F4" s="109"/>
      <c r="G4" s="109"/>
      <c r="H4" s="312"/>
      <c r="J4" s="4"/>
    </row>
    <row r="5" spans="2:13" ht="21" x14ac:dyDescent="0.25">
      <c r="B5" s="110"/>
      <c r="C5" s="105" t="s">
        <v>136</v>
      </c>
      <c r="D5" s="19" t="s">
        <v>184</v>
      </c>
      <c r="E5" s="111"/>
      <c r="F5" s="106">
        <f t="shared" ref="F5:F12" si="0">G5*$M$2</f>
        <v>5310000</v>
      </c>
      <c r="G5" s="106">
        <f t="shared" ref="G5:G12" si="1">M5*$M$3*0.75</f>
        <v>7080000</v>
      </c>
      <c r="H5" s="312"/>
      <c r="J5" s="19" t="s">
        <v>184</v>
      </c>
      <c r="M5" s="106">
        <v>8000000</v>
      </c>
    </row>
    <row r="6" spans="2:13" ht="21" x14ac:dyDescent="0.25">
      <c r="B6" s="110"/>
      <c r="C6" s="105" t="s">
        <v>136</v>
      </c>
      <c r="D6" s="20" t="s">
        <v>185</v>
      </c>
      <c r="E6" s="111"/>
      <c r="F6" s="106">
        <f t="shared" si="0"/>
        <v>6637500</v>
      </c>
      <c r="G6" s="106">
        <f t="shared" si="1"/>
        <v>8850000</v>
      </c>
      <c r="H6" s="312"/>
      <c r="J6" s="20" t="s">
        <v>185</v>
      </c>
      <c r="M6" s="106">
        <v>10000000</v>
      </c>
    </row>
    <row r="7" spans="2:13" ht="21" x14ac:dyDescent="0.25">
      <c r="B7" s="110"/>
      <c r="C7" s="105" t="s">
        <v>137</v>
      </c>
      <c r="D7" s="20" t="s">
        <v>181</v>
      </c>
      <c r="E7" s="112"/>
      <c r="F7" s="106">
        <f t="shared" si="0"/>
        <v>6637500</v>
      </c>
      <c r="G7" s="106">
        <f t="shared" si="1"/>
        <v>8850000</v>
      </c>
      <c r="H7" s="312"/>
      <c r="J7" s="20" t="s">
        <v>181</v>
      </c>
      <c r="M7" s="106">
        <v>10000000</v>
      </c>
    </row>
    <row r="8" spans="2:13" ht="21" x14ac:dyDescent="0.25">
      <c r="B8" s="110"/>
      <c r="C8" s="105" t="s">
        <v>137</v>
      </c>
      <c r="D8" s="20" t="s">
        <v>182</v>
      </c>
      <c r="E8" s="112"/>
      <c r="F8" s="106">
        <f t="shared" si="0"/>
        <v>7965000</v>
      </c>
      <c r="G8" s="106">
        <f t="shared" si="1"/>
        <v>10620000</v>
      </c>
      <c r="H8" s="312"/>
      <c r="J8" s="20" t="s">
        <v>182</v>
      </c>
      <c r="M8" s="106">
        <v>12000000</v>
      </c>
    </row>
    <row r="9" spans="2:13" ht="21" x14ac:dyDescent="0.25">
      <c r="B9" s="113"/>
      <c r="C9" s="105" t="s">
        <v>137</v>
      </c>
      <c r="D9" s="20" t="s">
        <v>183</v>
      </c>
      <c r="E9" s="112"/>
      <c r="F9" s="106">
        <f t="shared" si="0"/>
        <v>9292500</v>
      </c>
      <c r="G9" s="106">
        <f t="shared" si="1"/>
        <v>12390000</v>
      </c>
      <c r="H9" s="312"/>
      <c r="J9" s="20" t="s">
        <v>183</v>
      </c>
      <c r="M9" s="106">
        <v>14000000</v>
      </c>
    </row>
    <row r="10" spans="2:13" ht="21" x14ac:dyDescent="0.25">
      <c r="B10" s="113"/>
      <c r="C10" s="105" t="s">
        <v>141</v>
      </c>
      <c r="D10" s="20" t="s">
        <v>178</v>
      </c>
      <c r="E10" s="112"/>
      <c r="F10" s="106">
        <f t="shared" si="0"/>
        <v>11947500</v>
      </c>
      <c r="G10" s="106">
        <f t="shared" si="1"/>
        <v>15930000</v>
      </c>
      <c r="H10" s="312"/>
      <c r="J10" s="20" t="s">
        <v>178</v>
      </c>
      <c r="M10" s="106">
        <v>18000000</v>
      </c>
    </row>
    <row r="11" spans="2:13" ht="21" x14ac:dyDescent="0.25">
      <c r="B11" s="113"/>
      <c r="C11" s="105" t="s">
        <v>141</v>
      </c>
      <c r="D11" s="20" t="s">
        <v>179</v>
      </c>
      <c r="E11" s="112"/>
      <c r="F11" s="106">
        <f t="shared" si="0"/>
        <v>13275000</v>
      </c>
      <c r="G11" s="106">
        <f t="shared" si="1"/>
        <v>17700000</v>
      </c>
      <c r="H11" s="312"/>
      <c r="J11" s="20" t="s">
        <v>179</v>
      </c>
      <c r="M11" s="106">
        <v>20000000</v>
      </c>
    </row>
    <row r="12" spans="2:13" ht="21" x14ac:dyDescent="0.25">
      <c r="B12" s="113"/>
      <c r="C12" s="105" t="s">
        <v>141</v>
      </c>
      <c r="D12" s="20" t="s">
        <v>180</v>
      </c>
      <c r="E12" s="112"/>
      <c r="F12" s="106">
        <f t="shared" si="0"/>
        <v>14602500</v>
      </c>
      <c r="G12" s="106">
        <f t="shared" si="1"/>
        <v>19470000</v>
      </c>
      <c r="H12" s="312"/>
      <c r="J12" s="20" t="s">
        <v>180</v>
      </c>
      <c r="M12" s="106">
        <v>22000000</v>
      </c>
    </row>
    <row r="13" spans="2:13" x14ac:dyDescent="0.25">
      <c r="B13" s="103"/>
      <c r="C13" s="104"/>
      <c r="D13" s="104"/>
      <c r="E13" s="104"/>
      <c r="F13" s="104"/>
      <c r="G13" s="104"/>
      <c r="H13" s="312"/>
    </row>
    <row r="14" spans="2:13" ht="21" x14ac:dyDescent="0.25">
      <c r="B14" s="103"/>
      <c r="C14" s="114" t="s">
        <v>145</v>
      </c>
      <c r="D14" s="165" t="str">
        <f>'پیش فاکتور گیوتین'!H13</f>
        <v xml:space="preserve">3 پانل </v>
      </c>
      <c r="E14" s="104"/>
      <c r="F14" s="114" t="s">
        <v>145</v>
      </c>
      <c r="G14" s="114">
        <v>5</v>
      </c>
      <c r="H14" s="312"/>
    </row>
    <row r="15" spans="2:13" ht="21" x14ac:dyDescent="0.25">
      <c r="B15" s="115"/>
      <c r="C15" s="114" t="s">
        <v>146</v>
      </c>
      <c r="D15" s="116" t="str">
        <f>'پیش فاکتور گیوتین'!G13</f>
        <v>5mm + 10 air spacer + 5mm</v>
      </c>
      <c r="E15" s="104"/>
      <c r="F15" s="117" t="s">
        <v>147</v>
      </c>
      <c r="G15" s="116" t="s">
        <v>138</v>
      </c>
      <c r="H15" s="312"/>
      <c r="J15" s="19" t="s">
        <v>184</v>
      </c>
      <c r="K15">
        <v>2</v>
      </c>
      <c r="L15" s="119">
        <v>3</v>
      </c>
    </row>
    <row r="16" spans="2:13" ht="18.75" x14ac:dyDescent="0.25">
      <c r="B16" s="115"/>
      <c r="C16" s="120" t="s">
        <v>148</v>
      </c>
      <c r="D16" s="121">
        <f>'پیش فاکتور گیوتین'!C13/100</f>
        <v>0</v>
      </c>
      <c r="E16" s="104"/>
      <c r="F16" s="120" t="s">
        <v>148</v>
      </c>
      <c r="G16" s="121">
        <v>6.5</v>
      </c>
      <c r="H16" s="312"/>
      <c r="J16" s="20" t="s">
        <v>185</v>
      </c>
      <c r="K16">
        <v>3</v>
      </c>
      <c r="L16" s="119">
        <v>4</v>
      </c>
    </row>
    <row r="17" spans="2:12" ht="26.25" x14ac:dyDescent="0.25">
      <c r="B17" s="115"/>
      <c r="C17" s="120" t="s">
        <v>149</v>
      </c>
      <c r="D17" s="121">
        <f>'پیش فاکتور گیوتین'!D13/100</f>
        <v>0</v>
      </c>
      <c r="E17" s="122"/>
      <c r="F17" s="120" t="s">
        <v>149</v>
      </c>
      <c r="G17" s="121">
        <v>2.2000000000000002</v>
      </c>
      <c r="H17" s="312"/>
      <c r="J17" s="20" t="s">
        <v>181</v>
      </c>
      <c r="K17">
        <v>4</v>
      </c>
      <c r="L17" s="119">
        <v>5</v>
      </c>
    </row>
    <row r="18" spans="2:12" ht="26.25" x14ac:dyDescent="0.25">
      <c r="B18" s="115"/>
      <c r="C18" s="123" t="s">
        <v>150</v>
      </c>
      <c r="D18" s="124">
        <f>'A4'!F4</f>
        <v>0</v>
      </c>
      <c r="E18" s="122"/>
      <c r="F18" s="123" t="s">
        <v>150</v>
      </c>
      <c r="G18" s="124">
        <f>'A4'!F39</f>
        <v>59.18</v>
      </c>
      <c r="H18" s="312"/>
      <c r="J18" s="20" t="s">
        <v>182</v>
      </c>
      <c r="L18" s="119">
        <v>6</v>
      </c>
    </row>
    <row r="19" spans="2:12" ht="26.25" x14ac:dyDescent="0.25">
      <c r="B19" s="115"/>
      <c r="C19" s="125"/>
      <c r="D19" s="126" t="e">
        <f>IF(OR(D15="-----",D14="-----"),0,(C20/(D16*D17)))</f>
        <v>#DIV/0!</v>
      </c>
      <c r="E19" s="122"/>
      <c r="F19" s="127"/>
      <c r="G19" s="126">
        <f>F20/(G16*G17)</f>
        <v>30960461.53846154</v>
      </c>
      <c r="H19" s="312"/>
      <c r="J19" s="20" t="s">
        <v>183</v>
      </c>
      <c r="L19" s="119" t="s">
        <v>151</v>
      </c>
    </row>
    <row r="20" spans="2:12" ht="26.25" x14ac:dyDescent="0.25">
      <c r="B20" s="115"/>
      <c r="C20" s="313" t="e">
        <f>'A4'!F5</f>
        <v>#DIV/0!</v>
      </c>
      <c r="D20" s="314"/>
      <c r="E20" s="122"/>
      <c r="F20" s="314">
        <f>'A4'!F40</f>
        <v>442734600.00000006</v>
      </c>
      <c r="G20" s="314"/>
      <c r="H20" s="312"/>
      <c r="J20" s="20" t="s">
        <v>178</v>
      </c>
      <c r="L20" s="119" t="s">
        <v>152</v>
      </c>
    </row>
    <row r="21" spans="2:12" ht="26.25" x14ac:dyDescent="0.25">
      <c r="B21" s="115"/>
      <c r="C21" s="315" t="str">
        <f>IF(AND(D16&gt;2,D16&lt;=4),"SAFE",IF(AND(D17&gt;=2.5,D17&lt;=4),"SAFE","OUT OF RANGE"))</f>
        <v>OUT OF RANGE</v>
      </c>
      <c r="D21" s="315"/>
      <c r="E21" s="122"/>
      <c r="F21" s="315" t="str">
        <f>IF(AND(G16&gt;1,G16&lt;=2),"2 PANEL",IF(AND(G16&gt;2,G16&lt;=3),"3 PANEL",IF(AND(G16&gt;3,G16&lt;=4.5),"4 PANEL",IF(AND(G16&gt;4.5,G16&lt;=6.5),"EXPANSION 3PANEL+ 3PANEL",IF(AND(G16&gt;6.5,G16&lt;=9),"EXPANSION 4PANEL+ 4PANEL",0)))))</f>
        <v>EXPANSION 3PANEL+ 3PANEL</v>
      </c>
      <c r="G21" s="315"/>
      <c r="H21" s="312"/>
      <c r="J21" s="20" t="s">
        <v>179</v>
      </c>
      <c r="L21" s="119" t="s">
        <v>153</v>
      </c>
    </row>
    <row r="22" spans="2:12" x14ac:dyDescent="0.25">
      <c r="B22" s="115"/>
      <c r="C22" s="104"/>
      <c r="D22" s="104"/>
      <c r="E22" s="104"/>
      <c r="F22" s="104"/>
      <c r="G22" s="104"/>
      <c r="H22" s="312"/>
      <c r="J22" s="20" t="s">
        <v>180</v>
      </c>
    </row>
    <row r="23" spans="2:12" x14ac:dyDescent="0.25">
      <c r="B23" s="311"/>
      <c r="C23" s="311"/>
      <c r="D23" s="311"/>
      <c r="E23" s="311"/>
      <c r="F23" s="311"/>
      <c r="G23" s="311"/>
      <c r="H23" s="311"/>
    </row>
    <row r="24" spans="2:12" x14ac:dyDescent="0.25">
      <c r="B24" s="311"/>
      <c r="C24" s="311"/>
      <c r="D24" s="311"/>
      <c r="E24" s="311"/>
      <c r="F24" s="311"/>
      <c r="G24" s="311"/>
      <c r="H24" s="311"/>
    </row>
    <row r="25" spans="2:12" x14ac:dyDescent="0.25">
      <c r="B25" s="311"/>
      <c r="C25" s="311"/>
      <c r="D25" s="311"/>
      <c r="E25" s="311"/>
      <c r="F25" s="311"/>
      <c r="G25" s="311"/>
      <c r="H25" s="311"/>
    </row>
    <row r="26" spans="2:12" x14ac:dyDescent="0.25">
      <c r="B26" s="311"/>
      <c r="C26" s="311"/>
      <c r="D26" s="311"/>
      <c r="E26" s="311"/>
      <c r="F26" s="311"/>
      <c r="G26" s="311"/>
      <c r="H26" s="311"/>
    </row>
    <row r="27" spans="2:12" x14ac:dyDescent="0.25">
      <c r="B27" s="311"/>
      <c r="C27" s="311"/>
      <c r="D27" s="311"/>
      <c r="E27" s="311"/>
      <c r="F27" s="311"/>
      <c r="G27" s="311"/>
      <c r="H27" s="311"/>
    </row>
    <row r="28" spans="2:12" x14ac:dyDescent="0.25">
      <c r="B28" s="311"/>
      <c r="C28" s="311"/>
      <c r="D28" s="311"/>
      <c r="E28" s="311"/>
      <c r="F28" s="311"/>
      <c r="G28" s="311"/>
      <c r="H28" s="311"/>
    </row>
    <row r="29" spans="2:12" x14ac:dyDescent="0.25">
      <c r="B29" s="311"/>
      <c r="C29" s="311"/>
      <c r="D29" s="311"/>
      <c r="E29" s="311"/>
      <c r="F29" s="311"/>
      <c r="G29" s="311"/>
      <c r="H29" s="311"/>
    </row>
    <row r="30" spans="2:12" x14ac:dyDescent="0.25">
      <c r="B30" s="311"/>
      <c r="C30" s="311"/>
      <c r="D30" s="311"/>
      <c r="E30" s="311"/>
      <c r="F30" s="311"/>
      <c r="G30" s="311"/>
      <c r="H30" s="311"/>
    </row>
    <row r="31" spans="2:12" x14ac:dyDescent="0.25">
      <c r="B31" s="311"/>
      <c r="C31" s="311"/>
      <c r="D31" s="311"/>
      <c r="E31" s="311"/>
      <c r="F31" s="311"/>
      <c r="G31" s="311"/>
      <c r="H31" s="311"/>
    </row>
    <row r="32" spans="2:12" x14ac:dyDescent="0.25">
      <c r="B32" s="311"/>
      <c r="C32" s="311"/>
      <c r="D32" s="311"/>
      <c r="E32" s="311"/>
      <c r="F32" s="311"/>
      <c r="G32" s="311"/>
      <c r="H32" s="311"/>
    </row>
    <row r="33" spans="2:8" x14ac:dyDescent="0.25">
      <c r="B33" s="311"/>
      <c r="C33" s="311"/>
      <c r="D33" s="311"/>
      <c r="E33" s="311"/>
      <c r="F33" s="311"/>
      <c r="G33" s="311"/>
      <c r="H33" s="311"/>
    </row>
    <row r="34" spans="2:8" x14ac:dyDescent="0.25">
      <c r="B34" s="311"/>
      <c r="C34" s="311"/>
      <c r="D34" s="311"/>
      <c r="E34" s="311"/>
      <c r="F34" s="311"/>
      <c r="G34" s="311"/>
      <c r="H34" s="311"/>
    </row>
    <row r="35" spans="2:8" x14ac:dyDescent="0.25">
      <c r="B35" s="311"/>
      <c r="C35" s="311"/>
      <c r="D35" s="311"/>
      <c r="E35" s="311"/>
      <c r="F35" s="311"/>
      <c r="G35" s="311"/>
      <c r="H35" s="311"/>
    </row>
    <row r="36" spans="2:8" x14ac:dyDescent="0.25">
      <c r="B36" s="311"/>
      <c r="C36" s="311"/>
      <c r="D36" s="311"/>
      <c r="E36" s="311"/>
      <c r="F36" s="311"/>
      <c r="G36" s="311"/>
      <c r="H36" s="311"/>
    </row>
    <row r="37" spans="2:8" x14ac:dyDescent="0.25">
      <c r="B37" s="311"/>
      <c r="C37" s="311"/>
      <c r="D37" s="311"/>
      <c r="E37" s="311"/>
      <c r="F37" s="311"/>
      <c r="G37" s="311"/>
      <c r="H37" s="311"/>
    </row>
    <row r="38" spans="2:8" x14ac:dyDescent="0.25">
      <c r="B38" s="311"/>
      <c r="C38" s="311"/>
      <c r="D38" s="311"/>
      <c r="E38" s="311"/>
      <c r="F38" s="311"/>
      <c r="G38" s="311"/>
      <c r="H38" s="311"/>
    </row>
    <row r="39" spans="2:8" x14ac:dyDescent="0.25">
      <c r="B39" s="311"/>
      <c r="C39" s="311"/>
      <c r="D39" s="311"/>
      <c r="E39" s="311"/>
      <c r="F39" s="311"/>
      <c r="G39" s="311"/>
      <c r="H39" s="311"/>
    </row>
    <row r="40" spans="2:8" x14ac:dyDescent="0.25">
      <c r="B40" s="311"/>
      <c r="C40" s="311"/>
      <c r="D40" s="311"/>
      <c r="E40" s="311"/>
      <c r="F40" s="311"/>
      <c r="G40" s="311"/>
      <c r="H40" s="311"/>
    </row>
    <row r="41" spans="2:8" x14ac:dyDescent="0.25">
      <c r="B41" s="311"/>
      <c r="C41" s="311"/>
      <c r="D41" s="311"/>
      <c r="E41" s="311"/>
      <c r="F41" s="311"/>
      <c r="G41" s="311"/>
      <c r="H41" s="311"/>
    </row>
    <row r="42" spans="2:8" x14ac:dyDescent="0.25">
      <c r="B42" s="311"/>
      <c r="C42" s="311"/>
      <c r="D42" s="311"/>
      <c r="E42" s="311"/>
      <c r="F42" s="311"/>
      <c r="G42" s="311"/>
      <c r="H42" s="311"/>
    </row>
    <row r="43" spans="2:8" x14ac:dyDescent="0.25">
      <c r="B43" s="311"/>
      <c r="C43" s="311"/>
      <c r="D43" s="311"/>
      <c r="E43" s="311"/>
      <c r="F43" s="311"/>
      <c r="G43" s="311"/>
      <c r="H43" s="311"/>
    </row>
    <row r="44" spans="2:8" x14ac:dyDescent="0.25">
      <c r="B44" s="311"/>
      <c r="C44" s="311"/>
      <c r="D44" s="311"/>
      <c r="E44" s="311"/>
      <c r="F44" s="311"/>
      <c r="G44" s="311"/>
      <c r="H44" s="311"/>
    </row>
  </sheetData>
  <mergeCells count="7">
    <mergeCell ref="B23:H44"/>
    <mergeCell ref="B1:H1"/>
    <mergeCell ref="H2:H22"/>
    <mergeCell ref="C20:D20"/>
    <mergeCell ref="F20:G20"/>
    <mergeCell ref="C21:D21"/>
    <mergeCell ref="F21:G21"/>
  </mergeCells>
  <dataValidations count="2">
    <dataValidation type="list" allowBlank="1" showInputMessage="1" showErrorMessage="1" sqref="G15" xr:uid="{C1B72FB3-0460-4213-9A75-BDC5ED3CBD24}">
      <formula1>$J$15:$J$22</formula1>
    </dataValidation>
    <dataValidation type="list" allowBlank="1" showInputMessage="1" showErrorMessage="1" sqref="G14" xr:uid="{7A940092-534B-4932-B7C4-5B8CE84ED7E9}">
      <formula1>$L$15:$L$21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2E34-6364-4EEF-8B08-AA6117A8F89F}">
  <dimension ref="B1:J63"/>
  <sheetViews>
    <sheetView topLeftCell="A22" workbookViewId="0">
      <selection activeCell="E28" sqref="E28"/>
    </sheetView>
  </sheetViews>
  <sheetFormatPr defaultRowHeight="15" x14ac:dyDescent="0.25"/>
  <cols>
    <col min="2" max="2" width="27.42578125" customWidth="1"/>
    <col min="3" max="3" width="15.7109375" customWidth="1"/>
    <col min="4" max="5" width="19.140625" customWidth="1"/>
    <col min="6" max="6" width="23.85546875" customWidth="1"/>
    <col min="8" max="8" width="10.42578125" customWidth="1"/>
    <col min="9" max="9" width="17.5703125" customWidth="1"/>
    <col min="10" max="10" width="14.5703125" customWidth="1"/>
  </cols>
  <sheetData>
    <row r="1" spans="2:10" ht="23.25" x14ac:dyDescent="0.25">
      <c r="B1" s="128" t="s">
        <v>145</v>
      </c>
      <c r="C1" s="166" t="str">
        <f>'1'!D14</f>
        <v xml:space="preserve">3 پانل </v>
      </c>
      <c r="D1" s="130"/>
      <c r="E1" s="130"/>
      <c r="F1" s="130"/>
    </row>
    <row r="2" spans="2:10" ht="23.25" x14ac:dyDescent="0.25">
      <c r="B2" s="128" t="s">
        <v>154</v>
      </c>
      <c r="C2" s="131">
        <f>'1'!$D$3</f>
        <v>2200000</v>
      </c>
      <c r="D2" s="318" t="s">
        <v>146</v>
      </c>
      <c r="E2" s="318"/>
      <c r="F2" s="318"/>
    </row>
    <row r="3" spans="2:10" ht="30" x14ac:dyDescent="0.25">
      <c r="B3" s="128" t="s">
        <v>148</v>
      </c>
      <c r="C3" s="132">
        <f>'1'!$D$16</f>
        <v>0</v>
      </c>
      <c r="D3" s="133" t="s">
        <v>155</v>
      </c>
      <c r="E3" s="134">
        <f>'پیش فاکتور گیوتین'!G19</f>
        <v>2.2000000000000002</v>
      </c>
      <c r="F3" s="134">
        <v>2.6</v>
      </c>
    </row>
    <row r="4" spans="2:10" ht="26.25" x14ac:dyDescent="0.25">
      <c r="B4" s="128" t="s">
        <v>149</v>
      </c>
      <c r="C4" s="132">
        <f>'1'!$D$17</f>
        <v>0</v>
      </c>
      <c r="D4" s="316" t="s">
        <v>150</v>
      </c>
      <c r="E4" s="316"/>
      <c r="F4" s="135">
        <f>SUM(F15:F24)*1.1</f>
        <v>0</v>
      </c>
      <c r="I4" s="182" t="s">
        <v>206</v>
      </c>
      <c r="J4" s="182" t="s">
        <v>207</v>
      </c>
    </row>
    <row r="5" spans="2:10" ht="18.75" x14ac:dyDescent="0.25">
      <c r="B5" s="19" t="s">
        <v>184</v>
      </c>
      <c r="C5" s="131">
        <f>J5</f>
        <v>0</v>
      </c>
      <c r="D5" s="316" t="s">
        <v>156</v>
      </c>
      <c r="E5" s="317" t="e">
        <f>C13*E3</f>
        <v>#DIV/0!</v>
      </c>
      <c r="F5" s="319" t="e">
        <f>E5*C3*C4</f>
        <v>#DIV/0!</v>
      </c>
      <c r="H5" s="19" t="s">
        <v>184</v>
      </c>
      <c r="I5" s="131">
        <f>IF(AND($C$3&gt;=2,$C$3&lt;=2.25),'1'!F5,IF(AND($C$3&gt;2.25,$C$3&lt;=3.25),'1'!F5*1.2,IF(AND($C$3&gt;3.25),'1'!F5*1.35,0)))</f>
        <v>0</v>
      </c>
      <c r="J5" s="131">
        <f>IF(AND($C$3&gt;=2,$C$3&lt;=2.25),'1'!G5,IF(AND($C$3&gt;2.25,$C$3&lt;=3.25),'1'!G5*1.2,IF(AND($C$3&gt;3.25),'1'!G5*1.35,0)))</f>
        <v>0</v>
      </c>
    </row>
    <row r="6" spans="2:10" ht="18.75" x14ac:dyDescent="0.25">
      <c r="B6" s="20" t="s">
        <v>185</v>
      </c>
      <c r="C6" s="131">
        <f t="shared" ref="C6:C12" si="0">J6</f>
        <v>0</v>
      </c>
      <c r="D6" s="316"/>
      <c r="E6" s="317"/>
      <c r="F6" s="320"/>
      <c r="H6" s="20" t="s">
        <v>185</v>
      </c>
      <c r="I6" s="131">
        <f>IF(AND($C$3&gt;=2,$C$3&lt;=2.25),'1'!F6,IF(AND($C$3&gt;2.25,$C$3&lt;=3.25),'1'!F6*1.2,IF(AND($C$3&gt;3.25),'1'!F6*1.35,0)))</f>
        <v>0</v>
      </c>
      <c r="J6" s="131">
        <f>IF(AND($C$3&gt;=2,$C$3&lt;=2.25),'1'!G6,IF(AND($C$3&gt;2.25,$C$3&lt;=3.25),'1'!G6*1.2,IF(AND($C$3&gt;3.25),'1'!G6*1.35,0)))</f>
        <v>0</v>
      </c>
    </row>
    <row r="7" spans="2:10" ht="28.5" x14ac:dyDescent="0.25">
      <c r="B7" s="20" t="s">
        <v>181</v>
      </c>
      <c r="C7" s="131">
        <f t="shared" si="0"/>
        <v>0</v>
      </c>
      <c r="D7" s="136"/>
      <c r="E7" s="137"/>
      <c r="F7" s="138"/>
      <c r="H7" s="20" t="s">
        <v>181</v>
      </c>
      <c r="I7" s="131">
        <f>IF(AND($C$3&gt;=2,$C$3&lt;=2.25),'1'!F7,IF(AND($C$3&gt;2.25,$C$3&lt;=3.25),'1'!F7*1.2,IF(AND($C$3&gt;3.25),'1'!F7*1.35,0)))</f>
        <v>0</v>
      </c>
      <c r="J7" s="131">
        <f>IF(AND($C$3&gt;=2,$C$3&lt;=2.25),'1'!G7,IF(AND($C$3&gt;2.25,$C$3&lt;=3.25),'1'!G7*1.2,IF(AND($C$3&gt;3.25),'1'!G7*1.35,0)))</f>
        <v>0</v>
      </c>
    </row>
    <row r="8" spans="2:10" ht="28.5" x14ac:dyDescent="0.25">
      <c r="B8" s="20" t="s">
        <v>182</v>
      </c>
      <c r="C8" s="131">
        <f t="shared" si="0"/>
        <v>0</v>
      </c>
      <c r="D8" s="136"/>
      <c r="E8" s="137"/>
      <c r="F8" s="138"/>
      <c r="H8" s="20" t="s">
        <v>182</v>
      </c>
      <c r="I8" s="131">
        <f>IF(AND($C$3&gt;=2,$C$3&lt;=2.25),'1'!F8,IF(AND($C$3&gt;2.25,$C$3&lt;=3.25),'1'!F8*1.2,IF(AND($C$3&gt;3.25),'1'!F8*1.35,0)))</f>
        <v>0</v>
      </c>
      <c r="J8" s="131">
        <f>IF(AND($C$3&gt;=2,$C$3&lt;=2.25),'1'!G8,IF(AND($C$3&gt;2.25,$C$3&lt;=3.25),'1'!G8*1.2,IF(AND($C$3&gt;3.25),'1'!G8*1.35,0)))</f>
        <v>0</v>
      </c>
    </row>
    <row r="9" spans="2:10" ht="28.5" x14ac:dyDescent="0.25">
      <c r="B9" s="20" t="s">
        <v>183</v>
      </c>
      <c r="C9" s="131">
        <f t="shared" si="0"/>
        <v>0</v>
      </c>
      <c r="D9" s="136"/>
      <c r="E9" s="137"/>
      <c r="F9" s="138"/>
      <c r="H9" s="20" t="s">
        <v>183</v>
      </c>
      <c r="I9" s="131">
        <f>IF(AND($C$3&gt;=2,$C$3&lt;=2.25),'1'!F9,IF(AND($C$3&gt;2.25,$C$3&lt;=3.25),'1'!F9*1.2,IF(AND($C$3&gt;3.25),'1'!F9*1.35,0)))</f>
        <v>0</v>
      </c>
      <c r="J9" s="131">
        <f>IF(AND($C$3&gt;=2,$C$3&lt;=2.25),'1'!G9,IF(AND($C$3&gt;2.25,$C$3&lt;=3.25),'1'!G9*1.2,IF(AND($C$3&gt;3.25),'1'!G9*1.35,0)))</f>
        <v>0</v>
      </c>
    </row>
    <row r="10" spans="2:10" ht="28.5" x14ac:dyDescent="0.25">
      <c r="B10" s="20" t="s">
        <v>178</v>
      </c>
      <c r="C10" s="131">
        <f t="shared" si="0"/>
        <v>0</v>
      </c>
      <c r="D10" s="136"/>
      <c r="E10" s="137"/>
      <c r="F10" s="138"/>
      <c r="H10" s="20" t="s">
        <v>178</v>
      </c>
      <c r="I10" s="131">
        <f>IF(AND($C$3&gt;=2,$C$3&lt;=2.25),'1'!F10,IF(AND($C$3&gt;2.25,$C$3&lt;=3.25),'1'!F10*1.2,IF(AND($C$3&gt;3.25),'1'!F10*1.35,0)))</f>
        <v>0</v>
      </c>
      <c r="J10" s="131">
        <f>IF(AND($C$3&gt;=2,$C$3&lt;=2.25),'1'!G10,IF(AND($C$3&gt;2.25,$C$3&lt;=3.25),'1'!G10*1.2,IF(AND($C$3&gt;3.25),'1'!G10*1.35,0)))</f>
        <v>0</v>
      </c>
    </row>
    <row r="11" spans="2:10" ht="28.5" x14ac:dyDescent="0.25">
      <c r="B11" s="20" t="s">
        <v>179</v>
      </c>
      <c r="C11" s="131">
        <f t="shared" si="0"/>
        <v>0</v>
      </c>
      <c r="D11" s="136"/>
      <c r="E11" s="137"/>
      <c r="F11" s="138"/>
      <c r="H11" s="20" t="s">
        <v>179</v>
      </c>
      <c r="I11" s="131">
        <f>IF(AND($C$3&gt;=2,$C$3&lt;=2.25),'1'!F11,IF(AND($C$3&gt;2.25,$C$3&lt;=3.25),'1'!F11*1.2,IF(AND($C$3&gt;3.25),'1'!F11*1.35,0)))</f>
        <v>0</v>
      </c>
      <c r="J11" s="131">
        <f>IF(AND($C$3&gt;=2,$C$3&lt;=2.25),'1'!G11,IF(AND($C$3&gt;2.25,$C$3&lt;=3.25),'1'!G11*1.2,IF(AND($C$3&gt;3.25),'1'!G11*1.35,0)))</f>
        <v>0</v>
      </c>
    </row>
    <row r="12" spans="2:10" ht="28.5" x14ac:dyDescent="0.25">
      <c r="B12" s="20" t="s">
        <v>180</v>
      </c>
      <c r="C12" s="131">
        <f t="shared" si="0"/>
        <v>0</v>
      </c>
      <c r="D12" s="136"/>
      <c r="E12" s="137"/>
      <c r="F12" s="138"/>
      <c r="H12" s="20" t="s">
        <v>180</v>
      </c>
      <c r="I12" s="131">
        <f>IF(AND($C$3&gt;=2,$C$3&lt;=2.25),'1'!F12,IF(AND($C$3&gt;2.25,$C$3&lt;=3.25),'1'!F12*1.2,IF(AND($C$3&gt;3.25),'1'!F12*1.35,0)))</f>
        <v>0</v>
      </c>
      <c r="J12" s="131">
        <f>IF(AND($C$3&gt;=2,$C$3&lt;=2.25),'1'!G12,IF(AND($C$3&gt;2.25,$C$3&lt;=3.25),'1'!G12*1.2,IF(AND($C$3&gt;3.25),'1'!G12*1.35,0)))</f>
        <v>0</v>
      </c>
    </row>
    <row r="13" spans="2:10" ht="21" x14ac:dyDescent="0.25">
      <c r="B13" s="139" t="s">
        <v>157</v>
      </c>
      <c r="C13" s="139" t="e">
        <f>SUM(F25:F33)/(C3*C4)</f>
        <v>#DIV/0!</v>
      </c>
      <c r="D13" s="139"/>
      <c r="E13" s="139"/>
      <c r="F13" s="140"/>
    </row>
    <row r="14" spans="2:10" ht="19.5" x14ac:dyDescent="0.25">
      <c r="B14" s="141"/>
      <c r="C14" s="142" t="s">
        <v>158</v>
      </c>
      <c r="D14" s="142" t="s">
        <v>159</v>
      </c>
      <c r="E14" s="143" t="s">
        <v>160</v>
      </c>
      <c r="F14" s="143" t="s">
        <v>161</v>
      </c>
    </row>
    <row r="15" spans="2:10" ht="35.1" customHeight="1" x14ac:dyDescent="0.25">
      <c r="B15" s="144"/>
      <c r="C15" s="145">
        <f>C3</f>
        <v>0</v>
      </c>
      <c r="D15" s="146">
        <v>1</v>
      </c>
      <c r="E15" s="146">
        <v>1.56</v>
      </c>
      <c r="F15" s="146">
        <f>C15*D15*E15</f>
        <v>0</v>
      </c>
    </row>
    <row r="16" spans="2:10" ht="35.1" customHeight="1" x14ac:dyDescent="0.25">
      <c r="B16" s="144"/>
      <c r="C16" s="145">
        <f>C15</f>
        <v>0</v>
      </c>
      <c r="D16" s="146">
        <v>1</v>
      </c>
      <c r="E16" s="146">
        <v>1.73</v>
      </c>
      <c r="F16" s="146">
        <f>C16*D16*E16</f>
        <v>0</v>
      </c>
    </row>
    <row r="17" spans="2:9" ht="35.1" customHeight="1" x14ac:dyDescent="0.25">
      <c r="B17" s="144"/>
      <c r="C17" s="145">
        <f>C15</f>
        <v>0</v>
      </c>
      <c r="D17" s="146">
        <v>1</v>
      </c>
      <c r="E17" s="146">
        <v>1.1559999999999999</v>
      </c>
      <c r="F17" s="146">
        <f>C17*D17*E17</f>
        <v>0</v>
      </c>
    </row>
    <row r="18" spans="2:9" ht="35.1" customHeight="1" x14ac:dyDescent="0.25">
      <c r="B18" s="141"/>
      <c r="C18" s="147">
        <f>C4</f>
        <v>0</v>
      </c>
      <c r="D18" s="146">
        <v>2</v>
      </c>
      <c r="E18" s="146">
        <v>1.87</v>
      </c>
      <c r="F18" s="146">
        <f>C18*D18*E18</f>
        <v>0</v>
      </c>
    </row>
    <row r="19" spans="2:9" ht="35.1" customHeight="1" x14ac:dyDescent="0.25">
      <c r="B19" s="141"/>
      <c r="C19" s="147">
        <f>C4</f>
        <v>0</v>
      </c>
      <c r="D19" s="146">
        <v>2</v>
      </c>
      <c r="E19" s="146">
        <v>0.75</v>
      </c>
      <c r="F19" s="146">
        <f t="shared" ref="F19:F33" si="1">C19*D19*E19</f>
        <v>0</v>
      </c>
    </row>
    <row r="20" spans="2:9" ht="35.1" customHeight="1" x14ac:dyDescent="0.25">
      <c r="B20" s="141"/>
      <c r="C20" s="147">
        <f>C4</f>
        <v>0</v>
      </c>
      <c r="D20" s="146">
        <v>2</v>
      </c>
      <c r="E20" s="146">
        <v>0.65</v>
      </c>
      <c r="F20" s="146">
        <f t="shared" si="1"/>
        <v>0</v>
      </c>
    </row>
    <row r="21" spans="2:9" ht="35.1" customHeight="1" x14ac:dyDescent="0.25">
      <c r="B21" s="141"/>
      <c r="C21" s="147">
        <f>C4</f>
        <v>0</v>
      </c>
      <c r="D21" s="146">
        <v>2</v>
      </c>
      <c r="E21" s="146">
        <v>0.56999999999999995</v>
      </c>
      <c r="F21" s="146">
        <f t="shared" si="1"/>
        <v>0</v>
      </c>
    </row>
    <row r="22" spans="2:9" ht="35.1" customHeight="1" x14ac:dyDescent="0.25">
      <c r="B22" s="141"/>
      <c r="C22" s="147">
        <f>C3</f>
        <v>0</v>
      </c>
      <c r="D22" s="146">
        <f>IF(AND(C1="2 پانل "),4,IF(AND(C1="3 پانل "),6,IF(AND(C1="4 پانل "),8,0)))</f>
        <v>6</v>
      </c>
      <c r="E22" s="146">
        <v>0.9</v>
      </c>
      <c r="F22" s="146">
        <f t="shared" si="1"/>
        <v>0</v>
      </c>
      <c r="I22" s="160" t="s">
        <v>7</v>
      </c>
    </row>
    <row r="23" spans="2:9" ht="35.1" customHeight="1" x14ac:dyDescent="0.25">
      <c r="B23" s="141"/>
      <c r="C23" s="147">
        <f>C3</f>
        <v>0</v>
      </c>
      <c r="D23" s="146">
        <f>IF(AND(C1="2 پانل "),2,IF(AND(C1="3 پانل "),4,IF(AND(C1="4 پانل "),6,0)))</f>
        <v>4</v>
      </c>
      <c r="E23" s="146">
        <v>0.34</v>
      </c>
      <c r="F23" s="146">
        <f t="shared" si="1"/>
        <v>0</v>
      </c>
      <c r="I23" s="163" t="s">
        <v>186</v>
      </c>
    </row>
    <row r="24" spans="2:9" ht="35.1" customHeight="1" x14ac:dyDescent="0.25">
      <c r="B24" s="141"/>
      <c r="C24" s="147">
        <f>(C21*D21)+(C22*D22)</f>
        <v>0</v>
      </c>
      <c r="D24" s="146">
        <f>IF(AND('1'!D15="8mm"),1,0)</f>
        <v>0</v>
      </c>
      <c r="E24" s="146">
        <v>0.25</v>
      </c>
      <c r="F24" s="146">
        <f t="shared" si="1"/>
        <v>0</v>
      </c>
      <c r="I24" s="163" t="s">
        <v>187</v>
      </c>
    </row>
    <row r="25" spans="2:9" ht="23.25" x14ac:dyDescent="0.25">
      <c r="B25" s="148" t="s">
        <v>162</v>
      </c>
      <c r="C25" s="147">
        <f>F4</f>
        <v>0</v>
      </c>
      <c r="D25" s="146">
        <v>1</v>
      </c>
      <c r="E25" s="149">
        <f>C2</f>
        <v>2200000</v>
      </c>
      <c r="F25" s="149">
        <f t="shared" si="1"/>
        <v>0</v>
      </c>
      <c r="I25" s="163" t="s">
        <v>188</v>
      </c>
    </row>
    <row r="26" spans="2:9" ht="23.25" x14ac:dyDescent="0.25">
      <c r="B26" s="148" t="s">
        <v>163</v>
      </c>
      <c r="C26" s="147">
        <f>C3*C4</f>
        <v>0</v>
      </c>
      <c r="D26" s="146">
        <v>1</v>
      </c>
      <c r="E26" s="149">
        <f>IF(AND('1'!D15="8mm Tempered Glass"),C5,IF(AND('1'!D15="10mm Tempered Glass"),C6,IF(AND('1'!D15="4mm + 12 air spacer + 4mm"),C7,IF(AND('1'!D15="5mm + 10 air spacer + 5mm"),C8,IF(AND('1'!D15="6mm + 8 air spacer + 6mm"),C9,IF(AND('1'!D15="Laminate Glass ( 5mm +1.52PVB+ 5mm )"),C10,IF(AND('1'!D15="Laminate Glass ( 6mm +1.52PVB+ 6mm )"),C11,IF(AND('1'!D15="Laminate Glass ( 8mm +1.52PVB+ 8mm )"),C12,0))))))))</f>
        <v>0</v>
      </c>
      <c r="F26" s="149">
        <f t="shared" si="1"/>
        <v>0</v>
      </c>
    </row>
    <row r="27" spans="2:9" ht="23.25" x14ac:dyDescent="0.25">
      <c r="B27" s="150" t="s">
        <v>164</v>
      </c>
      <c r="C27" s="147">
        <f>C4</f>
        <v>0</v>
      </c>
      <c r="D27" s="146">
        <f>C27*2</f>
        <v>0</v>
      </c>
      <c r="E27" s="149">
        <v>1200000</v>
      </c>
      <c r="F27" s="149">
        <f t="shared" si="1"/>
        <v>0</v>
      </c>
      <c r="I27" s="187" t="s">
        <v>108</v>
      </c>
    </row>
    <row r="28" spans="2:9" ht="23.25" x14ac:dyDescent="0.25">
      <c r="B28" s="150" t="s">
        <v>165</v>
      </c>
      <c r="C28" s="147">
        <v>1</v>
      </c>
      <c r="D28" s="146">
        <f>IF(AND(H28&gt;=11.5),2,1)</f>
        <v>1</v>
      </c>
      <c r="E28" s="149">
        <f>IF(AND('پیش فاکتور گیوتین'!F10="120Nm بکر آلمان "),(390*'پیش فاکتور گیوتین'!C18),IF(AND('پیش فاکتور گیوتین'!F10="120Nm  سامفی فرانسه "),(450*'پیش فاکتور گیوتین'!C18),IF(AND('پیش فاکتور گیوتین'!F10="اختصاصی سایه روشن 120Nm"),(110*'پیش فاکتور گیوتین'!C18),0)))</f>
        <v>77000000</v>
      </c>
      <c r="F28" s="149">
        <f t="shared" si="1"/>
        <v>77000000</v>
      </c>
      <c r="H28">
        <f>C3*C4</f>
        <v>0</v>
      </c>
      <c r="I28" s="187" t="s">
        <v>110</v>
      </c>
    </row>
    <row r="29" spans="2:9" ht="23.25" x14ac:dyDescent="0.25">
      <c r="B29" s="150" t="s">
        <v>166</v>
      </c>
      <c r="C29" s="147">
        <f>(C4*8*2)+(C3*12)</f>
        <v>0</v>
      </c>
      <c r="D29" s="146">
        <v>1</v>
      </c>
      <c r="E29" s="149">
        <v>15000</v>
      </c>
      <c r="F29" s="149">
        <f t="shared" si="1"/>
        <v>0</v>
      </c>
      <c r="I29" s="187" t="s">
        <v>195</v>
      </c>
    </row>
    <row r="30" spans="2:9" ht="23.25" x14ac:dyDescent="0.25">
      <c r="B30" s="150" t="s">
        <v>167</v>
      </c>
      <c r="C30" s="147">
        <f>C3</f>
        <v>0</v>
      </c>
      <c r="D30" s="146">
        <v>4</v>
      </c>
      <c r="E30" s="149">
        <v>315000</v>
      </c>
      <c r="F30" s="149">
        <f t="shared" si="1"/>
        <v>0</v>
      </c>
    </row>
    <row r="31" spans="2:9" ht="23.25" x14ac:dyDescent="0.25">
      <c r="B31" s="148" t="s">
        <v>168</v>
      </c>
      <c r="C31" s="147">
        <v>9</v>
      </c>
      <c r="D31" s="146">
        <v>1</v>
      </c>
      <c r="E31" s="149">
        <v>1500000</v>
      </c>
      <c r="F31" s="149">
        <f t="shared" si="1"/>
        <v>13500000</v>
      </c>
    </row>
    <row r="32" spans="2:9" ht="42" x14ac:dyDescent="0.25">
      <c r="B32" s="148" t="s">
        <v>169</v>
      </c>
      <c r="C32" s="147">
        <v>1</v>
      </c>
      <c r="D32" s="146">
        <v>1</v>
      </c>
      <c r="E32" s="149">
        <v>25000000</v>
      </c>
      <c r="F32" s="149">
        <f t="shared" si="1"/>
        <v>25000000</v>
      </c>
    </row>
    <row r="33" spans="2:10" ht="23.25" x14ac:dyDescent="0.25">
      <c r="B33" s="148" t="s">
        <v>135</v>
      </c>
      <c r="C33" s="147">
        <f>F4</f>
        <v>0</v>
      </c>
      <c r="D33" s="146">
        <v>1</v>
      </c>
      <c r="E33" s="149">
        <f>'1'!D4</f>
        <v>450000</v>
      </c>
      <c r="F33" s="149">
        <f t="shared" si="1"/>
        <v>0</v>
      </c>
    </row>
    <row r="34" spans="2:10" x14ac:dyDescent="0.25">
      <c r="D34" s="139"/>
      <c r="E34" s="139"/>
    </row>
    <row r="35" spans="2:10" x14ac:dyDescent="0.25">
      <c r="B35" s="151"/>
      <c r="C35" s="151"/>
      <c r="D35" s="151"/>
      <c r="E35" s="151"/>
      <c r="F35" s="151"/>
    </row>
    <row r="36" spans="2:10" ht="21" x14ac:dyDescent="0.25">
      <c r="B36" s="128" t="s">
        <v>145</v>
      </c>
      <c r="C36" s="129">
        <f>'1'!G14</f>
        <v>5</v>
      </c>
    </row>
    <row r="37" spans="2:10" ht="23.25" x14ac:dyDescent="0.25">
      <c r="B37" s="128" t="s">
        <v>154</v>
      </c>
      <c r="C37" s="131">
        <f>'1'!D3</f>
        <v>2200000</v>
      </c>
      <c r="D37" s="318" t="s">
        <v>147</v>
      </c>
      <c r="E37" s="318"/>
      <c r="F37" s="318"/>
    </row>
    <row r="38" spans="2:10" ht="30" x14ac:dyDescent="0.25">
      <c r="B38" s="128" t="s">
        <v>148</v>
      </c>
      <c r="C38" s="152">
        <f>'1'!G16</f>
        <v>6.5</v>
      </c>
      <c r="D38" s="153" t="s">
        <v>155</v>
      </c>
      <c r="E38" s="134">
        <v>2.2000000000000002</v>
      </c>
    </row>
    <row r="39" spans="2:10" ht="26.25" x14ac:dyDescent="0.25">
      <c r="B39" s="128" t="s">
        <v>149</v>
      </c>
      <c r="C39" s="152">
        <f>'1'!G17</f>
        <v>2.6</v>
      </c>
      <c r="D39" s="316" t="s">
        <v>150</v>
      </c>
      <c r="E39" s="316"/>
      <c r="F39" s="135">
        <f>SUM(F50:F56)*1.1</f>
        <v>62.920000000000009</v>
      </c>
    </row>
    <row r="40" spans="2:10" ht="26.25" x14ac:dyDescent="0.25">
      <c r="B40" s="118" t="s">
        <v>59</v>
      </c>
      <c r="C40" s="131">
        <f>IF($C$39&lt;=3,I40,J40)</f>
        <v>6372000</v>
      </c>
      <c r="D40" s="316" t="s">
        <v>156</v>
      </c>
      <c r="E40" s="317">
        <f>C48*E38</f>
        <v>27502082.84023669</v>
      </c>
      <c r="F40" s="154">
        <f>E40*C38*C39</f>
        <v>464785200.00000012</v>
      </c>
      <c r="H40" s="118" t="s">
        <v>59</v>
      </c>
      <c r="I40" s="131">
        <f>IF(AND($C$39&gt;=2,$C$39&lt;=2.25),'1'!F5,IF(AND($C$39&gt;2.25,$C$39&lt;=3.25),'1'!F5*1.2,0))</f>
        <v>6372000</v>
      </c>
      <c r="J40" s="131">
        <f>IF(AND($C$3&gt;=2,$C$3&lt;=2.25),'1'!G5,IF(AND($C$3&gt;2.25,$C$3&lt;=3.25),'1'!G5*1.2,IF(AND($C$3&gt;3.25),'1'!G5*1.35,0)))</f>
        <v>0</v>
      </c>
    </row>
    <row r="41" spans="2:10" ht="28.5" x14ac:dyDescent="0.25">
      <c r="B41" s="118" t="s">
        <v>60</v>
      </c>
      <c r="C41" s="131">
        <f t="shared" ref="C41:C47" si="2">IF($C$3&lt;=3,I41,J41)</f>
        <v>0</v>
      </c>
      <c r="D41" s="316"/>
      <c r="E41" s="317"/>
      <c r="F41" s="155"/>
      <c r="H41" s="118" t="s">
        <v>60</v>
      </c>
      <c r="I41" s="131">
        <f>IF(AND($C$3&gt;=2,$C$3&lt;=2.25),'1'!F6,IF(AND($C$3&gt;2.25,$C$3&lt;=3.25),'1'!F6*1.2,IF(AND($C$3&gt;3.25),'1'!F6*1.35,0)))</f>
        <v>0</v>
      </c>
      <c r="J41" s="131">
        <f>IF(AND($C$3&gt;=2,$C$3&lt;=2.25),'1'!G6,IF(AND($C$3&gt;2.25,$C$3&lt;=3.25),'1'!G6*1.2,IF(AND($C$3&gt;3.25),'1'!G6*1.35,0)))</f>
        <v>0</v>
      </c>
    </row>
    <row r="42" spans="2:10" ht="23.25" x14ac:dyDescent="0.25">
      <c r="B42" s="112" t="s">
        <v>138</v>
      </c>
      <c r="C42" s="131">
        <f t="shared" si="2"/>
        <v>0</v>
      </c>
      <c r="D42" s="136"/>
      <c r="E42" s="156"/>
      <c r="F42" s="157"/>
      <c r="H42" s="112" t="s">
        <v>138</v>
      </c>
      <c r="I42" s="131">
        <f>IF(AND($C$3&gt;=2,$C$3&lt;=2.25),'1'!F7,IF(AND($C$3&gt;2.25,$C$3&lt;=3.25),'1'!F7*1.2,IF(AND($C$3&gt;3.25),'1'!F7*1.35,0)))</f>
        <v>0</v>
      </c>
      <c r="J42" s="131">
        <f>IF(AND($C$3&gt;=2,$C$3&lt;=2.25),'1'!G7,IF(AND($C$3&gt;2.25,$C$3&lt;=3.25),'1'!G7*1.2,IF(AND($C$3&gt;3.25),'1'!G7*1.35,0)))</f>
        <v>0</v>
      </c>
    </row>
    <row r="43" spans="2:10" ht="23.25" x14ac:dyDescent="0.25">
      <c r="B43" s="112" t="s">
        <v>139</v>
      </c>
      <c r="C43" s="131">
        <f t="shared" si="2"/>
        <v>0</v>
      </c>
      <c r="D43" s="136"/>
      <c r="E43" s="158"/>
      <c r="F43" s="159"/>
      <c r="H43" s="112" t="s">
        <v>139</v>
      </c>
      <c r="I43" s="131">
        <f>IF(AND($C$3&gt;=2,$C$3&lt;=2.25),'1'!F8,IF(AND($C$3&gt;2.25,$C$3&lt;=3.25),'1'!F8*1.2,IF(AND($C$3&gt;3.25),'1'!F8*1.35,0)))</f>
        <v>0</v>
      </c>
      <c r="J43" s="131">
        <f>IF(AND($C$3&gt;=2,$C$3&lt;=2.25),'1'!G8,IF(AND($C$3&gt;2.25,$C$3&lt;=3.25),'1'!G8*1.2,IF(AND($C$3&gt;3.25),'1'!G8*1.35,0)))</f>
        <v>0</v>
      </c>
    </row>
    <row r="44" spans="2:10" ht="23.25" x14ac:dyDescent="0.25">
      <c r="B44" s="112" t="s">
        <v>140</v>
      </c>
      <c r="C44" s="131">
        <f t="shared" si="2"/>
        <v>0</v>
      </c>
      <c r="D44" s="136"/>
      <c r="E44" s="158"/>
      <c r="F44" s="159"/>
      <c r="H44" s="112" t="s">
        <v>140</v>
      </c>
      <c r="I44" s="131">
        <f>IF(AND($C$3&gt;=2,$C$3&lt;=2.25),'1'!F9,IF(AND($C$3&gt;2.25,$C$3&lt;=3.25),'1'!F9*1.2,IF(AND($C$3&gt;3.25),'1'!F9*1.35,0)))</f>
        <v>0</v>
      </c>
      <c r="J44" s="131">
        <f>IF(AND($C$3&gt;=2,$C$3&lt;=2.25),'1'!G9,IF(AND($C$3&gt;2.25,$C$3&lt;=3.25),'1'!G9*1.2,IF(AND($C$3&gt;3.25),'1'!G9*1.35,0)))</f>
        <v>0</v>
      </c>
    </row>
    <row r="45" spans="2:10" ht="23.25" x14ac:dyDescent="0.25">
      <c r="B45" s="112" t="s">
        <v>142</v>
      </c>
      <c r="C45" s="131">
        <f t="shared" si="2"/>
        <v>0</v>
      </c>
      <c r="D45" s="136"/>
      <c r="E45" s="158"/>
      <c r="F45" s="159"/>
      <c r="H45" s="112" t="s">
        <v>142</v>
      </c>
      <c r="I45" s="131">
        <f>IF(AND($C$3&gt;=2,$C$3&lt;=2.25),'1'!F10,IF(AND($C$3&gt;2.25,$C$3&lt;=3.25),'1'!F10*1.2,IF(AND($C$3&gt;3.25),'1'!F10*1.35,0)))</f>
        <v>0</v>
      </c>
      <c r="J45" s="131">
        <f>IF(AND($C$3&gt;=2,$C$3&lt;=2.25),'1'!G10,IF(AND($C$3&gt;2.25,$C$3&lt;=3.25),'1'!G10*1.2,IF(AND($C$3&gt;3.25),'1'!G10*1.35,0)))</f>
        <v>0</v>
      </c>
    </row>
    <row r="46" spans="2:10" ht="23.25" x14ac:dyDescent="0.25">
      <c r="B46" s="112" t="s">
        <v>143</v>
      </c>
      <c r="C46" s="131">
        <f t="shared" si="2"/>
        <v>0</v>
      </c>
      <c r="D46" s="136"/>
      <c r="E46" s="158"/>
      <c r="F46" s="159"/>
      <c r="H46" s="112" t="s">
        <v>143</v>
      </c>
      <c r="I46" s="131">
        <f>IF(AND($C$3&gt;=2,$C$3&lt;=2.25),'1'!F11,IF(AND($C$3&gt;2.25,$C$3&lt;=3.25),'1'!F11*1.2,IF(AND($C$3&gt;3.25),'1'!F11*1.35,0)))</f>
        <v>0</v>
      </c>
      <c r="J46" s="131">
        <f>IF(AND($C$3&gt;=2,$C$3&lt;=2.25),'1'!G11,IF(AND($C$3&gt;2.25,$C$3&lt;=3.25),'1'!G11*1.2,IF(AND($C$3&gt;3.25),'1'!G11*1.35,0)))</f>
        <v>0</v>
      </c>
    </row>
    <row r="47" spans="2:10" ht="23.25" x14ac:dyDescent="0.25">
      <c r="B47" s="112" t="s">
        <v>144</v>
      </c>
      <c r="C47" s="131">
        <f t="shared" si="2"/>
        <v>0</v>
      </c>
      <c r="D47" s="136"/>
      <c r="E47" s="158"/>
      <c r="F47" s="159"/>
      <c r="H47" s="112" t="s">
        <v>144</v>
      </c>
      <c r="I47" s="131">
        <f>IF(AND($C$3&gt;=2,$C$3&lt;=2.25),'1'!F12,IF(AND($C$3&gt;2.25,$C$3&lt;=3.25),'1'!F12*1.2,IF(AND($C$3&gt;3.25),'1'!F12*1.35,0)))</f>
        <v>0</v>
      </c>
      <c r="J47" s="131">
        <f>IF(AND($C$3&gt;=2,$C$3&lt;=2.25),'1'!G12,IF(AND($C$3&gt;2.25,$C$3&lt;=3.25),'1'!G12*1.2,IF(AND($C$3&gt;3.25),'1'!G12*1.35,0)))</f>
        <v>0</v>
      </c>
    </row>
    <row r="48" spans="2:10" ht="21" x14ac:dyDescent="0.25">
      <c r="B48" s="139" t="s">
        <v>157</v>
      </c>
      <c r="C48" s="139">
        <f>SUM(F57:F63)/(C38*C39)</f>
        <v>12500946.745562131</v>
      </c>
      <c r="D48" s="139"/>
      <c r="E48" s="139"/>
      <c r="F48" s="140"/>
    </row>
    <row r="49" spans="2:6" ht="19.5" x14ac:dyDescent="0.25">
      <c r="B49" s="141"/>
      <c r="C49" s="142" t="s">
        <v>158</v>
      </c>
      <c r="D49" s="142" t="s">
        <v>159</v>
      </c>
      <c r="E49" s="143" t="s">
        <v>160</v>
      </c>
      <c r="F49" s="143" t="s">
        <v>161</v>
      </c>
    </row>
    <row r="50" spans="2:6" ht="23.25" x14ac:dyDescent="0.25">
      <c r="B50" s="141"/>
      <c r="C50" s="147">
        <f>C38</f>
        <v>6.5</v>
      </c>
      <c r="D50" s="146">
        <v>1</v>
      </c>
      <c r="E50" s="146">
        <v>2.1</v>
      </c>
      <c r="F50" s="146">
        <f>C50*D50*E50</f>
        <v>13.65</v>
      </c>
    </row>
    <row r="51" spans="2:6" ht="23.25" x14ac:dyDescent="0.25">
      <c r="B51" s="141"/>
      <c r="C51" s="147">
        <f>C39</f>
        <v>2.6</v>
      </c>
      <c r="D51" s="146">
        <v>2</v>
      </c>
      <c r="E51" s="146">
        <v>1.25</v>
      </c>
      <c r="F51" s="146">
        <f t="shared" ref="F51:F63" si="3">C51*D51*E51</f>
        <v>6.5</v>
      </c>
    </row>
    <row r="52" spans="2:6" ht="23.25" x14ac:dyDescent="0.25">
      <c r="B52" s="141"/>
      <c r="C52" s="147">
        <f>C38</f>
        <v>6.5</v>
      </c>
      <c r="D52" s="146">
        <v>1</v>
      </c>
      <c r="E52" s="146">
        <v>1.8</v>
      </c>
      <c r="F52" s="146">
        <f t="shared" si="3"/>
        <v>11.700000000000001</v>
      </c>
    </row>
    <row r="53" spans="2:6" ht="23.25" x14ac:dyDescent="0.25">
      <c r="B53" s="141"/>
      <c r="C53" s="147">
        <f>C38</f>
        <v>6.5</v>
      </c>
      <c r="D53" s="146">
        <v>1</v>
      </c>
      <c r="E53" s="146">
        <v>1.5</v>
      </c>
      <c r="F53" s="146">
        <f t="shared" si="3"/>
        <v>9.75</v>
      </c>
    </row>
    <row r="54" spans="2:6" ht="23.25" x14ac:dyDescent="0.25">
      <c r="B54" s="141"/>
      <c r="C54" s="147">
        <f>C39</f>
        <v>2.6</v>
      </c>
      <c r="D54" s="146">
        <f>IF(AND(C36=3),2,IF(AND(C36=4),2,IF(AND(C36=5),2,IF(AND(C36=6),2,IF(AND(C36="2+2"),3,IF(AND(C36="3+3"),3,IF(AND(C36="4+4"),3,0)))))))</f>
        <v>2</v>
      </c>
      <c r="E54" s="146">
        <v>1</v>
      </c>
      <c r="F54" s="146">
        <f t="shared" si="3"/>
        <v>5.2</v>
      </c>
    </row>
    <row r="55" spans="2:6" ht="23.25" x14ac:dyDescent="0.25">
      <c r="B55" s="141"/>
      <c r="C55" s="147">
        <f>C39</f>
        <v>2.6</v>
      </c>
      <c r="D55" s="146">
        <f>IF(AND(C36=3),4,IF(AND(C36=4),6,IF(AND(C36=5),8,IF(AND(C36=6),10,IF(AND(C36="2+2"),5,IF(AND(C36="3+3"),9,IF(AND(C36="4+4"),13,0)))))))</f>
        <v>8</v>
      </c>
      <c r="E55" s="146">
        <v>0.5</v>
      </c>
      <c r="F55" s="146">
        <f t="shared" si="3"/>
        <v>10.4</v>
      </c>
    </row>
    <row r="56" spans="2:6" ht="23.25" x14ac:dyDescent="0.25">
      <c r="B56" s="141"/>
      <c r="C56" s="147">
        <f>C39*8+C38*2</f>
        <v>33.799999999999997</v>
      </c>
      <c r="D56" s="146">
        <f>IF(AND('1'!D15="8mm"),1,0)</f>
        <v>0</v>
      </c>
      <c r="E56" s="146">
        <v>0.25</v>
      </c>
      <c r="F56" s="146">
        <f t="shared" si="3"/>
        <v>0</v>
      </c>
    </row>
    <row r="57" spans="2:6" ht="23.25" x14ac:dyDescent="0.25">
      <c r="B57" s="148" t="s">
        <v>162</v>
      </c>
      <c r="C57" s="147">
        <f>F39</f>
        <v>62.920000000000009</v>
      </c>
      <c r="D57" s="146">
        <v>1</v>
      </c>
      <c r="E57" s="149">
        <f>C37</f>
        <v>2200000</v>
      </c>
      <c r="F57" s="149">
        <f t="shared" si="3"/>
        <v>138424000.00000003</v>
      </c>
    </row>
    <row r="58" spans="2:6" ht="23.25" x14ac:dyDescent="0.25">
      <c r="B58" s="148" t="s">
        <v>163</v>
      </c>
      <c r="C58" s="147">
        <f>C38*C39</f>
        <v>16.900000000000002</v>
      </c>
      <c r="D58" s="146">
        <v>1</v>
      </c>
      <c r="E58" s="149">
        <f>IF(AND('1'!G15="8mm Tempered Glass"),C5,IF(AND('1'!G15="10mm Tempered Glass"),C6,IF(AND('1'!G15="4mm + 12 air spacer + 4mm"),C7,IF(AND('1'!G15="5mm + 10 air spacer + 5mm"),C8,IF(AND('1'!G15="6mm + 8 air spacer + 6mm"),C9,IF(AND('1'!G15="Laminate Glass ( 5mm +1.52PVB+ 5mm )"),C10,IF(AND('1'!G15="Laminate Glass ( 6mm +1.52PVB+ 6mm )"),C11,IF(AND('1'!G15="Laminate Glass ( 8mm +1.52PVB+ 8mm )"),C12,0))))))))</f>
        <v>0</v>
      </c>
      <c r="F58" s="149">
        <f t="shared" si="3"/>
        <v>0</v>
      </c>
    </row>
    <row r="59" spans="2:6" ht="23.25" x14ac:dyDescent="0.25">
      <c r="B59" s="150" t="s">
        <v>170</v>
      </c>
      <c r="C59" s="147">
        <f>IF(AND(C36=3),6,IF(AND(C36=4),8,IF(AND(C36=5),10,IF(AND(C36=6),12,IF(AND(C36="2+2"),8,IF(AND(C36="3+3"),12,IF(AND(C36="4+4"),16,0)))))))</f>
        <v>10</v>
      </c>
      <c r="D59" s="146">
        <v>1</v>
      </c>
      <c r="E59" s="149">
        <v>2800000</v>
      </c>
      <c r="F59" s="149">
        <f t="shared" si="3"/>
        <v>28000000</v>
      </c>
    </row>
    <row r="60" spans="2:6" ht="23.25" x14ac:dyDescent="0.25">
      <c r="B60" s="150" t="s">
        <v>166</v>
      </c>
      <c r="C60" s="147">
        <f>(C50*8)+(C51*2)+(C53*2)+(C54*D54*2)+(C55*D55)</f>
        <v>101.4</v>
      </c>
      <c r="D60" s="146">
        <v>1</v>
      </c>
      <c r="E60" s="149">
        <v>20000</v>
      </c>
      <c r="F60" s="149">
        <f t="shared" si="3"/>
        <v>2028000</v>
      </c>
    </row>
    <row r="61" spans="2:6" ht="23.25" x14ac:dyDescent="0.25">
      <c r="B61" s="148" t="s">
        <v>168</v>
      </c>
      <c r="C61" s="147">
        <f>C59</f>
        <v>10</v>
      </c>
      <c r="D61" s="146">
        <v>1</v>
      </c>
      <c r="E61" s="149">
        <v>750000</v>
      </c>
      <c r="F61" s="149">
        <f t="shared" si="3"/>
        <v>7500000</v>
      </c>
    </row>
    <row r="62" spans="2:6" ht="23.25" x14ac:dyDescent="0.25">
      <c r="B62" s="148" t="s">
        <v>171</v>
      </c>
      <c r="C62" s="147">
        <v>1</v>
      </c>
      <c r="D62" s="146">
        <v>1</v>
      </c>
      <c r="E62" s="149">
        <v>7000000</v>
      </c>
      <c r="F62" s="149">
        <f t="shared" si="3"/>
        <v>7000000</v>
      </c>
    </row>
    <row r="63" spans="2:6" ht="23.25" x14ac:dyDescent="0.25">
      <c r="B63" s="148" t="s">
        <v>135</v>
      </c>
      <c r="C63" s="147">
        <f>F39</f>
        <v>62.920000000000009</v>
      </c>
      <c r="D63" s="146">
        <v>1</v>
      </c>
      <c r="E63" s="149">
        <f>'1'!D4</f>
        <v>450000</v>
      </c>
      <c r="F63" s="149">
        <f t="shared" si="3"/>
        <v>28314000.000000004</v>
      </c>
    </row>
  </sheetData>
  <mergeCells count="9">
    <mergeCell ref="D39:E39"/>
    <mergeCell ref="D40:D41"/>
    <mergeCell ref="E40:E41"/>
    <mergeCell ref="D2:F2"/>
    <mergeCell ref="D4:E4"/>
    <mergeCell ref="D5:D6"/>
    <mergeCell ref="E5:E6"/>
    <mergeCell ref="F5:F6"/>
    <mergeCell ref="D37:F37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AutoCAD.Drawing.20" shapeId="22529" r:id="rId4">
          <objectPr defaultSize="0" autoPict="0" r:id="rId5">
            <anchor moveWithCells="1" sizeWithCells="1">
              <from>
                <xdr:col>1</xdr:col>
                <xdr:colOff>657225</xdr:colOff>
                <xdr:row>17</xdr:row>
                <xdr:rowOff>38100</xdr:rowOff>
              </from>
              <to>
                <xdr:col>1</xdr:col>
                <xdr:colOff>1238250</xdr:colOff>
                <xdr:row>17</xdr:row>
                <xdr:rowOff>561975</xdr:rowOff>
              </to>
            </anchor>
          </objectPr>
        </oleObject>
      </mc:Choice>
      <mc:Fallback>
        <oleObject progId="AutoCAD.Drawing.20" shapeId="22529" r:id="rId4"/>
      </mc:Fallback>
    </mc:AlternateContent>
    <mc:AlternateContent xmlns:mc="http://schemas.openxmlformats.org/markup-compatibility/2006">
      <mc:Choice Requires="x14">
        <oleObject progId="AutoCAD.Drawing.20" shapeId="22530" r:id="rId6">
          <objectPr defaultSize="0" autoPict="0" r:id="rId7">
            <anchor moveWithCells="1" sizeWithCells="1">
              <from>
                <xdr:col>1</xdr:col>
                <xdr:colOff>809625</xdr:colOff>
                <xdr:row>18</xdr:row>
                <xdr:rowOff>57150</xdr:rowOff>
              </from>
              <to>
                <xdr:col>1</xdr:col>
                <xdr:colOff>1143000</xdr:colOff>
                <xdr:row>19</xdr:row>
                <xdr:rowOff>0</xdr:rowOff>
              </to>
            </anchor>
          </objectPr>
        </oleObject>
      </mc:Choice>
      <mc:Fallback>
        <oleObject progId="AutoCAD.Drawing.20" shapeId="22530" r:id="rId6"/>
      </mc:Fallback>
    </mc:AlternateContent>
    <mc:AlternateContent xmlns:mc="http://schemas.openxmlformats.org/markup-compatibility/2006">
      <mc:Choice Requires="x14">
        <oleObject progId="AutoCAD.Drawing.20" shapeId="22531" r:id="rId8">
          <objectPr defaultSize="0" autoPict="0" r:id="rId9">
            <anchor moveWithCells="1" sizeWithCells="1">
              <from>
                <xdr:col>1</xdr:col>
                <xdr:colOff>733425</xdr:colOff>
                <xdr:row>20</xdr:row>
                <xdr:rowOff>0</xdr:rowOff>
              </from>
              <to>
                <xdr:col>1</xdr:col>
                <xdr:colOff>1152525</xdr:colOff>
                <xdr:row>20</xdr:row>
                <xdr:rowOff>438150</xdr:rowOff>
              </to>
            </anchor>
          </objectPr>
        </oleObject>
      </mc:Choice>
      <mc:Fallback>
        <oleObject progId="AutoCAD.Drawing.20" shapeId="22531" r:id="rId8"/>
      </mc:Fallback>
    </mc:AlternateContent>
    <mc:AlternateContent xmlns:mc="http://schemas.openxmlformats.org/markup-compatibility/2006">
      <mc:Choice Requires="x14">
        <oleObject progId="AutoCAD.Drawing.20" shapeId="22532" r:id="rId10">
          <objectPr defaultSize="0" autoPict="0" r:id="rId11">
            <anchor moveWithCells="1" sizeWithCells="1">
              <from>
                <xdr:col>1</xdr:col>
                <xdr:colOff>762000</xdr:colOff>
                <xdr:row>21</xdr:row>
                <xdr:rowOff>0</xdr:rowOff>
              </from>
              <to>
                <xdr:col>1</xdr:col>
                <xdr:colOff>1143000</xdr:colOff>
                <xdr:row>21</xdr:row>
                <xdr:rowOff>504825</xdr:rowOff>
              </to>
            </anchor>
          </objectPr>
        </oleObject>
      </mc:Choice>
      <mc:Fallback>
        <oleObject progId="AutoCAD.Drawing.20" shapeId="22532" r:id="rId10"/>
      </mc:Fallback>
    </mc:AlternateContent>
    <mc:AlternateContent xmlns:mc="http://schemas.openxmlformats.org/markup-compatibility/2006">
      <mc:Choice Requires="x14">
        <oleObject progId="AutoCAD.Drawing.20" shapeId="22533" r:id="rId12">
          <objectPr defaultSize="0" autoPict="0" r:id="rId13">
            <anchor moveWithCells="1" sizeWithCells="1">
              <from>
                <xdr:col>1</xdr:col>
                <xdr:colOff>723900</xdr:colOff>
                <xdr:row>22</xdr:row>
                <xdr:rowOff>0</xdr:rowOff>
              </from>
              <to>
                <xdr:col>1</xdr:col>
                <xdr:colOff>1133475</xdr:colOff>
                <xdr:row>22</xdr:row>
                <xdr:rowOff>504825</xdr:rowOff>
              </to>
            </anchor>
          </objectPr>
        </oleObject>
      </mc:Choice>
      <mc:Fallback>
        <oleObject progId="AutoCAD.Drawing.20" shapeId="22533" r:id="rId12"/>
      </mc:Fallback>
    </mc:AlternateContent>
    <mc:AlternateContent xmlns:mc="http://schemas.openxmlformats.org/markup-compatibility/2006">
      <mc:Choice Requires="x14">
        <oleObject progId="AutoCAD.Drawing.20" shapeId="22534" r:id="rId14">
          <objectPr defaultSize="0" autoPict="0" r:id="rId15">
            <anchor moveWithCells="1" sizeWithCells="1">
              <from>
                <xdr:col>1</xdr:col>
                <xdr:colOff>676275</xdr:colOff>
                <xdr:row>23</xdr:row>
                <xdr:rowOff>28575</xdr:rowOff>
              </from>
              <to>
                <xdr:col>1</xdr:col>
                <xdr:colOff>1181100</xdr:colOff>
                <xdr:row>23</xdr:row>
                <xdr:rowOff>457200</xdr:rowOff>
              </to>
            </anchor>
          </objectPr>
        </oleObject>
      </mc:Choice>
      <mc:Fallback>
        <oleObject progId="AutoCAD.Drawing.20" shapeId="22534" r:id="rId14"/>
      </mc:Fallback>
    </mc:AlternateContent>
    <mc:AlternateContent xmlns:mc="http://schemas.openxmlformats.org/markup-compatibility/2006">
      <mc:Choice Requires="x14">
        <oleObject progId="AutoCAD.Drawing.20" shapeId="22535" r:id="rId16">
          <objectPr defaultSize="0" autoPict="0" r:id="rId17">
            <anchor moveWithCells="1" sizeWithCells="1">
              <from>
                <xdr:col>1</xdr:col>
                <xdr:colOff>885825</xdr:colOff>
                <xdr:row>19</xdr:row>
                <xdr:rowOff>47625</xdr:rowOff>
              </from>
              <to>
                <xdr:col>1</xdr:col>
                <xdr:colOff>1143000</xdr:colOff>
                <xdr:row>20</xdr:row>
                <xdr:rowOff>0</xdr:rowOff>
              </to>
            </anchor>
          </objectPr>
        </oleObject>
      </mc:Choice>
      <mc:Fallback>
        <oleObject progId="AutoCAD.Drawing.20" shapeId="22535" r:id="rId16"/>
      </mc:Fallback>
    </mc:AlternateContent>
    <mc:AlternateContent xmlns:mc="http://schemas.openxmlformats.org/markup-compatibility/2006">
      <mc:Choice Requires="x14">
        <oleObject progId="AutoCAD.Drawing.20" shapeId="22536" r:id="rId18">
          <objectPr defaultSize="0" autoPict="0" r:id="rId15">
            <anchor moveWithCells="1" sizeWithCells="1">
              <from>
                <xdr:col>1</xdr:col>
                <xdr:colOff>657225</xdr:colOff>
                <xdr:row>55</xdr:row>
                <xdr:rowOff>47625</xdr:rowOff>
              </from>
              <to>
                <xdr:col>1</xdr:col>
                <xdr:colOff>1162050</xdr:colOff>
                <xdr:row>55</xdr:row>
                <xdr:rowOff>476250</xdr:rowOff>
              </to>
            </anchor>
          </objectPr>
        </oleObject>
      </mc:Choice>
      <mc:Fallback>
        <oleObject progId="AutoCAD.Drawing.20" shapeId="22536" r:id="rId18"/>
      </mc:Fallback>
    </mc:AlternateContent>
    <mc:AlternateContent xmlns:mc="http://schemas.openxmlformats.org/markup-compatibility/2006">
      <mc:Choice Requires="x14">
        <oleObject progId="AutoCAD.Drawing.20" shapeId="22537" r:id="rId19">
          <objectPr defaultSize="0" autoPict="0" r:id="rId20">
            <anchor moveWithCells="1" sizeWithCells="1">
              <from>
                <xdr:col>1</xdr:col>
                <xdr:colOff>381000</xdr:colOff>
                <xdr:row>49</xdr:row>
                <xdr:rowOff>66675</xdr:rowOff>
              </from>
              <to>
                <xdr:col>1</xdr:col>
                <xdr:colOff>1438275</xdr:colOff>
                <xdr:row>49</xdr:row>
                <xdr:rowOff>314325</xdr:rowOff>
              </to>
            </anchor>
          </objectPr>
        </oleObject>
      </mc:Choice>
      <mc:Fallback>
        <oleObject progId="AutoCAD.Drawing.20" shapeId="22537" r:id="rId19"/>
      </mc:Fallback>
    </mc:AlternateContent>
    <mc:AlternateContent xmlns:mc="http://schemas.openxmlformats.org/markup-compatibility/2006">
      <mc:Choice Requires="x14">
        <oleObject progId="AutoCAD.Drawing.20" shapeId="22538" r:id="rId21">
          <objectPr defaultSize="0" autoPict="0" r:id="rId22">
            <anchor moveWithCells="1" sizeWithCells="1">
              <from>
                <xdr:col>1</xdr:col>
                <xdr:colOff>371475</xdr:colOff>
                <xdr:row>50</xdr:row>
                <xdr:rowOff>123825</xdr:rowOff>
              </from>
              <to>
                <xdr:col>1</xdr:col>
                <xdr:colOff>1476375</xdr:colOff>
                <xdr:row>50</xdr:row>
                <xdr:rowOff>304800</xdr:rowOff>
              </to>
            </anchor>
          </objectPr>
        </oleObject>
      </mc:Choice>
      <mc:Fallback>
        <oleObject progId="AutoCAD.Drawing.20" shapeId="22538" r:id="rId21"/>
      </mc:Fallback>
    </mc:AlternateContent>
    <mc:AlternateContent xmlns:mc="http://schemas.openxmlformats.org/markup-compatibility/2006">
      <mc:Choice Requires="x14">
        <oleObject progId="AutoCAD.Drawing.20" shapeId="22539" r:id="rId23">
          <objectPr defaultSize="0" autoPict="0" r:id="rId24">
            <anchor moveWithCells="1" sizeWithCells="1">
              <from>
                <xdr:col>1</xdr:col>
                <xdr:colOff>352425</xdr:colOff>
                <xdr:row>51</xdr:row>
                <xdr:rowOff>180975</xdr:rowOff>
              </from>
              <to>
                <xdr:col>1</xdr:col>
                <xdr:colOff>1428750</xdr:colOff>
                <xdr:row>51</xdr:row>
                <xdr:rowOff>276225</xdr:rowOff>
              </to>
            </anchor>
          </objectPr>
        </oleObject>
      </mc:Choice>
      <mc:Fallback>
        <oleObject progId="AutoCAD.Drawing.20" shapeId="22539" r:id="rId23"/>
      </mc:Fallback>
    </mc:AlternateContent>
    <mc:AlternateContent xmlns:mc="http://schemas.openxmlformats.org/markup-compatibility/2006">
      <mc:Choice Requires="x14">
        <oleObject progId="AutoCAD.Drawing.20" shapeId="22540" r:id="rId25">
          <objectPr defaultSize="0" autoPict="0" r:id="rId26">
            <anchor moveWithCells="1" sizeWithCells="1">
              <from>
                <xdr:col>1</xdr:col>
                <xdr:colOff>361950</xdr:colOff>
                <xdr:row>52</xdr:row>
                <xdr:rowOff>66675</xdr:rowOff>
              </from>
              <to>
                <xdr:col>1</xdr:col>
                <xdr:colOff>1457325</xdr:colOff>
                <xdr:row>52</xdr:row>
                <xdr:rowOff>333375</xdr:rowOff>
              </to>
            </anchor>
          </objectPr>
        </oleObject>
      </mc:Choice>
      <mc:Fallback>
        <oleObject progId="AutoCAD.Drawing.20" shapeId="22540" r:id="rId25"/>
      </mc:Fallback>
    </mc:AlternateContent>
    <mc:AlternateContent xmlns:mc="http://schemas.openxmlformats.org/markup-compatibility/2006">
      <mc:Choice Requires="x14">
        <oleObject progId="AutoCAD.Drawing.20" shapeId="22541" r:id="rId27">
          <objectPr defaultSize="0" autoPict="0" r:id="rId28">
            <anchor moveWithCells="1" sizeWithCells="1">
              <from>
                <xdr:col>1</xdr:col>
                <xdr:colOff>523875</xdr:colOff>
                <xdr:row>53</xdr:row>
                <xdr:rowOff>28575</xdr:rowOff>
              </from>
              <to>
                <xdr:col>1</xdr:col>
                <xdr:colOff>1276350</xdr:colOff>
                <xdr:row>53</xdr:row>
                <xdr:rowOff>352425</xdr:rowOff>
              </to>
            </anchor>
          </objectPr>
        </oleObject>
      </mc:Choice>
      <mc:Fallback>
        <oleObject progId="AutoCAD.Drawing.20" shapeId="22541" r:id="rId27"/>
      </mc:Fallback>
    </mc:AlternateContent>
    <mc:AlternateContent xmlns:mc="http://schemas.openxmlformats.org/markup-compatibility/2006">
      <mc:Choice Requires="x14">
        <oleObject progId="AutoCAD.Drawing.20" shapeId="22542" r:id="rId29">
          <objectPr defaultSize="0" autoPict="0" r:id="rId30">
            <anchor moveWithCells="1" sizeWithCells="1">
              <from>
                <xdr:col>1</xdr:col>
                <xdr:colOff>666750</xdr:colOff>
                <xdr:row>53</xdr:row>
                <xdr:rowOff>495300</xdr:rowOff>
              </from>
              <to>
                <xdr:col>1</xdr:col>
                <xdr:colOff>1095375</xdr:colOff>
                <xdr:row>54</xdr:row>
                <xdr:rowOff>457200</xdr:rowOff>
              </to>
            </anchor>
          </objectPr>
        </oleObject>
      </mc:Choice>
      <mc:Fallback>
        <oleObject progId="AutoCAD.Drawing.20" shapeId="22542" r:id="rId29"/>
      </mc:Fallback>
    </mc:AlternateContent>
    <mc:AlternateContent xmlns:mc="http://schemas.openxmlformats.org/markup-compatibility/2006">
      <mc:Choice Requires="x14">
        <oleObject progId="AutoCAD.Drawing.24" shapeId="22543" r:id="rId31">
          <objectPr defaultSize="0" autoPict="0" r:id="rId32">
            <anchor moveWithCells="1" sizeWithCells="1">
              <from>
                <xdr:col>1</xdr:col>
                <xdr:colOff>581025</xdr:colOff>
                <xdr:row>15</xdr:row>
                <xdr:rowOff>38100</xdr:rowOff>
              </from>
              <to>
                <xdr:col>1</xdr:col>
                <xdr:colOff>1419225</xdr:colOff>
                <xdr:row>16</xdr:row>
                <xdr:rowOff>28575</xdr:rowOff>
              </to>
            </anchor>
          </objectPr>
        </oleObject>
      </mc:Choice>
      <mc:Fallback>
        <oleObject progId="AutoCAD.Drawing.24" shapeId="22543" r:id="rId31"/>
      </mc:Fallback>
    </mc:AlternateContent>
    <mc:AlternateContent xmlns:mc="http://schemas.openxmlformats.org/markup-compatibility/2006">
      <mc:Choice Requires="x14">
        <oleObject progId="AutoCAD.Drawing.24" shapeId="22544" r:id="rId33">
          <objectPr defaultSize="0" autoPict="0" r:id="rId34">
            <anchor moveWithCells="1" sizeWithCells="1">
              <from>
                <xdr:col>1</xdr:col>
                <xdr:colOff>590550</xdr:colOff>
                <xdr:row>14</xdr:row>
                <xdr:rowOff>28575</xdr:rowOff>
              </from>
              <to>
                <xdr:col>1</xdr:col>
                <xdr:colOff>1409700</xdr:colOff>
                <xdr:row>14</xdr:row>
                <xdr:rowOff>609600</xdr:rowOff>
              </to>
            </anchor>
          </objectPr>
        </oleObject>
      </mc:Choice>
      <mc:Fallback>
        <oleObject progId="AutoCAD.Drawing.24" shapeId="22544" r:id="rId33"/>
      </mc:Fallback>
    </mc:AlternateContent>
    <mc:AlternateContent xmlns:mc="http://schemas.openxmlformats.org/markup-compatibility/2006">
      <mc:Choice Requires="x14">
        <oleObject progId="AutoCAD.Drawing.24" shapeId="22545" r:id="rId35">
          <objectPr defaultSize="0" autoPict="0" r:id="rId36">
            <anchor moveWithCells="1" sizeWithCells="1">
              <from>
                <xdr:col>1</xdr:col>
                <xdr:colOff>361950</xdr:colOff>
                <xdr:row>16</xdr:row>
                <xdr:rowOff>238125</xdr:rowOff>
              </from>
              <to>
                <xdr:col>1</xdr:col>
                <xdr:colOff>1619250</xdr:colOff>
                <xdr:row>16</xdr:row>
                <xdr:rowOff>457200</xdr:rowOff>
              </to>
            </anchor>
          </objectPr>
        </oleObject>
      </mc:Choice>
      <mc:Fallback>
        <oleObject progId="AutoCAD.Drawing.24" shapeId="22545" r:id="rId3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80B6-109D-447C-8516-345755FA5925}">
  <dimension ref="B1:M44"/>
  <sheetViews>
    <sheetView rightToLeft="1" topLeftCell="D1" workbookViewId="0">
      <selection activeCell="M4" sqref="M4"/>
    </sheetView>
  </sheetViews>
  <sheetFormatPr defaultRowHeight="15" x14ac:dyDescent="0.25"/>
  <cols>
    <col min="1" max="1" width="8.140625" customWidth="1"/>
    <col min="2" max="2" width="1.5703125" customWidth="1"/>
    <col min="3" max="3" width="25.5703125" customWidth="1"/>
    <col min="4" max="4" width="32.5703125" customWidth="1"/>
    <col min="5" max="5" width="1.5703125" customWidth="1"/>
    <col min="6" max="6" width="32.5703125" customWidth="1"/>
    <col min="7" max="7" width="30.5703125" customWidth="1"/>
    <col min="8" max="8" width="1.5703125" customWidth="1"/>
    <col min="10" max="10" width="17.28515625" customWidth="1"/>
    <col min="11" max="12" width="5.140625" customWidth="1"/>
    <col min="13" max="13" width="18.140625" customWidth="1"/>
  </cols>
  <sheetData>
    <row r="1" spans="2:13" x14ac:dyDescent="0.25">
      <c r="B1" s="311"/>
      <c r="C1" s="311"/>
      <c r="D1" s="311"/>
      <c r="E1" s="311"/>
      <c r="F1" s="311"/>
      <c r="G1" s="311"/>
      <c r="H1" s="311"/>
    </row>
    <row r="2" spans="2:13" x14ac:dyDescent="0.25">
      <c r="B2" s="103"/>
      <c r="C2" s="104"/>
      <c r="D2" s="104"/>
      <c r="E2" s="104"/>
      <c r="F2" s="104"/>
      <c r="G2" s="104"/>
      <c r="H2" s="312"/>
      <c r="M2">
        <v>0.75</v>
      </c>
    </row>
    <row r="3" spans="2:13" ht="18.75" x14ac:dyDescent="0.25">
      <c r="B3" s="103"/>
      <c r="C3" s="105" t="s">
        <v>132</v>
      </c>
      <c r="D3" s="106">
        <f>'پیش فاکتور گیوتین'!C17</f>
        <v>2200000</v>
      </c>
      <c r="E3" s="105"/>
      <c r="F3" s="107" t="s">
        <v>133</v>
      </c>
      <c r="G3" s="107" t="s">
        <v>134</v>
      </c>
      <c r="H3" s="312"/>
      <c r="J3" s="4" t="s">
        <v>7</v>
      </c>
      <c r="M3">
        <v>1.18</v>
      </c>
    </row>
    <row r="4" spans="2:13" ht="18.75" x14ac:dyDescent="0.25">
      <c r="B4" s="103"/>
      <c r="C4" s="105" t="s">
        <v>135</v>
      </c>
      <c r="D4" s="106">
        <f>'پیش فاکتور گیوتین'!C19</f>
        <v>450000</v>
      </c>
      <c r="E4" s="108"/>
      <c r="F4" s="109"/>
      <c r="G4" s="109"/>
      <c r="H4" s="312"/>
      <c r="J4" s="4"/>
    </row>
    <row r="5" spans="2:13" ht="21" x14ac:dyDescent="0.25">
      <c r="B5" s="110"/>
      <c r="C5" s="105" t="s">
        <v>136</v>
      </c>
      <c r="D5" s="19" t="s">
        <v>184</v>
      </c>
      <c r="E5" s="111"/>
      <c r="F5" s="106">
        <f t="shared" ref="F5:F12" si="0">G5*$M$2</f>
        <v>5310000</v>
      </c>
      <c r="G5" s="106">
        <f t="shared" ref="G5:G12" si="1">M5*$M$3*0.75</f>
        <v>7080000</v>
      </c>
      <c r="H5" s="312"/>
      <c r="J5" s="19" t="s">
        <v>184</v>
      </c>
      <c r="M5" s="106">
        <v>8000000</v>
      </c>
    </row>
    <row r="6" spans="2:13" ht="21" x14ac:dyDescent="0.25">
      <c r="B6" s="110"/>
      <c r="C6" s="105" t="s">
        <v>136</v>
      </c>
      <c r="D6" s="20" t="s">
        <v>185</v>
      </c>
      <c r="E6" s="111"/>
      <c r="F6" s="106">
        <f t="shared" si="0"/>
        <v>6637500</v>
      </c>
      <c r="G6" s="106">
        <f t="shared" si="1"/>
        <v>8850000</v>
      </c>
      <c r="H6" s="312"/>
      <c r="J6" s="20" t="s">
        <v>185</v>
      </c>
      <c r="M6" s="106">
        <v>10000000</v>
      </c>
    </row>
    <row r="7" spans="2:13" ht="21" x14ac:dyDescent="0.25">
      <c r="B7" s="110"/>
      <c r="C7" s="105" t="s">
        <v>137</v>
      </c>
      <c r="D7" s="20" t="s">
        <v>181</v>
      </c>
      <c r="E7" s="112"/>
      <c r="F7" s="106">
        <f t="shared" si="0"/>
        <v>6637500</v>
      </c>
      <c r="G7" s="106">
        <f t="shared" si="1"/>
        <v>8850000</v>
      </c>
      <c r="H7" s="312"/>
      <c r="J7" s="20" t="s">
        <v>181</v>
      </c>
      <c r="M7" s="106">
        <v>10000000</v>
      </c>
    </row>
    <row r="8" spans="2:13" ht="21" x14ac:dyDescent="0.25">
      <c r="B8" s="110"/>
      <c r="C8" s="105" t="s">
        <v>137</v>
      </c>
      <c r="D8" s="20" t="s">
        <v>182</v>
      </c>
      <c r="E8" s="112"/>
      <c r="F8" s="106">
        <f t="shared" si="0"/>
        <v>7965000</v>
      </c>
      <c r="G8" s="106">
        <f t="shared" si="1"/>
        <v>10620000</v>
      </c>
      <c r="H8" s="312"/>
      <c r="J8" s="20" t="s">
        <v>182</v>
      </c>
      <c r="M8" s="106">
        <v>12000000</v>
      </c>
    </row>
    <row r="9" spans="2:13" ht="21" x14ac:dyDescent="0.25">
      <c r="B9" s="113"/>
      <c r="C9" s="105" t="s">
        <v>137</v>
      </c>
      <c r="D9" s="20" t="s">
        <v>183</v>
      </c>
      <c r="E9" s="112"/>
      <c r="F9" s="106">
        <f t="shared" si="0"/>
        <v>9292500</v>
      </c>
      <c r="G9" s="106">
        <f t="shared" si="1"/>
        <v>12390000</v>
      </c>
      <c r="H9" s="312"/>
      <c r="J9" s="20" t="s">
        <v>183</v>
      </c>
      <c r="M9" s="106">
        <v>14000000</v>
      </c>
    </row>
    <row r="10" spans="2:13" ht="21" x14ac:dyDescent="0.25">
      <c r="B10" s="113"/>
      <c r="C10" s="105" t="s">
        <v>141</v>
      </c>
      <c r="D10" s="20" t="s">
        <v>178</v>
      </c>
      <c r="E10" s="112"/>
      <c r="F10" s="106">
        <f t="shared" si="0"/>
        <v>11947500</v>
      </c>
      <c r="G10" s="106">
        <f t="shared" si="1"/>
        <v>15930000</v>
      </c>
      <c r="H10" s="312"/>
      <c r="J10" s="20" t="s">
        <v>178</v>
      </c>
      <c r="M10" s="106">
        <v>18000000</v>
      </c>
    </row>
    <row r="11" spans="2:13" ht="21" x14ac:dyDescent="0.25">
      <c r="B11" s="113"/>
      <c r="C11" s="105" t="s">
        <v>141</v>
      </c>
      <c r="D11" s="20" t="s">
        <v>179</v>
      </c>
      <c r="E11" s="112"/>
      <c r="F11" s="106">
        <f t="shared" si="0"/>
        <v>13275000</v>
      </c>
      <c r="G11" s="106">
        <f t="shared" si="1"/>
        <v>17700000</v>
      </c>
      <c r="H11" s="312"/>
      <c r="J11" s="20" t="s">
        <v>179</v>
      </c>
      <c r="M11" s="106">
        <v>20000000</v>
      </c>
    </row>
    <row r="12" spans="2:13" ht="21" x14ac:dyDescent="0.25">
      <c r="B12" s="113"/>
      <c r="C12" s="105" t="s">
        <v>141</v>
      </c>
      <c r="D12" s="20" t="s">
        <v>180</v>
      </c>
      <c r="E12" s="112"/>
      <c r="F12" s="106">
        <f t="shared" si="0"/>
        <v>14602500</v>
      </c>
      <c r="G12" s="106">
        <f t="shared" si="1"/>
        <v>19470000</v>
      </c>
      <c r="H12" s="312"/>
      <c r="J12" s="20" t="s">
        <v>180</v>
      </c>
      <c r="M12" s="106">
        <v>22000000</v>
      </c>
    </row>
    <row r="13" spans="2:13" x14ac:dyDescent="0.25">
      <c r="B13" s="103"/>
      <c r="C13" s="104"/>
      <c r="D13" s="104"/>
      <c r="E13" s="104"/>
      <c r="F13" s="104"/>
      <c r="G13" s="104"/>
      <c r="H13" s="312"/>
    </row>
    <row r="14" spans="2:13" ht="21" x14ac:dyDescent="0.25">
      <c r="B14" s="103"/>
      <c r="C14" s="114" t="s">
        <v>145</v>
      </c>
      <c r="D14" s="165" t="str">
        <f>'پیش فاکتور گیوتین'!H14</f>
        <v xml:space="preserve">3 پانل </v>
      </c>
      <c r="E14" s="104"/>
      <c r="F14" s="114" t="s">
        <v>145</v>
      </c>
      <c r="G14" s="114">
        <v>5</v>
      </c>
      <c r="H14" s="312"/>
    </row>
    <row r="15" spans="2:13" ht="21" x14ac:dyDescent="0.25">
      <c r="B15" s="115"/>
      <c r="C15" s="114" t="s">
        <v>146</v>
      </c>
      <c r="D15" s="116" t="str">
        <f>'پیش فاکتور گیوتین'!G14</f>
        <v>5mm + 10 air spacer + 5mm</v>
      </c>
      <c r="E15" s="104"/>
      <c r="F15" s="117" t="s">
        <v>147</v>
      </c>
      <c r="G15" s="116" t="s">
        <v>138</v>
      </c>
      <c r="H15" s="312"/>
      <c r="J15" s="19" t="s">
        <v>184</v>
      </c>
      <c r="K15">
        <v>2</v>
      </c>
      <c r="L15" s="119">
        <v>3</v>
      </c>
    </row>
    <row r="16" spans="2:13" ht="18.75" x14ac:dyDescent="0.25">
      <c r="B16" s="115"/>
      <c r="C16" s="120" t="s">
        <v>148</v>
      </c>
      <c r="D16" s="121">
        <f>'پیش فاکتور گیوتین'!C14/100</f>
        <v>0</v>
      </c>
      <c r="E16" s="104"/>
      <c r="F16" s="120" t="s">
        <v>148</v>
      </c>
      <c r="G16" s="121">
        <v>6.5</v>
      </c>
      <c r="H16" s="312"/>
      <c r="J16" s="20" t="s">
        <v>185</v>
      </c>
      <c r="K16">
        <v>3</v>
      </c>
      <c r="L16" s="119">
        <v>4</v>
      </c>
    </row>
    <row r="17" spans="2:12" ht="26.25" x14ac:dyDescent="0.25">
      <c r="B17" s="115"/>
      <c r="C17" s="120" t="s">
        <v>149</v>
      </c>
      <c r="D17" s="121">
        <f>'پیش فاکتور گیوتین'!D14/100</f>
        <v>0</v>
      </c>
      <c r="E17" s="122"/>
      <c r="F17" s="120" t="s">
        <v>149</v>
      </c>
      <c r="G17" s="121">
        <v>2.2000000000000002</v>
      </c>
      <c r="H17" s="312"/>
      <c r="J17" s="20" t="s">
        <v>181</v>
      </c>
      <c r="K17">
        <v>4</v>
      </c>
      <c r="L17" s="119">
        <v>5</v>
      </c>
    </row>
    <row r="18" spans="2:12" ht="26.25" x14ac:dyDescent="0.25">
      <c r="B18" s="115"/>
      <c r="C18" s="123" t="s">
        <v>150</v>
      </c>
      <c r="D18" s="124">
        <f>'A5'!F4</f>
        <v>0</v>
      </c>
      <c r="E18" s="122"/>
      <c r="F18" s="123" t="s">
        <v>150</v>
      </c>
      <c r="G18" s="124">
        <f>'A5'!F39</f>
        <v>59.18</v>
      </c>
      <c r="H18" s="312"/>
      <c r="J18" s="20" t="s">
        <v>182</v>
      </c>
      <c r="L18" s="119">
        <v>6</v>
      </c>
    </row>
    <row r="19" spans="2:12" ht="26.25" x14ac:dyDescent="0.25">
      <c r="B19" s="115"/>
      <c r="C19" s="125"/>
      <c r="D19" s="126" t="e">
        <f>IF(OR(D15="-----",D14="-----"),0,(C20/(D16*D17)))</f>
        <v>#DIV/0!</v>
      </c>
      <c r="E19" s="122"/>
      <c r="F19" s="127"/>
      <c r="G19" s="126">
        <f>F20/(G16*G17)</f>
        <v>30960461.53846154</v>
      </c>
      <c r="H19" s="312"/>
      <c r="J19" s="20" t="s">
        <v>183</v>
      </c>
      <c r="L19" s="119" t="s">
        <v>151</v>
      </c>
    </row>
    <row r="20" spans="2:12" ht="26.25" x14ac:dyDescent="0.25">
      <c r="B20" s="115"/>
      <c r="C20" s="313" t="e">
        <f>'A5'!F5</f>
        <v>#DIV/0!</v>
      </c>
      <c r="D20" s="314"/>
      <c r="E20" s="122"/>
      <c r="F20" s="314">
        <f>'A5'!F40</f>
        <v>442734600.00000006</v>
      </c>
      <c r="G20" s="314"/>
      <c r="H20" s="312"/>
      <c r="J20" s="20" t="s">
        <v>178</v>
      </c>
      <c r="L20" s="119" t="s">
        <v>152</v>
      </c>
    </row>
    <row r="21" spans="2:12" ht="26.25" x14ac:dyDescent="0.25">
      <c r="B21" s="115"/>
      <c r="C21" s="315" t="str">
        <f>IF(AND(D16&gt;2,D16&lt;=4),"SAFE",IF(AND(D17&gt;=2.5,D17&lt;=4),"SAFE","OUT OF RANGE"))</f>
        <v>OUT OF RANGE</v>
      </c>
      <c r="D21" s="315"/>
      <c r="E21" s="122"/>
      <c r="F21" s="315" t="str">
        <f>IF(AND(G16&gt;1,G16&lt;=2),"2 PANEL",IF(AND(G16&gt;2,G16&lt;=3),"3 PANEL",IF(AND(G16&gt;3,G16&lt;=4.5),"4 PANEL",IF(AND(G16&gt;4.5,G16&lt;=6.5),"EXPANSION 3PANEL+ 3PANEL",IF(AND(G16&gt;6.5,G16&lt;=9),"EXPANSION 4PANEL+ 4PANEL",0)))))</f>
        <v>EXPANSION 3PANEL+ 3PANEL</v>
      </c>
      <c r="G21" s="315"/>
      <c r="H21" s="312"/>
      <c r="J21" s="20" t="s">
        <v>179</v>
      </c>
      <c r="L21" s="119" t="s">
        <v>153</v>
      </c>
    </row>
    <row r="22" spans="2:12" x14ac:dyDescent="0.25">
      <c r="B22" s="115"/>
      <c r="C22" s="104"/>
      <c r="D22" s="104"/>
      <c r="E22" s="104"/>
      <c r="F22" s="104"/>
      <c r="G22" s="104"/>
      <c r="H22" s="312"/>
      <c r="J22" s="20" t="s">
        <v>180</v>
      </c>
    </row>
    <row r="23" spans="2:12" x14ac:dyDescent="0.25">
      <c r="B23" s="311"/>
      <c r="C23" s="311"/>
      <c r="D23" s="311"/>
      <c r="E23" s="311"/>
      <c r="F23" s="311"/>
      <c r="G23" s="311"/>
      <c r="H23" s="311"/>
    </row>
    <row r="24" spans="2:12" x14ac:dyDescent="0.25">
      <c r="B24" s="311"/>
      <c r="C24" s="311"/>
      <c r="D24" s="311"/>
      <c r="E24" s="311"/>
      <c r="F24" s="311"/>
      <c r="G24" s="311"/>
      <c r="H24" s="311"/>
    </row>
    <row r="25" spans="2:12" x14ac:dyDescent="0.25">
      <c r="B25" s="311"/>
      <c r="C25" s="311"/>
      <c r="D25" s="311"/>
      <c r="E25" s="311"/>
      <c r="F25" s="311"/>
      <c r="G25" s="311"/>
      <c r="H25" s="311"/>
    </row>
    <row r="26" spans="2:12" x14ac:dyDescent="0.25">
      <c r="B26" s="311"/>
      <c r="C26" s="311"/>
      <c r="D26" s="311"/>
      <c r="E26" s="311"/>
      <c r="F26" s="311"/>
      <c r="G26" s="311"/>
      <c r="H26" s="311"/>
    </row>
    <row r="27" spans="2:12" x14ac:dyDescent="0.25">
      <c r="B27" s="311"/>
      <c r="C27" s="311"/>
      <c r="D27" s="311"/>
      <c r="E27" s="311"/>
      <c r="F27" s="311"/>
      <c r="G27" s="311"/>
      <c r="H27" s="311"/>
    </row>
    <row r="28" spans="2:12" x14ac:dyDescent="0.25">
      <c r="B28" s="311"/>
      <c r="C28" s="311"/>
      <c r="D28" s="311"/>
      <c r="E28" s="311"/>
      <c r="F28" s="311"/>
      <c r="G28" s="311"/>
      <c r="H28" s="311"/>
    </row>
    <row r="29" spans="2:12" x14ac:dyDescent="0.25">
      <c r="B29" s="311"/>
      <c r="C29" s="311"/>
      <c r="D29" s="311"/>
      <c r="E29" s="311"/>
      <c r="F29" s="311"/>
      <c r="G29" s="311"/>
      <c r="H29" s="311"/>
    </row>
    <row r="30" spans="2:12" x14ac:dyDescent="0.25">
      <c r="B30" s="311"/>
      <c r="C30" s="311"/>
      <c r="D30" s="311"/>
      <c r="E30" s="311"/>
      <c r="F30" s="311"/>
      <c r="G30" s="311"/>
      <c r="H30" s="311"/>
    </row>
    <row r="31" spans="2:12" x14ac:dyDescent="0.25">
      <c r="B31" s="311"/>
      <c r="C31" s="311"/>
      <c r="D31" s="311"/>
      <c r="E31" s="311"/>
      <c r="F31" s="311"/>
      <c r="G31" s="311"/>
      <c r="H31" s="311"/>
    </row>
    <row r="32" spans="2:12" x14ac:dyDescent="0.25">
      <c r="B32" s="311"/>
      <c r="C32" s="311"/>
      <c r="D32" s="311"/>
      <c r="E32" s="311"/>
      <c r="F32" s="311"/>
      <c r="G32" s="311"/>
      <c r="H32" s="311"/>
    </row>
    <row r="33" spans="2:8" x14ac:dyDescent="0.25">
      <c r="B33" s="311"/>
      <c r="C33" s="311"/>
      <c r="D33" s="311"/>
      <c r="E33" s="311"/>
      <c r="F33" s="311"/>
      <c r="G33" s="311"/>
      <c r="H33" s="311"/>
    </row>
    <row r="34" spans="2:8" x14ac:dyDescent="0.25">
      <c r="B34" s="311"/>
      <c r="C34" s="311"/>
      <c r="D34" s="311"/>
      <c r="E34" s="311"/>
      <c r="F34" s="311"/>
      <c r="G34" s="311"/>
      <c r="H34" s="311"/>
    </row>
    <row r="35" spans="2:8" x14ac:dyDescent="0.25">
      <c r="B35" s="311"/>
      <c r="C35" s="311"/>
      <c r="D35" s="311"/>
      <c r="E35" s="311"/>
      <c r="F35" s="311"/>
      <c r="G35" s="311"/>
      <c r="H35" s="311"/>
    </row>
    <row r="36" spans="2:8" x14ac:dyDescent="0.25">
      <c r="B36" s="311"/>
      <c r="C36" s="311"/>
      <c r="D36" s="311"/>
      <c r="E36" s="311"/>
      <c r="F36" s="311"/>
      <c r="G36" s="311"/>
      <c r="H36" s="311"/>
    </row>
    <row r="37" spans="2:8" x14ac:dyDescent="0.25">
      <c r="B37" s="311"/>
      <c r="C37" s="311"/>
      <c r="D37" s="311"/>
      <c r="E37" s="311"/>
      <c r="F37" s="311"/>
      <c r="G37" s="311"/>
      <c r="H37" s="311"/>
    </row>
    <row r="38" spans="2:8" x14ac:dyDescent="0.25">
      <c r="B38" s="311"/>
      <c r="C38" s="311"/>
      <c r="D38" s="311"/>
      <c r="E38" s="311"/>
      <c r="F38" s="311"/>
      <c r="G38" s="311"/>
      <c r="H38" s="311"/>
    </row>
    <row r="39" spans="2:8" x14ac:dyDescent="0.25">
      <c r="B39" s="311"/>
      <c r="C39" s="311"/>
      <c r="D39" s="311"/>
      <c r="E39" s="311"/>
      <c r="F39" s="311"/>
      <c r="G39" s="311"/>
      <c r="H39" s="311"/>
    </row>
    <row r="40" spans="2:8" x14ac:dyDescent="0.25">
      <c r="B40" s="311"/>
      <c r="C40" s="311"/>
      <c r="D40" s="311"/>
      <c r="E40" s="311"/>
      <c r="F40" s="311"/>
      <c r="G40" s="311"/>
      <c r="H40" s="311"/>
    </row>
    <row r="41" spans="2:8" x14ac:dyDescent="0.25">
      <c r="B41" s="311"/>
      <c r="C41" s="311"/>
      <c r="D41" s="311"/>
      <c r="E41" s="311"/>
      <c r="F41" s="311"/>
      <c r="G41" s="311"/>
      <c r="H41" s="311"/>
    </row>
    <row r="42" spans="2:8" x14ac:dyDescent="0.25">
      <c r="B42" s="311"/>
      <c r="C42" s="311"/>
      <c r="D42" s="311"/>
      <c r="E42" s="311"/>
      <c r="F42" s="311"/>
      <c r="G42" s="311"/>
      <c r="H42" s="311"/>
    </row>
    <row r="43" spans="2:8" x14ac:dyDescent="0.25">
      <c r="B43" s="311"/>
      <c r="C43" s="311"/>
      <c r="D43" s="311"/>
      <c r="E43" s="311"/>
      <c r="F43" s="311"/>
      <c r="G43" s="311"/>
      <c r="H43" s="311"/>
    </row>
    <row r="44" spans="2:8" x14ac:dyDescent="0.25">
      <c r="B44" s="311"/>
      <c r="C44" s="311"/>
      <c r="D44" s="311"/>
      <c r="E44" s="311"/>
      <c r="F44" s="311"/>
      <c r="G44" s="311"/>
      <c r="H44" s="311"/>
    </row>
  </sheetData>
  <mergeCells count="7">
    <mergeCell ref="B23:H44"/>
    <mergeCell ref="B1:H1"/>
    <mergeCell ref="H2:H22"/>
    <mergeCell ref="C20:D20"/>
    <mergeCell ref="F20:G20"/>
    <mergeCell ref="C21:D21"/>
    <mergeCell ref="F21:G21"/>
  </mergeCells>
  <dataValidations count="2">
    <dataValidation type="list" allowBlank="1" showInputMessage="1" showErrorMessage="1" sqref="G15" xr:uid="{7522D353-3D6E-4AF3-8A5B-E4CC63A8E389}">
      <formula1>$J$15:$J$22</formula1>
    </dataValidation>
    <dataValidation type="list" allowBlank="1" showInputMessage="1" showErrorMessage="1" sqref="G14" xr:uid="{B3DF158F-9C33-4838-9B6A-CE2D0625E3A9}">
      <formula1>$L$15:$L$21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F0C7-24DE-41A4-A8C1-D33EB73FBFAB}">
  <dimension ref="B1:M44"/>
  <sheetViews>
    <sheetView rightToLeft="1" topLeftCell="D1" workbookViewId="0">
      <selection activeCell="M4" sqref="M4"/>
    </sheetView>
  </sheetViews>
  <sheetFormatPr defaultRowHeight="15" x14ac:dyDescent="0.25"/>
  <cols>
    <col min="1" max="1" width="8.140625" customWidth="1"/>
    <col min="2" max="2" width="1.5703125" customWidth="1"/>
    <col min="3" max="3" width="25.5703125" customWidth="1"/>
    <col min="4" max="4" width="40" customWidth="1"/>
    <col min="5" max="5" width="1.5703125" customWidth="1"/>
    <col min="6" max="6" width="32.5703125" customWidth="1"/>
    <col min="7" max="7" width="30.5703125" customWidth="1"/>
    <col min="8" max="8" width="1.5703125" customWidth="1"/>
    <col min="10" max="10" width="17.28515625" customWidth="1"/>
    <col min="11" max="12" width="5.140625" customWidth="1"/>
    <col min="13" max="13" width="18.140625" customWidth="1"/>
  </cols>
  <sheetData>
    <row r="1" spans="2:13" x14ac:dyDescent="0.25">
      <c r="B1" s="311"/>
      <c r="C1" s="311"/>
      <c r="D1" s="311"/>
      <c r="E1" s="311"/>
      <c r="F1" s="311"/>
      <c r="G1" s="311"/>
      <c r="H1" s="311"/>
    </row>
    <row r="2" spans="2:13" x14ac:dyDescent="0.25">
      <c r="B2" s="103"/>
      <c r="C2" s="104"/>
      <c r="D2" s="104"/>
      <c r="E2" s="104"/>
      <c r="F2" s="104"/>
      <c r="G2" s="104"/>
      <c r="H2" s="312"/>
      <c r="M2">
        <v>0.75</v>
      </c>
    </row>
    <row r="3" spans="2:13" ht="18.75" x14ac:dyDescent="0.25">
      <c r="B3" s="103"/>
      <c r="C3" s="105" t="s">
        <v>132</v>
      </c>
      <c r="D3" s="106">
        <f>'پیش فاکتور گیوتین'!C17</f>
        <v>2200000</v>
      </c>
      <c r="E3" s="105"/>
      <c r="F3" s="107" t="s">
        <v>133</v>
      </c>
      <c r="G3" s="107" t="s">
        <v>134</v>
      </c>
      <c r="H3" s="312"/>
      <c r="J3" s="4" t="s">
        <v>7</v>
      </c>
      <c r="M3">
        <v>1.18</v>
      </c>
    </row>
    <row r="4" spans="2:13" ht="18.75" x14ac:dyDescent="0.25">
      <c r="B4" s="103"/>
      <c r="C4" s="105" t="s">
        <v>135</v>
      </c>
      <c r="D4" s="106">
        <f>'پیش فاکتور گیوتین'!C19</f>
        <v>450000</v>
      </c>
      <c r="E4" s="108"/>
      <c r="F4" s="109"/>
      <c r="G4" s="109"/>
      <c r="H4" s="312"/>
      <c r="J4" s="4"/>
    </row>
    <row r="5" spans="2:13" ht="21" x14ac:dyDescent="0.25">
      <c r="B5" s="110"/>
      <c r="C5" s="105" t="s">
        <v>136</v>
      </c>
      <c r="D5" s="19" t="s">
        <v>184</v>
      </c>
      <c r="E5" s="111"/>
      <c r="F5" s="106">
        <f t="shared" ref="F5:F12" si="0">G5*$M$2</f>
        <v>5310000</v>
      </c>
      <c r="G5" s="106">
        <f t="shared" ref="G5:G12" si="1">M5*$M$3*0.75</f>
        <v>7080000</v>
      </c>
      <c r="H5" s="312"/>
      <c r="J5" s="19" t="s">
        <v>184</v>
      </c>
      <c r="M5" s="106">
        <v>8000000</v>
      </c>
    </row>
    <row r="6" spans="2:13" ht="21" x14ac:dyDescent="0.25">
      <c r="B6" s="110"/>
      <c r="C6" s="105" t="s">
        <v>136</v>
      </c>
      <c r="D6" s="20" t="s">
        <v>185</v>
      </c>
      <c r="E6" s="111"/>
      <c r="F6" s="106">
        <f t="shared" si="0"/>
        <v>6637500</v>
      </c>
      <c r="G6" s="106">
        <f t="shared" si="1"/>
        <v>8850000</v>
      </c>
      <c r="H6" s="312"/>
      <c r="J6" s="20" t="s">
        <v>185</v>
      </c>
      <c r="M6" s="106">
        <v>10000000</v>
      </c>
    </row>
    <row r="7" spans="2:13" ht="21" x14ac:dyDescent="0.25">
      <c r="B7" s="110"/>
      <c r="C7" s="105" t="s">
        <v>137</v>
      </c>
      <c r="D7" s="20" t="s">
        <v>181</v>
      </c>
      <c r="E7" s="112"/>
      <c r="F7" s="106">
        <f t="shared" si="0"/>
        <v>6637500</v>
      </c>
      <c r="G7" s="106">
        <f t="shared" si="1"/>
        <v>8850000</v>
      </c>
      <c r="H7" s="312"/>
      <c r="J7" s="20" t="s">
        <v>181</v>
      </c>
      <c r="M7" s="106">
        <v>10000000</v>
      </c>
    </row>
    <row r="8" spans="2:13" ht="21" x14ac:dyDescent="0.25">
      <c r="B8" s="110"/>
      <c r="C8" s="105" t="s">
        <v>137</v>
      </c>
      <c r="D8" s="20" t="s">
        <v>182</v>
      </c>
      <c r="E8" s="112"/>
      <c r="F8" s="106">
        <f t="shared" si="0"/>
        <v>7965000</v>
      </c>
      <c r="G8" s="106">
        <f t="shared" si="1"/>
        <v>10620000</v>
      </c>
      <c r="H8" s="312"/>
      <c r="J8" s="20" t="s">
        <v>182</v>
      </c>
      <c r="M8" s="106">
        <v>12000000</v>
      </c>
    </row>
    <row r="9" spans="2:13" ht="21" x14ac:dyDescent="0.25">
      <c r="B9" s="113"/>
      <c r="C9" s="105" t="s">
        <v>137</v>
      </c>
      <c r="D9" s="20" t="s">
        <v>183</v>
      </c>
      <c r="E9" s="112"/>
      <c r="F9" s="106">
        <f t="shared" si="0"/>
        <v>9292500</v>
      </c>
      <c r="G9" s="106">
        <f t="shared" si="1"/>
        <v>12390000</v>
      </c>
      <c r="H9" s="312"/>
      <c r="J9" s="20" t="s">
        <v>183</v>
      </c>
      <c r="M9" s="106">
        <v>14000000</v>
      </c>
    </row>
    <row r="10" spans="2:13" ht="21" x14ac:dyDescent="0.25">
      <c r="B10" s="113"/>
      <c r="C10" s="105" t="s">
        <v>141</v>
      </c>
      <c r="D10" s="20" t="s">
        <v>178</v>
      </c>
      <c r="E10" s="112"/>
      <c r="F10" s="106">
        <f t="shared" si="0"/>
        <v>11947500</v>
      </c>
      <c r="G10" s="106">
        <f t="shared" si="1"/>
        <v>15930000</v>
      </c>
      <c r="H10" s="312"/>
      <c r="J10" s="20" t="s">
        <v>178</v>
      </c>
      <c r="M10" s="106">
        <v>18000000</v>
      </c>
    </row>
    <row r="11" spans="2:13" ht="21" x14ac:dyDescent="0.25">
      <c r="B11" s="113"/>
      <c r="C11" s="105" t="s">
        <v>141</v>
      </c>
      <c r="D11" s="20" t="s">
        <v>179</v>
      </c>
      <c r="E11" s="112"/>
      <c r="F11" s="106">
        <f t="shared" si="0"/>
        <v>13275000</v>
      </c>
      <c r="G11" s="106">
        <f t="shared" si="1"/>
        <v>17700000</v>
      </c>
      <c r="H11" s="312"/>
      <c r="J11" s="20" t="s">
        <v>179</v>
      </c>
      <c r="M11" s="106">
        <v>20000000</v>
      </c>
    </row>
    <row r="12" spans="2:13" ht="21" x14ac:dyDescent="0.25">
      <c r="B12" s="113"/>
      <c r="C12" s="105" t="s">
        <v>141</v>
      </c>
      <c r="D12" s="20" t="s">
        <v>180</v>
      </c>
      <c r="E12" s="112"/>
      <c r="F12" s="106">
        <f t="shared" si="0"/>
        <v>14602500</v>
      </c>
      <c r="G12" s="106">
        <f t="shared" si="1"/>
        <v>19470000</v>
      </c>
      <c r="H12" s="312"/>
      <c r="J12" s="20" t="s">
        <v>180</v>
      </c>
      <c r="M12" s="106">
        <v>22000000</v>
      </c>
    </row>
    <row r="13" spans="2:13" x14ac:dyDescent="0.25">
      <c r="B13" s="103"/>
      <c r="C13" s="104"/>
      <c r="D13" s="104"/>
      <c r="E13" s="104"/>
      <c r="F13" s="104"/>
      <c r="G13" s="104"/>
      <c r="H13" s="312"/>
    </row>
    <row r="14" spans="2:13" ht="21" x14ac:dyDescent="0.25">
      <c r="B14" s="103"/>
      <c r="C14" s="114" t="s">
        <v>145</v>
      </c>
      <c r="D14" s="165" t="str">
        <f>'پیش فاکتور گیوتین'!H12</f>
        <v xml:space="preserve">3 پانل </v>
      </c>
      <c r="E14" s="104"/>
      <c r="F14" s="114" t="s">
        <v>145</v>
      </c>
      <c r="G14" s="114">
        <v>5</v>
      </c>
      <c r="H14" s="312"/>
    </row>
    <row r="15" spans="2:13" ht="21" x14ac:dyDescent="0.25">
      <c r="B15" s="115"/>
      <c r="C15" s="114" t="s">
        <v>146</v>
      </c>
      <c r="D15" s="169" t="str">
        <f>'پیش فاکتور گیوتین'!G12</f>
        <v>5mm + 10 air spacer + 5mm</v>
      </c>
      <c r="E15" s="104"/>
      <c r="F15" s="117" t="s">
        <v>147</v>
      </c>
      <c r="G15" s="116" t="s">
        <v>138</v>
      </c>
      <c r="H15" s="312"/>
      <c r="J15" s="19" t="s">
        <v>184</v>
      </c>
      <c r="K15">
        <v>2</v>
      </c>
      <c r="L15" s="119">
        <v>3</v>
      </c>
    </row>
    <row r="16" spans="2:13" ht="18.75" x14ac:dyDescent="0.25">
      <c r="B16" s="115"/>
      <c r="C16" s="120" t="s">
        <v>148</v>
      </c>
      <c r="D16" s="121">
        <f>'پیش فاکتور گیوتین'!C12/100</f>
        <v>0</v>
      </c>
      <c r="E16" s="104"/>
      <c r="F16" s="120" t="s">
        <v>148</v>
      </c>
      <c r="G16" s="121">
        <v>6.5</v>
      </c>
      <c r="H16" s="312"/>
      <c r="J16" s="20" t="s">
        <v>185</v>
      </c>
      <c r="K16">
        <v>3</v>
      </c>
      <c r="L16" s="119">
        <v>4</v>
      </c>
    </row>
    <row r="17" spans="2:12" ht="26.25" x14ac:dyDescent="0.25">
      <c r="B17" s="115"/>
      <c r="C17" s="120" t="s">
        <v>149</v>
      </c>
      <c r="D17" s="121">
        <f>'پیش فاکتور گیوتین'!D12/100</f>
        <v>0</v>
      </c>
      <c r="E17" s="122"/>
      <c r="F17" s="120" t="s">
        <v>149</v>
      </c>
      <c r="G17" s="121">
        <v>2.2000000000000002</v>
      </c>
      <c r="H17" s="312"/>
      <c r="J17" s="20" t="s">
        <v>181</v>
      </c>
      <c r="K17">
        <v>4</v>
      </c>
      <c r="L17" s="119">
        <v>5</v>
      </c>
    </row>
    <row r="18" spans="2:12" ht="26.25" x14ac:dyDescent="0.25">
      <c r="B18" s="115"/>
      <c r="C18" s="123" t="s">
        <v>150</v>
      </c>
      <c r="D18" s="124">
        <f>'A3'!F4</f>
        <v>0</v>
      </c>
      <c r="E18" s="122"/>
      <c r="F18" s="123" t="s">
        <v>150</v>
      </c>
      <c r="G18" s="124">
        <f>'A3'!F39</f>
        <v>59.18</v>
      </c>
      <c r="H18" s="312"/>
      <c r="J18" s="20" t="s">
        <v>182</v>
      </c>
      <c r="L18" s="119">
        <v>6</v>
      </c>
    </row>
    <row r="19" spans="2:12" ht="26.25" x14ac:dyDescent="0.25">
      <c r="B19" s="115"/>
      <c r="C19" s="125"/>
      <c r="D19" s="126" t="e">
        <f>IF(OR(D15="-----",D14="-----"),0,(C20/(D16*D17)))</f>
        <v>#DIV/0!</v>
      </c>
      <c r="E19" s="122"/>
      <c r="F19" s="127"/>
      <c r="G19" s="126">
        <f>F20/(G16*G17)</f>
        <v>30960461.53846154</v>
      </c>
      <c r="H19" s="312"/>
      <c r="J19" s="20" t="s">
        <v>183</v>
      </c>
      <c r="L19" s="119" t="s">
        <v>151</v>
      </c>
    </row>
    <row r="20" spans="2:12" ht="26.25" x14ac:dyDescent="0.25">
      <c r="B20" s="115"/>
      <c r="C20" s="313" t="e">
        <f>'A3'!F5</f>
        <v>#DIV/0!</v>
      </c>
      <c r="D20" s="314"/>
      <c r="E20" s="122"/>
      <c r="F20" s="314">
        <f>'A3'!F40</f>
        <v>442734600.00000006</v>
      </c>
      <c r="G20" s="314"/>
      <c r="H20" s="312"/>
      <c r="J20" s="20" t="s">
        <v>178</v>
      </c>
      <c r="L20" s="119" t="s">
        <v>152</v>
      </c>
    </row>
    <row r="21" spans="2:12" ht="26.25" x14ac:dyDescent="0.25">
      <c r="B21" s="115"/>
      <c r="C21" s="315" t="str">
        <f>IF(AND(D16&gt;2,D16&lt;=4),"SAFE",IF(AND(D17&gt;=2.5,D17&lt;=4),"SAFE","OUT OF RANGE"))</f>
        <v>OUT OF RANGE</v>
      </c>
      <c r="D21" s="315"/>
      <c r="E21" s="122"/>
      <c r="F21" s="315" t="str">
        <f>IF(AND(G16&gt;1,G16&lt;=2),"2 PANEL",IF(AND(G16&gt;2,G16&lt;=3),"3 PANEL",IF(AND(G16&gt;3,G16&lt;=4.5),"4 PANEL",IF(AND(G16&gt;4.5,G16&lt;=6.5),"EXPANSION 3PANEL+ 3PANEL",IF(AND(G16&gt;6.5,G16&lt;=9),"EXPANSION 4PANEL+ 4PANEL",0)))))</f>
        <v>EXPANSION 3PANEL+ 3PANEL</v>
      </c>
      <c r="G21" s="315"/>
      <c r="H21" s="312"/>
      <c r="J21" s="20" t="s">
        <v>179</v>
      </c>
      <c r="L21" s="119" t="s">
        <v>153</v>
      </c>
    </row>
    <row r="22" spans="2:12" x14ac:dyDescent="0.25">
      <c r="B22" s="115"/>
      <c r="C22" s="104"/>
      <c r="D22" s="104"/>
      <c r="E22" s="104"/>
      <c r="F22" s="104"/>
      <c r="G22" s="104"/>
      <c r="H22" s="312"/>
      <c r="J22" s="20" t="s">
        <v>180</v>
      </c>
    </row>
    <row r="23" spans="2:12" x14ac:dyDescent="0.25">
      <c r="B23" s="311"/>
      <c r="C23" s="311"/>
      <c r="D23" s="311"/>
      <c r="E23" s="311"/>
      <c r="F23" s="311"/>
      <c r="G23" s="311"/>
      <c r="H23" s="311"/>
    </row>
    <row r="24" spans="2:12" x14ac:dyDescent="0.25">
      <c r="B24" s="311"/>
      <c r="C24" s="311"/>
      <c r="D24" s="311"/>
      <c r="E24" s="311"/>
      <c r="F24" s="311"/>
      <c r="G24" s="311"/>
      <c r="H24" s="311"/>
    </row>
    <row r="25" spans="2:12" x14ac:dyDescent="0.25">
      <c r="B25" s="311"/>
      <c r="C25" s="311"/>
      <c r="D25" s="311"/>
      <c r="E25" s="311"/>
      <c r="F25" s="311"/>
      <c r="G25" s="311"/>
      <c r="H25" s="311"/>
    </row>
    <row r="26" spans="2:12" x14ac:dyDescent="0.25">
      <c r="B26" s="311"/>
      <c r="C26" s="311"/>
      <c r="D26" s="311"/>
      <c r="E26" s="311"/>
      <c r="F26" s="311"/>
      <c r="G26" s="311"/>
      <c r="H26" s="311"/>
    </row>
    <row r="27" spans="2:12" x14ac:dyDescent="0.25">
      <c r="B27" s="311"/>
      <c r="C27" s="311"/>
      <c r="D27" s="311"/>
      <c r="E27" s="311"/>
      <c r="F27" s="311"/>
      <c r="G27" s="311"/>
      <c r="H27" s="311"/>
    </row>
    <row r="28" spans="2:12" x14ac:dyDescent="0.25">
      <c r="B28" s="311"/>
      <c r="C28" s="311"/>
      <c r="D28" s="311"/>
      <c r="E28" s="311"/>
      <c r="F28" s="311"/>
      <c r="G28" s="311"/>
      <c r="H28" s="311"/>
    </row>
    <row r="29" spans="2:12" x14ac:dyDescent="0.25">
      <c r="B29" s="311"/>
      <c r="C29" s="311"/>
      <c r="D29" s="311"/>
      <c r="E29" s="311"/>
      <c r="F29" s="311"/>
      <c r="G29" s="311"/>
      <c r="H29" s="311"/>
    </row>
    <row r="30" spans="2:12" x14ac:dyDescent="0.25">
      <c r="B30" s="311"/>
      <c r="C30" s="311"/>
      <c r="D30" s="311"/>
      <c r="E30" s="311"/>
      <c r="F30" s="311"/>
      <c r="G30" s="311"/>
      <c r="H30" s="311"/>
    </row>
    <row r="31" spans="2:12" x14ac:dyDescent="0.25">
      <c r="B31" s="311"/>
      <c r="C31" s="311"/>
      <c r="D31" s="311"/>
      <c r="E31" s="311"/>
      <c r="F31" s="311"/>
      <c r="G31" s="311"/>
      <c r="H31" s="311"/>
    </row>
    <row r="32" spans="2:12" x14ac:dyDescent="0.25">
      <c r="B32" s="311"/>
      <c r="C32" s="311"/>
      <c r="D32" s="311"/>
      <c r="E32" s="311"/>
      <c r="F32" s="311"/>
      <c r="G32" s="311"/>
      <c r="H32" s="311"/>
    </row>
    <row r="33" spans="2:8" x14ac:dyDescent="0.25">
      <c r="B33" s="311"/>
      <c r="C33" s="311"/>
      <c r="D33" s="311"/>
      <c r="E33" s="311"/>
      <c r="F33" s="311"/>
      <c r="G33" s="311"/>
      <c r="H33" s="311"/>
    </row>
    <row r="34" spans="2:8" x14ac:dyDescent="0.25">
      <c r="B34" s="311"/>
      <c r="C34" s="311"/>
      <c r="D34" s="311"/>
      <c r="E34" s="311"/>
      <c r="F34" s="311"/>
      <c r="G34" s="311"/>
      <c r="H34" s="311"/>
    </row>
    <row r="35" spans="2:8" x14ac:dyDescent="0.25">
      <c r="B35" s="311"/>
      <c r="C35" s="311"/>
      <c r="D35" s="311"/>
      <c r="E35" s="311"/>
      <c r="F35" s="311"/>
      <c r="G35" s="311"/>
      <c r="H35" s="311"/>
    </row>
    <row r="36" spans="2:8" x14ac:dyDescent="0.25">
      <c r="B36" s="311"/>
      <c r="C36" s="311"/>
      <c r="D36" s="311"/>
      <c r="E36" s="311"/>
      <c r="F36" s="311"/>
      <c r="G36" s="311"/>
      <c r="H36" s="311"/>
    </row>
    <row r="37" spans="2:8" x14ac:dyDescent="0.25">
      <c r="B37" s="311"/>
      <c r="C37" s="311"/>
      <c r="D37" s="311"/>
      <c r="E37" s="311"/>
      <c r="F37" s="311"/>
      <c r="G37" s="311"/>
      <c r="H37" s="311"/>
    </row>
    <row r="38" spans="2:8" x14ac:dyDescent="0.25">
      <c r="B38" s="311"/>
      <c r="C38" s="311"/>
      <c r="D38" s="311"/>
      <c r="E38" s="311"/>
      <c r="F38" s="311"/>
      <c r="G38" s="311"/>
      <c r="H38" s="311"/>
    </row>
    <row r="39" spans="2:8" x14ac:dyDescent="0.25">
      <c r="B39" s="311"/>
      <c r="C39" s="311"/>
      <c r="D39" s="311"/>
      <c r="E39" s="311"/>
      <c r="F39" s="311"/>
      <c r="G39" s="311"/>
      <c r="H39" s="311"/>
    </row>
    <row r="40" spans="2:8" x14ac:dyDescent="0.25">
      <c r="B40" s="311"/>
      <c r="C40" s="311"/>
      <c r="D40" s="311"/>
      <c r="E40" s="311"/>
      <c r="F40" s="311"/>
      <c r="G40" s="311"/>
      <c r="H40" s="311"/>
    </row>
    <row r="41" spans="2:8" x14ac:dyDescent="0.25">
      <c r="B41" s="311"/>
      <c r="C41" s="311"/>
      <c r="D41" s="311"/>
      <c r="E41" s="311"/>
      <c r="F41" s="311"/>
      <c r="G41" s="311"/>
      <c r="H41" s="311"/>
    </row>
    <row r="42" spans="2:8" x14ac:dyDescent="0.25">
      <c r="B42" s="311"/>
      <c r="C42" s="311"/>
      <c r="D42" s="311"/>
      <c r="E42" s="311"/>
      <c r="F42" s="311"/>
      <c r="G42" s="311"/>
      <c r="H42" s="311"/>
    </row>
    <row r="43" spans="2:8" x14ac:dyDescent="0.25">
      <c r="B43" s="311"/>
      <c r="C43" s="311"/>
      <c r="D43" s="311"/>
      <c r="E43" s="311"/>
      <c r="F43" s="311"/>
      <c r="G43" s="311"/>
      <c r="H43" s="311"/>
    </row>
    <row r="44" spans="2:8" x14ac:dyDescent="0.25">
      <c r="B44" s="311"/>
      <c r="C44" s="311"/>
      <c r="D44" s="311"/>
      <c r="E44" s="311"/>
      <c r="F44" s="311"/>
      <c r="G44" s="311"/>
      <c r="H44" s="311"/>
    </row>
  </sheetData>
  <mergeCells count="7">
    <mergeCell ref="B23:H44"/>
    <mergeCell ref="B1:H1"/>
    <mergeCell ref="H2:H22"/>
    <mergeCell ref="C20:D20"/>
    <mergeCell ref="F20:G20"/>
    <mergeCell ref="C21:D21"/>
    <mergeCell ref="F21:G21"/>
  </mergeCells>
  <dataValidations count="2">
    <dataValidation type="list" allowBlank="1" showInputMessage="1" showErrorMessage="1" sqref="G15" xr:uid="{08BDA527-2AA8-4116-B7AD-1EADA9DF5EF2}">
      <formula1>$J$15:$J$22</formula1>
    </dataValidation>
    <dataValidation type="list" allowBlank="1" showInputMessage="1" showErrorMessage="1" sqref="G14" xr:uid="{E5F3EEF6-AC18-4665-B7F9-5D7CA80B96E3}">
      <formula1>$L$15:$L$21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F6B8-F97A-47A7-90C3-6B34A8071E37}">
  <dimension ref="B1:J63"/>
  <sheetViews>
    <sheetView topLeftCell="A21" workbookViewId="0">
      <selection activeCell="E28" sqref="E28"/>
    </sheetView>
  </sheetViews>
  <sheetFormatPr defaultRowHeight="15" x14ac:dyDescent="0.25"/>
  <cols>
    <col min="2" max="2" width="25.28515625" customWidth="1"/>
    <col min="3" max="3" width="15.7109375" customWidth="1"/>
    <col min="4" max="5" width="19.140625" customWidth="1"/>
    <col min="6" max="6" width="23.85546875" customWidth="1"/>
    <col min="8" max="8" width="10.42578125" customWidth="1"/>
    <col min="9" max="9" width="17.5703125" customWidth="1"/>
    <col min="10" max="10" width="14.5703125" customWidth="1"/>
  </cols>
  <sheetData>
    <row r="1" spans="2:10" ht="23.25" x14ac:dyDescent="0.25">
      <c r="B1" s="128" t="s">
        <v>145</v>
      </c>
      <c r="C1" s="166" t="str">
        <f>'2'!D14</f>
        <v xml:space="preserve">3 پانل </v>
      </c>
      <c r="D1" s="130"/>
      <c r="E1" s="130"/>
      <c r="F1" s="130"/>
    </row>
    <row r="2" spans="2:10" ht="23.25" x14ac:dyDescent="0.25">
      <c r="B2" s="128" t="s">
        <v>154</v>
      </c>
      <c r="C2" s="131">
        <f>'2'!$D$3</f>
        <v>2200000</v>
      </c>
      <c r="D2" s="318" t="s">
        <v>146</v>
      </c>
      <c r="E2" s="318"/>
      <c r="F2" s="318"/>
    </row>
    <row r="3" spans="2:10" ht="30" x14ac:dyDescent="0.25">
      <c r="B3" s="128" t="s">
        <v>148</v>
      </c>
      <c r="C3" s="132">
        <f>'2'!$D$16</f>
        <v>0</v>
      </c>
      <c r="D3" s="133" t="s">
        <v>155</v>
      </c>
      <c r="E3" s="134">
        <f>'پیش فاکتور گیوتین'!G19</f>
        <v>2.2000000000000002</v>
      </c>
      <c r="F3" s="134">
        <v>2.6</v>
      </c>
    </row>
    <row r="4" spans="2:10" ht="26.25" x14ac:dyDescent="0.25">
      <c r="B4" s="128" t="s">
        <v>149</v>
      </c>
      <c r="C4" s="132">
        <f>'2'!$D$17</f>
        <v>0</v>
      </c>
      <c r="D4" s="316" t="s">
        <v>150</v>
      </c>
      <c r="E4" s="316"/>
      <c r="F4" s="135">
        <f>SUM(F15:F24)*1.1</f>
        <v>0</v>
      </c>
    </row>
    <row r="5" spans="2:10" ht="18.75" x14ac:dyDescent="0.25">
      <c r="B5" s="19" t="s">
        <v>184</v>
      </c>
      <c r="C5" s="131">
        <f>J5</f>
        <v>0</v>
      </c>
      <c r="D5" s="316" t="s">
        <v>156</v>
      </c>
      <c r="E5" s="317" t="e">
        <f>C13*E3</f>
        <v>#DIV/0!</v>
      </c>
      <c r="F5" s="319" t="e">
        <f>E5*C3*C4</f>
        <v>#DIV/0!</v>
      </c>
      <c r="H5" s="19" t="s">
        <v>184</v>
      </c>
      <c r="I5" s="131">
        <f>IF(AND($C$3&gt;=2,$C$3&lt;=2.25),'2'!F5,IF(AND($C$3&gt;2.25,$C$3&lt;=3.25),'2'!F5*1.2,IF(AND($C$3&gt;3.25),'2'!F5*1.35,0)))</f>
        <v>0</v>
      </c>
      <c r="J5" s="131">
        <f>IF(AND($C$3&gt;=2,$C$3&lt;=2.25),'2'!G5,IF(AND($C$3&gt;2.25,$C$3&lt;=3.25),'2'!G5*1.2,IF(AND($C$3&gt;3.25),'2'!G5*1.35,0)))</f>
        <v>0</v>
      </c>
    </row>
    <row r="6" spans="2:10" ht="18.75" x14ac:dyDescent="0.25">
      <c r="B6" s="20" t="s">
        <v>185</v>
      </c>
      <c r="C6" s="131">
        <f t="shared" ref="C6:C12" si="0">J6</f>
        <v>0</v>
      </c>
      <c r="D6" s="316"/>
      <c r="E6" s="317"/>
      <c r="F6" s="320"/>
      <c r="H6" s="20" t="s">
        <v>185</v>
      </c>
      <c r="I6" s="131">
        <f>IF(AND($C$3&gt;=2,$C$3&lt;=2.25),'2'!F6,IF(AND($C$3&gt;2.25,$C$3&lt;=3.25),'2'!F6*1.2,IF(AND($C$3&gt;3.25),'2'!F6*1.35,0)))</f>
        <v>0</v>
      </c>
      <c r="J6" s="131">
        <f>IF(AND($C$3&gt;=2,$C$3&lt;=2.25),'2'!G6,IF(AND($C$3&gt;2.25,$C$3&lt;=3.25),'2'!G6*1.2,IF(AND($C$3&gt;3.25),'2'!G6*1.35,0)))</f>
        <v>0</v>
      </c>
    </row>
    <row r="7" spans="2:10" ht="28.5" x14ac:dyDescent="0.25">
      <c r="B7" s="20" t="s">
        <v>181</v>
      </c>
      <c r="C7" s="131">
        <f t="shared" si="0"/>
        <v>0</v>
      </c>
      <c r="D7" s="136"/>
      <c r="E7" s="137"/>
      <c r="F7" s="138"/>
      <c r="H7" s="20" t="s">
        <v>181</v>
      </c>
      <c r="I7" s="131">
        <f>IF(AND($C$3&gt;=2,$C$3&lt;=2.25),'2'!F7,IF(AND($C$3&gt;2.25,$C$3&lt;=3.25),'2'!F7*1.2,IF(AND($C$3&gt;3.25),'2'!F7*1.35,0)))</f>
        <v>0</v>
      </c>
      <c r="J7" s="131">
        <f>IF(AND($C$3&gt;=2,$C$3&lt;=2.25),'2'!G7,IF(AND($C$3&gt;2.25,$C$3&lt;=3.25),'2'!G7*1.2,IF(AND($C$3&gt;3.25),'2'!G7*1.35,0)))</f>
        <v>0</v>
      </c>
    </row>
    <row r="8" spans="2:10" ht="28.5" x14ac:dyDescent="0.25">
      <c r="B8" s="20" t="s">
        <v>182</v>
      </c>
      <c r="C8" s="131">
        <f t="shared" si="0"/>
        <v>0</v>
      </c>
      <c r="D8" s="136"/>
      <c r="E8" s="137"/>
      <c r="F8" s="138"/>
      <c r="H8" s="20" t="s">
        <v>182</v>
      </c>
      <c r="I8" s="131">
        <f>IF(AND($C$3&gt;=2,$C$3&lt;=2.25),'2'!F8,IF(AND($C$3&gt;2.25,$C$3&lt;=3.25),'2'!F8*1.2,IF(AND($C$3&gt;3.25),'2'!F8*1.35,0)))</f>
        <v>0</v>
      </c>
      <c r="J8" s="131">
        <f>IF(AND($C$3&gt;=2,$C$3&lt;=2.25),'2'!G8,IF(AND($C$3&gt;2.25,$C$3&lt;=3.25),'2'!G8*1.2,IF(AND($C$3&gt;3.25),'2'!G8*1.35,0)))</f>
        <v>0</v>
      </c>
    </row>
    <row r="9" spans="2:10" ht="28.5" x14ac:dyDescent="0.25">
      <c r="B9" s="20" t="s">
        <v>183</v>
      </c>
      <c r="C9" s="131">
        <f t="shared" si="0"/>
        <v>0</v>
      </c>
      <c r="D9" s="136"/>
      <c r="E9" s="137"/>
      <c r="F9" s="138"/>
      <c r="H9" s="20" t="s">
        <v>183</v>
      </c>
      <c r="I9" s="131">
        <f>IF(AND($C$3&gt;=2,$C$3&lt;=2.25),'2'!F9,IF(AND($C$3&gt;2.25,$C$3&lt;=3.25),'2'!F9*1.2,IF(AND($C$3&gt;3.25),'2'!F9*1.35,0)))</f>
        <v>0</v>
      </c>
      <c r="J9" s="131">
        <f>IF(AND($C$3&gt;=2,$C$3&lt;=2.25),'2'!G9,IF(AND($C$3&gt;2.25,$C$3&lt;=3.25),'2'!G9*1.2,IF(AND($C$3&gt;3.25),'2'!G9*1.35,0)))</f>
        <v>0</v>
      </c>
    </row>
    <row r="10" spans="2:10" ht="28.5" x14ac:dyDescent="0.25">
      <c r="B10" s="20" t="s">
        <v>178</v>
      </c>
      <c r="C10" s="131">
        <f t="shared" si="0"/>
        <v>0</v>
      </c>
      <c r="D10" s="136"/>
      <c r="E10" s="137"/>
      <c r="F10" s="138"/>
      <c r="H10" s="20" t="s">
        <v>178</v>
      </c>
      <c r="I10" s="131">
        <f>IF(AND($C$3&gt;=2,$C$3&lt;=2.25),'2'!F10,IF(AND($C$3&gt;2.25,$C$3&lt;=3.25),'2'!F10*1.2,IF(AND($C$3&gt;3.25),'2'!F10*1.35,0)))</f>
        <v>0</v>
      </c>
      <c r="J10" s="131">
        <f>IF(AND($C$3&gt;=2,$C$3&lt;=2.25),'2'!G10,IF(AND($C$3&gt;2.25,$C$3&lt;=3.25),'2'!G10*1.2,IF(AND($C$3&gt;3.25),'2'!G10*1.35,0)))</f>
        <v>0</v>
      </c>
    </row>
    <row r="11" spans="2:10" ht="28.5" x14ac:dyDescent="0.25">
      <c r="B11" s="20" t="s">
        <v>179</v>
      </c>
      <c r="C11" s="131">
        <f t="shared" si="0"/>
        <v>0</v>
      </c>
      <c r="D11" s="136"/>
      <c r="E11" s="137"/>
      <c r="F11" s="138"/>
      <c r="H11" s="20" t="s">
        <v>179</v>
      </c>
      <c r="I11" s="131">
        <f>IF(AND($C$3&gt;=2,$C$3&lt;=2.25),'2'!F11,IF(AND($C$3&gt;2.25,$C$3&lt;=3.25),'2'!F11*1.2,IF(AND($C$3&gt;3.25),'2'!F11*1.35,0)))</f>
        <v>0</v>
      </c>
      <c r="J11" s="131">
        <f>IF(AND($C$3&gt;=2,$C$3&lt;=2.25),'2'!G11,IF(AND($C$3&gt;2.25,$C$3&lt;=3.25),'2'!G11*1.2,IF(AND($C$3&gt;3.25),'2'!G11*1.35,0)))</f>
        <v>0</v>
      </c>
    </row>
    <row r="12" spans="2:10" ht="28.5" x14ac:dyDescent="0.25">
      <c r="B12" s="20" t="s">
        <v>180</v>
      </c>
      <c r="C12" s="131">
        <f t="shared" si="0"/>
        <v>0</v>
      </c>
      <c r="D12" s="136"/>
      <c r="E12" s="137"/>
      <c r="F12" s="138"/>
      <c r="H12" s="20" t="s">
        <v>180</v>
      </c>
      <c r="I12" s="131">
        <f>IF(AND($C$3&gt;=2,$C$3&lt;=2.25),'2'!F12,IF(AND($C$3&gt;2.25,$C$3&lt;=3.25),'2'!F12*1.2,IF(AND($C$3&gt;3.25),'2'!F12*1.35,0)))</f>
        <v>0</v>
      </c>
      <c r="J12" s="131">
        <f>IF(AND($C$3&gt;=2,$C$3&lt;=2.25),'2'!G12,IF(AND($C$3&gt;2.25,$C$3&lt;=3.25),'2'!G12*1.2,IF(AND($C$3&gt;3.25),'2'!G12*1.35,0)))</f>
        <v>0</v>
      </c>
    </row>
    <row r="13" spans="2:10" ht="21" x14ac:dyDescent="0.25">
      <c r="B13" s="139" t="s">
        <v>157</v>
      </c>
      <c r="C13" s="139" t="e">
        <f>SUM(F25:F33)/(C3*C4)</f>
        <v>#DIV/0!</v>
      </c>
      <c r="D13" s="139"/>
      <c r="E13" s="139"/>
      <c r="F13" s="140"/>
    </row>
    <row r="14" spans="2:10" ht="19.5" x14ac:dyDescent="0.25">
      <c r="B14" s="141"/>
      <c r="C14" s="142" t="s">
        <v>158</v>
      </c>
      <c r="D14" s="142" t="s">
        <v>159</v>
      </c>
      <c r="E14" s="143" t="s">
        <v>160</v>
      </c>
      <c r="F14" s="143" t="s">
        <v>161</v>
      </c>
    </row>
    <row r="15" spans="2:10" ht="35.1" customHeight="1" x14ac:dyDescent="0.25">
      <c r="B15" s="144"/>
      <c r="C15" s="145">
        <f>C3</f>
        <v>0</v>
      </c>
      <c r="D15" s="146">
        <v>1</v>
      </c>
      <c r="E15" s="146">
        <v>1.56</v>
      </c>
      <c r="F15" s="146">
        <f>C15*D15*E15</f>
        <v>0</v>
      </c>
    </row>
    <row r="16" spans="2:10" ht="35.1" customHeight="1" x14ac:dyDescent="0.25">
      <c r="B16" s="144"/>
      <c r="C16" s="145">
        <f>C15</f>
        <v>0</v>
      </c>
      <c r="D16" s="146">
        <v>1</v>
      </c>
      <c r="E16" s="146">
        <v>1.73</v>
      </c>
      <c r="F16" s="146">
        <f>C16*D16*E16</f>
        <v>0</v>
      </c>
    </row>
    <row r="17" spans="2:9" ht="35.1" customHeight="1" x14ac:dyDescent="0.25">
      <c r="B17" s="144"/>
      <c r="C17" s="145">
        <f>C15</f>
        <v>0</v>
      </c>
      <c r="D17" s="146">
        <v>1</v>
      </c>
      <c r="E17" s="146">
        <v>1.1559999999999999</v>
      </c>
      <c r="F17" s="146">
        <f>C17*D17*E17</f>
        <v>0</v>
      </c>
    </row>
    <row r="18" spans="2:9" ht="35.1" customHeight="1" x14ac:dyDescent="0.25">
      <c r="B18" s="141"/>
      <c r="C18" s="147">
        <f>C4</f>
        <v>0</v>
      </c>
      <c r="D18" s="146">
        <v>2</v>
      </c>
      <c r="E18" s="146">
        <v>1.87</v>
      </c>
      <c r="F18" s="146">
        <f>C18*D18*E18</f>
        <v>0</v>
      </c>
    </row>
    <row r="19" spans="2:9" ht="35.1" customHeight="1" x14ac:dyDescent="0.25">
      <c r="B19" s="141"/>
      <c r="C19" s="147">
        <f>C4</f>
        <v>0</v>
      </c>
      <c r="D19" s="146">
        <v>2</v>
      </c>
      <c r="E19" s="146">
        <v>0.75</v>
      </c>
      <c r="F19" s="146">
        <f t="shared" ref="F19:F33" si="1">C19*D19*E19</f>
        <v>0</v>
      </c>
    </row>
    <row r="20" spans="2:9" ht="35.1" customHeight="1" x14ac:dyDescent="0.25">
      <c r="B20" s="141"/>
      <c r="C20" s="147">
        <f>C4</f>
        <v>0</v>
      </c>
      <c r="D20" s="146">
        <v>2</v>
      </c>
      <c r="E20" s="146">
        <v>0.65</v>
      </c>
      <c r="F20" s="146">
        <f t="shared" si="1"/>
        <v>0</v>
      </c>
    </row>
    <row r="21" spans="2:9" ht="35.1" customHeight="1" x14ac:dyDescent="0.25">
      <c r="B21" s="141"/>
      <c r="C21" s="147">
        <f>C4</f>
        <v>0</v>
      </c>
      <c r="D21" s="146">
        <v>2</v>
      </c>
      <c r="E21" s="146">
        <v>0.56999999999999995</v>
      </c>
      <c r="F21" s="146">
        <f t="shared" si="1"/>
        <v>0</v>
      </c>
    </row>
    <row r="22" spans="2:9" ht="35.1" customHeight="1" x14ac:dyDescent="0.25">
      <c r="B22" s="141"/>
      <c r="C22" s="147">
        <f>C3</f>
        <v>0</v>
      </c>
      <c r="D22" s="146">
        <f>IF(AND(C1="2 پانل "),4,IF(AND(C1="3 پانل "),6,IF(AND(C1="4 پانل "),8,0)))</f>
        <v>6</v>
      </c>
      <c r="E22" s="146">
        <v>0.9</v>
      </c>
      <c r="F22" s="146">
        <f t="shared" si="1"/>
        <v>0</v>
      </c>
      <c r="I22" s="160" t="s">
        <v>7</v>
      </c>
    </row>
    <row r="23" spans="2:9" ht="35.1" customHeight="1" x14ac:dyDescent="0.25">
      <c r="B23" s="141"/>
      <c r="C23" s="147">
        <f>C3</f>
        <v>0</v>
      </c>
      <c r="D23" s="146">
        <f>IF(AND(C1="2 پانل "),2,IF(AND(C1="3 پانل "),4,IF(AND(C1="4 پانل "),6,0)))</f>
        <v>4</v>
      </c>
      <c r="E23" s="146">
        <v>0.34</v>
      </c>
      <c r="F23" s="146">
        <f t="shared" si="1"/>
        <v>0</v>
      </c>
      <c r="I23" s="163" t="s">
        <v>186</v>
      </c>
    </row>
    <row r="24" spans="2:9" ht="35.1" customHeight="1" x14ac:dyDescent="0.25">
      <c r="B24" s="141"/>
      <c r="C24" s="147">
        <f>(C21*D21)+(C22*D22)</f>
        <v>0</v>
      </c>
      <c r="D24" s="146">
        <f>IF(AND('2'!D15="8mm"),1,0)</f>
        <v>0</v>
      </c>
      <c r="E24" s="146">
        <v>0.25</v>
      </c>
      <c r="F24" s="146">
        <f t="shared" si="1"/>
        <v>0</v>
      </c>
      <c r="I24" s="163" t="s">
        <v>187</v>
      </c>
    </row>
    <row r="25" spans="2:9" ht="23.25" x14ac:dyDescent="0.25">
      <c r="B25" s="148" t="s">
        <v>162</v>
      </c>
      <c r="C25" s="147">
        <f>F4</f>
        <v>0</v>
      </c>
      <c r="D25" s="146">
        <v>1</v>
      </c>
      <c r="E25" s="149">
        <f>C2</f>
        <v>2200000</v>
      </c>
      <c r="F25" s="149">
        <f t="shared" si="1"/>
        <v>0</v>
      </c>
      <c r="I25" s="163" t="s">
        <v>188</v>
      </c>
    </row>
    <row r="26" spans="2:9" ht="23.25" x14ac:dyDescent="0.25">
      <c r="B26" s="148" t="s">
        <v>163</v>
      </c>
      <c r="C26" s="147">
        <f>C3*C4</f>
        <v>0</v>
      </c>
      <c r="D26" s="146">
        <v>1</v>
      </c>
      <c r="E26" s="149">
        <f>IF(AND('2'!D15="8mm Tempered Glass"),C5,IF(AND('2'!D15="10mm Tempered Glass"),C6,IF(AND('2'!D15="4mm + 12 air spacer + 4mm"),C7,IF(AND('2'!D15="5mm + 10 air spacer + 5mm"),C8,IF(AND('2'!D15="6mm + 8 air spacer + 6mm"),C9,IF(AND('2'!D15="Laminate Glass ( 5mm +1.52PVB+ 5mm )"),C10,IF(AND('2'!D15="Laminate Glass ( 6mm +1.52PVB+ 6mm )"),C11,IF(AND('2'!D15="Laminate Glass ( 8mm +1.52PVB+ 8mm )"),C12,0))))))))</f>
        <v>0</v>
      </c>
      <c r="F26" s="149">
        <f t="shared" si="1"/>
        <v>0</v>
      </c>
    </row>
    <row r="27" spans="2:9" ht="23.25" x14ac:dyDescent="0.25">
      <c r="B27" s="150" t="s">
        <v>164</v>
      </c>
      <c r="C27" s="147">
        <f>C4</f>
        <v>0</v>
      </c>
      <c r="D27" s="146">
        <f>C27*2</f>
        <v>0</v>
      </c>
      <c r="E27" s="149">
        <v>1200000</v>
      </c>
      <c r="F27" s="149">
        <f t="shared" si="1"/>
        <v>0</v>
      </c>
    </row>
    <row r="28" spans="2:9" ht="23.25" x14ac:dyDescent="0.25">
      <c r="B28" s="150" t="s">
        <v>165</v>
      </c>
      <c r="C28" s="147">
        <v>1</v>
      </c>
      <c r="D28" s="146">
        <f>IF(AND(H28&gt;=11.5),2,1)</f>
        <v>1</v>
      </c>
      <c r="E28" s="149">
        <f>IF(AND('پیش فاکتور گیوتین'!F11="120Nm بکر آلمان "),(390*'پیش فاکتور گیوتین'!C18),IF(AND('پیش فاکتور گیوتین'!F11="120Nm  سامفی فرانسه "),(450*'پیش فاکتور گیوتین'!C18),IF(AND('پیش فاکتور گیوتین'!F11="اختصاصی سایه روشن 120Nm"),(110*'پیش فاکتور گیوتین'!C18),0)))</f>
        <v>77000000</v>
      </c>
      <c r="F28" s="149">
        <f t="shared" si="1"/>
        <v>77000000</v>
      </c>
      <c r="H28">
        <f>C3*C4</f>
        <v>0</v>
      </c>
    </row>
    <row r="29" spans="2:9" ht="23.25" x14ac:dyDescent="0.25">
      <c r="B29" s="150" t="s">
        <v>166</v>
      </c>
      <c r="C29" s="147">
        <f>(C4*8*2)+(C3*12)</f>
        <v>0</v>
      </c>
      <c r="D29" s="146">
        <v>1</v>
      </c>
      <c r="E29" s="149">
        <v>15000</v>
      </c>
      <c r="F29" s="149">
        <f t="shared" si="1"/>
        <v>0</v>
      </c>
    </row>
    <row r="30" spans="2:9" ht="23.25" x14ac:dyDescent="0.25">
      <c r="B30" s="150" t="s">
        <v>167</v>
      </c>
      <c r="C30" s="147">
        <f>C3</f>
        <v>0</v>
      </c>
      <c r="D30" s="146">
        <v>4</v>
      </c>
      <c r="E30" s="149">
        <v>315000</v>
      </c>
      <c r="F30" s="149">
        <f t="shared" si="1"/>
        <v>0</v>
      </c>
    </row>
    <row r="31" spans="2:9" ht="23.25" x14ac:dyDescent="0.25">
      <c r="B31" s="148" t="s">
        <v>168</v>
      </c>
      <c r="C31" s="147">
        <v>9</v>
      </c>
      <c r="D31" s="146">
        <v>1</v>
      </c>
      <c r="E31" s="149">
        <v>1500000</v>
      </c>
      <c r="F31" s="149">
        <f t="shared" si="1"/>
        <v>13500000</v>
      </c>
    </row>
    <row r="32" spans="2:9" ht="42" x14ac:dyDescent="0.25">
      <c r="B32" s="148" t="s">
        <v>169</v>
      </c>
      <c r="C32" s="147">
        <v>1</v>
      </c>
      <c r="D32" s="146">
        <v>1</v>
      </c>
      <c r="E32" s="149">
        <v>25000000</v>
      </c>
      <c r="F32" s="149">
        <f t="shared" si="1"/>
        <v>25000000</v>
      </c>
    </row>
    <row r="33" spans="2:10" ht="23.25" x14ac:dyDescent="0.25">
      <c r="B33" s="148" t="s">
        <v>135</v>
      </c>
      <c r="C33" s="147">
        <f>F4</f>
        <v>0</v>
      </c>
      <c r="D33" s="146">
        <v>1</v>
      </c>
      <c r="E33" s="149">
        <f>'2'!D4</f>
        <v>450000</v>
      </c>
      <c r="F33" s="149">
        <f t="shared" si="1"/>
        <v>0</v>
      </c>
    </row>
    <row r="34" spans="2:10" x14ac:dyDescent="0.25">
      <c r="D34" s="139"/>
      <c r="E34" s="139"/>
    </row>
    <row r="35" spans="2:10" x14ac:dyDescent="0.25">
      <c r="B35" s="151"/>
      <c r="C35" s="151"/>
      <c r="D35" s="151"/>
      <c r="E35" s="151"/>
      <c r="F35" s="151"/>
    </row>
    <row r="36" spans="2:10" ht="21" x14ac:dyDescent="0.25">
      <c r="B36" s="128" t="s">
        <v>145</v>
      </c>
      <c r="C36" s="129">
        <f>'2'!G14</f>
        <v>5</v>
      </c>
    </row>
    <row r="37" spans="2:10" ht="23.25" x14ac:dyDescent="0.25">
      <c r="B37" s="128" t="s">
        <v>154</v>
      </c>
      <c r="C37" s="131">
        <f>'2'!D3</f>
        <v>2200000</v>
      </c>
      <c r="D37" s="318" t="s">
        <v>147</v>
      </c>
      <c r="E37" s="318"/>
      <c r="F37" s="318"/>
    </row>
    <row r="38" spans="2:10" ht="30" x14ac:dyDescent="0.25">
      <c r="B38" s="128" t="s">
        <v>148</v>
      </c>
      <c r="C38" s="152">
        <f>'2'!G16</f>
        <v>6.5</v>
      </c>
      <c r="D38" s="153" t="s">
        <v>155</v>
      </c>
      <c r="E38" s="134">
        <v>2.2000000000000002</v>
      </c>
    </row>
    <row r="39" spans="2:10" ht="26.25" x14ac:dyDescent="0.25">
      <c r="B39" s="128" t="s">
        <v>149</v>
      </c>
      <c r="C39" s="152">
        <f>'2'!G17</f>
        <v>2.2000000000000002</v>
      </c>
      <c r="D39" s="316" t="s">
        <v>150</v>
      </c>
      <c r="E39" s="316"/>
      <c r="F39" s="135">
        <f>SUM(F50:F56)*1.1</f>
        <v>59.18</v>
      </c>
    </row>
    <row r="40" spans="2:10" ht="26.25" x14ac:dyDescent="0.25">
      <c r="B40" s="118" t="s">
        <v>59</v>
      </c>
      <c r="C40" s="131">
        <f t="shared" ref="C40:C47" si="2">IF($C$3&lt;=3,I40,J40)</f>
        <v>0</v>
      </c>
      <c r="D40" s="316" t="s">
        <v>156</v>
      </c>
      <c r="E40" s="317">
        <f>C48*E38</f>
        <v>30960461.53846154</v>
      </c>
      <c r="F40" s="154">
        <f>E40*C38*C39</f>
        <v>442734600.00000006</v>
      </c>
      <c r="H40" s="118" t="s">
        <v>59</v>
      </c>
      <c r="I40" s="131">
        <f>IF(AND($C$3&gt;=2,$C$3&lt;=2.25),'2'!F5,IF(AND($C$3&gt;2.25,$C$3&lt;=3.25),'2'!F5*1.2,IF(AND($C$3&gt;3.25),'2'!F5*1.35,0)))</f>
        <v>0</v>
      </c>
      <c r="J40" s="131">
        <f>IF(AND($C$3&gt;=2,$C$3&lt;=2.25),'2'!G5,IF(AND($C$3&gt;2.25,$C$3&lt;=3.25),'2'!G5*1.2,IF(AND($C$3&gt;3.25),'2'!G5*1.35,0)))</f>
        <v>0</v>
      </c>
    </row>
    <row r="41" spans="2:10" ht="28.5" x14ac:dyDescent="0.25">
      <c r="B41" s="118" t="s">
        <v>60</v>
      </c>
      <c r="C41" s="131">
        <f t="shared" si="2"/>
        <v>0</v>
      </c>
      <c r="D41" s="316"/>
      <c r="E41" s="317"/>
      <c r="F41" s="155"/>
      <c r="H41" s="118" t="s">
        <v>60</v>
      </c>
      <c r="I41" s="131">
        <f>IF(AND($C$3&gt;=2,$C$3&lt;=2.25),'2'!F6,IF(AND($C$3&gt;2.25,$C$3&lt;=3.25),'2'!F6*1.2,IF(AND($C$3&gt;3.25),'2'!F6*1.35,0)))</f>
        <v>0</v>
      </c>
      <c r="J41" s="131">
        <f>IF(AND($C$3&gt;=2,$C$3&lt;=2.25),'2'!G6,IF(AND($C$3&gt;2.25,$C$3&lt;=3.25),'2'!G6*1.2,IF(AND($C$3&gt;3.25),'2'!G6*1.35,0)))</f>
        <v>0</v>
      </c>
    </row>
    <row r="42" spans="2:10" ht="23.25" x14ac:dyDescent="0.25">
      <c r="B42" s="112" t="s">
        <v>138</v>
      </c>
      <c r="C42" s="131">
        <f t="shared" si="2"/>
        <v>0</v>
      </c>
      <c r="D42" s="136"/>
      <c r="E42" s="156"/>
      <c r="F42" s="157"/>
      <c r="H42" s="112" t="s">
        <v>138</v>
      </c>
      <c r="I42" s="131">
        <f>IF(AND($C$3&gt;=2,$C$3&lt;=2.25),'2'!F7,IF(AND($C$3&gt;2.25,$C$3&lt;=3.25),'2'!F7*1.2,IF(AND($C$3&gt;3.25),'2'!F7*1.35,0)))</f>
        <v>0</v>
      </c>
      <c r="J42" s="131">
        <f>IF(AND($C$3&gt;=2,$C$3&lt;=2.25),'2'!G7,IF(AND($C$3&gt;2.25,$C$3&lt;=3.25),'2'!G7*1.2,IF(AND($C$3&gt;3.25),'2'!G7*1.35,0)))</f>
        <v>0</v>
      </c>
    </row>
    <row r="43" spans="2:10" ht="23.25" x14ac:dyDescent="0.25">
      <c r="B43" s="112" t="s">
        <v>139</v>
      </c>
      <c r="C43" s="131">
        <f t="shared" si="2"/>
        <v>0</v>
      </c>
      <c r="D43" s="136"/>
      <c r="E43" s="158"/>
      <c r="F43" s="159"/>
      <c r="H43" s="112" t="s">
        <v>139</v>
      </c>
      <c r="I43" s="131">
        <f>IF(AND($C$3&gt;=2,$C$3&lt;=2.25),'2'!F8,IF(AND($C$3&gt;2.25,$C$3&lt;=3.25),'2'!F8*1.2,IF(AND($C$3&gt;3.25),'2'!F8*1.35,0)))</f>
        <v>0</v>
      </c>
      <c r="J43" s="131">
        <f>IF(AND($C$3&gt;=2,$C$3&lt;=2.25),'2'!G8,IF(AND($C$3&gt;2.25,$C$3&lt;=3.25),'2'!G8*1.2,IF(AND($C$3&gt;3.25),'2'!G8*1.35,0)))</f>
        <v>0</v>
      </c>
    </row>
    <row r="44" spans="2:10" ht="23.25" x14ac:dyDescent="0.25">
      <c r="B44" s="112" t="s">
        <v>140</v>
      </c>
      <c r="C44" s="131">
        <f t="shared" si="2"/>
        <v>0</v>
      </c>
      <c r="D44" s="136"/>
      <c r="E44" s="158"/>
      <c r="F44" s="159"/>
      <c r="H44" s="112" t="s">
        <v>140</v>
      </c>
      <c r="I44" s="131">
        <f>IF(AND($C$3&gt;=2,$C$3&lt;=2.25),'2'!F9,IF(AND($C$3&gt;2.25,$C$3&lt;=3.25),'2'!F9*1.2,IF(AND($C$3&gt;3.25),'2'!F9*1.35,0)))</f>
        <v>0</v>
      </c>
      <c r="J44" s="131">
        <f>IF(AND($C$3&gt;=2,$C$3&lt;=2.25),'2'!G9,IF(AND($C$3&gt;2.25,$C$3&lt;=3.25),'2'!G9*1.2,IF(AND($C$3&gt;3.25),'2'!G9*1.35,0)))</f>
        <v>0</v>
      </c>
    </row>
    <row r="45" spans="2:10" ht="23.25" x14ac:dyDescent="0.25">
      <c r="B45" s="112" t="s">
        <v>142</v>
      </c>
      <c r="C45" s="131">
        <f t="shared" si="2"/>
        <v>0</v>
      </c>
      <c r="D45" s="136"/>
      <c r="E45" s="158"/>
      <c r="F45" s="159"/>
      <c r="H45" s="112" t="s">
        <v>142</v>
      </c>
      <c r="I45" s="131">
        <f>IF(AND($C$3&gt;=2,$C$3&lt;=2.25),'2'!F10,IF(AND($C$3&gt;2.25,$C$3&lt;=3.25),'2'!F10*1.2,IF(AND($C$3&gt;3.25),'2'!F10*1.35,0)))</f>
        <v>0</v>
      </c>
      <c r="J45" s="131">
        <f>IF(AND($C$3&gt;=2,$C$3&lt;=2.25),'2'!G10,IF(AND($C$3&gt;2.25,$C$3&lt;=3.25),'2'!G10*1.2,IF(AND($C$3&gt;3.25),'2'!G10*1.35,0)))</f>
        <v>0</v>
      </c>
    </row>
    <row r="46" spans="2:10" ht="23.25" x14ac:dyDescent="0.25">
      <c r="B46" s="112" t="s">
        <v>143</v>
      </c>
      <c r="C46" s="131">
        <f t="shared" si="2"/>
        <v>0</v>
      </c>
      <c r="D46" s="136"/>
      <c r="E46" s="158"/>
      <c r="F46" s="159"/>
      <c r="H46" s="112" t="s">
        <v>143</v>
      </c>
      <c r="I46" s="131">
        <f>IF(AND($C$3&gt;=2,$C$3&lt;=2.25),'2'!F11,IF(AND($C$3&gt;2.25,$C$3&lt;=3.25),'2'!F11*1.2,IF(AND($C$3&gt;3.25),'2'!F11*1.35,0)))</f>
        <v>0</v>
      </c>
      <c r="J46" s="131">
        <f>IF(AND($C$3&gt;=2,$C$3&lt;=2.25),'2'!G11,IF(AND($C$3&gt;2.25,$C$3&lt;=3.25),'2'!G11*1.2,IF(AND($C$3&gt;3.25),'2'!G11*1.35,0)))</f>
        <v>0</v>
      </c>
    </row>
    <row r="47" spans="2:10" ht="23.25" x14ac:dyDescent="0.25">
      <c r="B47" s="112" t="s">
        <v>144</v>
      </c>
      <c r="C47" s="131">
        <f t="shared" si="2"/>
        <v>0</v>
      </c>
      <c r="D47" s="136"/>
      <c r="E47" s="158"/>
      <c r="F47" s="159"/>
      <c r="H47" s="112" t="s">
        <v>144</v>
      </c>
      <c r="I47" s="131">
        <f>IF(AND($C$3&gt;=2,$C$3&lt;=2.25),'2'!F12,IF(AND($C$3&gt;2.25,$C$3&lt;=3.25),'2'!F12*1.2,IF(AND($C$3&gt;3.25),'2'!F12*1.35,0)))</f>
        <v>0</v>
      </c>
      <c r="J47" s="131">
        <f>IF(AND($C$3&gt;=2,$C$3&lt;=2.25),'2'!G12,IF(AND($C$3&gt;2.25,$C$3&lt;=3.25),'2'!G12*1.2,IF(AND($C$3&gt;3.25),'2'!G12*1.35,0)))</f>
        <v>0</v>
      </c>
    </row>
    <row r="48" spans="2:10" ht="21" x14ac:dyDescent="0.25">
      <c r="B48" s="139" t="s">
        <v>157</v>
      </c>
      <c r="C48" s="139">
        <f>SUM(F57:F63)/(C38*C39)</f>
        <v>14072937.062937062</v>
      </c>
      <c r="D48" s="139"/>
      <c r="E48" s="139"/>
      <c r="F48" s="140"/>
    </row>
    <row r="49" spans="2:6" ht="19.5" x14ac:dyDescent="0.25">
      <c r="B49" s="141"/>
      <c r="C49" s="142" t="s">
        <v>158</v>
      </c>
      <c r="D49" s="142" t="s">
        <v>159</v>
      </c>
      <c r="E49" s="143" t="s">
        <v>160</v>
      </c>
      <c r="F49" s="143" t="s">
        <v>161</v>
      </c>
    </row>
    <row r="50" spans="2:6" ht="23.25" x14ac:dyDescent="0.25">
      <c r="B50" s="141"/>
      <c r="C50" s="147">
        <f>C38</f>
        <v>6.5</v>
      </c>
      <c r="D50" s="146">
        <v>1</v>
      </c>
      <c r="E50" s="146">
        <v>2.1</v>
      </c>
      <c r="F50" s="146">
        <f>C50*D50*E50</f>
        <v>13.65</v>
      </c>
    </row>
    <row r="51" spans="2:6" ht="23.25" x14ac:dyDescent="0.25">
      <c r="B51" s="141"/>
      <c r="C51" s="147">
        <f>C39</f>
        <v>2.2000000000000002</v>
      </c>
      <c r="D51" s="146">
        <v>2</v>
      </c>
      <c r="E51" s="146">
        <v>1.25</v>
      </c>
      <c r="F51" s="146">
        <f t="shared" ref="F51:F63" si="3">C51*D51*E51</f>
        <v>5.5</v>
      </c>
    </row>
    <row r="52" spans="2:6" ht="23.25" x14ac:dyDescent="0.25">
      <c r="B52" s="141"/>
      <c r="C52" s="147">
        <f>C38</f>
        <v>6.5</v>
      </c>
      <c r="D52" s="146">
        <v>1</v>
      </c>
      <c r="E52" s="146">
        <v>1.8</v>
      </c>
      <c r="F52" s="146">
        <f t="shared" si="3"/>
        <v>11.700000000000001</v>
      </c>
    </row>
    <row r="53" spans="2:6" ht="23.25" x14ac:dyDescent="0.25">
      <c r="B53" s="141"/>
      <c r="C53" s="147">
        <f>C38</f>
        <v>6.5</v>
      </c>
      <c r="D53" s="146">
        <v>1</v>
      </c>
      <c r="E53" s="146">
        <v>1.5</v>
      </c>
      <c r="F53" s="146">
        <f t="shared" si="3"/>
        <v>9.75</v>
      </c>
    </row>
    <row r="54" spans="2:6" ht="23.25" x14ac:dyDescent="0.25">
      <c r="B54" s="141"/>
      <c r="C54" s="147">
        <f>C39</f>
        <v>2.2000000000000002</v>
      </c>
      <c r="D54" s="146">
        <f>IF(AND(C36=3),2,IF(AND(C36=4),2,IF(AND(C36=5),2,IF(AND(C36=6),2,IF(AND(C36="2+2"),3,IF(AND(C36="3+3"),3,IF(AND(C36="4+4"),3,0)))))))</f>
        <v>2</v>
      </c>
      <c r="E54" s="146">
        <v>1</v>
      </c>
      <c r="F54" s="146">
        <f t="shared" si="3"/>
        <v>4.4000000000000004</v>
      </c>
    </row>
    <row r="55" spans="2:6" ht="23.25" x14ac:dyDescent="0.25">
      <c r="B55" s="141"/>
      <c r="C55" s="147">
        <f>C39</f>
        <v>2.2000000000000002</v>
      </c>
      <c r="D55" s="146">
        <f>IF(AND(C36=3),4,IF(AND(C36=4),6,IF(AND(C36=5),8,IF(AND(C36=6),10,IF(AND(C36="2+2"),5,IF(AND(C36="3+3"),9,IF(AND(C36="4+4"),13,0)))))))</f>
        <v>8</v>
      </c>
      <c r="E55" s="146">
        <v>0.5</v>
      </c>
      <c r="F55" s="146">
        <f t="shared" si="3"/>
        <v>8.8000000000000007</v>
      </c>
    </row>
    <row r="56" spans="2:6" ht="23.25" x14ac:dyDescent="0.25">
      <c r="B56" s="141"/>
      <c r="C56" s="147">
        <f>C39*8+C38*2</f>
        <v>30.6</v>
      </c>
      <c r="D56" s="146">
        <f>IF(AND('2'!D15="8mm"),1,0)</f>
        <v>0</v>
      </c>
      <c r="E56" s="146">
        <v>0.25</v>
      </c>
      <c r="F56" s="146">
        <f t="shared" si="3"/>
        <v>0</v>
      </c>
    </row>
    <row r="57" spans="2:6" ht="23.25" x14ac:dyDescent="0.25">
      <c r="B57" s="148" t="s">
        <v>162</v>
      </c>
      <c r="C57" s="147">
        <f>F39</f>
        <v>59.18</v>
      </c>
      <c r="D57" s="146">
        <v>1</v>
      </c>
      <c r="E57" s="149">
        <f>C37</f>
        <v>2200000</v>
      </c>
      <c r="F57" s="149">
        <f t="shared" si="3"/>
        <v>130196000</v>
      </c>
    </row>
    <row r="58" spans="2:6" ht="23.25" x14ac:dyDescent="0.25">
      <c r="B58" s="148" t="s">
        <v>163</v>
      </c>
      <c r="C58" s="147">
        <f>C38*C39</f>
        <v>14.3</v>
      </c>
      <c r="D58" s="146">
        <v>1</v>
      </c>
      <c r="E58" s="149">
        <f>IF(AND('2'!D15="8mm"),C40,IF(AND('2'!D15="10mm"),C41,IF(AND('2'!D15="4+12+4"),C42,IF(AND('2'!D15="5+10+5"),C43,IF(AND('2'!D15="6+8+6"),C44,IF(AND('2'!D15="5pvb5"),C45,IF(AND('2'!D15="6pvb6"),C46,IF(AND('2'!D15="8pvb8"),C47,0))))))))</f>
        <v>0</v>
      </c>
      <c r="F58" s="149">
        <f t="shared" si="3"/>
        <v>0</v>
      </c>
    </row>
    <row r="59" spans="2:6" ht="23.25" x14ac:dyDescent="0.25">
      <c r="B59" s="150" t="s">
        <v>170</v>
      </c>
      <c r="C59" s="147">
        <f>IF(AND(C36=3),6,IF(AND(C36=4),8,IF(AND(C36=5),10,IF(AND(C36=6),12,IF(AND(C36="2+2"),8,IF(AND(C36="3+3"),12,IF(AND(C36="4+4"),16,0)))))))</f>
        <v>10</v>
      </c>
      <c r="D59" s="146">
        <v>1</v>
      </c>
      <c r="E59" s="149">
        <v>2800000</v>
      </c>
      <c r="F59" s="149">
        <f t="shared" si="3"/>
        <v>28000000</v>
      </c>
    </row>
    <row r="60" spans="2:6" ht="23.25" x14ac:dyDescent="0.25">
      <c r="B60" s="150" t="s">
        <v>166</v>
      </c>
      <c r="C60" s="147">
        <f>(C50*8)+(C51*2)+(C53*2)+(C54*D54*2)+(C55*D55)</f>
        <v>95.800000000000011</v>
      </c>
      <c r="D60" s="146">
        <v>1</v>
      </c>
      <c r="E60" s="149">
        <v>20000</v>
      </c>
      <c r="F60" s="149">
        <f t="shared" si="3"/>
        <v>1916000.0000000002</v>
      </c>
    </row>
    <row r="61" spans="2:6" ht="23.25" x14ac:dyDescent="0.25">
      <c r="B61" s="148" t="s">
        <v>168</v>
      </c>
      <c r="C61" s="147">
        <f>C59</f>
        <v>10</v>
      </c>
      <c r="D61" s="146">
        <v>1</v>
      </c>
      <c r="E61" s="149">
        <v>750000</v>
      </c>
      <c r="F61" s="149">
        <f t="shared" si="3"/>
        <v>7500000</v>
      </c>
    </row>
    <row r="62" spans="2:6" ht="23.25" x14ac:dyDescent="0.25">
      <c r="B62" s="148" t="s">
        <v>171</v>
      </c>
      <c r="C62" s="147">
        <v>1</v>
      </c>
      <c r="D62" s="146">
        <v>1</v>
      </c>
      <c r="E62" s="149">
        <v>7000000</v>
      </c>
      <c r="F62" s="149">
        <f t="shared" si="3"/>
        <v>7000000</v>
      </c>
    </row>
    <row r="63" spans="2:6" ht="23.25" x14ac:dyDescent="0.25">
      <c r="B63" s="148" t="s">
        <v>135</v>
      </c>
      <c r="C63" s="147">
        <f>F39</f>
        <v>59.18</v>
      </c>
      <c r="D63" s="146">
        <v>1</v>
      </c>
      <c r="E63" s="149">
        <f>'2'!D4</f>
        <v>450000</v>
      </c>
      <c r="F63" s="149">
        <f t="shared" si="3"/>
        <v>26631000</v>
      </c>
    </row>
  </sheetData>
  <mergeCells count="9">
    <mergeCell ref="D39:E39"/>
    <mergeCell ref="D40:D41"/>
    <mergeCell ref="E40:E41"/>
    <mergeCell ref="D2:F2"/>
    <mergeCell ref="D4:E4"/>
    <mergeCell ref="D5:D6"/>
    <mergeCell ref="E5:E6"/>
    <mergeCell ref="F5:F6"/>
    <mergeCell ref="D37:F3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utoCAD.Drawing.20" shapeId="38913" r:id="rId3">
          <objectPr defaultSize="0" autoPict="0" r:id="rId4">
            <anchor moveWithCells="1" sizeWithCells="1">
              <from>
                <xdr:col>1</xdr:col>
                <xdr:colOff>657225</xdr:colOff>
                <xdr:row>17</xdr:row>
                <xdr:rowOff>38100</xdr:rowOff>
              </from>
              <to>
                <xdr:col>1</xdr:col>
                <xdr:colOff>1238250</xdr:colOff>
                <xdr:row>17</xdr:row>
                <xdr:rowOff>561975</xdr:rowOff>
              </to>
            </anchor>
          </objectPr>
        </oleObject>
      </mc:Choice>
      <mc:Fallback>
        <oleObject progId="AutoCAD.Drawing.20" shapeId="38913" r:id="rId3"/>
      </mc:Fallback>
    </mc:AlternateContent>
    <mc:AlternateContent xmlns:mc="http://schemas.openxmlformats.org/markup-compatibility/2006">
      <mc:Choice Requires="x14">
        <oleObject progId="AutoCAD.Drawing.20" shapeId="38914" r:id="rId5">
          <objectPr defaultSize="0" autoPict="0" r:id="rId6">
            <anchor moveWithCells="1" sizeWithCells="1">
              <from>
                <xdr:col>1</xdr:col>
                <xdr:colOff>809625</xdr:colOff>
                <xdr:row>18</xdr:row>
                <xdr:rowOff>57150</xdr:rowOff>
              </from>
              <to>
                <xdr:col>1</xdr:col>
                <xdr:colOff>1143000</xdr:colOff>
                <xdr:row>19</xdr:row>
                <xdr:rowOff>0</xdr:rowOff>
              </to>
            </anchor>
          </objectPr>
        </oleObject>
      </mc:Choice>
      <mc:Fallback>
        <oleObject progId="AutoCAD.Drawing.20" shapeId="38914" r:id="rId5"/>
      </mc:Fallback>
    </mc:AlternateContent>
    <mc:AlternateContent xmlns:mc="http://schemas.openxmlformats.org/markup-compatibility/2006">
      <mc:Choice Requires="x14">
        <oleObject progId="AutoCAD.Drawing.20" shapeId="38915" r:id="rId7">
          <objectPr defaultSize="0" autoPict="0" r:id="rId8">
            <anchor moveWithCells="1" sizeWithCells="1">
              <from>
                <xdr:col>1</xdr:col>
                <xdr:colOff>733425</xdr:colOff>
                <xdr:row>20</xdr:row>
                <xdr:rowOff>0</xdr:rowOff>
              </from>
              <to>
                <xdr:col>1</xdr:col>
                <xdr:colOff>1152525</xdr:colOff>
                <xdr:row>20</xdr:row>
                <xdr:rowOff>438150</xdr:rowOff>
              </to>
            </anchor>
          </objectPr>
        </oleObject>
      </mc:Choice>
      <mc:Fallback>
        <oleObject progId="AutoCAD.Drawing.20" shapeId="38915" r:id="rId7"/>
      </mc:Fallback>
    </mc:AlternateContent>
    <mc:AlternateContent xmlns:mc="http://schemas.openxmlformats.org/markup-compatibility/2006">
      <mc:Choice Requires="x14">
        <oleObject progId="AutoCAD.Drawing.20" shapeId="38916" r:id="rId9">
          <objectPr defaultSize="0" autoPict="0" r:id="rId10">
            <anchor moveWithCells="1" sizeWithCells="1">
              <from>
                <xdr:col>1</xdr:col>
                <xdr:colOff>762000</xdr:colOff>
                <xdr:row>21</xdr:row>
                <xdr:rowOff>0</xdr:rowOff>
              </from>
              <to>
                <xdr:col>1</xdr:col>
                <xdr:colOff>1143000</xdr:colOff>
                <xdr:row>21</xdr:row>
                <xdr:rowOff>504825</xdr:rowOff>
              </to>
            </anchor>
          </objectPr>
        </oleObject>
      </mc:Choice>
      <mc:Fallback>
        <oleObject progId="AutoCAD.Drawing.20" shapeId="38916" r:id="rId9"/>
      </mc:Fallback>
    </mc:AlternateContent>
    <mc:AlternateContent xmlns:mc="http://schemas.openxmlformats.org/markup-compatibility/2006">
      <mc:Choice Requires="x14">
        <oleObject progId="AutoCAD.Drawing.20" shapeId="38917" r:id="rId11">
          <objectPr defaultSize="0" autoPict="0" r:id="rId12">
            <anchor moveWithCells="1" sizeWithCells="1">
              <from>
                <xdr:col>1</xdr:col>
                <xdr:colOff>723900</xdr:colOff>
                <xdr:row>22</xdr:row>
                <xdr:rowOff>0</xdr:rowOff>
              </from>
              <to>
                <xdr:col>1</xdr:col>
                <xdr:colOff>1133475</xdr:colOff>
                <xdr:row>22</xdr:row>
                <xdr:rowOff>504825</xdr:rowOff>
              </to>
            </anchor>
          </objectPr>
        </oleObject>
      </mc:Choice>
      <mc:Fallback>
        <oleObject progId="AutoCAD.Drawing.20" shapeId="38917" r:id="rId11"/>
      </mc:Fallback>
    </mc:AlternateContent>
    <mc:AlternateContent xmlns:mc="http://schemas.openxmlformats.org/markup-compatibility/2006">
      <mc:Choice Requires="x14">
        <oleObject progId="AutoCAD.Drawing.20" shapeId="38918" r:id="rId13">
          <objectPr defaultSize="0" autoPict="0" r:id="rId14">
            <anchor moveWithCells="1" sizeWithCells="1">
              <from>
                <xdr:col>1</xdr:col>
                <xdr:colOff>676275</xdr:colOff>
                <xdr:row>23</xdr:row>
                <xdr:rowOff>28575</xdr:rowOff>
              </from>
              <to>
                <xdr:col>1</xdr:col>
                <xdr:colOff>1181100</xdr:colOff>
                <xdr:row>23</xdr:row>
                <xdr:rowOff>457200</xdr:rowOff>
              </to>
            </anchor>
          </objectPr>
        </oleObject>
      </mc:Choice>
      <mc:Fallback>
        <oleObject progId="AutoCAD.Drawing.20" shapeId="38918" r:id="rId13"/>
      </mc:Fallback>
    </mc:AlternateContent>
    <mc:AlternateContent xmlns:mc="http://schemas.openxmlformats.org/markup-compatibility/2006">
      <mc:Choice Requires="x14">
        <oleObject progId="AutoCAD.Drawing.20" shapeId="38919" r:id="rId15">
          <objectPr defaultSize="0" autoPict="0" r:id="rId16">
            <anchor moveWithCells="1" sizeWithCells="1">
              <from>
                <xdr:col>1</xdr:col>
                <xdr:colOff>885825</xdr:colOff>
                <xdr:row>19</xdr:row>
                <xdr:rowOff>47625</xdr:rowOff>
              </from>
              <to>
                <xdr:col>1</xdr:col>
                <xdr:colOff>1143000</xdr:colOff>
                <xdr:row>20</xdr:row>
                <xdr:rowOff>0</xdr:rowOff>
              </to>
            </anchor>
          </objectPr>
        </oleObject>
      </mc:Choice>
      <mc:Fallback>
        <oleObject progId="AutoCAD.Drawing.20" shapeId="38919" r:id="rId15"/>
      </mc:Fallback>
    </mc:AlternateContent>
    <mc:AlternateContent xmlns:mc="http://schemas.openxmlformats.org/markup-compatibility/2006">
      <mc:Choice Requires="x14">
        <oleObject progId="AutoCAD.Drawing.20" shapeId="38920" r:id="rId17">
          <objectPr defaultSize="0" autoPict="0" r:id="rId14">
            <anchor moveWithCells="1" sizeWithCells="1">
              <from>
                <xdr:col>1</xdr:col>
                <xdr:colOff>657225</xdr:colOff>
                <xdr:row>55</xdr:row>
                <xdr:rowOff>47625</xdr:rowOff>
              </from>
              <to>
                <xdr:col>1</xdr:col>
                <xdr:colOff>1162050</xdr:colOff>
                <xdr:row>55</xdr:row>
                <xdr:rowOff>476250</xdr:rowOff>
              </to>
            </anchor>
          </objectPr>
        </oleObject>
      </mc:Choice>
      <mc:Fallback>
        <oleObject progId="AutoCAD.Drawing.20" shapeId="38920" r:id="rId17"/>
      </mc:Fallback>
    </mc:AlternateContent>
    <mc:AlternateContent xmlns:mc="http://schemas.openxmlformats.org/markup-compatibility/2006">
      <mc:Choice Requires="x14">
        <oleObject progId="AutoCAD.Drawing.20" shapeId="38921" r:id="rId18">
          <objectPr defaultSize="0" autoPict="0" r:id="rId19">
            <anchor moveWithCells="1" sizeWithCells="1">
              <from>
                <xdr:col>1</xdr:col>
                <xdr:colOff>381000</xdr:colOff>
                <xdr:row>49</xdr:row>
                <xdr:rowOff>66675</xdr:rowOff>
              </from>
              <to>
                <xdr:col>1</xdr:col>
                <xdr:colOff>1438275</xdr:colOff>
                <xdr:row>49</xdr:row>
                <xdr:rowOff>314325</xdr:rowOff>
              </to>
            </anchor>
          </objectPr>
        </oleObject>
      </mc:Choice>
      <mc:Fallback>
        <oleObject progId="AutoCAD.Drawing.20" shapeId="38921" r:id="rId18"/>
      </mc:Fallback>
    </mc:AlternateContent>
    <mc:AlternateContent xmlns:mc="http://schemas.openxmlformats.org/markup-compatibility/2006">
      <mc:Choice Requires="x14">
        <oleObject progId="AutoCAD.Drawing.20" shapeId="38922" r:id="rId20">
          <objectPr defaultSize="0" autoPict="0" r:id="rId21">
            <anchor moveWithCells="1" sizeWithCells="1">
              <from>
                <xdr:col>1</xdr:col>
                <xdr:colOff>371475</xdr:colOff>
                <xdr:row>50</xdr:row>
                <xdr:rowOff>123825</xdr:rowOff>
              </from>
              <to>
                <xdr:col>1</xdr:col>
                <xdr:colOff>1476375</xdr:colOff>
                <xdr:row>50</xdr:row>
                <xdr:rowOff>304800</xdr:rowOff>
              </to>
            </anchor>
          </objectPr>
        </oleObject>
      </mc:Choice>
      <mc:Fallback>
        <oleObject progId="AutoCAD.Drawing.20" shapeId="38922" r:id="rId20"/>
      </mc:Fallback>
    </mc:AlternateContent>
    <mc:AlternateContent xmlns:mc="http://schemas.openxmlformats.org/markup-compatibility/2006">
      <mc:Choice Requires="x14">
        <oleObject progId="AutoCAD.Drawing.20" shapeId="38923" r:id="rId22">
          <objectPr defaultSize="0" autoPict="0" r:id="rId23">
            <anchor moveWithCells="1" sizeWithCells="1">
              <from>
                <xdr:col>1</xdr:col>
                <xdr:colOff>352425</xdr:colOff>
                <xdr:row>51</xdr:row>
                <xdr:rowOff>180975</xdr:rowOff>
              </from>
              <to>
                <xdr:col>1</xdr:col>
                <xdr:colOff>1428750</xdr:colOff>
                <xdr:row>51</xdr:row>
                <xdr:rowOff>276225</xdr:rowOff>
              </to>
            </anchor>
          </objectPr>
        </oleObject>
      </mc:Choice>
      <mc:Fallback>
        <oleObject progId="AutoCAD.Drawing.20" shapeId="38923" r:id="rId22"/>
      </mc:Fallback>
    </mc:AlternateContent>
    <mc:AlternateContent xmlns:mc="http://schemas.openxmlformats.org/markup-compatibility/2006">
      <mc:Choice Requires="x14">
        <oleObject progId="AutoCAD.Drawing.20" shapeId="38924" r:id="rId24">
          <objectPr defaultSize="0" autoPict="0" r:id="rId25">
            <anchor moveWithCells="1" sizeWithCells="1">
              <from>
                <xdr:col>1</xdr:col>
                <xdr:colOff>361950</xdr:colOff>
                <xdr:row>52</xdr:row>
                <xdr:rowOff>66675</xdr:rowOff>
              </from>
              <to>
                <xdr:col>1</xdr:col>
                <xdr:colOff>1457325</xdr:colOff>
                <xdr:row>52</xdr:row>
                <xdr:rowOff>333375</xdr:rowOff>
              </to>
            </anchor>
          </objectPr>
        </oleObject>
      </mc:Choice>
      <mc:Fallback>
        <oleObject progId="AutoCAD.Drawing.20" shapeId="38924" r:id="rId24"/>
      </mc:Fallback>
    </mc:AlternateContent>
    <mc:AlternateContent xmlns:mc="http://schemas.openxmlformats.org/markup-compatibility/2006">
      <mc:Choice Requires="x14">
        <oleObject progId="AutoCAD.Drawing.20" shapeId="38925" r:id="rId26">
          <objectPr defaultSize="0" autoPict="0" r:id="rId27">
            <anchor moveWithCells="1" sizeWithCells="1">
              <from>
                <xdr:col>1</xdr:col>
                <xdr:colOff>523875</xdr:colOff>
                <xdr:row>53</xdr:row>
                <xdr:rowOff>28575</xdr:rowOff>
              </from>
              <to>
                <xdr:col>1</xdr:col>
                <xdr:colOff>1276350</xdr:colOff>
                <xdr:row>53</xdr:row>
                <xdr:rowOff>352425</xdr:rowOff>
              </to>
            </anchor>
          </objectPr>
        </oleObject>
      </mc:Choice>
      <mc:Fallback>
        <oleObject progId="AutoCAD.Drawing.20" shapeId="38925" r:id="rId26"/>
      </mc:Fallback>
    </mc:AlternateContent>
    <mc:AlternateContent xmlns:mc="http://schemas.openxmlformats.org/markup-compatibility/2006">
      <mc:Choice Requires="x14">
        <oleObject progId="AutoCAD.Drawing.20" shapeId="38926" r:id="rId28">
          <objectPr defaultSize="0" autoPict="0" r:id="rId29">
            <anchor moveWithCells="1" sizeWithCells="1">
              <from>
                <xdr:col>1</xdr:col>
                <xdr:colOff>666750</xdr:colOff>
                <xdr:row>53</xdr:row>
                <xdr:rowOff>495300</xdr:rowOff>
              </from>
              <to>
                <xdr:col>1</xdr:col>
                <xdr:colOff>1095375</xdr:colOff>
                <xdr:row>54</xdr:row>
                <xdr:rowOff>457200</xdr:rowOff>
              </to>
            </anchor>
          </objectPr>
        </oleObject>
      </mc:Choice>
      <mc:Fallback>
        <oleObject progId="AutoCAD.Drawing.20" shapeId="38926" r:id="rId28"/>
      </mc:Fallback>
    </mc:AlternateContent>
    <mc:AlternateContent xmlns:mc="http://schemas.openxmlformats.org/markup-compatibility/2006">
      <mc:Choice Requires="x14">
        <oleObject progId="AutoCAD.Drawing.24" shapeId="38927" r:id="rId30">
          <objectPr defaultSize="0" autoPict="0" r:id="rId31">
            <anchor moveWithCells="1" sizeWithCells="1">
              <from>
                <xdr:col>1</xdr:col>
                <xdr:colOff>581025</xdr:colOff>
                <xdr:row>15</xdr:row>
                <xdr:rowOff>38100</xdr:rowOff>
              </from>
              <to>
                <xdr:col>1</xdr:col>
                <xdr:colOff>1419225</xdr:colOff>
                <xdr:row>16</xdr:row>
                <xdr:rowOff>28575</xdr:rowOff>
              </to>
            </anchor>
          </objectPr>
        </oleObject>
      </mc:Choice>
      <mc:Fallback>
        <oleObject progId="AutoCAD.Drawing.24" shapeId="38927" r:id="rId30"/>
      </mc:Fallback>
    </mc:AlternateContent>
    <mc:AlternateContent xmlns:mc="http://schemas.openxmlformats.org/markup-compatibility/2006">
      <mc:Choice Requires="x14">
        <oleObject progId="AutoCAD.Drawing.24" shapeId="38928" r:id="rId32">
          <objectPr defaultSize="0" autoPict="0" r:id="rId33">
            <anchor moveWithCells="1" sizeWithCells="1">
              <from>
                <xdr:col>1</xdr:col>
                <xdr:colOff>590550</xdr:colOff>
                <xdr:row>14</xdr:row>
                <xdr:rowOff>28575</xdr:rowOff>
              </from>
              <to>
                <xdr:col>1</xdr:col>
                <xdr:colOff>1409700</xdr:colOff>
                <xdr:row>14</xdr:row>
                <xdr:rowOff>609600</xdr:rowOff>
              </to>
            </anchor>
          </objectPr>
        </oleObject>
      </mc:Choice>
      <mc:Fallback>
        <oleObject progId="AutoCAD.Drawing.24" shapeId="38928" r:id="rId32"/>
      </mc:Fallback>
    </mc:AlternateContent>
    <mc:AlternateContent xmlns:mc="http://schemas.openxmlformats.org/markup-compatibility/2006">
      <mc:Choice Requires="x14">
        <oleObject progId="AutoCAD.Drawing.24" shapeId="38929" r:id="rId34">
          <objectPr defaultSize="0" autoPict="0" r:id="rId35">
            <anchor moveWithCells="1" sizeWithCells="1">
              <from>
                <xdr:col>1</xdr:col>
                <xdr:colOff>361950</xdr:colOff>
                <xdr:row>16</xdr:row>
                <xdr:rowOff>238125</xdr:rowOff>
              </from>
              <to>
                <xdr:col>1</xdr:col>
                <xdr:colOff>1619250</xdr:colOff>
                <xdr:row>16</xdr:row>
                <xdr:rowOff>457200</xdr:rowOff>
              </to>
            </anchor>
          </objectPr>
        </oleObject>
      </mc:Choice>
      <mc:Fallback>
        <oleObject progId="AutoCAD.Drawing.24" shapeId="38929" r:id="rId3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217C-1FEC-42CF-B1AE-C1324AED8851}">
  <dimension ref="B1:J63"/>
  <sheetViews>
    <sheetView topLeftCell="A21" workbookViewId="0">
      <selection activeCell="D29" sqref="D29"/>
    </sheetView>
  </sheetViews>
  <sheetFormatPr defaultRowHeight="15" x14ac:dyDescent="0.25"/>
  <cols>
    <col min="2" max="2" width="25.28515625" customWidth="1"/>
    <col min="3" max="3" width="15.7109375" customWidth="1"/>
    <col min="4" max="5" width="19.140625" customWidth="1"/>
    <col min="6" max="6" width="23.85546875" customWidth="1"/>
    <col min="8" max="8" width="10.42578125" customWidth="1"/>
    <col min="9" max="9" width="17.5703125" customWidth="1"/>
    <col min="10" max="10" width="14.5703125" customWidth="1"/>
  </cols>
  <sheetData>
    <row r="1" spans="2:10" ht="23.25" x14ac:dyDescent="0.25">
      <c r="B1" s="128" t="s">
        <v>145</v>
      </c>
      <c r="C1" s="166" t="str">
        <f>'3'!D14</f>
        <v xml:space="preserve">3 پانل </v>
      </c>
      <c r="D1" s="130"/>
      <c r="E1" s="130"/>
      <c r="F1" s="130"/>
    </row>
    <row r="2" spans="2:10" ht="23.25" x14ac:dyDescent="0.25">
      <c r="B2" s="128" t="s">
        <v>154</v>
      </c>
      <c r="C2" s="131">
        <f>'3'!$D$3</f>
        <v>2200000</v>
      </c>
      <c r="D2" s="318" t="s">
        <v>146</v>
      </c>
      <c r="E2" s="318"/>
      <c r="F2" s="318"/>
    </row>
    <row r="3" spans="2:10" ht="30" x14ac:dyDescent="0.25">
      <c r="B3" s="128" t="s">
        <v>148</v>
      </c>
      <c r="C3" s="132">
        <f>'3'!$D$16</f>
        <v>0</v>
      </c>
      <c r="D3" s="133" t="s">
        <v>155</v>
      </c>
      <c r="E3" s="134">
        <f>'پیش فاکتور گیوتین'!G19</f>
        <v>2.2000000000000002</v>
      </c>
      <c r="F3" s="134">
        <v>2.6</v>
      </c>
    </row>
    <row r="4" spans="2:10" ht="26.25" x14ac:dyDescent="0.25">
      <c r="B4" s="128" t="s">
        <v>149</v>
      </c>
      <c r="C4" s="132">
        <f>'3'!$D$17</f>
        <v>0</v>
      </c>
      <c r="D4" s="316" t="s">
        <v>150</v>
      </c>
      <c r="E4" s="316"/>
      <c r="F4" s="135">
        <f>SUM(F15:F24)*1.1</f>
        <v>0</v>
      </c>
    </row>
    <row r="5" spans="2:10" ht="18.75" x14ac:dyDescent="0.25">
      <c r="B5" s="19" t="s">
        <v>184</v>
      </c>
      <c r="C5" s="131">
        <f>J5</f>
        <v>0</v>
      </c>
      <c r="D5" s="316" t="s">
        <v>156</v>
      </c>
      <c r="E5" s="317" t="e">
        <f>C13*E3</f>
        <v>#DIV/0!</v>
      </c>
      <c r="F5" s="319" t="e">
        <f>E5*C3*C4</f>
        <v>#DIV/0!</v>
      </c>
      <c r="H5" s="19" t="s">
        <v>189</v>
      </c>
      <c r="I5" s="131">
        <f>IF(AND($C$3&gt;=2,$C$3&lt;=2.25),'3'!F5,IF(AND($C$3&gt;2.25,$C$3&lt;=3.25),'3'!F5*1.2,IF(AND($C$3&gt;3.25),'3'!F5*1.35,0)))</f>
        <v>0</v>
      </c>
      <c r="J5" s="131">
        <f>IF(AND($C$3&gt;=2,$C$3&lt;=2.25),'3'!G5,IF(AND($C$3&gt;2.25,$C$3&lt;=3.25),'3'!G5*1.2,IF(AND($C$3&gt;3.25),'3'!G5*1.35,0)))</f>
        <v>0</v>
      </c>
    </row>
    <row r="6" spans="2:10" ht="18.75" x14ac:dyDescent="0.25">
      <c r="B6" s="20" t="s">
        <v>185</v>
      </c>
      <c r="C6" s="131">
        <f t="shared" ref="C6:C12" si="0">J6</f>
        <v>0</v>
      </c>
      <c r="D6" s="316"/>
      <c r="E6" s="317"/>
      <c r="F6" s="320"/>
      <c r="H6" s="20" t="s">
        <v>190</v>
      </c>
      <c r="I6" s="131">
        <f>IF(AND($C$3&gt;=2,$C$3&lt;=2.25),'3'!F6,IF(AND($C$3&gt;2.25,$C$3&lt;=3.25),'3'!F6*1.2,IF(AND($C$3&gt;3.25),'3'!F6*1.35,0)))</f>
        <v>0</v>
      </c>
      <c r="J6" s="131">
        <f>IF(AND($C$3&gt;=2,$C$3&lt;=2.25),'3'!G6,IF(AND($C$3&gt;2.25,$C$3&lt;=3.25),'3'!G6*1.2,IF(AND($C$3&gt;3.25),'3'!G6*1.35,0)))</f>
        <v>0</v>
      </c>
    </row>
    <row r="7" spans="2:10" ht="28.5" x14ac:dyDescent="0.25">
      <c r="B7" s="20" t="s">
        <v>181</v>
      </c>
      <c r="C7" s="131">
        <f t="shared" si="0"/>
        <v>0</v>
      </c>
      <c r="D7" s="136"/>
      <c r="E7" s="137"/>
      <c r="F7" s="138"/>
      <c r="H7" s="20" t="s">
        <v>181</v>
      </c>
      <c r="I7" s="131">
        <f>IF(AND($C$3&gt;=2,$C$3&lt;=2.25),'3'!F7,IF(AND($C$3&gt;2.25,$C$3&lt;=3.25),'3'!F7*1.2,IF(AND($C$3&gt;3.25),'3'!F7*1.35,0)))</f>
        <v>0</v>
      </c>
      <c r="J7" s="131">
        <f>IF(AND($C$3&gt;=2,$C$3&lt;=2.25),'3'!G7,IF(AND($C$3&gt;2.25,$C$3&lt;=3.25),'3'!G7*1.2,IF(AND($C$3&gt;3.25),'3'!G7*1.35,0)))</f>
        <v>0</v>
      </c>
    </row>
    <row r="8" spans="2:10" ht="28.5" x14ac:dyDescent="0.25">
      <c r="B8" s="20" t="s">
        <v>182</v>
      </c>
      <c r="C8" s="131">
        <f t="shared" si="0"/>
        <v>0</v>
      </c>
      <c r="D8" s="136"/>
      <c r="E8" s="137"/>
      <c r="F8" s="138"/>
      <c r="H8" s="20" t="s">
        <v>182</v>
      </c>
      <c r="I8" s="131">
        <f>IF(AND($C$3&gt;=2,$C$3&lt;=2.25),'3'!F8,IF(AND($C$3&gt;2.25,$C$3&lt;=3.25),'3'!F8*1.2,IF(AND($C$3&gt;3.25),'3'!F8*1.35,0)))</f>
        <v>0</v>
      </c>
      <c r="J8" s="131">
        <f>IF(AND($C$3&gt;=2,$C$3&lt;=2.25),'3'!G8,IF(AND($C$3&gt;2.25,$C$3&lt;=3.25),'3'!G8*1.2,IF(AND($C$3&gt;3.25),'3'!G8*1.35,0)))</f>
        <v>0</v>
      </c>
    </row>
    <row r="9" spans="2:10" ht="28.5" x14ac:dyDescent="0.25">
      <c r="B9" s="20" t="s">
        <v>183</v>
      </c>
      <c r="C9" s="131">
        <f t="shared" si="0"/>
        <v>0</v>
      </c>
      <c r="D9" s="136"/>
      <c r="E9" s="137"/>
      <c r="F9" s="138"/>
      <c r="H9" s="20" t="s">
        <v>183</v>
      </c>
      <c r="I9" s="131">
        <f>IF(AND($C$3&gt;=2,$C$3&lt;=2.25),'3'!F9,IF(AND($C$3&gt;2.25,$C$3&lt;=3.25),'3'!F9*1.2,IF(AND($C$3&gt;3.25),'3'!F9*1.35,0)))</f>
        <v>0</v>
      </c>
      <c r="J9" s="131">
        <f>IF(AND($C$3&gt;=2,$C$3&lt;=2.25),'3'!G9,IF(AND($C$3&gt;2.25,$C$3&lt;=3.25),'3'!G9*1.2,IF(AND($C$3&gt;3.25),'3'!G9*1.35,0)))</f>
        <v>0</v>
      </c>
    </row>
    <row r="10" spans="2:10" ht="28.5" x14ac:dyDescent="0.25">
      <c r="B10" s="20" t="s">
        <v>178</v>
      </c>
      <c r="C10" s="131">
        <f t="shared" si="0"/>
        <v>0</v>
      </c>
      <c r="D10" s="136"/>
      <c r="E10" s="137"/>
      <c r="F10" s="138"/>
      <c r="H10" s="20" t="s">
        <v>191</v>
      </c>
      <c r="I10" s="131">
        <f>IF(AND($C$3&gt;=2,$C$3&lt;=2.25),'3'!F10,IF(AND($C$3&gt;2.25,$C$3&lt;=3.25),'3'!F10*1.2,IF(AND($C$3&gt;3.25),'3'!F10*1.35,0)))</f>
        <v>0</v>
      </c>
      <c r="J10" s="131">
        <f>IF(AND($C$3&gt;=2,$C$3&lt;=2.25),'3'!G10,IF(AND($C$3&gt;2.25,$C$3&lt;=3.25),'3'!G10*1.2,IF(AND($C$3&gt;3.25),'3'!G10*1.35,0)))</f>
        <v>0</v>
      </c>
    </row>
    <row r="11" spans="2:10" ht="28.5" x14ac:dyDescent="0.25">
      <c r="B11" s="20" t="s">
        <v>179</v>
      </c>
      <c r="C11" s="131">
        <f t="shared" si="0"/>
        <v>0</v>
      </c>
      <c r="D11" s="136"/>
      <c r="E11" s="137"/>
      <c r="F11" s="138"/>
      <c r="H11" s="20" t="s">
        <v>192</v>
      </c>
      <c r="I11" s="131">
        <f>IF(AND($C$3&gt;=2,$C$3&lt;=2.25),'3'!F11,IF(AND($C$3&gt;2.25,$C$3&lt;=3.25),'3'!F11*1.2,IF(AND($C$3&gt;3.25),'3'!F11*1.35,0)))</f>
        <v>0</v>
      </c>
      <c r="J11" s="131">
        <f>IF(AND($C$3&gt;=2,$C$3&lt;=2.25),'3'!G11,IF(AND($C$3&gt;2.25,$C$3&lt;=3.25),'3'!G11*1.2,IF(AND($C$3&gt;3.25),'3'!G11*1.35,0)))</f>
        <v>0</v>
      </c>
    </row>
    <row r="12" spans="2:10" ht="28.5" x14ac:dyDescent="0.25">
      <c r="B12" s="20" t="s">
        <v>180</v>
      </c>
      <c r="C12" s="131">
        <f t="shared" si="0"/>
        <v>0</v>
      </c>
      <c r="D12" s="136"/>
      <c r="E12" s="137"/>
      <c r="F12" s="138"/>
      <c r="H12" s="20" t="s">
        <v>193</v>
      </c>
      <c r="I12" s="131">
        <f>IF(AND($C$3&gt;=2,$C$3&lt;=2.25),'3'!F12,IF(AND($C$3&gt;2.25,$C$3&lt;=3.25),'3'!F12*1.2,IF(AND($C$3&gt;3.25),'3'!F12*1.35,0)))</f>
        <v>0</v>
      </c>
      <c r="J12" s="131">
        <f>IF(AND($C$3&gt;=2,$C$3&lt;=2.25),'3'!G12,IF(AND($C$3&gt;2.25,$C$3&lt;=3.25),'3'!G12*1.2,IF(AND($C$3&gt;3.25),'3'!G12*1.35,0)))</f>
        <v>0</v>
      </c>
    </row>
    <row r="13" spans="2:10" ht="21" x14ac:dyDescent="0.25">
      <c r="B13" s="139" t="s">
        <v>157</v>
      </c>
      <c r="C13" s="139" t="e">
        <f>SUM(F25:F33)/(C3*C4)</f>
        <v>#DIV/0!</v>
      </c>
      <c r="D13" s="139"/>
      <c r="E13" s="139"/>
      <c r="F13" s="140"/>
    </row>
    <row r="14" spans="2:10" ht="19.5" x14ac:dyDescent="0.25">
      <c r="B14" s="141"/>
      <c r="C14" s="142" t="s">
        <v>158</v>
      </c>
      <c r="D14" s="142" t="s">
        <v>159</v>
      </c>
      <c r="E14" s="143" t="s">
        <v>160</v>
      </c>
      <c r="F14" s="143" t="s">
        <v>161</v>
      </c>
    </row>
    <row r="15" spans="2:10" ht="35.1" customHeight="1" x14ac:dyDescent="0.25">
      <c r="B15" s="144"/>
      <c r="C15" s="145">
        <f>C3</f>
        <v>0</v>
      </c>
      <c r="D15" s="146">
        <v>1</v>
      </c>
      <c r="E15" s="146">
        <v>1.56</v>
      </c>
      <c r="F15" s="146">
        <f>C15*D15*E15</f>
        <v>0</v>
      </c>
    </row>
    <row r="16" spans="2:10" ht="35.1" customHeight="1" x14ac:dyDescent="0.25">
      <c r="B16" s="144"/>
      <c r="C16" s="145">
        <f>C15</f>
        <v>0</v>
      </c>
      <c r="D16" s="146">
        <v>1</v>
      </c>
      <c r="E16" s="146">
        <v>1.73</v>
      </c>
      <c r="F16" s="146">
        <f>C16*D16*E16</f>
        <v>0</v>
      </c>
    </row>
    <row r="17" spans="2:9" ht="35.1" customHeight="1" x14ac:dyDescent="0.25">
      <c r="B17" s="144"/>
      <c r="C17" s="145">
        <f>C15</f>
        <v>0</v>
      </c>
      <c r="D17" s="146">
        <v>1</v>
      </c>
      <c r="E17" s="146">
        <v>1.1559999999999999</v>
      </c>
      <c r="F17" s="146">
        <f>C17*D17*E17</f>
        <v>0</v>
      </c>
    </row>
    <row r="18" spans="2:9" ht="35.1" customHeight="1" x14ac:dyDescent="0.25">
      <c r="B18" s="141"/>
      <c r="C18" s="147">
        <f>C4</f>
        <v>0</v>
      </c>
      <c r="D18" s="146">
        <v>2</v>
      </c>
      <c r="E18" s="146">
        <v>1.87</v>
      </c>
      <c r="F18" s="146">
        <f>C18*D18*E18</f>
        <v>0</v>
      </c>
    </row>
    <row r="19" spans="2:9" ht="35.1" customHeight="1" x14ac:dyDescent="0.25">
      <c r="B19" s="141"/>
      <c r="C19" s="147">
        <f>C4</f>
        <v>0</v>
      </c>
      <c r="D19" s="146">
        <v>2</v>
      </c>
      <c r="E19" s="146">
        <v>0.75</v>
      </c>
      <c r="F19" s="146">
        <f t="shared" ref="F19:F33" si="1">C19*D19*E19</f>
        <v>0</v>
      </c>
    </row>
    <row r="20" spans="2:9" ht="35.1" customHeight="1" x14ac:dyDescent="0.25">
      <c r="B20" s="141"/>
      <c r="C20" s="147">
        <f>C4</f>
        <v>0</v>
      </c>
      <c r="D20" s="146">
        <v>2</v>
      </c>
      <c r="E20" s="146">
        <v>0.65</v>
      </c>
      <c r="F20" s="146">
        <f t="shared" si="1"/>
        <v>0</v>
      </c>
    </row>
    <row r="21" spans="2:9" ht="35.1" customHeight="1" x14ac:dyDescent="0.25">
      <c r="B21" s="141"/>
      <c r="C21" s="147">
        <f>C4</f>
        <v>0</v>
      </c>
      <c r="D21" s="146">
        <v>2</v>
      </c>
      <c r="E21" s="146">
        <v>0.56999999999999995</v>
      </c>
      <c r="F21" s="146">
        <f t="shared" si="1"/>
        <v>0</v>
      </c>
    </row>
    <row r="22" spans="2:9" ht="35.1" customHeight="1" x14ac:dyDescent="0.25">
      <c r="B22" s="141"/>
      <c r="C22" s="147">
        <f>C3</f>
        <v>0</v>
      </c>
      <c r="D22" s="146">
        <f>IF(AND(C1="2 پانل "),4,IF(AND(C1="3 پانل "),6,IF(AND(C1="4 پانل "),8,0)))</f>
        <v>6</v>
      </c>
      <c r="E22" s="146">
        <v>0.9</v>
      </c>
      <c r="F22" s="146">
        <f t="shared" si="1"/>
        <v>0</v>
      </c>
      <c r="I22" s="160" t="s">
        <v>7</v>
      </c>
    </row>
    <row r="23" spans="2:9" ht="35.1" customHeight="1" x14ac:dyDescent="0.25">
      <c r="B23" s="141"/>
      <c r="C23" s="147">
        <f>C3</f>
        <v>0</v>
      </c>
      <c r="D23" s="146">
        <f>IF(AND(C1="2 پانل "),2,IF(AND(C1="3 پانل "),4,IF(AND(C1="4 پانل "),6,0)))</f>
        <v>4</v>
      </c>
      <c r="E23" s="146">
        <v>0.34</v>
      </c>
      <c r="F23" s="146">
        <f t="shared" si="1"/>
        <v>0</v>
      </c>
      <c r="I23" s="163" t="s">
        <v>186</v>
      </c>
    </row>
    <row r="24" spans="2:9" ht="35.1" customHeight="1" x14ac:dyDescent="0.25">
      <c r="B24" s="141"/>
      <c r="C24" s="147">
        <f>(C21*D21)+(C22*D22)</f>
        <v>0</v>
      </c>
      <c r="D24" s="146">
        <f>IF(AND('3'!D15="8mm"),1,0)</f>
        <v>0</v>
      </c>
      <c r="E24" s="146">
        <v>0.25</v>
      </c>
      <c r="F24" s="146">
        <f t="shared" si="1"/>
        <v>0</v>
      </c>
      <c r="I24" s="163" t="s">
        <v>187</v>
      </c>
    </row>
    <row r="25" spans="2:9" ht="23.25" x14ac:dyDescent="0.25">
      <c r="B25" s="148" t="s">
        <v>162</v>
      </c>
      <c r="C25" s="147">
        <f>F4</f>
        <v>0</v>
      </c>
      <c r="D25" s="146">
        <v>1</v>
      </c>
      <c r="E25" s="149">
        <f>C2</f>
        <v>2200000</v>
      </c>
      <c r="F25" s="149">
        <f t="shared" si="1"/>
        <v>0</v>
      </c>
      <c r="I25" s="163" t="s">
        <v>188</v>
      </c>
    </row>
    <row r="26" spans="2:9" ht="23.25" x14ac:dyDescent="0.25">
      <c r="B26" s="148" t="s">
        <v>163</v>
      </c>
      <c r="C26" s="147">
        <f>C3*C4</f>
        <v>0</v>
      </c>
      <c r="D26" s="146">
        <v>1</v>
      </c>
      <c r="E26" s="149">
        <f>IF(AND('3'!D15="8mm Tempered Glass"),C5,IF(AND('3'!D15="10mm Tempered Glass"),C6,IF(AND('3'!D15="4mm + 12 air spacer + 4mm"),C7,IF(AND('3'!D15="5mm + 10 air spacer + 5mm"),C8,IF(AND('3'!D15="6mm + 8 air spacer + 6mm"),C9,IF(AND('3'!D15="Laminate Glass ( 5mm +1.52PVB+ 5mm )"),C10,IF(AND('3'!D15="Laminate Glass ( 6mm +1.52PVB+ 6mm )"),C11,IF(AND('3'!D15="Laminate Glass ( 8mm +1.52PVB+ 8mm )"),C12,0))))))))</f>
        <v>0</v>
      </c>
      <c r="F26" s="149">
        <f t="shared" si="1"/>
        <v>0</v>
      </c>
    </row>
    <row r="27" spans="2:9" ht="23.25" x14ac:dyDescent="0.25">
      <c r="B27" s="150" t="s">
        <v>164</v>
      </c>
      <c r="C27" s="147">
        <f>C4</f>
        <v>0</v>
      </c>
      <c r="D27" s="146">
        <f>C27*2</f>
        <v>0</v>
      </c>
      <c r="E27" s="149">
        <v>1200000</v>
      </c>
      <c r="F27" s="149">
        <f t="shared" si="1"/>
        <v>0</v>
      </c>
    </row>
    <row r="28" spans="2:9" ht="23.25" x14ac:dyDescent="0.25">
      <c r="B28" s="150" t="s">
        <v>165</v>
      </c>
      <c r="C28" s="147">
        <v>1</v>
      </c>
      <c r="D28" s="146">
        <f>IF(AND(H28&gt;11.5),2,1)</f>
        <v>1</v>
      </c>
      <c r="E28" s="149">
        <f>IF(AND('پیش فاکتور گیوتین'!F12="120Nm بکر آلمان "),(390*'پیش فاکتور گیوتین'!C18),IF(AND('پیش فاکتور گیوتین'!F12="120Nm  سامفی فرانسه "),(450*'پیش فاکتور گیوتین'!C18),IF(AND('پیش فاکتور گیوتین'!F12="اختصاصی سایه روشن 120Nm"),(110*'پیش فاکتور گیوتین'!C18),0)))</f>
        <v>77000000</v>
      </c>
      <c r="F28" s="149">
        <f t="shared" si="1"/>
        <v>77000000</v>
      </c>
      <c r="H28">
        <f>C3*C4</f>
        <v>0</v>
      </c>
    </row>
    <row r="29" spans="2:9" ht="23.25" x14ac:dyDescent="0.25">
      <c r="B29" s="150" t="s">
        <v>166</v>
      </c>
      <c r="C29" s="147">
        <f>(C4*8*2)+(C3*12)</f>
        <v>0</v>
      </c>
      <c r="D29" s="146">
        <v>1</v>
      </c>
      <c r="E29" s="149">
        <v>15000</v>
      </c>
      <c r="F29" s="149">
        <f t="shared" si="1"/>
        <v>0</v>
      </c>
    </row>
    <row r="30" spans="2:9" ht="23.25" x14ac:dyDescent="0.25">
      <c r="B30" s="150" t="s">
        <v>167</v>
      </c>
      <c r="C30" s="147">
        <f>C3</f>
        <v>0</v>
      </c>
      <c r="D30" s="146">
        <v>4</v>
      </c>
      <c r="E30" s="149">
        <v>315000</v>
      </c>
      <c r="F30" s="149">
        <f t="shared" si="1"/>
        <v>0</v>
      </c>
    </row>
    <row r="31" spans="2:9" ht="23.25" x14ac:dyDescent="0.25">
      <c r="B31" s="148" t="s">
        <v>168</v>
      </c>
      <c r="C31" s="147">
        <v>9</v>
      </c>
      <c r="D31" s="146">
        <v>1</v>
      </c>
      <c r="E31" s="149">
        <v>1500000</v>
      </c>
      <c r="F31" s="149">
        <f t="shared" si="1"/>
        <v>13500000</v>
      </c>
    </row>
    <row r="32" spans="2:9" ht="42" x14ac:dyDescent="0.25">
      <c r="B32" s="148" t="s">
        <v>169</v>
      </c>
      <c r="C32" s="147">
        <v>1</v>
      </c>
      <c r="D32" s="146">
        <v>1</v>
      </c>
      <c r="E32" s="149">
        <v>25000000</v>
      </c>
      <c r="F32" s="149">
        <f t="shared" si="1"/>
        <v>25000000</v>
      </c>
    </row>
    <row r="33" spans="2:10" ht="23.25" x14ac:dyDescent="0.25">
      <c r="B33" s="148" t="s">
        <v>135</v>
      </c>
      <c r="C33" s="147">
        <f>F4</f>
        <v>0</v>
      </c>
      <c r="D33" s="146">
        <v>1</v>
      </c>
      <c r="E33" s="149">
        <f>'3'!D4</f>
        <v>450000</v>
      </c>
      <c r="F33" s="149">
        <f t="shared" si="1"/>
        <v>0</v>
      </c>
    </row>
    <row r="34" spans="2:10" x14ac:dyDescent="0.25">
      <c r="D34" s="139"/>
      <c r="E34" s="139"/>
    </row>
    <row r="35" spans="2:10" x14ac:dyDescent="0.25">
      <c r="B35" s="151"/>
      <c r="C35" s="151"/>
      <c r="D35" s="151"/>
      <c r="E35" s="151"/>
      <c r="F35" s="151"/>
    </row>
    <row r="36" spans="2:10" ht="21" x14ac:dyDescent="0.25">
      <c r="B36" s="128" t="s">
        <v>145</v>
      </c>
      <c r="C36" s="129">
        <f>'3'!G14</f>
        <v>5</v>
      </c>
    </row>
    <row r="37" spans="2:10" ht="23.25" x14ac:dyDescent="0.25">
      <c r="B37" s="128" t="s">
        <v>154</v>
      </c>
      <c r="C37" s="131">
        <f>'3'!D3</f>
        <v>2200000</v>
      </c>
      <c r="D37" s="318" t="s">
        <v>147</v>
      </c>
      <c r="E37" s="318"/>
      <c r="F37" s="318"/>
    </row>
    <row r="38" spans="2:10" ht="30" x14ac:dyDescent="0.25">
      <c r="B38" s="128" t="s">
        <v>148</v>
      </c>
      <c r="C38" s="152">
        <f>'3'!G16</f>
        <v>6.5</v>
      </c>
      <c r="D38" s="153" t="s">
        <v>155</v>
      </c>
      <c r="E38" s="134">
        <v>2.2000000000000002</v>
      </c>
    </row>
    <row r="39" spans="2:10" ht="26.25" x14ac:dyDescent="0.25">
      <c r="B39" s="128" t="s">
        <v>149</v>
      </c>
      <c r="C39" s="152">
        <f>'3'!G17</f>
        <v>2.2000000000000002</v>
      </c>
      <c r="D39" s="316" t="s">
        <v>150</v>
      </c>
      <c r="E39" s="316"/>
      <c r="F39" s="135">
        <f>SUM(F50:F56)*1.1</f>
        <v>59.18</v>
      </c>
    </row>
    <row r="40" spans="2:10" ht="26.25" x14ac:dyDescent="0.25">
      <c r="B40" s="118" t="s">
        <v>59</v>
      </c>
      <c r="C40" s="131">
        <f t="shared" ref="C40:C47" si="2">IF($C$3&lt;=3,I40,J40)</f>
        <v>0</v>
      </c>
      <c r="D40" s="316" t="s">
        <v>156</v>
      </c>
      <c r="E40" s="317">
        <f>C48*E38</f>
        <v>30960461.53846154</v>
      </c>
      <c r="F40" s="154">
        <f>E40*C38*C39</f>
        <v>442734600.00000006</v>
      </c>
      <c r="H40" s="118" t="s">
        <v>59</v>
      </c>
      <c r="I40" s="131">
        <f>IF(AND($C$3&gt;=2,$C$3&lt;=2.25),'3'!F5,IF(AND($C$3&gt;2.25,$C$3&lt;=3.25),'3'!F5*1.2,IF(AND($C$3&gt;3.25),'3'!F5*1.35,0)))</f>
        <v>0</v>
      </c>
      <c r="J40" s="131">
        <f>IF(AND($C$3&gt;=2,$C$3&lt;=2.25),'3'!G5,IF(AND($C$3&gt;2.25,$C$3&lt;=3.25),'3'!G5*1.2,IF(AND($C$3&gt;3.25),'3'!G5*1.35,0)))</f>
        <v>0</v>
      </c>
    </row>
    <row r="41" spans="2:10" ht="28.5" x14ac:dyDescent="0.25">
      <c r="B41" s="118" t="s">
        <v>60</v>
      </c>
      <c r="C41" s="131">
        <f t="shared" si="2"/>
        <v>0</v>
      </c>
      <c r="D41" s="316"/>
      <c r="E41" s="317"/>
      <c r="F41" s="155"/>
      <c r="H41" s="118" t="s">
        <v>60</v>
      </c>
      <c r="I41" s="131">
        <f>IF(AND($C$3&gt;=2,$C$3&lt;=2.25),'3'!F6,IF(AND($C$3&gt;2.25,$C$3&lt;=3.25),'3'!F6*1.2,IF(AND($C$3&gt;3.25),'3'!F6*1.35,0)))</f>
        <v>0</v>
      </c>
      <c r="J41" s="131">
        <f>IF(AND($C$3&gt;=2,$C$3&lt;=2.25),'3'!G6,IF(AND($C$3&gt;2.25,$C$3&lt;=3.25),'3'!G6*1.2,IF(AND($C$3&gt;3.25),'3'!G6*1.35,0)))</f>
        <v>0</v>
      </c>
    </row>
    <row r="42" spans="2:10" ht="23.25" x14ac:dyDescent="0.25">
      <c r="B42" s="112" t="s">
        <v>138</v>
      </c>
      <c r="C42" s="131">
        <f t="shared" si="2"/>
        <v>0</v>
      </c>
      <c r="D42" s="136"/>
      <c r="E42" s="156"/>
      <c r="F42" s="157"/>
      <c r="H42" s="112" t="s">
        <v>138</v>
      </c>
      <c r="I42" s="131">
        <f>IF(AND($C$3&gt;=2,$C$3&lt;=2.25),'3'!F7,IF(AND($C$3&gt;2.25,$C$3&lt;=3.25),'3'!F7*1.2,IF(AND($C$3&gt;3.25),'3'!F7*1.35,0)))</f>
        <v>0</v>
      </c>
      <c r="J42" s="131">
        <f>IF(AND($C$3&gt;=2,$C$3&lt;=2.25),'3'!G7,IF(AND($C$3&gt;2.25,$C$3&lt;=3.25),'3'!G7*1.2,IF(AND($C$3&gt;3.25),'3'!G7*1.35,0)))</f>
        <v>0</v>
      </c>
    </row>
    <row r="43" spans="2:10" ht="23.25" x14ac:dyDescent="0.25">
      <c r="B43" s="112" t="s">
        <v>139</v>
      </c>
      <c r="C43" s="131">
        <f t="shared" si="2"/>
        <v>0</v>
      </c>
      <c r="D43" s="136"/>
      <c r="E43" s="158"/>
      <c r="F43" s="159"/>
      <c r="H43" s="112" t="s">
        <v>139</v>
      </c>
      <c r="I43" s="131">
        <f>IF(AND($C$3&gt;=2,$C$3&lt;=2.25),'3'!F8,IF(AND($C$3&gt;2.25,$C$3&lt;=3.25),'3'!F8*1.2,IF(AND($C$3&gt;3.25),'3'!F8*1.35,0)))</f>
        <v>0</v>
      </c>
      <c r="J43" s="131">
        <f>IF(AND($C$3&gt;=2,$C$3&lt;=2.25),'3'!G8,IF(AND($C$3&gt;2.25,$C$3&lt;=3.25),'3'!G8*1.2,IF(AND($C$3&gt;3.25),'3'!G8*1.35,0)))</f>
        <v>0</v>
      </c>
    </row>
    <row r="44" spans="2:10" ht="23.25" x14ac:dyDescent="0.25">
      <c r="B44" s="112" t="s">
        <v>140</v>
      </c>
      <c r="C44" s="131">
        <f t="shared" si="2"/>
        <v>0</v>
      </c>
      <c r="D44" s="136"/>
      <c r="E44" s="158"/>
      <c r="F44" s="159"/>
      <c r="H44" s="112" t="s">
        <v>140</v>
      </c>
      <c r="I44" s="131">
        <f>IF(AND($C$3&gt;=2,$C$3&lt;=2.25),'3'!F9,IF(AND($C$3&gt;2.25,$C$3&lt;=3.25),'3'!F9*1.2,IF(AND($C$3&gt;3.25),'3'!F9*1.35,0)))</f>
        <v>0</v>
      </c>
      <c r="J44" s="131">
        <f>IF(AND($C$3&gt;=2,$C$3&lt;=2.25),'3'!G9,IF(AND($C$3&gt;2.25,$C$3&lt;=3.25),'3'!G9*1.2,IF(AND($C$3&gt;3.25),'3'!G9*1.35,0)))</f>
        <v>0</v>
      </c>
    </row>
    <row r="45" spans="2:10" ht="23.25" x14ac:dyDescent="0.25">
      <c r="B45" s="112" t="s">
        <v>142</v>
      </c>
      <c r="C45" s="131">
        <f t="shared" si="2"/>
        <v>0</v>
      </c>
      <c r="D45" s="136"/>
      <c r="E45" s="158"/>
      <c r="F45" s="159"/>
      <c r="H45" s="112" t="s">
        <v>142</v>
      </c>
      <c r="I45" s="131">
        <f>IF(AND($C$3&gt;=2,$C$3&lt;=2.25),'3'!F10,IF(AND($C$3&gt;2.25,$C$3&lt;=3.25),'3'!F10*1.2,IF(AND($C$3&gt;3.25),'3'!F10*1.35,0)))</f>
        <v>0</v>
      </c>
      <c r="J45" s="131">
        <f>IF(AND($C$3&gt;=2,$C$3&lt;=2.25),'3'!G10,IF(AND($C$3&gt;2.25,$C$3&lt;=3.25),'3'!G10*1.2,IF(AND($C$3&gt;3.25),'3'!G10*1.35,0)))</f>
        <v>0</v>
      </c>
    </row>
    <row r="46" spans="2:10" ht="23.25" x14ac:dyDescent="0.25">
      <c r="B46" s="112" t="s">
        <v>143</v>
      </c>
      <c r="C46" s="131">
        <f t="shared" si="2"/>
        <v>0</v>
      </c>
      <c r="D46" s="136"/>
      <c r="E46" s="158"/>
      <c r="F46" s="159"/>
      <c r="H46" s="112" t="s">
        <v>143</v>
      </c>
      <c r="I46" s="131">
        <f>IF(AND($C$3&gt;=2,$C$3&lt;=2.25),'3'!F11,IF(AND($C$3&gt;2.25,$C$3&lt;=3.25),'3'!F11*1.2,IF(AND($C$3&gt;3.25),'3'!F11*1.35,0)))</f>
        <v>0</v>
      </c>
      <c r="J46" s="131">
        <f>IF(AND($C$3&gt;=2,$C$3&lt;=2.25),'3'!G11,IF(AND($C$3&gt;2.25,$C$3&lt;=3.25),'3'!G11*1.2,IF(AND($C$3&gt;3.25),'3'!G11*1.35,0)))</f>
        <v>0</v>
      </c>
    </row>
    <row r="47" spans="2:10" ht="23.25" x14ac:dyDescent="0.25">
      <c r="B47" s="112" t="s">
        <v>144</v>
      </c>
      <c r="C47" s="131">
        <f t="shared" si="2"/>
        <v>0</v>
      </c>
      <c r="D47" s="136"/>
      <c r="E47" s="158"/>
      <c r="F47" s="159"/>
      <c r="H47" s="112" t="s">
        <v>144</v>
      </c>
      <c r="I47" s="131">
        <f>IF(AND($C$3&gt;=2,$C$3&lt;=2.25),'3'!F12,IF(AND($C$3&gt;2.25,$C$3&lt;=3.25),'3'!F12*1.2,IF(AND($C$3&gt;3.25),'3'!F12*1.35,0)))</f>
        <v>0</v>
      </c>
      <c r="J47" s="131">
        <f>IF(AND($C$3&gt;=2,$C$3&lt;=2.25),'3'!G12,IF(AND($C$3&gt;2.25,$C$3&lt;=3.25),'3'!G12*1.2,IF(AND($C$3&gt;3.25),'3'!G12*1.35,0)))</f>
        <v>0</v>
      </c>
    </row>
    <row r="48" spans="2:10" ht="21" x14ac:dyDescent="0.25">
      <c r="B48" s="139" t="s">
        <v>157</v>
      </c>
      <c r="C48" s="139">
        <f>SUM(F57:F63)/(C38*C39)</f>
        <v>14072937.062937062</v>
      </c>
      <c r="D48" s="139"/>
      <c r="E48" s="139"/>
      <c r="F48" s="140"/>
    </row>
    <row r="49" spans="2:6" ht="19.5" x14ac:dyDescent="0.25">
      <c r="B49" s="141"/>
      <c r="C49" s="142" t="s">
        <v>158</v>
      </c>
      <c r="D49" s="142" t="s">
        <v>159</v>
      </c>
      <c r="E49" s="143" t="s">
        <v>160</v>
      </c>
      <c r="F49" s="143" t="s">
        <v>161</v>
      </c>
    </row>
    <row r="50" spans="2:6" ht="23.25" x14ac:dyDescent="0.25">
      <c r="B50" s="141"/>
      <c r="C50" s="147">
        <f>C38</f>
        <v>6.5</v>
      </c>
      <c r="D50" s="146">
        <v>1</v>
      </c>
      <c r="E50" s="146">
        <v>2.1</v>
      </c>
      <c r="F50" s="146">
        <f>C50*D50*E50</f>
        <v>13.65</v>
      </c>
    </row>
    <row r="51" spans="2:6" ht="23.25" x14ac:dyDescent="0.25">
      <c r="B51" s="141"/>
      <c r="C51" s="147">
        <f>C39</f>
        <v>2.2000000000000002</v>
      </c>
      <c r="D51" s="146">
        <v>2</v>
      </c>
      <c r="E51" s="146">
        <v>1.25</v>
      </c>
      <c r="F51" s="146">
        <f t="shared" ref="F51:F63" si="3">C51*D51*E51</f>
        <v>5.5</v>
      </c>
    </row>
    <row r="52" spans="2:6" ht="23.25" x14ac:dyDescent="0.25">
      <c r="B52" s="141"/>
      <c r="C52" s="147">
        <f>C38</f>
        <v>6.5</v>
      </c>
      <c r="D52" s="146">
        <v>1</v>
      </c>
      <c r="E52" s="146">
        <v>1.8</v>
      </c>
      <c r="F52" s="146">
        <f t="shared" si="3"/>
        <v>11.700000000000001</v>
      </c>
    </row>
    <row r="53" spans="2:6" ht="23.25" x14ac:dyDescent="0.25">
      <c r="B53" s="141"/>
      <c r="C53" s="147">
        <f>C38</f>
        <v>6.5</v>
      </c>
      <c r="D53" s="146">
        <v>1</v>
      </c>
      <c r="E53" s="146">
        <v>1.5</v>
      </c>
      <c r="F53" s="146">
        <f t="shared" si="3"/>
        <v>9.75</v>
      </c>
    </row>
    <row r="54" spans="2:6" ht="23.25" x14ac:dyDescent="0.25">
      <c r="B54" s="141"/>
      <c r="C54" s="147">
        <f>C39</f>
        <v>2.2000000000000002</v>
      </c>
      <c r="D54" s="146">
        <f>IF(AND(C36=3),2,IF(AND(C36=4),2,IF(AND(C36=5),2,IF(AND(C36=6),2,IF(AND(C36="2+2"),3,IF(AND(C36="3+3"),3,IF(AND(C36="4+4"),3,0)))))))</f>
        <v>2</v>
      </c>
      <c r="E54" s="146">
        <v>1</v>
      </c>
      <c r="F54" s="146">
        <f t="shared" si="3"/>
        <v>4.4000000000000004</v>
      </c>
    </row>
    <row r="55" spans="2:6" ht="23.25" x14ac:dyDescent="0.25">
      <c r="B55" s="141"/>
      <c r="C55" s="147">
        <f>C39</f>
        <v>2.2000000000000002</v>
      </c>
      <c r="D55" s="146">
        <f>IF(AND(C36=3),4,IF(AND(C36=4),6,IF(AND(C36=5),8,IF(AND(C36=6),10,IF(AND(C36="2+2"),5,IF(AND(C36="3+3"),9,IF(AND(C36="4+4"),13,0)))))))</f>
        <v>8</v>
      </c>
      <c r="E55" s="146">
        <v>0.5</v>
      </c>
      <c r="F55" s="146">
        <f t="shared" si="3"/>
        <v>8.8000000000000007</v>
      </c>
    </row>
    <row r="56" spans="2:6" ht="23.25" x14ac:dyDescent="0.25">
      <c r="B56" s="141"/>
      <c r="C56" s="147">
        <f>C39*8+C38*2</f>
        <v>30.6</v>
      </c>
      <c r="D56" s="146">
        <f>IF(AND('3'!D15="8mm"),1,0)</f>
        <v>0</v>
      </c>
      <c r="E56" s="146">
        <v>0.25</v>
      </c>
      <c r="F56" s="146">
        <f t="shared" si="3"/>
        <v>0</v>
      </c>
    </row>
    <row r="57" spans="2:6" ht="23.25" x14ac:dyDescent="0.25">
      <c r="B57" s="148" t="s">
        <v>162</v>
      </c>
      <c r="C57" s="147">
        <f>F39</f>
        <v>59.18</v>
      </c>
      <c r="D57" s="146">
        <v>1</v>
      </c>
      <c r="E57" s="149">
        <f>C37</f>
        <v>2200000</v>
      </c>
      <c r="F57" s="149">
        <f t="shared" si="3"/>
        <v>130196000</v>
      </c>
    </row>
    <row r="58" spans="2:6" ht="23.25" x14ac:dyDescent="0.25">
      <c r="B58" s="148" t="s">
        <v>163</v>
      </c>
      <c r="C58" s="147">
        <f>C38*C39</f>
        <v>14.3</v>
      </c>
      <c r="D58" s="146">
        <v>1</v>
      </c>
      <c r="E58" s="149">
        <f>IF(AND('3'!D15="8mm"),C40,IF(AND('3'!D15="10mm"),C41,IF(AND('3'!D15="4+12+4"),C42,IF(AND('3'!D15="5+10+5"),C43,IF(AND('3'!D15="6+8+6"),C44,IF(AND('3'!D15="5pvb5"),C45,IF(AND('3'!D15="6pvb6"),C46,IF(AND('3'!D15="8pvb8"),C47,0))))))))</f>
        <v>0</v>
      </c>
      <c r="F58" s="149">
        <f t="shared" si="3"/>
        <v>0</v>
      </c>
    </row>
    <row r="59" spans="2:6" ht="23.25" x14ac:dyDescent="0.25">
      <c r="B59" s="150" t="s">
        <v>170</v>
      </c>
      <c r="C59" s="147">
        <f>IF(AND(C36=3),6,IF(AND(C36=4),8,IF(AND(C36=5),10,IF(AND(C36=6),12,IF(AND(C36="2+2"),8,IF(AND(C36="3+3"),12,IF(AND(C36="4+4"),16,0)))))))</f>
        <v>10</v>
      </c>
      <c r="D59" s="146">
        <v>1</v>
      </c>
      <c r="E59" s="149">
        <v>2800000</v>
      </c>
      <c r="F59" s="149">
        <f t="shared" si="3"/>
        <v>28000000</v>
      </c>
    </row>
    <row r="60" spans="2:6" ht="23.25" x14ac:dyDescent="0.25">
      <c r="B60" s="150" t="s">
        <v>166</v>
      </c>
      <c r="C60" s="147">
        <f>(C50*8)+(C51*2)+(C53*2)+(C54*D54*2)+(C55*D55)</f>
        <v>95.800000000000011</v>
      </c>
      <c r="D60" s="146">
        <v>1</v>
      </c>
      <c r="E60" s="149">
        <v>20000</v>
      </c>
      <c r="F60" s="149">
        <f t="shared" si="3"/>
        <v>1916000.0000000002</v>
      </c>
    </row>
    <row r="61" spans="2:6" ht="23.25" x14ac:dyDescent="0.25">
      <c r="B61" s="148" t="s">
        <v>168</v>
      </c>
      <c r="C61" s="147">
        <f>C59</f>
        <v>10</v>
      </c>
      <c r="D61" s="146">
        <v>1</v>
      </c>
      <c r="E61" s="149">
        <v>750000</v>
      </c>
      <c r="F61" s="149">
        <f t="shared" si="3"/>
        <v>7500000</v>
      </c>
    </row>
    <row r="62" spans="2:6" ht="23.25" x14ac:dyDescent="0.25">
      <c r="B62" s="148" t="s">
        <v>171</v>
      </c>
      <c r="C62" s="147">
        <v>1</v>
      </c>
      <c r="D62" s="146">
        <v>1</v>
      </c>
      <c r="E62" s="149">
        <v>7000000</v>
      </c>
      <c r="F62" s="149">
        <f t="shared" si="3"/>
        <v>7000000</v>
      </c>
    </row>
    <row r="63" spans="2:6" ht="23.25" x14ac:dyDescent="0.25">
      <c r="B63" s="148" t="s">
        <v>135</v>
      </c>
      <c r="C63" s="147">
        <f>F39</f>
        <v>59.18</v>
      </c>
      <c r="D63" s="146">
        <v>1</v>
      </c>
      <c r="E63" s="149">
        <f>'3'!D4</f>
        <v>450000</v>
      </c>
      <c r="F63" s="149">
        <f t="shared" si="3"/>
        <v>26631000</v>
      </c>
    </row>
  </sheetData>
  <mergeCells count="9">
    <mergeCell ref="D39:E39"/>
    <mergeCell ref="D40:D41"/>
    <mergeCell ref="E40:E41"/>
    <mergeCell ref="D2:F2"/>
    <mergeCell ref="D4:E4"/>
    <mergeCell ref="D5:D6"/>
    <mergeCell ref="E5:E6"/>
    <mergeCell ref="F5:F6"/>
    <mergeCell ref="D37:F3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AutoCAD.Drawing.20" shapeId="40961" r:id="rId3">
          <objectPr defaultSize="0" autoPict="0" r:id="rId4">
            <anchor moveWithCells="1" sizeWithCells="1">
              <from>
                <xdr:col>1</xdr:col>
                <xdr:colOff>657225</xdr:colOff>
                <xdr:row>17</xdr:row>
                <xdr:rowOff>38100</xdr:rowOff>
              </from>
              <to>
                <xdr:col>1</xdr:col>
                <xdr:colOff>1238250</xdr:colOff>
                <xdr:row>17</xdr:row>
                <xdr:rowOff>561975</xdr:rowOff>
              </to>
            </anchor>
          </objectPr>
        </oleObject>
      </mc:Choice>
      <mc:Fallback>
        <oleObject progId="AutoCAD.Drawing.20" shapeId="40961" r:id="rId3"/>
      </mc:Fallback>
    </mc:AlternateContent>
    <mc:AlternateContent xmlns:mc="http://schemas.openxmlformats.org/markup-compatibility/2006">
      <mc:Choice Requires="x14">
        <oleObject progId="AutoCAD.Drawing.20" shapeId="40962" r:id="rId5">
          <objectPr defaultSize="0" autoPict="0" r:id="rId6">
            <anchor moveWithCells="1" sizeWithCells="1">
              <from>
                <xdr:col>1</xdr:col>
                <xdr:colOff>809625</xdr:colOff>
                <xdr:row>18</xdr:row>
                <xdr:rowOff>57150</xdr:rowOff>
              </from>
              <to>
                <xdr:col>1</xdr:col>
                <xdr:colOff>1143000</xdr:colOff>
                <xdr:row>19</xdr:row>
                <xdr:rowOff>0</xdr:rowOff>
              </to>
            </anchor>
          </objectPr>
        </oleObject>
      </mc:Choice>
      <mc:Fallback>
        <oleObject progId="AutoCAD.Drawing.20" shapeId="40962" r:id="rId5"/>
      </mc:Fallback>
    </mc:AlternateContent>
    <mc:AlternateContent xmlns:mc="http://schemas.openxmlformats.org/markup-compatibility/2006">
      <mc:Choice Requires="x14">
        <oleObject progId="AutoCAD.Drawing.20" shapeId="40963" r:id="rId7">
          <objectPr defaultSize="0" autoPict="0" r:id="rId8">
            <anchor moveWithCells="1" sizeWithCells="1">
              <from>
                <xdr:col>1</xdr:col>
                <xdr:colOff>733425</xdr:colOff>
                <xdr:row>20</xdr:row>
                <xdr:rowOff>0</xdr:rowOff>
              </from>
              <to>
                <xdr:col>1</xdr:col>
                <xdr:colOff>1152525</xdr:colOff>
                <xdr:row>20</xdr:row>
                <xdr:rowOff>438150</xdr:rowOff>
              </to>
            </anchor>
          </objectPr>
        </oleObject>
      </mc:Choice>
      <mc:Fallback>
        <oleObject progId="AutoCAD.Drawing.20" shapeId="40963" r:id="rId7"/>
      </mc:Fallback>
    </mc:AlternateContent>
    <mc:AlternateContent xmlns:mc="http://schemas.openxmlformats.org/markup-compatibility/2006">
      <mc:Choice Requires="x14">
        <oleObject progId="AutoCAD.Drawing.20" shapeId="40964" r:id="rId9">
          <objectPr defaultSize="0" autoPict="0" r:id="rId10">
            <anchor moveWithCells="1" sizeWithCells="1">
              <from>
                <xdr:col>1</xdr:col>
                <xdr:colOff>762000</xdr:colOff>
                <xdr:row>21</xdr:row>
                <xdr:rowOff>0</xdr:rowOff>
              </from>
              <to>
                <xdr:col>1</xdr:col>
                <xdr:colOff>1143000</xdr:colOff>
                <xdr:row>21</xdr:row>
                <xdr:rowOff>504825</xdr:rowOff>
              </to>
            </anchor>
          </objectPr>
        </oleObject>
      </mc:Choice>
      <mc:Fallback>
        <oleObject progId="AutoCAD.Drawing.20" shapeId="40964" r:id="rId9"/>
      </mc:Fallback>
    </mc:AlternateContent>
    <mc:AlternateContent xmlns:mc="http://schemas.openxmlformats.org/markup-compatibility/2006">
      <mc:Choice Requires="x14">
        <oleObject progId="AutoCAD.Drawing.20" shapeId="40965" r:id="rId11">
          <objectPr defaultSize="0" autoPict="0" r:id="rId12">
            <anchor moveWithCells="1" sizeWithCells="1">
              <from>
                <xdr:col>1</xdr:col>
                <xdr:colOff>723900</xdr:colOff>
                <xdr:row>22</xdr:row>
                <xdr:rowOff>0</xdr:rowOff>
              </from>
              <to>
                <xdr:col>1</xdr:col>
                <xdr:colOff>1133475</xdr:colOff>
                <xdr:row>22</xdr:row>
                <xdr:rowOff>504825</xdr:rowOff>
              </to>
            </anchor>
          </objectPr>
        </oleObject>
      </mc:Choice>
      <mc:Fallback>
        <oleObject progId="AutoCAD.Drawing.20" shapeId="40965" r:id="rId11"/>
      </mc:Fallback>
    </mc:AlternateContent>
    <mc:AlternateContent xmlns:mc="http://schemas.openxmlformats.org/markup-compatibility/2006">
      <mc:Choice Requires="x14">
        <oleObject progId="AutoCAD.Drawing.20" shapeId="40966" r:id="rId13">
          <objectPr defaultSize="0" autoPict="0" r:id="rId14">
            <anchor moveWithCells="1" sizeWithCells="1">
              <from>
                <xdr:col>1</xdr:col>
                <xdr:colOff>676275</xdr:colOff>
                <xdr:row>23</xdr:row>
                <xdr:rowOff>28575</xdr:rowOff>
              </from>
              <to>
                <xdr:col>1</xdr:col>
                <xdr:colOff>1181100</xdr:colOff>
                <xdr:row>23</xdr:row>
                <xdr:rowOff>457200</xdr:rowOff>
              </to>
            </anchor>
          </objectPr>
        </oleObject>
      </mc:Choice>
      <mc:Fallback>
        <oleObject progId="AutoCAD.Drawing.20" shapeId="40966" r:id="rId13"/>
      </mc:Fallback>
    </mc:AlternateContent>
    <mc:AlternateContent xmlns:mc="http://schemas.openxmlformats.org/markup-compatibility/2006">
      <mc:Choice Requires="x14">
        <oleObject progId="AutoCAD.Drawing.20" shapeId="40967" r:id="rId15">
          <objectPr defaultSize="0" autoPict="0" r:id="rId16">
            <anchor moveWithCells="1" sizeWithCells="1">
              <from>
                <xdr:col>1</xdr:col>
                <xdr:colOff>885825</xdr:colOff>
                <xdr:row>19</xdr:row>
                <xdr:rowOff>47625</xdr:rowOff>
              </from>
              <to>
                <xdr:col>1</xdr:col>
                <xdr:colOff>1143000</xdr:colOff>
                <xdr:row>20</xdr:row>
                <xdr:rowOff>0</xdr:rowOff>
              </to>
            </anchor>
          </objectPr>
        </oleObject>
      </mc:Choice>
      <mc:Fallback>
        <oleObject progId="AutoCAD.Drawing.20" shapeId="40967" r:id="rId15"/>
      </mc:Fallback>
    </mc:AlternateContent>
    <mc:AlternateContent xmlns:mc="http://schemas.openxmlformats.org/markup-compatibility/2006">
      <mc:Choice Requires="x14">
        <oleObject progId="AutoCAD.Drawing.20" shapeId="40968" r:id="rId17">
          <objectPr defaultSize="0" autoPict="0" r:id="rId14">
            <anchor moveWithCells="1" sizeWithCells="1">
              <from>
                <xdr:col>1</xdr:col>
                <xdr:colOff>657225</xdr:colOff>
                <xdr:row>55</xdr:row>
                <xdr:rowOff>47625</xdr:rowOff>
              </from>
              <to>
                <xdr:col>1</xdr:col>
                <xdr:colOff>1162050</xdr:colOff>
                <xdr:row>55</xdr:row>
                <xdr:rowOff>476250</xdr:rowOff>
              </to>
            </anchor>
          </objectPr>
        </oleObject>
      </mc:Choice>
      <mc:Fallback>
        <oleObject progId="AutoCAD.Drawing.20" shapeId="40968" r:id="rId17"/>
      </mc:Fallback>
    </mc:AlternateContent>
    <mc:AlternateContent xmlns:mc="http://schemas.openxmlformats.org/markup-compatibility/2006">
      <mc:Choice Requires="x14">
        <oleObject progId="AutoCAD.Drawing.20" shapeId="40969" r:id="rId18">
          <objectPr defaultSize="0" autoPict="0" r:id="rId19">
            <anchor moveWithCells="1" sizeWithCells="1">
              <from>
                <xdr:col>1</xdr:col>
                <xdr:colOff>381000</xdr:colOff>
                <xdr:row>49</xdr:row>
                <xdr:rowOff>66675</xdr:rowOff>
              </from>
              <to>
                <xdr:col>1</xdr:col>
                <xdr:colOff>1438275</xdr:colOff>
                <xdr:row>49</xdr:row>
                <xdr:rowOff>314325</xdr:rowOff>
              </to>
            </anchor>
          </objectPr>
        </oleObject>
      </mc:Choice>
      <mc:Fallback>
        <oleObject progId="AutoCAD.Drawing.20" shapeId="40969" r:id="rId18"/>
      </mc:Fallback>
    </mc:AlternateContent>
    <mc:AlternateContent xmlns:mc="http://schemas.openxmlformats.org/markup-compatibility/2006">
      <mc:Choice Requires="x14">
        <oleObject progId="AutoCAD.Drawing.20" shapeId="40970" r:id="rId20">
          <objectPr defaultSize="0" autoPict="0" r:id="rId21">
            <anchor moveWithCells="1" sizeWithCells="1">
              <from>
                <xdr:col>1</xdr:col>
                <xdr:colOff>371475</xdr:colOff>
                <xdr:row>50</xdr:row>
                <xdr:rowOff>123825</xdr:rowOff>
              </from>
              <to>
                <xdr:col>1</xdr:col>
                <xdr:colOff>1476375</xdr:colOff>
                <xdr:row>50</xdr:row>
                <xdr:rowOff>304800</xdr:rowOff>
              </to>
            </anchor>
          </objectPr>
        </oleObject>
      </mc:Choice>
      <mc:Fallback>
        <oleObject progId="AutoCAD.Drawing.20" shapeId="40970" r:id="rId20"/>
      </mc:Fallback>
    </mc:AlternateContent>
    <mc:AlternateContent xmlns:mc="http://schemas.openxmlformats.org/markup-compatibility/2006">
      <mc:Choice Requires="x14">
        <oleObject progId="AutoCAD.Drawing.20" shapeId="40971" r:id="rId22">
          <objectPr defaultSize="0" autoPict="0" r:id="rId23">
            <anchor moveWithCells="1" sizeWithCells="1">
              <from>
                <xdr:col>1</xdr:col>
                <xdr:colOff>352425</xdr:colOff>
                <xdr:row>51</xdr:row>
                <xdr:rowOff>180975</xdr:rowOff>
              </from>
              <to>
                <xdr:col>1</xdr:col>
                <xdr:colOff>1428750</xdr:colOff>
                <xdr:row>51</xdr:row>
                <xdr:rowOff>276225</xdr:rowOff>
              </to>
            </anchor>
          </objectPr>
        </oleObject>
      </mc:Choice>
      <mc:Fallback>
        <oleObject progId="AutoCAD.Drawing.20" shapeId="40971" r:id="rId22"/>
      </mc:Fallback>
    </mc:AlternateContent>
    <mc:AlternateContent xmlns:mc="http://schemas.openxmlformats.org/markup-compatibility/2006">
      <mc:Choice Requires="x14">
        <oleObject progId="AutoCAD.Drawing.20" shapeId="40972" r:id="rId24">
          <objectPr defaultSize="0" autoPict="0" r:id="rId25">
            <anchor moveWithCells="1" sizeWithCells="1">
              <from>
                <xdr:col>1</xdr:col>
                <xdr:colOff>361950</xdr:colOff>
                <xdr:row>52</xdr:row>
                <xdr:rowOff>66675</xdr:rowOff>
              </from>
              <to>
                <xdr:col>1</xdr:col>
                <xdr:colOff>1457325</xdr:colOff>
                <xdr:row>52</xdr:row>
                <xdr:rowOff>333375</xdr:rowOff>
              </to>
            </anchor>
          </objectPr>
        </oleObject>
      </mc:Choice>
      <mc:Fallback>
        <oleObject progId="AutoCAD.Drawing.20" shapeId="40972" r:id="rId24"/>
      </mc:Fallback>
    </mc:AlternateContent>
    <mc:AlternateContent xmlns:mc="http://schemas.openxmlformats.org/markup-compatibility/2006">
      <mc:Choice Requires="x14">
        <oleObject progId="AutoCAD.Drawing.20" shapeId="40973" r:id="rId26">
          <objectPr defaultSize="0" autoPict="0" r:id="rId27">
            <anchor moveWithCells="1" sizeWithCells="1">
              <from>
                <xdr:col>1</xdr:col>
                <xdr:colOff>523875</xdr:colOff>
                <xdr:row>53</xdr:row>
                <xdr:rowOff>28575</xdr:rowOff>
              </from>
              <to>
                <xdr:col>1</xdr:col>
                <xdr:colOff>1276350</xdr:colOff>
                <xdr:row>53</xdr:row>
                <xdr:rowOff>352425</xdr:rowOff>
              </to>
            </anchor>
          </objectPr>
        </oleObject>
      </mc:Choice>
      <mc:Fallback>
        <oleObject progId="AutoCAD.Drawing.20" shapeId="40973" r:id="rId26"/>
      </mc:Fallback>
    </mc:AlternateContent>
    <mc:AlternateContent xmlns:mc="http://schemas.openxmlformats.org/markup-compatibility/2006">
      <mc:Choice Requires="x14">
        <oleObject progId="AutoCAD.Drawing.20" shapeId="40974" r:id="rId28">
          <objectPr defaultSize="0" autoPict="0" r:id="rId29">
            <anchor moveWithCells="1" sizeWithCells="1">
              <from>
                <xdr:col>1</xdr:col>
                <xdr:colOff>666750</xdr:colOff>
                <xdr:row>53</xdr:row>
                <xdr:rowOff>495300</xdr:rowOff>
              </from>
              <to>
                <xdr:col>1</xdr:col>
                <xdr:colOff>1095375</xdr:colOff>
                <xdr:row>54</xdr:row>
                <xdr:rowOff>457200</xdr:rowOff>
              </to>
            </anchor>
          </objectPr>
        </oleObject>
      </mc:Choice>
      <mc:Fallback>
        <oleObject progId="AutoCAD.Drawing.20" shapeId="40974" r:id="rId28"/>
      </mc:Fallback>
    </mc:AlternateContent>
    <mc:AlternateContent xmlns:mc="http://schemas.openxmlformats.org/markup-compatibility/2006">
      <mc:Choice Requires="x14">
        <oleObject progId="AutoCAD.Drawing.24" shapeId="40975" r:id="rId30">
          <objectPr defaultSize="0" autoPict="0" r:id="rId31">
            <anchor moveWithCells="1" sizeWithCells="1">
              <from>
                <xdr:col>1</xdr:col>
                <xdr:colOff>581025</xdr:colOff>
                <xdr:row>15</xdr:row>
                <xdr:rowOff>38100</xdr:rowOff>
              </from>
              <to>
                <xdr:col>1</xdr:col>
                <xdr:colOff>1419225</xdr:colOff>
                <xdr:row>16</xdr:row>
                <xdr:rowOff>28575</xdr:rowOff>
              </to>
            </anchor>
          </objectPr>
        </oleObject>
      </mc:Choice>
      <mc:Fallback>
        <oleObject progId="AutoCAD.Drawing.24" shapeId="40975" r:id="rId30"/>
      </mc:Fallback>
    </mc:AlternateContent>
    <mc:AlternateContent xmlns:mc="http://schemas.openxmlformats.org/markup-compatibility/2006">
      <mc:Choice Requires="x14">
        <oleObject progId="AutoCAD.Drawing.24" shapeId="40976" r:id="rId32">
          <objectPr defaultSize="0" autoPict="0" r:id="rId33">
            <anchor moveWithCells="1" sizeWithCells="1">
              <from>
                <xdr:col>1</xdr:col>
                <xdr:colOff>590550</xdr:colOff>
                <xdr:row>14</xdr:row>
                <xdr:rowOff>28575</xdr:rowOff>
              </from>
              <to>
                <xdr:col>1</xdr:col>
                <xdr:colOff>1409700</xdr:colOff>
                <xdr:row>14</xdr:row>
                <xdr:rowOff>609600</xdr:rowOff>
              </to>
            </anchor>
          </objectPr>
        </oleObject>
      </mc:Choice>
      <mc:Fallback>
        <oleObject progId="AutoCAD.Drawing.24" shapeId="40976" r:id="rId32"/>
      </mc:Fallback>
    </mc:AlternateContent>
    <mc:AlternateContent xmlns:mc="http://schemas.openxmlformats.org/markup-compatibility/2006">
      <mc:Choice Requires="x14">
        <oleObject progId="AutoCAD.Drawing.24" shapeId="40977" r:id="rId34">
          <objectPr defaultSize="0" autoPict="0" r:id="rId35">
            <anchor moveWithCells="1" sizeWithCells="1">
              <from>
                <xdr:col>1</xdr:col>
                <xdr:colOff>361950</xdr:colOff>
                <xdr:row>16</xdr:row>
                <xdr:rowOff>238125</xdr:rowOff>
              </from>
              <to>
                <xdr:col>1</xdr:col>
                <xdr:colOff>1619250</xdr:colOff>
                <xdr:row>16</xdr:row>
                <xdr:rowOff>457200</xdr:rowOff>
              </to>
            </anchor>
          </objectPr>
        </oleObject>
      </mc:Choice>
      <mc:Fallback>
        <oleObject progId="AutoCAD.Drawing.24" shapeId="40977" r:id="rId3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پیش فاکتور گیوتین</vt:lpstr>
      <vt:lpstr>1</vt:lpstr>
      <vt:lpstr>2</vt:lpstr>
      <vt:lpstr>4</vt:lpstr>
      <vt:lpstr>A1</vt:lpstr>
      <vt:lpstr>5</vt:lpstr>
      <vt:lpstr>3</vt:lpstr>
      <vt:lpstr>A2</vt:lpstr>
      <vt:lpstr>A3</vt:lpstr>
      <vt:lpstr>A4</vt:lpstr>
      <vt:lpstr>A5</vt:lpstr>
      <vt:lpstr>قرارداد</vt:lpstr>
      <vt:lpstr>'پیش فاکتور گیوتین'!Print_Area</vt:lpstr>
      <vt:lpstr>قرارداد!Print_Area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Pourmalaekeh</dc:creator>
  <cp:lastModifiedBy>Amin</cp:lastModifiedBy>
  <cp:lastPrinted>2024-07-30T05:59:08Z</cp:lastPrinted>
  <dcterms:created xsi:type="dcterms:W3CDTF">2018-03-15T20:32:59Z</dcterms:created>
  <dcterms:modified xsi:type="dcterms:W3CDTF">2024-08-03T09:10:12Z</dcterms:modified>
</cp:coreProperties>
</file>