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pacttest1-my.sharepoint.com/personal/nmassay_pactworld_org/Documents/ILBORU/"/>
    </mc:Choice>
  </mc:AlternateContent>
  <xr:revisionPtr revIDLastSave="9268" documentId="8_{F1F7A75F-7F78-4DA4-BDCF-B2D5CBEBF21D}" xr6:coauthVersionLast="47" xr6:coauthVersionMax="47" xr10:uidLastSave="{CBABF035-3658-458D-B77D-97C52F64FC85}"/>
  <bookViews>
    <workbookView xWindow="-110" yWindow="-110" windowWidth="19420" windowHeight="11500" tabRatio="882" firstSheet="5" activeTab="17" xr2:uid="{42233182-1736-4CFD-A223-BEB01667FFF0}"/>
  </bookViews>
  <sheets>
    <sheet name="DETAILS" sheetId="1" state="hidden" r:id="rId1"/>
    <sheet name="Sheet1" sheetId="9" state="hidden" r:id="rId2"/>
    <sheet name="Summary" sheetId="2" state="hidden" r:id="rId3"/>
    <sheet name="Summary (sorted)" sheetId="7" state="hidden" r:id="rId4"/>
    <sheet name="Summary2" sheetId="4" state="hidden" r:id="rId5"/>
    <sheet name="DETAILS (sorted)" sheetId="6" r:id="rId6"/>
    <sheet name="Member position mfumo and excel" sheetId="185" state="hidden" r:id="rId7"/>
    <sheet name="PERFORMANCE TARGET" sheetId="111" r:id="rId8"/>
    <sheet name="Tshirt Size" sheetId="131" state="hidden" r:id="rId9"/>
    <sheet name="Summary2 (sorted)" sheetId="8" r:id="rId10"/>
    <sheet name="AUDIT  DATA 30 June 2026" sheetId="181" state="hidden" r:id="rId11"/>
    <sheet name="OPERATION" sheetId="182" state="hidden" r:id="rId12"/>
    <sheet name="MAGAWIO" sheetId="183" r:id="rId13"/>
    <sheet name="Presentations" sheetId="117" r:id="rId14"/>
    <sheet name="NMB SHARES" sheetId="184" state="hidden" r:id="rId15"/>
    <sheet name="UTT" sheetId="14" state="hidden" r:id="rId16"/>
    <sheet name="1 Bil plan" sheetId="13" state="hidden" r:id="rId17"/>
    <sheet name="MIKOPO" sheetId="12" r:id="rId18"/>
    <sheet name="02Werema" sheetId="17" state="hidden" r:id="rId19"/>
    <sheet name="01 Nsanyiwa" sheetId="110" state="hidden" r:id="rId20"/>
    <sheet name="03Norbert" sheetId="15" state="hidden" r:id="rId21"/>
    <sheet name="04Everest" sheetId="18" r:id="rId22"/>
    <sheet name="05Eliashasaria" sheetId="19" state="hidden" r:id="rId23"/>
    <sheet name="06 Matee" sheetId="20" state="hidden" r:id="rId24"/>
    <sheet name="07Kitali" sheetId="21" state="hidden" r:id="rId25"/>
    <sheet name="08Felix" sheetId="24" state="hidden" r:id="rId26"/>
    <sheet name="09Gideon" sheetId="22" state="hidden" r:id="rId27"/>
    <sheet name="10Makoko" sheetId="23" state="hidden" r:id="rId28"/>
    <sheet name="11JMangu" sheetId="25" state="hidden" r:id="rId29"/>
    <sheet name="12Mlindwa" sheetId="26" state="hidden" r:id="rId30"/>
    <sheet name="13Matechi" sheetId="27" state="hidden" r:id="rId31"/>
    <sheet name="14Kanuti" sheetId="28" state="hidden" r:id="rId32"/>
    <sheet name="15MohamedMohamed" sheetId="29" state="hidden" r:id="rId33"/>
    <sheet name="16Walter Salema" sheetId="30" state="hidden" r:id="rId34"/>
    <sheet name="17Emmanuel Mmari" sheetId="31" state="hidden" r:id="rId35"/>
    <sheet name="18Albani Kimaro" sheetId="32" state="hidden" r:id="rId36"/>
    <sheet name="19Laurian Gidoyi" sheetId="33" state="hidden" r:id="rId37"/>
    <sheet name="20John Massawe" sheetId="34" state="hidden" r:id="rId38"/>
    <sheet name="21Rajabu Masale" sheetId="35" state="hidden" r:id="rId39"/>
    <sheet name="22 Inocent Mosha" sheetId="36" state="hidden" r:id="rId40"/>
    <sheet name="23Amos Nungu" sheetId="37" state="hidden" r:id="rId41"/>
    <sheet name="24Athumani Mwasha" sheetId="38" state="hidden" r:id="rId42"/>
    <sheet name="25 Hassani Matata" sheetId="39" state="hidden" r:id="rId43"/>
    <sheet name="26 Plasduce Mbossa" sheetId="40" state="hidden" r:id="rId44"/>
    <sheet name="27Saidi Ramadhani Mdee" sheetId="42" state="hidden" r:id="rId45"/>
    <sheet name="28Evans Mori" sheetId="41" state="hidden" r:id="rId46"/>
    <sheet name="29 Emmanuel Moshi" sheetId="43" state="hidden" r:id="rId47"/>
    <sheet name="30 Patrick Kiani" sheetId="44" state="hidden" r:id="rId48"/>
    <sheet name="31Stephen Nkurlu" sheetId="45" state="hidden" r:id="rId49"/>
    <sheet name="32Shabani Salimu" sheetId="46" state="hidden" r:id="rId50"/>
    <sheet name="33Fredrick Ndosi" sheetId="47" state="hidden" r:id="rId51"/>
    <sheet name="34Abraham Asenga" sheetId="48" state="hidden" r:id="rId52"/>
    <sheet name="35Best Magoma" sheetId="49" state="hidden" r:id="rId53"/>
    <sheet name="36Bakari Hemedi" sheetId="50" state="hidden" r:id="rId54"/>
    <sheet name="37Elibariki Mkumbo" sheetId="11" state="hidden" r:id="rId55"/>
    <sheet name="38 Charles Jangu" sheetId="52" state="hidden" r:id="rId56"/>
    <sheet name="39 Abdillahi Moshi" sheetId="53" state="hidden" r:id="rId57"/>
    <sheet name="40 Ahmad Yahya" sheetId="54" state="hidden" r:id="rId58"/>
    <sheet name="41 Edgar Shumbusho" sheetId="55" state="hidden" r:id="rId59"/>
    <sheet name="42 Adam Urassa" sheetId="56" state="hidden" r:id="rId60"/>
    <sheet name="43 Innocent Kasigwa" sheetId="57" state="hidden" r:id="rId61"/>
    <sheet name="44 Abduel Kitururu" sheetId="58" state="hidden" r:id="rId62"/>
    <sheet name="45 Ernest Shirima" sheetId="59" state="hidden" r:id="rId63"/>
    <sheet name=" 46 Adolph Ndeabura" sheetId="66" state="hidden" r:id="rId64"/>
    <sheet name="47 Emmanuel Msaki" sheetId="67" state="hidden" r:id="rId65"/>
    <sheet name="48 Nickson Matowo" sheetId="68" state="hidden" r:id="rId66"/>
    <sheet name="49 Ligglye Vumilia" sheetId="72" state="hidden" r:id="rId67"/>
    <sheet name="50 Shumbi Mkumbo" sheetId="69" state="hidden" r:id="rId68"/>
    <sheet name="51 Nalogwa Kiula" sheetId="60" state="hidden" r:id="rId69"/>
    <sheet name="52 Omary Mwasema" sheetId="61" state="hidden" r:id="rId70"/>
    <sheet name="53 Robert Masegese" sheetId="71" state="hidden" r:id="rId71"/>
    <sheet name="54 Stanslaus Nyembea" sheetId="62" state="hidden" r:id="rId72"/>
    <sheet name="55 SIFUNI MCHOME" sheetId="63" state="hidden" r:id="rId73"/>
    <sheet name="56 Leo Richard Kilamile" sheetId="74" state="hidden" r:id="rId74"/>
    <sheet name="57 Patiens Rweyemamu" sheetId="73" state="hidden" r:id="rId75"/>
    <sheet name="58 Jacobs Casthom Mwambegele" sheetId="75" state="hidden" r:id="rId76"/>
    <sheet name="59 David Koilla" sheetId="76" state="hidden" r:id="rId77"/>
    <sheet name="60 Beatus Rwegalulira" sheetId="77" state="hidden" r:id="rId78"/>
    <sheet name="61 Emmanuel Metta" sheetId="78" state="hidden" r:id="rId79"/>
    <sheet name="62 Africa Silayo" sheetId="79" state="hidden" r:id="rId80"/>
    <sheet name="63 Ted Silkuluwasha" sheetId="82" state="hidden" r:id="rId81"/>
    <sheet name="64 Deogratius Lashayo" sheetId="83" state="hidden" r:id="rId82"/>
    <sheet name="65 Aminiel Kabura" sheetId="87" state="hidden" r:id="rId83"/>
    <sheet name="66 Gilbert Mrema" sheetId="88" state="hidden" r:id="rId84"/>
    <sheet name="67 Philemon Barabojick" sheetId="89" state="hidden" r:id="rId85"/>
    <sheet name="68 Wasia Mushi" sheetId="84" state="hidden" r:id="rId86"/>
    <sheet name="69 Judica Nassary" sheetId="85" state="hidden" r:id="rId87"/>
    <sheet name="70 Kusirye Ukio" sheetId="86" state="hidden" r:id="rId88"/>
    <sheet name="71 Eliud Massaga" sheetId="80" state="hidden" r:id="rId89"/>
    <sheet name="72 Ludovic Swai" sheetId="90" state="hidden" r:id="rId90"/>
    <sheet name="73 David Mushi" sheetId="91" state="hidden" r:id="rId91"/>
    <sheet name="74 Boniphace Joseph" sheetId="92" state="hidden" r:id="rId92"/>
    <sheet name="75 Paul Mikongoti" sheetId="93" state="hidden" r:id="rId93"/>
    <sheet name="76 Daniel Kisaka" sheetId="94" state="hidden" r:id="rId94"/>
    <sheet name="77 Sililiandumi Naiman" sheetId="95" state="hidden" r:id="rId95"/>
    <sheet name="78 Alcard Mumwi" sheetId="96" state="hidden" r:id="rId96"/>
    <sheet name="79 Emmanuel Massawe" sheetId="97" state="hidden" r:id="rId97"/>
    <sheet name="80 Aisha Babu" sheetId="98" state="hidden" r:id="rId98"/>
    <sheet name="81 Diocles Ishengoma" sheetId="99" state="hidden" r:id="rId99"/>
    <sheet name="82 Edson Rwechungura" sheetId="100" state="hidden" r:id="rId100"/>
    <sheet name="106 Alex Gerald Heruka" sheetId="135" state="hidden" r:id="rId101"/>
    <sheet name="83 Mathew Mndeme" sheetId="102" state="hidden" r:id="rId102"/>
    <sheet name="84 Wariael Ayo" sheetId="103" state="hidden" r:id="rId103"/>
    <sheet name="85 Shukuru Ndosi" sheetId="104" state="hidden" r:id="rId104"/>
    <sheet name="86 Joseph Njuu" sheetId="105" state="hidden" r:id="rId105"/>
    <sheet name="87 Stephano Lolloo" sheetId="106" state="hidden" r:id="rId106"/>
    <sheet name="88 CPA Emmanuel Marero" sheetId="107" state="hidden" r:id="rId107"/>
    <sheet name="89 Emmanuel Mungure" sheetId="51" state="hidden" r:id="rId108"/>
    <sheet name="90 Adam Lyson Mwaipungu" sheetId="114" state="hidden" r:id="rId109"/>
    <sheet name="91 Everest Thadeo Sikilo" sheetId="116" state="hidden" r:id="rId110"/>
    <sheet name="92 Kaanaeli Gabriel Nko" sheetId="119" state="hidden" r:id="rId111"/>
    <sheet name="93 Jonas Mwano" sheetId="121" state="hidden" r:id="rId112"/>
    <sheet name="94 Edwin Mwombeki" sheetId="122" state="hidden" r:id="rId113"/>
    <sheet name="95 Nuhu Ngangaji" sheetId="123" state="hidden" r:id="rId114"/>
    <sheet name="96 Paul Masatu" sheetId="124" state="hidden" r:id="rId115"/>
    <sheet name="97 Jackson N. Mmary" sheetId="125" state="hidden" r:id="rId116"/>
    <sheet name="98 Daniel Mdachi" sheetId="126" state="hidden" r:id="rId117"/>
    <sheet name="99 Salum Miraji Mwegero" sheetId="127" state="hidden" r:id="rId118"/>
    <sheet name="100 Juma Selemani Nantubwi " sheetId="128" state="hidden" r:id="rId119"/>
    <sheet name="101 Is Haka Mkwawa" sheetId="129" state="hidden" r:id="rId120"/>
    <sheet name="102 James Ignas Koola" sheetId="130" state="hidden" r:id="rId121"/>
    <sheet name="103 Fredrick Mjema" sheetId="132" state="hidden" r:id="rId122"/>
    <sheet name="104 Fulgence Thomas Massawe" sheetId="133" state="hidden" r:id="rId123"/>
    <sheet name="105 Baltazar Thomas Mrosso" sheetId="134" state="hidden" r:id="rId124"/>
    <sheet name="107 Francis Mwasilu" sheetId="136" state="hidden" r:id="rId125"/>
    <sheet name="108 David Msechu" sheetId="137" state="hidden" r:id="rId126"/>
    <sheet name="109 Salum Masudi" sheetId="138" state="hidden" r:id="rId127"/>
    <sheet name="110 William Baraka Tigahwa" sheetId="139" state="hidden" r:id="rId128"/>
    <sheet name="111 Joseph Albin Swai" sheetId="140" state="hidden" r:id="rId129"/>
    <sheet name="112 Bruno Sunguya" sheetId="141" state="hidden" r:id="rId130"/>
    <sheet name="113 Nicholaus Abdon" sheetId="142" state="hidden" r:id="rId131"/>
    <sheet name="114 Edwin Francis Kordun" sheetId="143" state="hidden" r:id="rId132"/>
    <sheet name="115 Calvin Francis Masao" sheetId="144" state="hidden" r:id="rId133"/>
    <sheet name="116 Nyirabu Zablon Musira" sheetId="145" state="hidden" r:id="rId134"/>
    <sheet name="117 Kajiru Gad Kilonzo" sheetId="146" state="hidden" r:id="rId135"/>
    <sheet name="118 Vicent Tango" sheetId="147" state="hidden" r:id="rId136"/>
    <sheet name="119 Prosper Nambaya" sheetId="148" state="hidden" r:id="rId137"/>
    <sheet name="120 Goodwil Nambaya" sheetId="149" state="hidden" r:id="rId138"/>
    <sheet name="121 Deodati Donati" sheetId="150" state="hidden" r:id="rId139"/>
    <sheet name="122 Dismas Prosper Batiri" sheetId="151" state="hidden" r:id="rId140"/>
    <sheet name="123 Limbu Malongo Limbu" sheetId="152" state="hidden" r:id="rId141"/>
    <sheet name="124 Hamad Habeed Mansoor" sheetId="153" state="hidden" r:id="rId142"/>
    <sheet name="125 Shabani Juma Ndosi" sheetId="154" state="hidden" r:id="rId143"/>
    <sheet name="126 Peter Anthon Sobe " sheetId="155" state="hidden" r:id="rId144"/>
    <sheet name="127 Ignas Nicodemus Chilewa" sheetId="156" state="hidden" r:id="rId145"/>
    <sheet name="128 Mohamed Abdallah Muanda" sheetId="157" state="hidden" r:id="rId146"/>
    <sheet name="129 Africa Jumanne Bwamkuu" sheetId="158" state="hidden" r:id="rId147"/>
    <sheet name="130 Bavo Emmanuel Mzee" sheetId="159" state="hidden" r:id="rId148"/>
    <sheet name="131 Titus Moses Safari" sheetId="160" state="hidden" r:id="rId149"/>
    <sheet name="132 Afred Kishe" sheetId="161" state="hidden" r:id="rId150"/>
    <sheet name="133 Martin Kitundu" sheetId="162" state="hidden" r:id="rId151"/>
    <sheet name="134 Tumwesige Mujwauzi" sheetId="163" state="hidden" r:id="rId152"/>
    <sheet name="135 Novat Adam Moshi" sheetId="164" state="hidden" r:id="rId153"/>
    <sheet name="136 Fortunatus Mhambe" sheetId="165" state="hidden" r:id="rId154"/>
    <sheet name="137 Marcel John Kisoka" sheetId="166" state="hidden" r:id="rId155"/>
    <sheet name="138 Daniel Mchegere" sheetId="167" state="hidden" r:id="rId156"/>
    <sheet name="139 Cleverfred Mhidze" sheetId="169" state="hidden" r:id="rId157"/>
    <sheet name="140 Mwombeki Florian Fabian" sheetId="170" state="hidden" r:id="rId158"/>
    <sheet name="141 Patrick Mbosa" sheetId="171" state="hidden" r:id="rId159"/>
    <sheet name="142 Selemani Pongolani" sheetId="172" state="hidden" r:id="rId160"/>
    <sheet name="143 Honest Tesha" sheetId="173" state="hidden" r:id="rId161"/>
    <sheet name="144 Steven Chihwallo" sheetId="174" state="hidden" r:id="rId162"/>
    <sheet name="145 Jaha Kamugisha Mvuha" sheetId="175" state="hidden" r:id="rId163"/>
    <sheet name="146 Hussein Shamdas" sheetId="176" state="hidden" r:id="rId164"/>
    <sheet name="147 Julius Chacha Mwita" sheetId="179" state="hidden" r:id="rId165"/>
  </sheets>
  <externalReferences>
    <externalReference r:id="rId166"/>
    <externalReference r:id="rId167"/>
  </externalReferences>
  <definedNames>
    <definedName name="_xlnm._FilterDatabase" localSheetId="16" hidden="1">'1 Bil plan'!$A$1:$F$1</definedName>
    <definedName name="_xlnm._FilterDatabase" localSheetId="10" hidden="1">'AUDIT  DATA 30 June 2026'!$A$3:$J$3</definedName>
    <definedName name="_xlnm._FilterDatabase" localSheetId="0" hidden="1">DETAILS!$D$5:$AW$88</definedName>
    <definedName name="_xlnm._FilterDatabase" localSheetId="5" hidden="1">'DETAILS (sorted)'!$A$1:$DS$1</definedName>
    <definedName name="_xlnm._FilterDatabase" localSheetId="11" hidden="1">OPERATION!$A$2:$N$2</definedName>
    <definedName name="_xlnm._FilterDatabase" localSheetId="7" hidden="1">'PERFORMANCE TARGET'!$A$2:$J$2</definedName>
    <definedName name="_xlnm._FilterDatabase" localSheetId="2" hidden="1">Summary!$A$7:$O$91</definedName>
    <definedName name="_xlnm._FilterDatabase" localSheetId="3" hidden="1">'Summary (sorted)'!$A$9:$O$93</definedName>
    <definedName name="_xlnm._FilterDatabase" localSheetId="9" hidden="1">'Summary2 (sorted)'!$A$2:$AE$94</definedName>
    <definedName name="_xlnm._FilterDatabase" localSheetId="8" hidden="1">'Tshirt Size'!$B$2:$F$72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8" i="8" l="1"/>
  <c r="F117" i="12"/>
  <c r="F116" i="12"/>
  <c r="D154" i="111"/>
  <c r="F11" i="117"/>
  <c r="C329" i="8"/>
  <c r="C311" i="8"/>
  <c r="AG311" i="8"/>
  <c r="AF311" i="8"/>
  <c r="C265" i="8"/>
  <c r="C264" i="8"/>
  <c r="DI131" i="6"/>
  <c r="DI141" i="6"/>
  <c r="DJ141" i="6" s="1"/>
  <c r="DI73" i="6"/>
  <c r="DH107" i="6"/>
  <c r="DJ107" i="6" s="1"/>
  <c r="CH107" i="6"/>
  <c r="DH98" i="6"/>
  <c r="DJ98" i="6" s="1"/>
  <c r="CH98" i="6"/>
  <c r="DH54" i="6"/>
  <c r="CH54" i="6"/>
  <c r="DJ12" i="6"/>
  <c r="DJ13" i="6"/>
  <c r="DJ14" i="6"/>
  <c r="DJ15" i="6"/>
  <c r="DJ16" i="6"/>
  <c r="DJ19" i="6"/>
  <c r="DJ20" i="6"/>
  <c r="DJ21" i="6"/>
  <c r="DJ22" i="6"/>
  <c r="DJ23" i="6"/>
  <c r="DJ24" i="6"/>
  <c r="DJ25" i="6"/>
  <c r="DJ26" i="6"/>
  <c r="DJ27" i="6"/>
  <c r="DJ28" i="6"/>
  <c r="DJ29" i="6"/>
  <c r="DJ30" i="6"/>
  <c r="DJ31" i="6"/>
  <c r="DJ32" i="6"/>
  <c r="DJ33" i="6"/>
  <c r="DJ34" i="6"/>
  <c r="DJ35" i="6"/>
  <c r="DJ36" i="6"/>
  <c r="DJ37" i="6"/>
  <c r="DJ38" i="6"/>
  <c r="DJ39" i="6"/>
  <c r="DJ40" i="6"/>
  <c r="DJ41" i="6"/>
  <c r="DJ42" i="6"/>
  <c r="DJ43" i="6"/>
  <c r="DJ44" i="6"/>
  <c r="DJ45" i="6"/>
  <c r="DJ46" i="6"/>
  <c r="DJ47" i="6"/>
  <c r="DJ48" i="6"/>
  <c r="DJ49" i="6"/>
  <c r="DJ50" i="6"/>
  <c r="DJ51" i="6"/>
  <c r="DJ52" i="6"/>
  <c r="DJ53" i="6"/>
  <c r="DJ55" i="6"/>
  <c r="DJ56" i="6"/>
  <c r="DJ57" i="6"/>
  <c r="DJ58" i="6"/>
  <c r="DJ59" i="6"/>
  <c r="DJ60" i="6"/>
  <c r="DJ61" i="6"/>
  <c r="DJ62" i="6"/>
  <c r="DJ63" i="6"/>
  <c r="DJ64" i="6"/>
  <c r="DJ65" i="6"/>
  <c r="DJ66" i="6"/>
  <c r="DJ67" i="6"/>
  <c r="DJ68" i="6"/>
  <c r="DJ69" i="6"/>
  <c r="DJ70" i="6"/>
  <c r="DJ71" i="6"/>
  <c r="DJ72" i="6"/>
  <c r="DJ73" i="6"/>
  <c r="DJ74" i="6"/>
  <c r="DJ75" i="6"/>
  <c r="DJ76" i="6"/>
  <c r="DJ77" i="6"/>
  <c r="DJ78" i="6"/>
  <c r="DJ79" i="6"/>
  <c r="DJ80" i="6"/>
  <c r="DJ81" i="6"/>
  <c r="DJ82" i="6"/>
  <c r="DJ83" i="6"/>
  <c r="DJ84" i="6"/>
  <c r="DJ85" i="6"/>
  <c r="DJ86" i="6"/>
  <c r="DJ87" i="6"/>
  <c r="DJ88" i="6"/>
  <c r="DJ89" i="6"/>
  <c r="DJ90" i="6"/>
  <c r="DJ91" i="6"/>
  <c r="DJ92" i="6"/>
  <c r="DJ93" i="6"/>
  <c r="DJ94" i="6"/>
  <c r="DJ95" i="6"/>
  <c r="DJ96" i="6"/>
  <c r="DJ97" i="6"/>
  <c r="DJ99" i="6"/>
  <c r="DJ100" i="6"/>
  <c r="DJ101" i="6"/>
  <c r="DJ102" i="6"/>
  <c r="DJ103" i="6"/>
  <c r="DJ104" i="6"/>
  <c r="DJ105" i="6"/>
  <c r="DJ106" i="6"/>
  <c r="DJ108" i="6"/>
  <c r="DJ109" i="6"/>
  <c r="DJ110" i="6"/>
  <c r="DJ111" i="6"/>
  <c r="DJ112" i="6"/>
  <c r="DJ113" i="6"/>
  <c r="DJ114" i="6"/>
  <c r="DJ115" i="6"/>
  <c r="DJ116" i="6"/>
  <c r="DJ117" i="6"/>
  <c r="DJ118" i="6"/>
  <c r="DJ119" i="6"/>
  <c r="DJ120" i="6"/>
  <c r="DJ121" i="6"/>
  <c r="DJ122" i="6"/>
  <c r="DJ123" i="6"/>
  <c r="DJ124" i="6"/>
  <c r="DJ125" i="6"/>
  <c r="DJ126" i="6"/>
  <c r="DJ127" i="6"/>
  <c r="DJ128" i="6"/>
  <c r="DJ129" i="6"/>
  <c r="DJ130" i="6"/>
  <c r="DJ131" i="6"/>
  <c r="DJ132" i="6"/>
  <c r="DJ133" i="6"/>
  <c r="DJ134" i="6"/>
  <c r="DJ135" i="6"/>
  <c r="DJ136" i="6"/>
  <c r="DJ137" i="6"/>
  <c r="DJ138" i="6"/>
  <c r="DJ139" i="6"/>
  <c r="DJ140" i="6"/>
  <c r="DJ142" i="6"/>
  <c r="DJ143" i="6"/>
  <c r="DJ144" i="6"/>
  <c r="DJ145" i="6"/>
  <c r="DJ146" i="6"/>
  <c r="DJ147" i="6"/>
  <c r="DJ148" i="6"/>
  <c r="DJ149" i="6"/>
  <c r="DJ150" i="6"/>
  <c r="DJ151" i="6"/>
  <c r="DI34" i="6"/>
  <c r="DI35" i="6"/>
  <c r="DI36" i="6"/>
  <c r="DI37" i="6"/>
  <c r="DI38" i="6"/>
  <c r="DI39" i="6"/>
  <c r="DI40" i="6"/>
  <c r="DI41" i="6"/>
  <c r="DI42" i="6"/>
  <c r="DI43" i="6"/>
  <c r="DI44" i="6"/>
  <c r="DI45" i="6"/>
  <c r="DI46" i="6"/>
  <c r="DI47" i="6"/>
  <c r="DI48" i="6"/>
  <c r="DI49" i="6"/>
  <c r="DI50" i="6"/>
  <c r="DI51" i="6"/>
  <c r="DI52" i="6"/>
  <c r="DI53" i="6"/>
  <c r="DI54" i="6"/>
  <c r="DI55" i="6"/>
  <c r="DI56" i="6"/>
  <c r="DI57" i="6"/>
  <c r="DI58" i="6"/>
  <c r="DI59" i="6"/>
  <c r="DI60" i="6"/>
  <c r="DI61" i="6"/>
  <c r="DI62" i="6"/>
  <c r="DI63" i="6"/>
  <c r="DI64" i="6"/>
  <c r="DI65" i="6"/>
  <c r="DI66" i="6"/>
  <c r="DI67" i="6"/>
  <c r="DI68" i="6"/>
  <c r="DI69" i="6"/>
  <c r="DI70" i="6"/>
  <c r="DI71" i="6"/>
  <c r="DI72" i="6"/>
  <c r="DI74" i="6"/>
  <c r="DI75" i="6"/>
  <c r="DI76" i="6"/>
  <c r="DI77" i="6"/>
  <c r="DI78" i="6"/>
  <c r="DI79" i="6"/>
  <c r="DI80" i="6"/>
  <c r="DI81" i="6"/>
  <c r="DI82" i="6"/>
  <c r="DI83" i="6"/>
  <c r="DI84" i="6"/>
  <c r="DI85" i="6"/>
  <c r="DI86" i="6"/>
  <c r="DI87" i="6"/>
  <c r="DI88" i="6"/>
  <c r="DI89" i="6"/>
  <c r="DI90" i="6"/>
  <c r="DI91" i="6"/>
  <c r="DI92" i="6"/>
  <c r="DI93" i="6"/>
  <c r="DI94" i="6"/>
  <c r="DI95" i="6"/>
  <c r="DI96" i="6"/>
  <c r="DI97" i="6"/>
  <c r="DI98" i="6"/>
  <c r="DI99" i="6"/>
  <c r="DI100" i="6"/>
  <c r="DI101" i="6"/>
  <c r="DI102" i="6"/>
  <c r="DI103" i="6"/>
  <c r="DI104" i="6"/>
  <c r="DI105" i="6"/>
  <c r="DI106" i="6"/>
  <c r="DI107" i="6"/>
  <c r="DI108" i="6"/>
  <c r="DI109" i="6"/>
  <c r="DI110" i="6"/>
  <c r="DI111" i="6"/>
  <c r="DI112" i="6"/>
  <c r="DI113" i="6"/>
  <c r="DI114" i="6"/>
  <c r="DI115" i="6"/>
  <c r="DI116" i="6"/>
  <c r="DI117" i="6"/>
  <c r="DI118" i="6"/>
  <c r="DI119" i="6"/>
  <c r="DI120" i="6"/>
  <c r="DI121" i="6"/>
  <c r="DI122" i="6"/>
  <c r="DI123" i="6"/>
  <c r="DI124" i="6"/>
  <c r="DI125" i="6"/>
  <c r="DI126" i="6"/>
  <c r="DI127" i="6"/>
  <c r="DI128" i="6"/>
  <c r="DI129" i="6"/>
  <c r="DI130" i="6"/>
  <c r="DI132" i="6"/>
  <c r="DI133" i="6"/>
  <c r="DI134" i="6"/>
  <c r="DI135" i="6"/>
  <c r="DI136" i="6"/>
  <c r="DI137" i="6"/>
  <c r="DI138" i="6"/>
  <c r="DI139" i="6"/>
  <c r="DI140" i="6"/>
  <c r="DI20" i="6"/>
  <c r="DI21" i="6"/>
  <c r="DI22" i="6"/>
  <c r="DI23" i="6"/>
  <c r="DI24" i="6"/>
  <c r="DI25" i="6"/>
  <c r="DI26" i="6"/>
  <c r="DI27" i="6"/>
  <c r="DI28" i="6"/>
  <c r="DI29" i="6"/>
  <c r="DI30" i="6"/>
  <c r="DI31" i="6"/>
  <c r="DI32" i="6"/>
  <c r="DI33" i="6"/>
  <c r="DI19" i="6"/>
  <c r="DI18" i="6"/>
  <c r="DJ18" i="6" s="1"/>
  <c r="DI17" i="6"/>
  <c r="DJ17" i="6" s="1"/>
  <c r="DI10" i="6"/>
  <c r="DJ10" i="6" s="1"/>
  <c r="DI9" i="6"/>
  <c r="DJ9" i="6" s="1"/>
  <c r="DI8" i="6"/>
  <c r="DJ8" i="6" s="1"/>
  <c r="DI7" i="6"/>
  <c r="DJ7" i="6" s="1"/>
  <c r="DI6" i="6"/>
  <c r="DI5" i="6"/>
  <c r="DJ5" i="6" s="1"/>
  <c r="DS156" i="6"/>
  <c r="DH141" i="6"/>
  <c r="CH141" i="6"/>
  <c r="DI142" i="6"/>
  <c r="DI143" i="6"/>
  <c r="DI144" i="6"/>
  <c r="DI145" i="6"/>
  <c r="DI146" i="6"/>
  <c r="DI147" i="6"/>
  <c r="DI16" i="6"/>
  <c r="DI15" i="6"/>
  <c r="DI14" i="6"/>
  <c r="DI13" i="6"/>
  <c r="DI11" i="6"/>
  <c r="DJ11" i="6" s="1"/>
  <c r="DJ6" i="6"/>
  <c r="DI4" i="6"/>
  <c r="DJ4" i="6" s="1"/>
  <c r="DI3" i="6"/>
  <c r="DJ3" i="6" s="1"/>
  <c r="DI2" i="6"/>
  <c r="DJ2" i="6" s="1"/>
  <c r="D29" i="18"/>
  <c r="DH2" i="6"/>
  <c r="CH2" i="6"/>
  <c r="C52" i="183"/>
  <c r="C50" i="183"/>
  <c r="C46" i="183"/>
  <c r="CH83" i="6"/>
  <c r="CH4" i="6"/>
  <c r="C204" i="8"/>
  <c r="CH12" i="6"/>
  <c r="CH110" i="6"/>
  <c r="CH42" i="6"/>
  <c r="CH149" i="6"/>
  <c r="CH11" i="6"/>
  <c r="C196" i="8"/>
  <c r="CH6" i="6"/>
  <c r="CH97" i="6"/>
  <c r="D150" i="111"/>
  <c r="I150" i="111"/>
  <c r="J150" i="111"/>
  <c r="D152" i="111"/>
  <c r="I152" i="111"/>
  <c r="J152" i="111"/>
  <c r="A69" i="8"/>
  <c r="B69" i="8"/>
  <c r="AD69" i="8"/>
  <c r="A137" i="8"/>
  <c r="B137" i="8"/>
  <c r="AD137" i="8"/>
  <c r="A86" i="8"/>
  <c r="B86" i="8"/>
  <c r="AD86" i="8"/>
  <c r="CM151" i="6"/>
  <c r="CN151" i="6" s="1"/>
  <c r="DE151" i="6"/>
  <c r="DU151" i="6"/>
  <c r="CH17" i="6"/>
  <c r="C305" i="8"/>
  <c r="CH82" i="6"/>
  <c r="CH47" i="6"/>
  <c r="CH41" i="6"/>
  <c r="CH3" i="6"/>
  <c r="CH25" i="6"/>
  <c r="CH120" i="6"/>
  <c r="CH127" i="6"/>
  <c r="CH144" i="6"/>
  <c r="CH51" i="6"/>
  <c r="C192" i="8"/>
  <c r="CH99" i="6"/>
  <c r="CH133" i="6"/>
  <c r="CH62" i="6"/>
  <c r="CH24" i="6"/>
  <c r="CH105" i="6"/>
  <c r="CH108" i="6"/>
  <c r="CH76" i="6"/>
  <c r="C207" i="8"/>
  <c r="C198" i="8"/>
  <c r="C201" i="8"/>
  <c r="G83" i="12"/>
  <c r="F83" i="12"/>
  <c r="K92" i="12"/>
  <c r="CH84" i="6"/>
  <c r="CH59" i="6"/>
  <c r="CH7" i="6"/>
  <c r="CH21" i="6"/>
  <c r="CH106" i="6"/>
  <c r="CH8" i="6"/>
  <c r="CH69" i="6"/>
  <c r="CH117" i="6"/>
  <c r="C193" i="8"/>
  <c r="C208" i="8"/>
  <c r="C209" i="8"/>
  <c r="L108" i="12"/>
  <c r="F93" i="12"/>
  <c r="DH153" i="6" l="1"/>
  <c r="DJ54" i="6"/>
  <c r="DJ153" i="6"/>
  <c r="DI153" i="6"/>
  <c r="K62" i="12"/>
  <c r="E161" i="12"/>
  <c r="E160" i="12"/>
  <c r="L151" i="12"/>
  <c r="C11" i="184"/>
  <c r="C12" i="184"/>
  <c r="D9" i="184"/>
  <c r="D8" i="184"/>
  <c r="C9" i="184"/>
  <c r="C6" i="184"/>
  <c r="C203" i="8"/>
  <c r="CH66" i="6"/>
  <c r="CH150" i="6"/>
  <c r="CM150" i="6" s="1"/>
  <c r="CN150" i="6" s="1"/>
  <c r="DE150" i="6"/>
  <c r="DU150" i="6"/>
  <c r="C184" i="8"/>
  <c r="CM149" i="6"/>
  <c r="CN149" i="6" s="1"/>
  <c r="DE149" i="6"/>
  <c r="DU149" i="6"/>
  <c r="C181" i="8"/>
  <c r="E162" i="12" l="1"/>
  <c r="F39" i="14"/>
  <c r="L84" i="12"/>
  <c r="L88" i="12"/>
  <c r="L90" i="12"/>
  <c r="L91" i="12"/>
  <c r="L95" i="12"/>
  <c r="L98" i="12"/>
  <c r="L99" i="12"/>
  <c r="L129" i="12"/>
  <c r="L131" i="12"/>
  <c r="F132" i="12"/>
  <c r="G132" i="12" s="1"/>
  <c r="L132" i="12" s="1"/>
  <c r="CH147" i="6"/>
  <c r="D12" i="55"/>
  <c r="CH48" i="6" l="1"/>
  <c r="F130" i="12"/>
  <c r="G130" i="12" s="1"/>
  <c r="L130" i="12" s="1"/>
  <c r="D8" i="74"/>
  <c r="D7" i="74"/>
  <c r="CH57" i="6"/>
  <c r="G137" i="181"/>
  <c r="C31" i="183" l="1"/>
  <c r="C33" i="183" s="1"/>
  <c r="D8" i="136"/>
  <c r="D16" i="30"/>
  <c r="D17" i="30" s="1"/>
  <c r="F10" i="12"/>
  <c r="F9" i="12"/>
  <c r="G9" i="12" s="1"/>
  <c r="D37" i="38"/>
  <c r="C11" i="183"/>
  <c r="C13" i="183" s="1"/>
  <c r="J12" i="162"/>
  <c r="J11" i="162"/>
  <c r="J10" i="162"/>
  <c r="J9" i="162"/>
  <c r="J8" i="162"/>
  <c r="J19" i="52"/>
  <c r="AD247" i="8"/>
  <c r="A3" i="182"/>
  <c r="B3" i="182"/>
  <c r="N3" i="182"/>
  <c r="A4" i="182"/>
  <c r="B4" i="182"/>
  <c r="N4" i="182"/>
  <c r="A5" i="182"/>
  <c r="B5" i="182"/>
  <c r="N5" i="182"/>
  <c r="A6" i="182"/>
  <c r="B6" i="182"/>
  <c r="N6" i="182"/>
  <c r="A7" i="182"/>
  <c r="B7" i="182"/>
  <c r="N7" i="182"/>
  <c r="A8" i="182"/>
  <c r="B8" i="182"/>
  <c r="N8" i="182"/>
  <c r="A9" i="182"/>
  <c r="B9" i="182"/>
  <c r="N9" i="182"/>
  <c r="A10" i="182"/>
  <c r="B10" i="182"/>
  <c r="N10" i="182"/>
  <c r="A11" i="182"/>
  <c r="B11" i="182"/>
  <c r="N11" i="182"/>
  <c r="A12" i="182"/>
  <c r="B12" i="182"/>
  <c r="N12" i="182"/>
  <c r="A13" i="182"/>
  <c r="B13" i="182"/>
  <c r="N13" i="182"/>
  <c r="A14" i="182"/>
  <c r="B14" i="182"/>
  <c r="N14" i="182"/>
  <c r="A15" i="182"/>
  <c r="B15" i="182"/>
  <c r="N15" i="182"/>
  <c r="A16" i="182"/>
  <c r="B16" i="182"/>
  <c r="N16" i="182"/>
  <c r="A17" i="182"/>
  <c r="B17" i="182"/>
  <c r="N17" i="182"/>
  <c r="A18" i="182"/>
  <c r="B18" i="182"/>
  <c r="N18" i="182"/>
  <c r="A19" i="182"/>
  <c r="B19" i="182"/>
  <c r="N19" i="182"/>
  <c r="A20" i="182"/>
  <c r="B20" i="182"/>
  <c r="N20" i="182"/>
  <c r="A21" i="182"/>
  <c r="B21" i="182"/>
  <c r="N21" i="182"/>
  <c r="A22" i="182"/>
  <c r="B22" i="182"/>
  <c r="N22" i="182"/>
  <c r="A23" i="182"/>
  <c r="B23" i="182"/>
  <c r="N23" i="182"/>
  <c r="A24" i="182"/>
  <c r="B24" i="182"/>
  <c r="N24" i="182"/>
  <c r="A25" i="182"/>
  <c r="B25" i="182"/>
  <c r="N25" i="182"/>
  <c r="A26" i="182"/>
  <c r="B26" i="182"/>
  <c r="N26" i="182"/>
  <c r="A27" i="182"/>
  <c r="B27" i="182"/>
  <c r="N27" i="182"/>
  <c r="A28" i="182"/>
  <c r="B28" i="182"/>
  <c r="N28" i="182"/>
  <c r="A29" i="182"/>
  <c r="B29" i="182"/>
  <c r="N29" i="182"/>
  <c r="A30" i="182"/>
  <c r="B30" i="182"/>
  <c r="N30" i="182"/>
  <c r="A31" i="182"/>
  <c r="B31" i="182"/>
  <c r="N31" i="182"/>
  <c r="A32" i="182"/>
  <c r="B32" i="182"/>
  <c r="N32" i="182"/>
  <c r="A33" i="182"/>
  <c r="B33" i="182"/>
  <c r="N33" i="182"/>
  <c r="A34" i="182"/>
  <c r="B34" i="182"/>
  <c r="N34" i="182"/>
  <c r="A35" i="182"/>
  <c r="B35" i="182"/>
  <c r="N35" i="182"/>
  <c r="A36" i="182"/>
  <c r="B36" i="182"/>
  <c r="N36" i="182"/>
  <c r="A37" i="182"/>
  <c r="B37" i="182"/>
  <c r="N37" i="182"/>
  <c r="A38" i="182"/>
  <c r="B38" i="182"/>
  <c r="N38" i="182"/>
  <c r="A39" i="182"/>
  <c r="B39" i="182"/>
  <c r="N39" i="182"/>
  <c r="A40" i="182"/>
  <c r="B40" i="182"/>
  <c r="N40" i="182"/>
  <c r="A41" i="182"/>
  <c r="B41" i="182"/>
  <c r="N41" i="182"/>
  <c r="A42" i="182"/>
  <c r="B42" i="182"/>
  <c r="N42" i="182"/>
  <c r="A43" i="182"/>
  <c r="B43" i="182"/>
  <c r="N43" i="182"/>
  <c r="A44" i="182"/>
  <c r="B44" i="182"/>
  <c r="N44" i="182"/>
  <c r="A45" i="182"/>
  <c r="B45" i="182"/>
  <c r="N45" i="182"/>
  <c r="A46" i="182"/>
  <c r="B46" i="182"/>
  <c r="N46" i="182"/>
  <c r="A47" i="182"/>
  <c r="B47" i="182"/>
  <c r="N47" i="182"/>
  <c r="A48" i="182"/>
  <c r="B48" i="182"/>
  <c r="N48" i="182"/>
  <c r="A49" i="182"/>
  <c r="B49" i="182"/>
  <c r="N49" i="182"/>
  <c r="A50" i="182"/>
  <c r="B50" i="182"/>
  <c r="N50" i="182"/>
  <c r="A51" i="182"/>
  <c r="B51" i="182"/>
  <c r="N51" i="182"/>
  <c r="A52" i="182"/>
  <c r="B52" i="182"/>
  <c r="N52" i="182"/>
  <c r="A53" i="182"/>
  <c r="B53" i="182"/>
  <c r="N53" i="182"/>
  <c r="A54" i="182"/>
  <c r="B54" i="182"/>
  <c r="N54" i="182"/>
  <c r="A55" i="182"/>
  <c r="B55" i="182"/>
  <c r="N55" i="182"/>
  <c r="A56" i="182"/>
  <c r="B56" i="182"/>
  <c r="N56" i="182"/>
  <c r="A57" i="182"/>
  <c r="B57" i="182"/>
  <c r="N57" i="182"/>
  <c r="A58" i="182"/>
  <c r="B58" i="182"/>
  <c r="N58" i="182"/>
  <c r="A59" i="182"/>
  <c r="B59" i="182"/>
  <c r="N59" i="182"/>
  <c r="A60" i="182"/>
  <c r="B60" i="182"/>
  <c r="N60" i="182"/>
  <c r="A61" i="182"/>
  <c r="B61" i="182"/>
  <c r="N61" i="182"/>
  <c r="A62" i="182"/>
  <c r="B62" i="182"/>
  <c r="N62" i="182"/>
  <c r="A63" i="182"/>
  <c r="B63" i="182"/>
  <c r="N63" i="182"/>
  <c r="A64" i="182"/>
  <c r="B64" i="182"/>
  <c r="N64" i="182"/>
  <c r="A65" i="182"/>
  <c r="B65" i="182"/>
  <c r="N65" i="182"/>
  <c r="A66" i="182"/>
  <c r="B66" i="182"/>
  <c r="N66" i="182"/>
  <c r="A67" i="182"/>
  <c r="B67" i="182"/>
  <c r="N67" i="182"/>
  <c r="A68" i="182"/>
  <c r="B68" i="182"/>
  <c r="N68" i="182"/>
  <c r="A69" i="182"/>
  <c r="B69" i="182"/>
  <c r="N69" i="182"/>
  <c r="A70" i="182"/>
  <c r="B70" i="182"/>
  <c r="N70" i="182"/>
  <c r="A71" i="182"/>
  <c r="B71" i="182"/>
  <c r="N71" i="182"/>
  <c r="A72" i="182"/>
  <c r="B72" i="182"/>
  <c r="N72" i="182"/>
  <c r="A73" i="182"/>
  <c r="B73" i="182"/>
  <c r="N73" i="182"/>
  <c r="A74" i="182"/>
  <c r="B74" i="182"/>
  <c r="N74" i="182"/>
  <c r="A75" i="182"/>
  <c r="B75" i="182"/>
  <c r="N75" i="182"/>
  <c r="A76" i="182"/>
  <c r="B76" i="182"/>
  <c r="N76" i="182"/>
  <c r="A77" i="182"/>
  <c r="B77" i="182"/>
  <c r="N77" i="182"/>
  <c r="A78" i="182"/>
  <c r="B78" i="182"/>
  <c r="N78" i="182"/>
  <c r="A79" i="182"/>
  <c r="B79" i="182"/>
  <c r="N79" i="182"/>
  <c r="A80" i="182"/>
  <c r="B80" i="182"/>
  <c r="N80" i="182"/>
  <c r="A81" i="182"/>
  <c r="B81" i="182"/>
  <c r="N81" i="182"/>
  <c r="A82" i="182"/>
  <c r="B82" i="182"/>
  <c r="N82" i="182"/>
  <c r="A83" i="182"/>
  <c r="B83" i="182"/>
  <c r="N83" i="182"/>
  <c r="A84" i="182"/>
  <c r="B84" i="182"/>
  <c r="N84" i="182"/>
  <c r="A85" i="182"/>
  <c r="B85" i="182"/>
  <c r="N85" i="182"/>
  <c r="A86" i="182"/>
  <c r="B86" i="182"/>
  <c r="N86" i="182"/>
  <c r="A87" i="182"/>
  <c r="B87" i="182"/>
  <c r="N87" i="182"/>
  <c r="A88" i="182"/>
  <c r="B88" i="182"/>
  <c r="N88" i="182"/>
  <c r="A89" i="182"/>
  <c r="B89" i="182"/>
  <c r="N89" i="182"/>
  <c r="A90" i="182"/>
  <c r="B90" i="182"/>
  <c r="N90" i="182"/>
  <c r="A91" i="182"/>
  <c r="B91" i="182"/>
  <c r="N91" i="182"/>
  <c r="A92" i="182"/>
  <c r="B92" i="182"/>
  <c r="N92" i="182"/>
  <c r="A93" i="182"/>
  <c r="B93" i="182"/>
  <c r="N93" i="182"/>
  <c r="A94" i="182"/>
  <c r="B94" i="182"/>
  <c r="N94" i="182"/>
  <c r="A95" i="182"/>
  <c r="B95" i="182"/>
  <c r="N95" i="182"/>
  <c r="A96" i="182"/>
  <c r="B96" i="182"/>
  <c r="N96" i="182"/>
  <c r="A97" i="182"/>
  <c r="B97" i="182"/>
  <c r="N97" i="182"/>
  <c r="A98" i="182"/>
  <c r="B98" i="182"/>
  <c r="N98" i="182"/>
  <c r="A99" i="182"/>
  <c r="B99" i="182"/>
  <c r="N99" i="182"/>
  <c r="A100" i="182"/>
  <c r="B100" i="182"/>
  <c r="N100" i="182"/>
  <c r="A101" i="182"/>
  <c r="B101" i="182"/>
  <c r="N101" i="182"/>
  <c r="A102" i="182"/>
  <c r="B102" i="182"/>
  <c r="N102" i="182"/>
  <c r="A103" i="182"/>
  <c r="B103" i="182"/>
  <c r="N103" i="182"/>
  <c r="A104" i="182"/>
  <c r="B104" i="182"/>
  <c r="N104" i="182"/>
  <c r="A105" i="182"/>
  <c r="B105" i="182"/>
  <c r="N105" i="182"/>
  <c r="A106" i="182"/>
  <c r="B106" i="182"/>
  <c r="N106" i="182"/>
  <c r="A107" i="182"/>
  <c r="B107" i="182"/>
  <c r="N107" i="182"/>
  <c r="A108" i="182"/>
  <c r="B108" i="182"/>
  <c r="N108" i="182"/>
  <c r="A109" i="182"/>
  <c r="B109" i="182"/>
  <c r="N109" i="182"/>
  <c r="A110" i="182"/>
  <c r="B110" i="182"/>
  <c r="N110" i="182"/>
  <c r="A111" i="182"/>
  <c r="B111" i="182"/>
  <c r="N111" i="182"/>
  <c r="A112" i="182"/>
  <c r="B112" i="182"/>
  <c r="N112" i="182"/>
  <c r="A113" i="182"/>
  <c r="B113" i="182"/>
  <c r="N113" i="182"/>
  <c r="A114" i="182"/>
  <c r="B114" i="182"/>
  <c r="N114" i="182"/>
  <c r="A115" i="182"/>
  <c r="B115" i="182"/>
  <c r="N115" i="182"/>
  <c r="A116" i="182"/>
  <c r="B116" i="182"/>
  <c r="N116" i="182"/>
  <c r="A117" i="182"/>
  <c r="B117" i="182"/>
  <c r="N117" i="182"/>
  <c r="A118" i="182"/>
  <c r="B118" i="182"/>
  <c r="N118" i="182"/>
  <c r="A119" i="182"/>
  <c r="B119" i="182"/>
  <c r="N119" i="182"/>
  <c r="A120" i="182"/>
  <c r="B120" i="182"/>
  <c r="N120" i="182"/>
  <c r="A121" i="182"/>
  <c r="B121" i="182"/>
  <c r="N121" i="182"/>
  <c r="A122" i="182"/>
  <c r="B122" i="182"/>
  <c r="N122" i="182"/>
  <c r="A123" i="182"/>
  <c r="B123" i="182"/>
  <c r="N123" i="182"/>
  <c r="A124" i="182"/>
  <c r="B124" i="182"/>
  <c r="N124" i="182"/>
  <c r="A125" i="182"/>
  <c r="B125" i="182"/>
  <c r="N125" i="182"/>
  <c r="A126" i="182"/>
  <c r="B126" i="182"/>
  <c r="N126" i="182"/>
  <c r="A127" i="182"/>
  <c r="B127" i="182"/>
  <c r="N127" i="182"/>
  <c r="A128" i="182"/>
  <c r="B128" i="182"/>
  <c r="N128" i="182"/>
  <c r="A129" i="182"/>
  <c r="B129" i="182"/>
  <c r="N129" i="182"/>
  <c r="A130" i="182"/>
  <c r="B130" i="182"/>
  <c r="N130" i="182"/>
  <c r="A131" i="182"/>
  <c r="B131" i="182"/>
  <c r="N131" i="182"/>
  <c r="A132" i="182"/>
  <c r="B132" i="182"/>
  <c r="N132" i="182"/>
  <c r="A133" i="182"/>
  <c r="B133" i="182"/>
  <c r="N133" i="182"/>
  <c r="A134" i="182"/>
  <c r="B134" i="182"/>
  <c r="N134" i="182"/>
  <c r="A135" i="182"/>
  <c r="B135" i="182"/>
  <c r="N135" i="182"/>
  <c r="A136" i="182"/>
  <c r="B136" i="182"/>
  <c r="N136" i="182"/>
  <c r="A137" i="182"/>
  <c r="B137" i="182"/>
  <c r="E137" i="182"/>
  <c r="N137" i="182"/>
  <c r="A138" i="182"/>
  <c r="B138" i="182"/>
  <c r="N138" i="182"/>
  <c r="A139" i="182"/>
  <c r="B139" i="182"/>
  <c r="N139" i="182"/>
  <c r="A140" i="182"/>
  <c r="B140" i="182"/>
  <c r="N140" i="182"/>
  <c r="A141" i="182"/>
  <c r="B141" i="182"/>
  <c r="N141" i="182"/>
  <c r="A142" i="182"/>
  <c r="B142" i="182"/>
  <c r="N142" i="182"/>
  <c r="A143" i="182"/>
  <c r="B143" i="182"/>
  <c r="N143" i="182"/>
  <c r="A144" i="182"/>
  <c r="B144" i="182"/>
  <c r="N144" i="182"/>
  <c r="A145" i="182"/>
  <c r="B145" i="182"/>
  <c r="N145" i="182"/>
  <c r="A146" i="182"/>
  <c r="B146" i="182"/>
  <c r="N146" i="182"/>
  <c r="A147" i="182"/>
  <c r="B147" i="182"/>
  <c r="N147" i="182"/>
  <c r="A148" i="182"/>
  <c r="B148" i="182"/>
  <c r="N148" i="182"/>
  <c r="A149" i="182"/>
  <c r="B149" i="182"/>
  <c r="N149" i="182"/>
  <c r="C40" i="21"/>
  <c r="D8" i="124"/>
  <c r="D22" i="14"/>
  <c r="G154" i="111"/>
  <c r="E134" i="12"/>
  <c r="F128" i="12"/>
  <c r="G128" i="12" s="1"/>
  <c r="L128" i="12" s="1"/>
  <c r="F126" i="12"/>
  <c r="G126" i="12" s="1"/>
  <c r="L126" i="12" s="1"/>
  <c r="B122" i="8"/>
  <c r="C162" i="182"/>
  <c r="C161" i="182"/>
  <c r="C160" i="182"/>
  <c r="M158" i="182"/>
  <c r="L158" i="182"/>
  <c r="K158" i="182"/>
  <c r="J158" i="182"/>
  <c r="I158" i="182"/>
  <c r="H158" i="182"/>
  <c r="G158" i="182"/>
  <c r="F158" i="182"/>
  <c r="D158" i="182"/>
  <c r="N157" i="182"/>
  <c r="N156" i="182"/>
  <c r="N155" i="182"/>
  <c r="N154" i="182"/>
  <c r="N153" i="182"/>
  <c r="N152" i="182"/>
  <c r="N151" i="182"/>
  <c r="N150" i="182"/>
  <c r="AM46" i="182"/>
  <c r="AK46" i="182"/>
  <c r="AJ33" i="182"/>
  <c r="AJ15" i="182"/>
  <c r="D45" i="110"/>
  <c r="D8" i="40"/>
  <c r="G10" i="12" l="1"/>
  <c r="L10" i="12" s="1"/>
  <c r="O158" i="182"/>
  <c r="E158" i="182"/>
  <c r="N158" i="182" s="1"/>
  <c r="P158" i="182" l="1"/>
  <c r="D15" i="102"/>
  <c r="D69" i="15"/>
  <c r="L105" i="12"/>
  <c r="L118" i="12"/>
  <c r="L121" i="12"/>
  <c r="L123" i="12"/>
  <c r="D15" i="35"/>
  <c r="I29" i="117"/>
  <c r="D12" i="67"/>
  <c r="D7" i="142"/>
  <c r="D7" i="174"/>
  <c r="CH145" i="6"/>
  <c r="B41" i="8"/>
  <c r="C206" i="8"/>
  <c r="DS157" i="6"/>
  <c r="F124" i="12"/>
  <c r="G124" i="12" s="1"/>
  <c r="L124" i="12" s="1"/>
  <c r="N103" i="12"/>
  <c r="D137" i="181"/>
  <c r="E137" i="181"/>
  <c r="F137" i="181"/>
  <c r="H137" i="181"/>
  <c r="C137" i="181"/>
  <c r="G118" i="181"/>
  <c r="G136" i="181"/>
  <c r="G135" i="181"/>
  <c r="G134" i="181"/>
  <c r="G133" i="181"/>
  <c r="G132" i="181"/>
  <c r="G130" i="181"/>
  <c r="G129" i="181"/>
  <c r="G128" i="181"/>
  <c r="G125" i="181"/>
  <c r="G124" i="181"/>
  <c r="G123" i="181"/>
  <c r="G116" i="181"/>
  <c r="G109" i="181"/>
  <c r="G108" i="181"/>
  <c r="G107" i="181"/>
  <c r="G106" i="181"/>
  <c r="G105" i="181"/>
  <c r="G101" i="181"/>
  <c r="G98" i="181"/>
  <c r="G97" i="181"/>
  <c r="G96" i="181"/>
  <c r="G90" i="181"/>
  <c r="G89" i="181"/>
  <c r="G11" i="181"/>
  <c r="G46" i="181"/>
  <c r="G78" i="181"/>
  <c r="G83" i="181"/>
  <c r="G48" i="181"/>
  <c r="G35" i="181"/>
  <c r="G66" i="181"/>
  <c r="G28" i="181"/>
  <c r="G121" i="181"/>
  <c r="G117" i="181"/>
  <c r="G115" i="181"/>
  <c r="G88" i="181"/>
  <c r="G86" i="181"/>
  <c r="G51" i="181"/>
  <c r="G77" i="181"/>
  <c r="G44" i="181"/>
  <c r="G33" i="181"/>
  <c r="G36" i="181"/>
  <c r="G52" i="181"/>
  <c r="G131" i="181"/>
  <c r="G126" i="181"/>
  <c r="G122" i="181"/>
  <c r="G100" i="181"/>
  <c r="G92" i="181"/>
  <c r="G120" i="181"/>
  <c r="G12" i="181"/>
  <c r="G79" i="181"/>
  <c r="G91" i="181"/>
  <c r="G60" i="181"/>
  <c r="G50" i="181"/>
  <c r="G127" i="181"/>
  <c r="G113" i="181"/>
  <c r="G104" i="181"/>
  <c r="G20" i="181"/>
  <c r="G37" i="181"/>
  <c r="G42" i="181"/>
  <c r="G34" i="181"/>
  <c r="G62" i="181"/>
  <c r="G65" i="181"/>
  <c r="G95" i="181"/>
  <c r="G17" i="181"/>
  <c r="G53" i="181"/>
  <c r="G84" i="181"/>
  <c r="G67" i="181"/>
  <c r="G80" i="181"/>
  <c r="G69" i="181"/>
  <c r="G32" i="181"/>
  <c r="G103" i="181"/>
  <c r="G102" i="181"/>
  <c r="G99" i="181"/>
  <c r="G49" i="181"/>
  <c r="G87" i="181"/>
  <c r="G119" i="181"/>
  <c r="G111" i="181"/>
  <c r="G110" i="181"/>
  <c r="G94" i="181"/>
  <c r="G82" i="181"/>
  <c r="G55" i="181"/>
  <c r="G18" i="181"/>
  <c r="G73" i="181"/>
  <c r="G57" i="181"/>
  <c r="G25" i="181"/>
  <c r="G40" i="181"/>
  <c r="G7" i="181"/>
  <c r="G71" i="181"/>
  <c r="G75" i="181"/>
  <c r="G47" i="181"/>
  <c r="G64" i="181"/>
  <c r="G39" i="181"/>
  <c r="G114" i="181"/>
  <c r="G56" i="181"/>
  <c r="G74" i="181"/>
  <c r="G85" i="181"/>
  <c r="G45" i="181"/>
  <c r="G27" i="181"/>
  <c r="G112" i="181"/>
  <c r="G24" i="181"/>
  <c r="G59" i="181"/>
  <c r="G22" i="181"/>
  <c r="G70" i="181"/>
  <c r="G8" i="181"/>
  <c r="G30" i="181"/>
  <c r="G68" i="181"/>
  <c r="G72" i="181"/>
  <c r="G29" i="181"/>
  <c r="G16" i="181"/>
  <c r="G63" i="181"/>
  <c r="G93" i="181"/>
  <c r="G31" i="181"/>
  <c r="G41" i="181"/>
  <c r="G58" i="181"/>
  <c r="G61" i="181"/>
  <c r="G23" i="181"/>
  <c r="G26" i="181"/>
  <c r="G14" i="181"/>
  <c r="G38" i="181"/>
  <c r="G81" i="181"/>
  <c r="G9" i="181"/>
  <c r="G5" i="181"/>
  <c r="G15" i="181"/>
  <c r="G13" i="181"/>
  <c r="G43" i="181"/>
  <c r="G76" i="181"/>
  <c r="G19" i="181"/>
  <c r="G10" i="181"/>
  <c r="G21" i="181"/>
  <c r="G4" i="181"/>
  <c r="G54" i="181"/>
  <c r="G6" i="181"/>
  <c r="CH40" i="6"/>
  <c r="CH146" i="6"/>
  <c r="CH148" i="6"/>
  <c r="D7" i="136"/>
  <c r="D12" i="97"/>
  <c r="D8" i="63"/>
  <c r="CF115" i="6"/>
  <c r="J23" i="31"/>
  <c r="J22" i="31"/>
  <c r="J21" i="31"/>
  <c r="J20" i="31"/>
  <c r="J19" i="31"/>
  <c r="J23" i="30"/>
  <c r="J22" i="30"/>
  <c r="J21" i="30"/>
  <c r="J20" i="30"/>
  <c r="J19" i="30"/>
  <c r="J23" i="29"/>
  <c r="J22" i="29"/>
  <c r="J21" i="29"/>
  <c r="J20" i="29"/>
  <c r="J19" i="29"/>
  <c r="J23" i="28"/>
  <c r="J22" i="28"/>
  <c r="J21" i="28"/>
  <c r="J20" i="28"/>
  <c r="J19" i="28"/>
  <c r="J23" i="27"/>
  <c r="J22" i="27"/>
  <c r="J21" i="27"/>
  <c r="J20" i="27"/>
  <c r="J19" i="27"/>
  <c r="J23" i="26"/>
  <c r="J22" i="26"/>
  <c r="J21" i="26"/>
  <c r="J20" i="26"/>
  <c r="J19" i="26"/>
  <c r="J22" i="25"/>
  <c r="J21" i="25"/>
  <c r="J20" i="25"/>
  <c r="J19" i="25"/>
  <c r="J18" i="25"/>
  <c r="J23" i="23"/>
  <c r="J22" i="23"/>
  <c r="J21" i="23"/>
  <c r="J20" i="23"/>
  <c r="J19" i="23"/>
  <c r="J23" i="20"/>
  <c r="J22" i="20"/>
  <c r="J21" i="20"/>
  <c r="J20" i="20"/>
  <c r="J19" i="20"/>
  <c r="J23" i="21"/>
  <c r="J22" i="21"/>
  <c r="J21" i="21"/>
  <c r="J20" i="21"/>
  <c r="J19" i="21"/>
  <c r="J23" i="24"/>
  <c r="J22" i="24"/>
  <c r="J21" i="24"/>
  <c r="J20" i="24"/>
  <c r="J19" i="24"/>
  <c r="J23" i="22"/>
  <c r="J22" i="22"/>
  <c r="J21" i="22"/>
  <c r="J20" i="22"/>
  <c r="J19" i="22"/>
  <c r="J23" i="32"/>
  <c r="J22" i="32"/>
  <c r="J21" i="32"/>
  <c r="J20" i="32"/>
  <c r="J19" i="32"/>
  <c r="J23" i="33"/>
  <c r="J22" i="33"/>
  <c r="J21" i="33"/>
  <c r="J20" i="33"/>
  <c r="J19" i="33"/>
  <c r="J23" i="34"/>
  <c r="J22" i="34"/>
  <c r="J21" i="34"/>
  <c r="J20" i="34"/>
  <c r="J19" i="34"/>
  <c r="J23" i="35"/>
  <c r="J22" i="35"/>
  <c r="J21" i="35"/>
  <c r="J20" i="35"/>
  <c r="J19" i="35"/>
  <c r="J23" i="36"/>
  <c r="J22" i="36"/>
  <c r="J21" i="36"/>
  <c r="J20" i="36"/>
  <c r="J19" i="36"/>
  <c r="J23" i="37"/>
  <c r="J22" i="37"/>
  <c r="J21" i="37"/>
  <c r="J20" i="37"/>
  <c r="J19" i="37"/>
  <c r="J23" i="38"/>
  <c r="J22" i="38"/>
  <c r="J21" i="38"/>
  <c r="J20" i="38"/>
  <c r="J19" i="38"/>
  <c r="J23" i="39"/>
  <c r="J22" i="39"/>
  <c r="J21" i="39"/>
  <c r="J20" i="39"/>
  <c r="J19" i="39"/>
  <c r="J23" i="40"/>
  <c r="J22" i="40"/>
  <c r="J21" i="40"/>
  <c r="J20" i="40"/>
  <c r="J19" i="40"/>
  <c r="J23" i="42"/>
  <c r="J22" i="42"/>
  <c r="J21" i="42"/>
  <c r="J20" i="42"/>
  <c r="J19" i="42"/>
  <c r="J23" i="41"/>
  <c r="J22" i="41"/>
  <c r="J21" i="41"/>
  <c r="J20" i="41"/>
  <c r="J19" i="41"/>
  <c r="J23" i="43"/>
  <c r="J22" i="43"/>
  <c r="J21" i="43"/>
  <c r="J20" i="43"/>
  <c r="J19" i="43"/>
  <c r="J23" i="44"/>
  <c r="J22" i="44"/>
  <c r="J21" i="44"/>
  <c r="J20" i="44"/>
  <c r="J19" i="44"/>
  <c r="J23" i="45"/>
  <c r="J22" i="45"/>
  <c r="J21" i="45"/>
  <c r="J20" i="45"/>
  <c r="J19" i="45"/>
  <c r="J23" i="46"/>
  <c r="J22" i="46"/>
  <c r="J21" i="46"/>
  <c r="J20" i="46"/>
  <c r="J19" i="46"/>
  <c r="J23" i="48"/>
  <c r="J22" i="48"/>
  <c r="J21" i="48"/>
  <c r="J20" i="48"/>
  <c r="J19" i="48"/>
  <c r="J23" i="49"/>
  <c r="J22" i="49"/>
  <c r="J21" i="49"/>
  <c r="J20" i="49"/>
  <c r="J19" i="49"/>
  <c r="J23" i="50"/>
  <c r="J22" i="50"/>
  <c r="J21" i="50"/>
  <c r="J20" i="50"/>
  <c r="J19" i="50"/>
  <c r="J23" i="11"/>
  <c r="J22" i="11"/>
  <c r="J21" i="11"/>
  <c r="J20" i="11"/>
  <c r="J19" i="11"/>
  <c r="J23" i="52"/>
  <c r="J22" i="52"/>
  <c r="J21" i="52"/>
  <c r="J20" i="52"/>
  <c r="J23" i="72"/>
  <c r="J22" i="72"/>
  <c r="J21" i="72"/>
  <c r="J20" i="72"/>
  <c r="J19" i="72"/>
  <c r="J23" i="68"/>
  <c r="J22" i="68"/>
  <c r="J21" i="68"/>
  <c r="J20" i="68"/>
  <c r="J19" i="68"/>
  <c r="J23" i="67"/>
  <c r="J22" i="67"/>
  <c r="J21" i="67"/>
  <c r="J20" i="67"/>
  <c r="J19" i="67"/>
  <c r="J23" i="59"/>
  <c r="J22" i="59"/>
  <c r="J21" i="59"/>
  <c r="J20" i="59"/>
  <c r="J19" i="59"/>
  <c r="J23" i="58"/>
  <c r="J22" i="58"/>
  <c r="J21" i="58"/>
  <c r="J20" i="58"/>
  <c r="J19" i="58"/>
  <c r="J23" i="57"/>
  <c r="J22" i="57"/>
  <c r="J21" i="57"/>
  <c r="J20" i="57"/>
  <c r="J19" i="57"/>
  <c r="J23" i="56"/>
  <c r="J22" i="56"/>
  <c r="J21" i="56"/>
  <c r="J20" i="56"/>
  <c r="J19" i="56"/>
  <c r="J23" i="53"/>
  <c r="J22" i="53"/>
  <c r="J21" i="53"/>
  <c r="J20" i="53"/>
  <c r="J19" i="53"/>
  <c r="J23" i="55"/>
  <c r="J22" i="55"/>
  <c r="J21" i="55"/>
  <c r="J20" i="55"/>
  <c r="J19" i="55"/>
  <c r="J23" i="69"/>
  <c r="J22" i="69"/>
  <c r="J21" i="69"/>
  <c r="J20" i="69"/>
  <c r="J19" i="69"/>
  <c r="J23" i="60"/>
  <c r="J22" i="60"/>
  <c r="J21" i="60"/>
  <c r="J20" i="60"/>
  <c r="J19" i="60"/>
  <c r="J23" i="61"/>
  <c r="J22" i="61"/>
  <c r="J21" i="61"/>
  <c r="J20" i="61"/>
  <c r="J19" i="61"/>
  <c r="J23" i="71"/>
  <c r="J22" i="71"/>
  <c r="J21" i="71"/>
  <c r="J20" i="71"/>
  <c r="J19" i="71"/>
  <c r="J23" i="62"/>
  <c r="J22" i="62"/>
  <c r="J21" i="62"/>
  <c r="J20" i="62"/>
  <c r="J19" i="62"/>
  <c r="J23" i="74"/>
  <c r="J22" i="74"/>
  <c r="J21" i="74"/>
  <c r="J20" i="74"/>
  <c r="J19" i="74"/>
  <c r="J23" i="73"/>
  <c r="J22" i="73"/>
  <c r="J21" i="73"/>
  <c r="J20" i="73"/>
  <c r="J19" i="73"/>
  <c r="J23" i="75"/>
  <c r="J22" i="75"/>
  <c r="J21" i="75"/>
  <c r="J20" i="75"/>
  <c r="J19" i="75"/>
  <c r="J23" i="76"/>
  <c r="J22" i="76"/>
  <c r="J21" i="76"/>
  <c r="J20" i="76"/>
  <c r="J19" i="76"/>
  <c r="J23" i="77"/>
  <c r="J22" i="77"/>
  <c r="J21" i="77"/>
  <c r="J20" i="77"/>
  <c r="J19" i="77"/>
  <c r="J18" i="78"/>
  <c r="J17" i="78"/>
  <c r="J16" i="78"/>
  <c r="J15" i="78"/>
  <c r="J14" i="78"/>
  <c r="J18" i="82"/>
  <c r="J17" i="82"/>
  <c r="J16" i="82"/>
  <c r="J15" i="82"/>
  <c r="J14" i="82"/>
  <c r="J18" i="83"/>
  <c r="J17" i="83"/>
  <c r="J16" i="83"/>
  <c r="J15" i="83"/>
  <c r="J14" i="83"/>
  <c r="J18" i="88"/>
  <c r="J17" i="88"/>
  <c r="J16" i="88"/>
  <c r="J15" i="88"/>
  <c r="J14" i="88"/>
  <c r="J18" i="89"/>
  <c r="J17" i="89"/>
  <c r="J16" i="89"/>
  <c r="J15" i="89"/>
  <c r="J14" i="89"/>
  <c r="J18" i="84"/>
  <c r="J17" i="84"/>
  <c r="J16" i="84"/>
  <c r="J15" i="84"/>
  <c r="J14" i="84"/>
  <c r="J18" i="85"/>
  <c r="J17" i="85"/>
  <c r="J16" i="85"/>
  <c r="J15" i="85"/>
  <c r="J14" i="85"/>
  <c r="J18" i="86"/>
  <c r="J17" i="86"/>
  <c r="J16" i="86"/>
  <c r="J15" i="86"/>
  <c r="J14" i="86"/>
  <c r="J18" i="80"/>
  <c r="J17" i="80"/>
  <c r="J16" i="80"/>
  <c r="J15" i="80"/>
  <c r="J14" i="80"/>
  <c r="J18" i="90"/>
  <c r="J17" i="90"/>
  <c r="J16" i="90"/>
  <c r="J15" i="90"/>
  <c r="J14" i="90"/>
  <c r="J17" i="91"/>
  <c r="J16" i="91"/>
  <c r="J15" i="91"/>
  <c r="J14" i="91"/>
  <c r="J13" i="91"/>
  <c r="J17" i="92"/>
  <c r="J16" i="92"/>
  <c r="J15" i="92"/>
  <c r="J14" i="92"/>
  <c r="J13" i="92"/>
  <c r="J17" i="93"/>
  <c r="J16" i="93"/>
  <c r="J15" i="93"/>
  <c r="J14" i="93"/>
  <c r="J13" i="93"/>
  <c r="J17" i="94"/>
  <c r="J16" i="94"/>
  <c r="J15" i="94"/>
  <c r="J14" i="94"/>
  <c r="J13" i="94"/>
  <c r="J17" i="95"/>
  <c r="J16" i="95"/>
  <c r="J15" i="95"/>
  <c r="J14" i="95"/>
  <c r="J13" i="95"/>
  <c r="J17" i="96"/>
  <c r="J16" i="96"/>
  <c r="J15" i="96"/>
  <c r="J14" i="96"/>
  <c r="J13" i="96"/>
  <c r="J17" i="97"/>
  <c r="J16" i="97"/>
  <c r="J15" i="97"/>
  <c r="J14" i="97"/>
  <c r="J13" i="97"/>
  <c r="J18" i="79"/>
  <c r="J17" i="79"/>
  <c r="J16" i="79"/>
  <c r="J15" i="79"/>
  <c r="J14" i="79"/>
  <c r="J16" i="98"/>
  <c r="J15" i="98"/>
  <c r="J14" i="98"/>
  <c r="J13" i="98"/>
  <c r="J16" i="99"/>
  <c r="J15" i="99"/>
  <c r="J14" i="99"/>
  <c r="J13" i="99"/>
  <c r="J12" i="99"/>
  <c r="J17" i="100"/>
  <c r="J16" i="100"/>
  <c r="J15" i="100"/>
  <c r="J14" i="100"/>
  <c r="J13" i="100"/>
  <c r="J17" i="103"/>
  <c r="J16" i="103"/>
  <c r="J15" i="103"/>
  <c r="J14" i="103"/>
  <c r="J13" i="103"/>
  <c r="J17" i="104"/>
  <c r="J16" i="104"/>
  <c r="J15" i="104"/>
  <c r="J14" i="104"/>
  <c r="J13" i="104"/>
  <c r="J17" i="105"/>
  <c r="J16" i="105"/>
  <c r="J15" i="105"/>
  <c r="J14" i="105"/>
  <c r="J13" i="105"/>
  <c r="J17" i="106"/>
  <c r="J16" i="106"/>
  <c r="J15" i="106"/>
  <c r="J14" i="106"/>
  <c r="J13" i="106"/>
  <c r="J17" i="107"/>
  <c r="J16" i="107"/>
  <c r="J15" i="107"/>
  <c r="J14" i="107"/>
  <c r="J13" i="107"/>
  <c r="J17" i="51"/>
  <c r="J16" i="51"/>
  <c r="J15" i="51"/>
  <c r="J14" i="51"/>
  <c r="J13" i="51"/>
  <c r="J17" i="98"/>
  <c r="J12" i="135"/>
  <c r="J11" i="135"/>
  <c r="J10" i="135"/>
  <c r="J9" i="135"/>
  <c r="J8" i="135"/>
  <c r="J12" i="128"/>
  <c r="J11" i="128"/>
  <c r="J10" i="128"/>
  <c r="J9" i="128"/>
  <c r="J8" i="128"/>
  <c r="J12" i="127"/>
  <c r="J11" i="127"/>
  <c r="J10" i="127"/>
  <c r="J9" i="127"/>
  <c r="J8" i="127"/>
  <c r="J12" i="126"/>
  <c r="J11" i="126"/>
  <c r="J10" i="126"/>
  <c r="J9" i="126"/>
  <c r="J8" i="126"/>
  <c r="J12" i="125"/>
  <c r="J11" i="125"/>
  <c r="J10" i="125"/>
  <c r="J9" i="125"/>
  <c r="J8" i="125"/>
  <c r="J12" i="123"/>
  <c r="J11" i="123"/>
  <c r="J10" i="123"/>
  <c r="J9" i="123"/>
  <c r="J8" i="123"/>
  <c r="J12" i="122"/>
  <c r="J11" i="122"/>
  <c r="J10" i="122"/>
  <c r="J9" i="122"/>
  <c r="J8" i="122"/>
  <c r="J12" i="121"/>
  <c r="J11" i="121"/>
  <c r="J10" i="121"/>
  <c r="J9" i="121"/>
  <c r="J8" i="121"/>
  <c r="J12" i="119"/>
  <c r="J11" i="119"/>
  <c r="J10" i="119"/>
  <c r="J9" i="119"/>
  <c r="J8" i="119"/>
  <c r="J15" i="116"/>
  <c r="J14" i="116"/>
  <c r="J13" i="116"/>
  <c r="J12" i="116"/>
  <c r="J11" i="116"/>
  <c r="J15" i="114"/>
  <c r="J14" i="114"/>
  <c r="J13" i="114"/>
  <c r="J12" i="114"/>
  <c r="J11" i="114"/>
  <c r="J12" i="141"/>
  <c r="J11" i="141"/>
  <c r="J10" i="141"/>
  <c r="J9" i="141"/>
  <c r="J8" i="141"/>
  <c r="J12" i="142"/>
  <c r="J11" i="142"/>
  <c r="J10" i="142"/>
  <c r="J9" i="142"/>
  <c r="J8" i="142"/>
  <c r="J12" i="143"/>
  <c r="J11" i="143"/>
  <c r="J10" i="143"/>
  <c r="J9" i="143"/>
  <c r="J8" i="143"/>
  <c r="J12" i="144"/>
  <c r="J11" i="144"/>
  <c r="J10" i="144"/>
  <c r="J9" i="144"/>
  <c r="J8" i="144"/>
  <c r="J12" i="145"/>
  <c r="J11" i="145"/>
  <c r="J10" i="145"/>
  <c r="J9" i="145"/>
  <c r="J8" i="145"/>
  <c r="J12" i="140"/>
  <c r="J11" i="140"/>
  <c r="J10" i="140"/>
  <c r="J9" i="140"/>
  <c r="J8" i="140"/>
  <c r="J12" i="139"/>
  <c r="J11" i="139"/>
  <c r="J10" i="139"/>
  <c r="J9" i="139"/>
  <c r="J8" i="139"/>
  <c r="J12" i="138"/>
  <c r="J11" i="138"/>
  <c r="J10" i="138"/>
  <c r="J9" i="138"/>
  <c r="J8" i="138"/>
  <c r="J12" i="137"/>
  <c r="J11" i="137"/>
  <c r="J10" i="137"/>
  <c r="J9" i="137"/>
  <c r="J8" i="137"/>
  <c r="J12" i="136"/>
  <c r="J11" i="136"/>
  <c r="J10" i="136"/>
  <c r="J9" i="136"/>
  <c r="J8" i="136"/>
  <c r="J12" i="134"/>
  <c r="J11" i="134"/>
  <c r="J10" i="134"/>
  <c r="J9" i="134"/>
  <c r="J8" i="134"/>
  <c r="J12" i="132"/>
  <c r="J11" i="132"/>
  <c r="J10" i="132"/>
  <c r="J9" i="132"/>
  <c r="J8" i="132"/>
  <c r="J12" i="130"/>
  <c r="J11" i="130"/>
  <c r="J10" i="130"/>
  <c r="J9" i="130"/>
  <c r="J8" i="130"/>
  <c r="J12" i="129"/>
  <c r="J11" i="129"/>
  <c r="J10" i="129"/>
  <c r="J9" i="129"/>
  <c r="J8" i="129"/>
  <c r="CH153" i="6" l="1"/>
  <c r="C362" i="8" s="1"/>
  <c r="F122" i="12"/>
  <c r="G122" i="12" s="1"/>
  <c r="L122" i="12" s="1"/>
  <c r="J12" i="158"/>
  <c r="J11" i="158"/>
  <c r="J10" i="158"/>
  <c r="J9" i="158"/>
  <c r="J8" i="158"/>
  <c r="J12" i="157"/>
  <c r="J11" i="157"/>
  <c r="J10" i="157"/>
  <c r="J9" i="157"/>
  <c r="J8" i="157"/>
  <c r="J12" i="156"/>
  <c r="J11" i="156"/>
  <c r="J10" i="156"/>
  <c r="J9" i="156"/>
  <c r="J8" i="156"/>
  <c r="J12" i="155"/>
  <c r="J11" i="155"/>
  <c r="J10" i="155"/>
  <c r="J9" i="155"/>
  <c r="J8" i="155"/>
  <c r="J12" i="154"/>
  <c r="J11" i="154"/>
  <c r="J10" i="154"/>
  <c r="J9" i="154"/>
  <c r="J8" i="154"/>
  <c r="J12" i="153"/>
  <c r="J11" i="153"/>
  <c r="J10" i="153"/>
  <c r="J9" i="153"/>
  <c r="J8" i="153"/>
  <c r="J12" i="152"/>
  <c r="J11" i="152"/>
  <c r="J10" i="152"/>
  <c r="J9" i="152"/>
  <c r="J8" i="152"/>
  <c r="J12" i="151"/>
  <c r="J11" i="151"/>
  <c r="J10" i="151"/>
  <c r="J9" i="151"/>
  <c r="J8" i="151"/>
  <c r="J7" i="151"/>
  <c r="J12" i="169"/>
  <c r="J11" i="169"/>
  <c r="J10" i="169"/>
  <c r="J9" i="169"/>
  <c r="J8" i="169"/>
  <c r="J12" i="167"/>
  <c r="J11" i="167"/>
  <c r="J10" i="167"/>
  <c r="J9" i="167"/>
  <c r="J8" i="167"/>
  <c r="J12" i="166"/>
  <c r="J11" i="166"/>
  <c r="J10" i="166"/>
  <c r="J9" i="166"/>
  <c r="J8" i="166"/>
  <c r="J12" i="165"/>
  <c r="J11" i="165"/>
  <c r="J10" i="165"/>
  <c r="J9" i="165"/>
  <c r="J8" i="165"/>
  <c r="J12" i="164"/>
  <c r="J11" i="164"/>
  <c r="J10" i="164"/>
  <c r="J9" i="164"/>
  <c r="J8" i="164"/>
  <c r="J12" i="163"/>
  <c r="J11" i="163"/>
  <c r="J10" i="163"/>
  <c r="J9" i="163"/>
  <c r="J8" i="163"/>
  <c r="J12" i="161"/>
  <c r="J11" i="161"/>
  <c r="J10" i="161"/>
  <c r="J9" i="161"/>
  <c r="J8" i="161"/>
  <c r="J12" i="160"/>
  <c r="J11" i="160"/>
  <c r="J10" i="160"/>
  <c r="J9" i="160"/>
  <c r="J8" i="160"/>
  <c r="J12" i="170"/>
  <c r="J11" i="170"/>
  <c r="J10" i="170"/>
  <c r="J9" i="170"/>
  <c r="J8" i="170"/>
  <c r="J12" i="171"/>
  <c r="J11" i="171"/>
  <c r="J10" i="171"/>
  <c r="J9" i="171"/>
  <c r="J8" i="171"/>
  <c r="J12" i="172"/>
  <c r="J11" i="172"/>
  <c r="J10" i="172"/>
  <c r="J9" i="172"/>
  <c r="J8" i="172"/>
  <c r="J12" i="173"/>
  <c r="J11" i="173"/>
  <c r="J10" i="173"/>
  <c r="J9" i="173"/>
  <c r="J8" i="173"/>
  <c r="J12" i="174"/>
  <c r="J11" i="174"/>
  <c r="J10" i="174"/>
  <c r="J9" i="174"/>
  <c r="J8" i="174"/>
  <c r="J12" i="175"/>
  <c r="J11" i="175"/>
  <c r="J10" i="175"/>
  <c r="J9" i="175"/>
  <c r="J8" i="175"/>
  <c r="J12" i="176"/>
  <c r="J11" i="176"/>
  <c r="J10" i="176"/>
  <c r="J9" i="176"/>
  <c r="J8" i="176"/>
  <c r="J12" i="159"/>
  <c r="J11" i="159"/>
  <c r="J10" i="159"/>
  <c r="J9" i="159"/>
  <c r="J8" i="159"/>
  <c r="J12" i="179"/>
  <c r="J11" i="179"/>
  <c r="J10" i="179"/>
  <c r="J9" i="179"/>
  <c r="J8" i="179"/>
  <c r="J12" i="133"/>
  <c r="J11" i="133"/>
  <c r="J10" i="133"/>
  <c r="J9" i="133"/>
  <c r="J8" i="133"/>
  <c r="J12" i="124"/>
  <c r="J11" i="124"/>
  <c r="J10" i="124"/>
  <c r="J9" i="124"/>
  <c r="J8" i="124"/>
  <c r="J18" i="87"/>
  <c r="J17" i="87"/>
  <c r="J16" i="87"/>
  <c r="J15" i="87"/>
  <c r="J14" i="87"/>
  <c r="J23" i="63"/>
  <c r="J22" i="63"/>
  <c r="J21" i="63"/>
  <c r="J20" i="63"/>
  <c r="J19" i="63"/>
  <c r="J23" i="66"/>
  <c r="J22" i="66"/>
  <c r="J21" i="66"/>
  <c r="J20" i="66"/>
  <c r="J19" i="66"/>
  <c r="D12" i="66"/>
  <c r="D19" i="87"/>
  <c r="D7" i="133"/>
  <c r="D7" i="159"/>
  <c r="C187" i="8"/>
  <c r="D12" i="53"/>
  <c r="D13" i="53" s="1"/>
  <c r="D18" i="11"/>
  <c r="D26" i="19"/>
  <c r="D9" i="71"/>
  <c r="D8" i="76"/>
  <c r="D13" i="80"/>
  <c r="D11" i="86"/>
  <c r="F119" i="12"/>
  <c r="G119" i="12" s="1"/>
  <c r="L119" i="12" s="1"/>
  <c r="D7" i="149"/>
  <c r="D7" i="154"/>
  <c r="D7" i="77"/>
  <c r="CF121" i="6"/>
  <c r="D14" i="102"/>
  <c r="CF92" i="6"/>
  <c r="D8" i="116"/>
  <c r="D7" i="114"/>
  <c r="D7" i="134"/>
  <c r="D7" i="139"/>
  <c r="D7" i="153"/>
  <c r="D13" i="48"/>
  <c r="D11" i="39"/>
  <c r="CF25" i="6"/>
  <c r="D41" i="26"/>
  <c r="D14" i="22"/>
  <c r="D8" i="42"/>
  <c r="D17" i="52"/>
  <c r="CF39" i="6"/>
  <c r="CF84" i="6"/>
  <c r="CF100" i="6"/>
  <c r="D19" i="107"/>
  <c r="G116" i="12"/>
  <c r="L116" i="12" s="1"/>
  <c r="F112" i="12"/>
  <c r="G112" i="12" s="1"/>
  <c r="L112" i="12" s="1"/>
  <c r="F110" i="12"/>
  <c r="G110" i="12" s="1"/>
  <c r="L110" i="12" s="1"/>
  <c r="G109" i="12"/>
  <c r="L109" i="12" s="1"/>
  <c r="G111" i="12"/>
  <c r="L111" i="12" s="1"/>
  <c r="G115" i="12"/>
  <c r="L115" i="12" s="1"/>
  <c r="F106" i="12"/>
  <c r="G106" i="12" s="1"/>
  <c r="L106" i="12" s="1"/>
  <c r="F103" i="12"/>
  <c r="G103" i="12" s="1"/>
  <c r="C6" i="179"/>
  <c r="E28" i="179"/>
  <c r="C25" i="179"/>
  <c r="D6" i="179"/>
  <c r="D7" i="179" s="1"/>
  <c r="A134" i="8"/>
  <c r="B134" i="8"/>
  <c r="AD134" i="8"/>
  <c r="CM148" i="6"/>
  <c r="CN148" i="6" s="1"/>
  <c r="DE148" i="6"/>
  <c r="DU148" i="6"/>
  <c r="D7" i="143"/>
  <c r="CM147" i="6"/>
  <c r="CN147" i="6" s="1"/>
  <c r="D7" i="176"/>
  <c r="D11" i="104"/>
  <c r="E28" i="176"/>
  <c r="C25" i="176"/>
  <c r="D6" i="176"/>
  <c r="E28" i="175"/>
  <c r="C25" i="175"/>
  <c r="D6" i="175"/>
  <c r="E28" i="174"/>
  <c r="C25" i="174"/>
  <c r="D6" i="174"/>
  <c r="E28" i="173"/>
  <c r="C25" i="173"/>
  <c r="D6" i="173"/>
  <c r="E28" i="172"/>
  <c r="C25" i="172"/>
  <c r="D6" i="172"/>
  <c r="E28" i="171"/>
  <c r="C25" i="171"/>
  <c r="D6" i="171"/>
  <c r="E28" i="170"/>
  <c r="C25" i="170"/>
  <c r="D6" i="170"/>
  <c r="E28" i="169"/>
  <c r="C25" i="169"/>
  <c r="D6" i="169"/>
  <c r="A43" i="8"/>
  <c r="B43" i="8"/>
  <c r="AD43" i="8"/>
  <c r="DE147" i="6"/>
  <c r="DU147" i="6"/>
  <c r="A85" i="8"/>
  <c r="B85" i="8"/>
  <c r="AD85" i="8"/>
  <c r="A125" i="8"/>
  <c r="B125" i="8"/>
  <c r="AD125" i="8"/>
  <c r="A143" i="8"/>
  <c r="B143" i="8"/>
  <c r="AD143" i="8"/>
  <c r="CM146" i="6"/>
  <c r="CN146" i="6" s="1"/>
  <c r="DE146" i="6"/>
  <c r="DU146" i="6"/>
  <c r="EA153" i="6"/>
  <c r="EB121" i="6"/>
  <c r="EB125" i="6"/>
  <c r="EB137" i="6"/>
  <c r="EB141" i="6"/>
  <c r="DM153" i="6"/>
  <c r="J19" i="110" s="1"/>
  <c r="DN153" i="6"/>
  <c r="J20" i="110" s="1"/>
  <c r="DO153" i="6"/>
  <c r="J21" i="17" s="1"/>
  <c r="DP153" i="6"/>
  <c r="DQ153" i="6"/>
  <c r="DR153" i="6"/>
  <c r="DX153" i="6"/>
  <c r="DY153" i="6"/>
  <c r="DZ62" i="6"/>
  <c r="DZ63" i="6"/>
  <c r="DZ66" i="6"/>
  <c r="DZ68" i="6"/>
  <c r="DZ71" i="6"/>
  <c r="DZ73" i="6"/>
  <c r="DZ74" i="6"/>
  <c r="DZ75" i="6"/>
  <c r="DZ76" i="6"/>
  <c r="DZ80" i="6"/>
  <c r="DZ81" i="6"/>
  <c r="DZ82" i="6"/>
  <c r="DZ85" i="6"/>
  <c r="DZ87" i="6"/>
  <c r="DZ88" i="6"/>
  <c r="DZ89" i="6"/>
  <c r="DZ91" i="6"/>
  <c r="DZ92" i="6"/>
  <c r="DZ93" i="6"/>
  <c r="DZ94" i="6"/>
  <c r="DZ95" i="6"/>
  <c r="DZ97" i="6"/>
  <c r="DZ100" i="6"/>
  <c r="DZ101" i="6"/>
  <c r="DZ104" i="6"/>
  <c r="DZ105" i="6"/>
  <c r="DZ106" i="6"/>
  <c r="DZ108" i="6"/>
  <c r="DZ109" i="6"/>
  <c r="DZ110" i="6"/>
  <c r="DZ111" i="6"/>
  <c r="DZ117" i="6"/>
  <c r="DZ121" i="6"/>
  <c r="DZ125" i="6"/>
  <c r="DZ131" i="6"/>
  <c r="DZ134" i="6"/>
  <c r="DZ137" i="6"/>
  <c r="DZ141" i="6"/>
  <c r="DZ147" i="6"/>
  <c r="CM145" i="6"/>
  <c r="CN145" i="6" s="1"/>
  <c r="DE145" i="6"/>
  <c r="DU145" i="6"/>
  <c r="B5" i="8"/>
  <c r="CF2" i="6"/>
  <c r="CF86" i="6"/>
  <c r="CF89" i="6"/>
  <c r="CM144" i="6"/>
  <c r="CN144" i="6" s="1"/>
  <c r="DE144" i="6"/>
  <c r="DU144" i="6"/>
  <c r="D10" i="104"/>
  <c r="A112" i="8"/>
  <c r="B112" i="8"/>
  <c r="AD112" i="8"/>
  <c r="CF72" i="6"/>
  <c r="CM143" i="6"/>
  <c r="CN143" i="6" s="1"/>
  <c r="DE143" i="6"/>
  <c r="DU143" i="6"/>
  <c r="E28" i="167"/>
  <c r="C25" i="167"/>
  <c r="D6" i="167"/>
  <c r="E28" i="166"/>
  <c r="C25" i="166"/>
  <c r="D6" i="166"/>
  <c r="E28" i="165"/>
  <c r="C25" i="165"/>
  <c r="D6" i="165"/>
  <c r="E28" i="164"/>
  <c r="C25" i="164"/>
  <c r="D6" i="164"/>
  <c r="E28" i="163"/>
  <c r="C25" i="163"/>
  <c r="D6" i="163"/>
  <c r="E28" i="162"/>
  <c r="C25" i="162"/>
  <c r="D6" i="162"/>
  <c r="CF111" i="6"/>
  <c r="A95" i="8"/>
  <c r="B95" i="8"/>
  <c r="AD95" i="8"/>
  <c r="A151" i="8"/>
  <c r="B151" i="8"/>
  <c r="AD151" i="8"/>
  <c r="F151" i="111" s="1"/>
  <c r="A107" i="8"/>
  <c r="B107" i="8"/>
  <c r="AD107" i="8"/>
  <c r="A130" i="8"/>
  <c r="B130" i="8"/>
  <c r="AD130" i="8"/>
  <c r="A111" i="8"/>
  <c r="B111" i="8"/>
  <c r="AD111" i="8"/>
  <c r="A60" i="8"/>
  <c r="B60" i="8"/>
  <c r="AD60" i="8"/>
  <c r="A79" i="8"/>
  <c r="B79" i="8"/>
  <c r="AD79" i="8"/>
  <c r="CF13" i="6"/>
  <c r="CM142" i="6"/>
  <c r="CN142" i="6" s="1"/>
  <c r="DE142" i="6"/>
  <c r="DU142" i="6"/>
  <c r="CM141" i="6"/>
  <c r="CN141" i="6" s="1"/>
  <c r="DE141" i="6"/>
  <c r="DU141" i="6"/>
  <c r="CM140" i="6"/>
  <c r="CN140" i="6" s="1"/>
  <c r="DE140" i="6"/>
  <c r="DU140" i="6"/>
  <c r="CF125" i="6"/>
  <c r="CM125" i="6" s="1"/>
  <c r="CN125" i="6" s="1"/>
  <c r="CM136" i="6"/>
  <c r="CN136" i="6" s="1"/>
  <c r="DE136" i="6"/>
  <c r="DU136" i="6"/>
  <c r="CM137" i="6"/>
  <c r="CN137" i="6" s="1"/>
  <c r="DE137" i="6"/>
  <c r="DU137" i="6"/>
  <c r="CM138" i="6"/>
  <c r="CN138" i="6" s="1"/>
  <c r="DE138" i="6"/>
  <c r="DU138" i="6"/>
  <c r="CM139" i="6"/>
  <c r="CN139" i="6" s="1"/>
  <c r="DE139" i="6"/>
  <c r="DU139" i="6"/>
  <c r="CF38" i="6"/>
  <c r="A119" i="8"/>
  <c r="B119" i="8"/>
  <c r="AD119" i="8"/>
  <c r="A150" i="8"/>
  <c r="B150" i="8"/>
  <c r="AD150" i="8"/>
  <c r="F150" i="111" s="1"/>
  <c r="A91" i="8"/>
  <c r="B91" i="8"/>
  <c r="AD91" i="8"/>
  <c r="A90" i="8"/>
  <c r="B90" i="8"/>
  <c r="AD90" i="8"/>
  <c r="CM134" i="6"/>
  <c r="CN134" i="6" s="1"/>
  <c r="DE134" i="6"/>
  <c r="DU134" i="6"/>
  <c r="CM135" i="6"/>
  <c r="CN135" i="6" s="1"/>
  <c r="DE135" i="6"/>
  <c r="DU135" i="6"/>
  <c r="CM132" i="6"/>
  <c r="CN132" i="6" s="1"/>
  <c r="DE132" i="6"/>
  <c r="DU132" i="6"/>
  <c r="CM133" i="6"/>
  <c r="CN133" i="6" s="1"/>
  <c r="DE133" i="6"/>
  <c r="DU133" i="6"/>
  <c r="E28" i="161"/>
  <c r="C25" i="161"/>
  <c r="D6" i="161"/>
  <c r="E28" i="160"/>
  <c r="C25" i="160"/>
  <c r="D6" i="160"/>
  <c r="A129" i="8"/>
  <c r="B129" i="8"/>
  <c r="AD129" i="8"/>
  <c r="A80" i="8"/>
  <c r="B80" i="8"/>
  <c r="AD80" i="8"/>
  <c r="D8" i="148"/>
  <c r="CF120" i="6"/>
  <c r="DE120" i="6" s="1"/>
  <c r="CM130" i="6"/>
  <c r="CN130" i="6" s="1"/>
  <c r="DE130" i="6"/>
  <c r="DU130" i="6"/>
  <c r="CM131" i="6"/>
  <c r="CN131" i="6" s="1"/>
  <c r="DE131" i="6"/>
  <c r="DU131" i="6"/>
  <c r="E28" i="159"/>
  <c r="C25" i="159"/>
  <c r="D6" i="159"/>
  <c r="E28" i="158"/>
  <c r="C25" i="158"/>
  <c r="D6" i="158"/>
  <c r="D18" i="87"/>
  <c r="CF66" i="6"/>
  <c r="D14" i="98"/>
  <c r="CF81" i="6"/>
  <c r="D17" i="87"/>
  <c r="D21" i="37"/>
  <c r="CF24" i="6"/>
  <c r="D7" i="156"/>
  <c r="D10" i="39"/>
  <c r="E28" i="157"/>
  <c r="C25" i="157"/>
  <c r="D6" i="157"/>
  <c r="E28" i="156"/>
  <c r="C25" i="156"/>
  <c r="D6" i="156"/>
  <c r="D29" i="78"/>
  <c r="D40" i="25"/>
  <c r="CF12" i="6"/>
  <c r="CF20" i="6"/>
  <c r="D27" i="33"/>
  <c r="CF102" i="6"/>
  <c r="F100" i="12"/>
  <c r="G100" i="12" s="1"/>
  <c r="L100" i="12" s="1"/>
  <c r="F96" i="12"/>
  <c r="G96" i="12" s="1"/>
  <c r="L96" i="12" s="1"/>
  <c r="F97" i="12" s="1"/>
  <c r="G97" i="12" s="1"/>
  <c r="A141" i="8"/>
  <c r="B141" i="8"/>
  <c r="AD141" i="8"/>
  <c r="CM129" i="6"/>
  <c r="CN129" i="6" s="1"/>
  <c r="DE129" i="6"/>
  <c r="DU129" i="6"/>
  <c r="A72" i="8"/>
  <c r="B72" i="8"/>
  <c r="AD72" i="8"/>
  <c r="CF128" i="6"/>
  <c r="CM128" i="6" s="1"/>
  <c r="CN128" i="6" s="1"/>
  <c r="DU128" i="6"/>
  <c r="CF62" i="6"/>
  <c r="A140" i="8"/>
  <c r="B140" i="8"/>
  <c r="AD140" i="8"/>
  <c r="A142" i="8"/>
  <c r="B142" i="8"/>
  <c r="AD142" i="8"/>
  <c r="A26" i="8"/>
  <c r="B26" i="8"/>
  <c r="AD26" i="8"/>
  <c r="CM127" i="6"/>
  <c r="CN127" i="6" s="1"/>
  <c r="DE127" i="6"/>
  <c r="DU127" i="6"/>
  <c r="E28" i="155"/>
  <c r="C25" i="155"/>
  <c r="D6" i="155"/>
  <c r="E28" i="154"/>
  <c r="C25" i="154"/>
  <c r="D6" i="154"/>
  <c r="E28" i="153"/>
  <c r="C25" i="153"/>
  <c r="D6" i="153"/>
  <c r="DU125" i="6"/>
  <c r="CM126" i="6"/>
  <c r="CN126" i="6" s="1"/>
  <c r="DE126" i="6"/>
  <c r="DU126" i="6"/>
  <c r="CF4" i="6"/>
  <c r="CF101" i="6"/>
  <c r="D8" i="126"/>
  <c r="D11" i="66"/>
  <c r="E28" i="152"/>
  <c r="C25" i="152"/>
  <c r="D6" i="152"/>
  <c r="E28" i="151"/>
  <c r="C25" i="151"/>
  <c r="D6" i="151"/>
  <c r="CF99" i="6"/>
  <c r="CF47" i="6"/>
  <c r="A110" i="8"/>
  <c r="B110" i="8"/>
  <c r="AD110" i="8"/>
  <c r="CM124" i="6"/>
  <c r="CN124" i="6" s="1"/>
  <c r="DE124" i="6"/>
  <c r="DU124" i="6"/>
  <c r="A74" i="8"/>
  <c r="B74" i="8"/>
  <c r="AD74" i="8"/>
  <c r="CM123" i="6"/>
  <c r="CN123" i="6" s="1"/>
  <c r="DE123" i="6"/>
  <c r="DU123" i="6"/>
  <c r="D7" i="148"/>
  <c r="D13" i="102"/>
  <c r="CF34" i="6"/>
  <c r="J23" i="54"/>
  <c r="J22" i="54"/>
  <c r="J21" i="54"/>
  <c r="J20" i="54"/>
  <c r="J19" i="54"/>
  <c r="J23" i="47"/>
  <c r="J22" i="47"/>
  <c r="J21" i="47"/>
  <c r="J20" i="47"/>
  <c r="J19" i="47"/>
  <c r="D28" i="18"/>
  <c r="D8" i="135"/>
  <c r="CF107" i="6"/>
  <c r="J12" i="150"/>
  <c r="J11" i="150"/>
  <c r="J10" i="150"/>
  <c r="J9" i="150"/>
  <c r="J8" i="150"/>
  <c r="E28" i="150"/>
  <c r="C25" i="150"/>
  <c r="D6" i="150"/>
  <c r="A32" i="8"/>
  <c r="B32" i="8"/>
  <c r="AD32" i="8"/>
  <c r="CM122" i="6"/>
  <c r="CN122" i="6" s="1"/>
  <c r="DE122" i="6"/>
  <c r="DU122" i="6"/>
  <c r="A22" i="8"/>
  <c r="B22" i="8"/>
  <c r="AD22" i="8"/>
  <c r="A117" i="8"/>
  <c r="B117" i="8"/>
  <c r="AD117" i="8"/>
  <c r="J12" i="146"/>
  <c r="J11" i="146"/>
  <c r="J10" i="146"/>
  <c r="J9" i="146"/>
  <c r="J8" i="146"/>
  <c r="J12" i="149"/>
  <c r="J11" i="149"/>
  <c r="J10" i="149"/>
  <c r="J9" i="149"/>
  <c r="J8" i="149"/>
  <c r="J12" i="148"/>
  <c r="J11" i="148"/>
  <c r="J10" i="148"/>
  <c r="J9" i="148"/>
  <c r="J8" i="148"/>
  <c r="E28" i="149"/>
  <c r="C25" i="149"/>
  <c r="D6" i="149"/>
  <c r="E28" i="148"/>
  <c r="C25" i="148"/>
  <c r="D6" i="148"/>
  <c r="D20" i="54"/>
  <c r="CM121" i="6"/>
  <c r="CN121" i="6" s="1"/>
  <c r="DE121" i="6"/>
  <c r="DU121" i="6"/>
  <c r="DU120" i="6"/>
  <c r="J17" i="102"/>
  <c r="J16" i="102"/>
  <c r="J15" i="102"/>
  <c r="J14" i="102"/>
  <c r="J13" i="102"/>
  <c r="J23" i="19"/>
  <c r="J22" i="19"/>
  <c r="J21" i="19"/>
  <c r="J20" i="19"/>
  <c r="J19" i="19"/>
  <c r="J24" i="18"/>
  <c r="J23" i="18"/>
  <c r="J22" i="18"/>
  <c r="J21" i="18"/>
  <c r="J20" i="18"/>
  <c r="J23" i="15"/>
  <c r="J22" i="15"/>
  <c r="J21" i="15"/>
  <c r="J20" i="15"/>
  <c r="J19" i="15"/>
  <c r="J23" i="17"/>
  <c r="J22" i="17"/>
  <c r="J20" i="17"/>
  <c r="J19" i="17"/>
  <c r="J23" i="110"/>
  <c r="J22" i="110"/>
  <c r="J21" i="110"/>
  <c r="J12" i="147"/>
  <c r="J11" i="147"/>
  <c r="J10" i="147"/>
  <c r="J9" i="147"/>
  <c r="J8" i="147"/>
  <c r="E28" i="147"/>
  <c r="C25" i="147"/>
  <c r="D6" i="147"/>
  <c r="D14" i="35"/>
  <c r="D11" i="89"/>
  <c r="D18" i="41"/>
  <c r="I15" i="117"/>
  <c r="A84" i="8"/>
  <c r="B84" i="8"/>
  <c r="AD84" i="8"/>
  <c r="CM119" i="6"/>
  <c r="CN119" i="6" s="1"/>
  <c r="DE119" i="6"/>
  <c r="DU119" i="6"/>
  <c r="D37" i="20"/>
  <c r="CF7" i="6"/>
  <c r="D20" i="37"/>
  <c r="CF29" i="6"/>
  <c r="CF52" i="6"/>
  <c r="F92" i="12"/>
  <c r="G92" i="12" s="1"/>
  <c r="L92" i="12" s="1"/>
  <c r="G93" i="12" s="1"/>
  <c r="D12" i="102"/>
  <c r="F10" i="117" l="1"/>
  <c r="F113" i="12"/>
  <c r="G113" i="12" s="1"/>
  <c r="F107" i="12"/>
  <c r="G107" i="12" s="1"/>
  <c r="L107" i="12" s="1"/>
  <c r="L93" i="12"/>
  <c r="L103" i="12"/>
  <c r="F104" i="12" s="1"/>
  <c r="G117" i="12"/>
  <c r="F101" i="12"/>
  <c r="G101" i="12" s="1"/>
  <c r="L101" i="12" s="1"/>
  <c r="DE125" i="6"/>
  <c r="DE128" i="6"/>
  <c r="CM120" i="6"/>
  <c r="CN120" i="6" s="1"/>
  <c r="D20" i="23"/>
  <c r="D40" i="26"/>
  <c r="CF11" i="6"/>
  <c r="CF14" i="6"/>
  <c r="D28" i="78"/>
  <c r="E28" i="146"/>
  <c r="C25" i="146"/>
  <c r="D6" i="146"/>
  <c r="A50" i="8"/>
  <c r="B50" i="8"/>
  <c r="AD50" i="8"/>
  <c r="CM118" i="6"/>
  <c r="CN118" i="6" s="1"/>
  <c r="DE118" i="6"/>
  <c r="DU118" i="6"/>
  <c r="DE114" i="6"/>
  <c r="DE115" i="6"/>
  <c r="DE116" i="6"/>
  <c r="DE117" i="6"/>
  <c r="DE152" i="6"/>
  <c r="D39" i="25"/>
  <c r="E28" i="145"/>
  <c r="C25" i="145"/>
  <c r="D6" i="145"/>
  <c r="E28" i="144"/>
  <c r="C25" i="144"/>
  <c r="D6" i="144"/>
  <c r="A63" i="8"/>
  <c r="B63" i="8"/>
  <c r="AD63" i="8"/>
  <c r="A108" i="8"/>
  <c r="B108" i="8"/>
  <c r="AD108" i="8"/>
  <c r="CM116" i="6"/>
  <c r="CN116" i="6" s="1"/>
  <c r="DU116" i="6"/>
  <c r="CM117" i="6"/>
  <c r="CN117" i="6" s="1"/>
  <c r="DU117" i="6"/>
  <c r="E28" i="143"/>
  <c r="C25" i="143"/>
  <c r="D6" i="143"/>
  <c r="A149" i="8"/>
  <c r="B149" i="8"/>
  <c r="AD149" i="8"/>
  <c r="CM115" i="6"/>
  <c r="CN115" i="6" s="1"/>
  <c r="DU115" i="6"/>
  <c r="E28" i="142"/>
  <c r="C25" i="142"/>
  <c r="D6" i="142"/>
  <c r="A121" i="8"/>
  <c r="B121" i="8"/>
  <c r="AD121" i="8"/>
  <c r="DU114" i="6"/>
  <c r="CM114" i="6"/>
  <c r="CN114" i="6" s="1"/>
  <c r="D16" i="45"/>
  <c r="D7" i="122"/>
  <c r="CF95" i="6"/>
  <c r="CF32" i="6"/>
  <c r="D36" i="20"/>
  <c r="D8" i="98"/>
  <c r="D9" i="98"/>
  <c r="D10" i="98"/>
  <c r="D11" i="98"/>
  <c r="D12" i="98"/>
  <c r="D13" i="98"/>
  <c r="D7" i="98"/>
  <c r="D16" i="87"/>
  <c r="D26" i="33"/>
  <c r="D11" i="61"/>
  <c r="CF53" i="6"/>
  <c r="D29" i="21"/>
  <c r="CF8" i="6"/>
  <c r="G104" i="12" l="1"/>
  <c r="F102" i="12"/>
  <c r="G102" i="12" s="1"/>
  <c r="D26" i="78"/>
  <c r="D27" i="78" s="1"/>
  <c r="D17" i="41"/>
  <c r="D19" i="23"/>
  <c r="D7" i="110"/>
  <c r="D8" i="110" s="1"/>
  <c r="D9" i="110" s="1"/>
  <c r="D10" i="110" s="1"/>
  <c r="D11" i="110" s="1"/>
  <c r="D12" i="110" s="1"/>
  <c r="D13" i="110" s="1"/>
  <c r="D14" i="110" s="1"/>
  <c r="D15" i="110" s="1"/>
  <c r="D16" i="110" s="1"/>
  <c r="D17" i="110" s="1"/>
  <c r="D18" i="110" s="1"/>
  <c r="D19" i="110" s="1"/>
  <c r="D20" i="110" s="1"/>
  <c r="D21" i="110" s="1"/>
  <c r="D22" i="110" s="1"/>
  <c r="D23" i="110" s="1"/>
  <c r="D24" i="110" s="1"/>
  <c r="D25" i="110" s="1"/>
  <c r="D26" i="110" s="1"/>
  <c r="D27" i="110" s="1"/>
  <c r="D28" i="110" s="1"/>
  <c r="D29" i="110" s="1"/>
  <c r="D30" i="110" s="1"/>
  <c r="D31" i="110" s="1"/>
  <c r="D32" i="110" s="1"/>
  <c r="D33" i="110" s="1"/>
  <c r="D34" i="110" s="1"/>
  <c r="D35" i="110" s="1"/>
  <c r="D36" i="110" s="1"/>
  <c r="D37" i="110" s="1"/>
  <c r="D38" i="110" s="1"/>
  <c r="D39" i="110" s="1"/>
  <c r="D40" i="110" s="1"/>
  <c r="D41" i="110" s="1"/>
  <c r="D42" i="110" s="1"/>
  <c r="D43" i="110" s="1"/>
  <c r="D44" i="110" s="1"/>
  <c r="C188" i="8"/>
  <c r="A55" i="8"/>
  <c r="B55" i="8"/>
  <c r="AD55" i="8"/>
  <c r="CM113" i="6"/>
  <c r="CN113" i="6" s="1"/>
  <c r="CU113" i="6"/>
  <c r="CW113" i="6" s="1"/>
  <c r="CY113" i="6" s="1"/>
  <c r="DB113" i="6" s="1"/>
  <c r="DE113" i="6" s="1"/>
  <c r="DU113" i="6"/>
  <c r="E28" i="141"/>
  <c r="C25" i="141"/>
  <c r="D6" i="141"/>
  <c r="CF31" i="6" l="1"/>
  <c r="D32" i="44"/>
  <c r="E28" i="140"/>
  <c r="C25" i="140"/>
  <c r="D6" i="140"/>
  <c r="A118" i="8"/>
  <c r="B118" i="8"/>
  <c r="AD118" i="8"/>
  <c r="CM112" i="6"/>
  <c r="CN112" i="6" s="1"/>
  <c r="CU112" i="6"/>
  <c r="CW112" i="6" s="1"/>
  <c r="CY112" i="6" s="1"/>
  <c r="DB112" i="6" s="1"/>
  <c r="DE112" i="6" s="1"/>
  <c r="DU112" i="6"/>
  <c r="C189" i="8"/>
  <c r="F89" i="12"/>
  <c r="G89" i="12" s="1"/>
  <c r="L89" i="12" s="1"/>
  <c r="C376" i="8"/>
  <c r="AH371" i="8"/>
  <c r="AG369" i="8"/>
  <c r="D8" i="121"/>
  <c r="D7" i="135"/>
  <c r="D8" i="100"/>
  <c r="C194" i="8"/>
  <c r="CF94" i="6"/>
  <c r="D7" i="138" l="1"/>
  <c r="CF110" i="6"/>
  <c r="D31" i="44"/>
  <c r="E28" i="139"/>
  <c r="C25" i="139"/>
  <c r="D6" i="139"/>
  <c r="A94" i="8"/>
  <c r="B94" i="8"/>
  <c r="AD94" i="8"/>
  <c r="CM111" i="6"/>
  <c r="CN111" i="6" s="1"/>
  <c r="CU111" i="6"/>
  <c r="DU111" i="6"/>
  <c r="K87" i="131"/>
  <c r="CW111" i="6" l="1"/>
  <c r="CY111" i="6" l="1"/>
  <c r="E28" i="138"/>
  <c r="C25" i="138"/>
  <c r="D6" i="138"/>
  <c r="A48" i="8"/>
  <c r="B48" i="8"/>
  <c r="AD48" i="8"/>
  <c r="CM110" i="6"/>
  <c r="CN110" i="6" s="1"/>
  <c r="CU110" i="6"/>
  <c r="DU110" i="6"/>
  <c r="D10" i="66"/>
  <c r="C185" i="8"/>
  <c r="E28" i="137"/>
  <c r="C25" i="137"/>
  <c r="D6" i="137"/>
  <c r="A148" i="8"/>
  <c r="B148" i="8"/>
  <c r="AD148" i="8"/>
  <c r="CM109" i="6"/>
  <c r="CN109" i="6" s="1"/>
  <c r="CU109" i="6"/>
  <c r="CW109" i="6" s="1"/>
  <c r="CY109" i="6" s="1"/>
  <c r="DB109" i="6" s="1"/>
  <c r="DE109" i="6" s="1"/>
  <c r="DU109" i="6"/>
  <c r="E28" i="136"/>
  <c r="C25" i="136"/>
  <c r="D6" i="136"/>
  <c r="A52" i="8"/>
  <c r="B52" i="8"/>
  <c r="AD52" i="8"/>
  <c r="CM108" i="6"/>
  <c r="CN108" i="6" s="1"/>
  <c r="CU108" i="6"/>
  <c r="CW108" i="6" s="1"/>
  <c r="CY108" i="6" s="1"/>
  <c r="DB108" i="6" s="1"/>
  <c r="DE108" i="6" s="1"/>
  <c r="DU108" i="6"/>
  <c r="E28" i="135"/>
  <c r="C25" i="135"/>
  <c r="D6" i="135"/>
  <c r="A67" i="8"/>
  <c r="B67" i="8"/>
  <c r="AD67" i="8"/>
  <c r="CM107" i="6"/>
  <c r="CN107" i="6" s="1"/>
  <c r="CU107" i="6"/>
  <c r="CW107" i="6" s="1"/>
  <c r="CY107" i="6" s="1"/>
  <c r="DB107" i="6" s="1"/>
  <c r="DE107" i="6" s="1"/>
  <c r="DU107" i="6"/>
  <c r="D17" i="11"/>
  <c r="D10" i="61"/>
  <c r="E28" i="134"/>
  <c r="C25" i="134"/>
  <c r="D6" i="134"/>
  <c r="A29" i="8"/>
  <c r="B29" i="8"/>
  <c r="AD29" i="8"/>
  <c r="CM106" i="6"/>
  <c r="CN106" i="6" s="1"/>
  <c r="CU106" i="6"/>
  <c r="CW106" i="6" s="1"/>
  <c r="CY106" i="6" s="1"/>
  <c r="DB106" i="6" s="1"/>
  <c r="DE106" i="6" s="1"/>
  <c r="DU106" i="6"/>
  <c r="F51" i="12"/>
  <c r="E28" i="133"/>
  <c r="C25" i="133"/>
  <c r="D6" i="133"/>
  <c r="A87" i="8"/>
  <c r="B87" i="8"/>
  <c r="AD87" i="8"/>
  <c r="CM105" i="6"/>
  <c r="CU105" i="6"/>
  <c r="CW105" i="6" s="1"/>
  <c r="CY105" i="6" s="1"/>
  <c r="DB105" i="6" s="1"/>
  <c r="DE105" i="6" s="1"/>
  <c r="DU105" i="6"/>
  <c r="CJ153" i="6"/>
  <c r="CK153" i="6"/>
  <c r="CL153" i="6"/>
  <c r="F85" i="12"/>
  <c r="G85" i="12" s="1"/>
  <c r="E28" i="132"/>
  <c r="C25" i="132"/>
  <c r="D6" i="132"/>
  <c r="A147" i="8"/>
  <c r="B147" i="8"/>
  <c r="AD147" i="8"/>
  <c r="CM104" i="6"/>
  <c r="CN104" i="6" s="1"/>
  <c r="CU104" i="6"/>
  <c r="CW104" i="6" s="1"/>
  <c r="DU104" i="6"/>
  <c r="C25" i="96"/>
  <c r="D20" i="68"/>
  <c r="CF49" i="6"/>
  <c r="D9" i="96"/>
  <c r="CF79" i="6"/>
  <c r="D28" i="21"/>
  <c r="D20" i="32"/>
  <c r="CF19" i="6"/>
  <c r="D10" i="86"/>
  <c r="CF71" i="6"/>
  <c r="D15" i="45"/>
  <c r="D25" i="33"/>
  <c r="D7" i="130"/>
  <c r="CF103" i="6"/>
  <c r="CM103" i="6" s="1"/>
  <c r="CN103" i="6" s="1"/>
  <c r="A68" i="8"/>
  <c r="B68" i="8"/>
  <c r="AD68" i="8"/>
  <c r="D19" i="32"/>
  <c r="CU103" i="6"/>
  <c r="CW103" i="6" s="1"/>
  <c r="DU103" i="6"/>
  <c r="CF45" i="6"/>
  <c r="L85" i="12" l="1"/>
  <c r="F86" i="12"/>
  <c r="G86" i="12" s="1"/>
  <c r="L86" i="12" s="1"/>
  <c r="CN105" i="6"/>
  <c r="DB111" i="6"/>
  <c r="DE111" i="6" s="1"/>
  <c r="CW110" i="6"/>
  <c r="CY104" i="6"/>
  <c r="CY103" i="6"/>
  <c r="CY110" i="6" l="1"/>
  <c r="DB104" i="6"/>
  <c r="DE104" i="6" s="1"/>
  <c r="DB103" i="6"/>
  <c r="DE103" i="6" s="1"/>
  <c r="C5" i="117"/>
  <c r="J5" i="117" s="1"/>
  <c r="F56" i="12"/>
  <c r="J20" i="117"/>
  <c r="J18" i="117"/>
  <c r="E28" i="130"/>
  <c r="C25" i="130"/>
  <c r="D6" i="130"/>
  <c r="E28" i="129"/>
  <c r="C25" i="129"/>
  <c r="D7" i="129"/>
  <c r="D6" i="129"/>
  <c r="E28" i="128"/>
  <c r="C25" i="128"/>
  <c r="D7" i="128"/>
  <c r="D6" i="128"/>
  <c r="E28" i="127"/>
  <c r="C25" i="127"/>
  <c r="D7" i="127"/>
  <c r="D6" i="127"/>
  <c r="A49" i="8"/>
  <c r="B49" i="8"/>
  <c r="AD49" i="8"/>
  <c r="CM102" i="6"/>
  <c r="CN102" i="6" s="1"/>
  <c r="CU102" i="6"/>
  <c r="CW102" i="6" s="1"/>
  <c r="CY102" i="6" s="1"/>
  <c r="DB102" i="6" s="1"/>
  <c r="DE102" i="6" s="1"/>
  <c r="DU102" i="6"/>
  <c r="A35" i="8"/>
  <c r="B35" i="8"/>
  <c r="AD35" i="8"/>
  <c r="CM101" i="6"/>
  <c r="CN101" i="6" s="1"/>
  <c r="CU101" i="6"/>
  <c r="DU101" i="6"/>
  <c r="A115" i="8"/>
  <c r="B115" i="8"/>
  <c r="AD115" i="8"/>
  <c r="CM100" i="6"/>
  <c r="CN100" i="6" s="1"/>
  <c r="CU100" i="6"/>
  <c r="CW100" i="6" s="1"/>
  <c r="CY100" i="6" s="1"/>
  <c r="DU100" i="6"/>
  <c r="E28" i="126"/>
  <c r="C25" i="126"/>
  <c r="D7" i="126"/>
  <c r="D6" i="126"/>
  <c r="A102" i="8"/>
  <c r="B102" i="8"/>
  <c r="AD102" i="8"/>
  <c r="CM99" i="6"/>
  <c r="CN99" i="6" s="1"/>
  <c r="CU99" i="6"/>
  <c r="CW99" i="6" s="1"/>
  <c r="CY99" i="6" s="1"/>
  <c r="DB99" i="6" s="1"/>
  <c r="DE99" i="6" s="1"/>
  <c r="DU99" i="6"/>
  <c r="A62" i="8"/>
  <c r="B62" i="8"/>
  <c r="AD62" i="8"/>
  <c r="CM98" i="6"/>
  <c r="CN98" i="6" s="1"/>
  <c r="CU98" i="6"/>
  <c r="CW98" i="6" s="1"/>
  <c r="DU98" i="6"/>
  <c r="E28" i="125"/>
  <c r="C25" i="125"/>
  <c r="D7" i="125"/>
  <c r="D6" i="125"/>
  <c r="A54" i="8"/>
  <c r="B54" i="8"/>
  <c r="AD54" i="8"/>
  <c r="E28" i="124"/>
  <c r="C25" i="124"/>
  <c r="D7" i="124"/>
  <c r="D6" i="124"/>
  <c r="D18" i="32"/>
  <c r="CM97" i="6"/>
  <c r="CN97" i="6" s="1"/>
  <c r="CU97" i="6"/>
  <c r="CW97" i="6" s="1"/>
  <c r="CY97" i="6" s="1"/>
  <c r="DB97" i="6" s="1"/>
  <c r="DE97" i="6" s="1"/>
  <c r="DU97" i="6"/>
  <c r="D27" i="21"/>
  <c r="D39" i="26"/>
  <c r="E28" i="123"/>
  <c r="C25" i="123"/>
  <c r="D7" i="123"/>
  <c r="D6" i="123"/>
  <c r="A131" i="8"/>
  <c r="B131" i="8"/>
  <c r="AD131" i="8"/>
  <c r="CM96" i="6"/>
  <c r="CN96" i="6" s="1"/>
  <c r="CU96" i="6"/>
  <c r="DU96" i="6"/>
  <c r="A89" i="8"/>
  <c r="B89" i="8"/>
  <c r="AD89" i="8"/>
  <c r="E28" i="122"/>
  <c r="C25" i="122"/>
  <c r="D6" i="122"/>
  <c r="CM95" i="6"/>
  <c r="CN95" i="6" s="1"/>
  <c r="CU95" i="6"/>
  <c r="CW95" i="6" s="1"/>
  <c r="CY95" i="6" s="1"/>
  <c r="DB95" i="6" s="1"/>
  <c r="DE95" i="6" s="1"/>
  <c r="DU95" i="6"/>
  <c r="D7" i="95"/>
  <c r="D21" i="29"/>
  <c r="D20" i="34"/>
  <c r="D10" i="79"/>
  <c r="D25" i="78"/>
  <c r="D8" i="94"/>
  <c r="D9" i="61"/>
  <c r="A106" i="8"/>
  <c r="B106" i="8"/>
  <c r="AD106" i="8"/>
  <c r="D19" i="68"/>
  <c r="E28" i="121"/>
  <c r="C25" i="121"/>
  <c r="D7" i="121"/>
  <c r="D6" i="121"/>
  <c r="CM94" i="6"/>
  <c r="CN94" i="6" s="1"/>
  <c r="CU94" i="6"/>
  <c r="DU94" i="6"/>
  <c r="J22" i="117" l="1"/>
  <c r="DB110" i="6"/>
  <c r="DE110" i="6" s="1"/>
  <c r="E135" i="12"/>
  <c r="CW101" i="6"/>
  <c r="DB100" i="6"/>
  <c r="DE100" i="6" s="1"/>
  <c r="CY98" i="6"/>
  <c r="CW96" i="6"/>
  <c r="CW94" i="6"/>
  <c r="CY101" i="6" l="1"/>
  <c r="DB98" i="6"/>
  <c r="DE98" i="6" s="1"/>
  <c r="CY96" i="6"/>
  <c r="CY94" i="6"/>
  <c r="DB101" i="6" l="1"/>
  <c r="DE101" i="6" s="1"/>
  <c r="DB96" i="6"/>
  <c r="DE96" i="6" s="1"/>
  <c r="DB94" i="6"/>
  <c r="DE94" i="6" s="1"/>
  <c r="F81" i="12" l="1"/>
  <c r="G81" i="12" s="1"/>
  <c r="L81" i="12" s="1"/>
  <c r="F82" i="12" s="1"/>
  <c r="D7" i="106"/>
  <c r="D29" i="44"/>
  <c r="D30" i="44"/>
  <c r="G82" i="12" l="1"/>
  <c r="L82" i="12" s="1"/>
  <c r="F78" i="12"/>
  <c r="G78" i="12" s="1"/>
  <c r="L78" i="12" s="1"/>
  <c r="F79" i="12" l="1"/>
  <c r="G79" i="12" s="1"/>
  <c r="D8" i="96"/>
  <c r="D7" i="96"/>
  <c r="D9" i="104"/>
  <c r="D8" i="104"/>
  <c r="D7" i="116"/>
  <c r="D11" i="102"/>
  <c r="D7" i="119"/>
  <c r="CF93" i="6"/>
  <c r="CF153" i="6" s="1"/>
  <c r="CM92" i="6"/>
  <c r="CM152" i="6"/>
  <c r="AD61" i="8"/>
  <c r="A61" i="8"/>
  <c r="B61" i="8"/>
  <c r="E28" i="119"/>
  <c r="C25" i="119"/>
  <c r="D6" i="119"/>
  <c r="DU93" i="6"/>
  <c r="CU93" i="6"/>
  <c r="CW93" i="6" s="1"/>
  <c r="CY93" i="6" s="1"/>
  <c r="DB93" i="6" s="1"/>
  <c r="CM93" i="6" l="1"/>
  <c r="CN93" i="6" s="1"/>
  <c r="DE93" i="6"/>
  <c r="D10" i="102"/>
  <c r="C35" i="69"/>
  <c r="D8" i="80"/>
  <c r="D9" i="80"/>
  <c r="D10" i="80"/>
  <c r="D11" i="80"/>
  <c r="D12" i="80"/>
  <c r="D7" i="80"/>
  <c r="C25" i="80"/>
  <c r="D8" i="85"/>
  <c r="D7" i="85"/>
  <c r="D7" i="103"/>
  <c r="D12" i="24"/>
  <c r="D14" i="57"/>
  <c r="D8" i="82"/>
  <c r="F13" i="12"/>
  <c r="G13" i="12" s="1"/>
  <c r="A47" i="8"/>
  <c r="B47" i="8"/>
  <c r="AD47" i="8"/>
  <c r="A77" i="8"/>
  <c r="B77" i="8"/>
  <c r="AD77" i="8"/>
  <c r="A92" i="8"/>
  <c r="B92" i="8"/>
  <c r="AD92" i="8"/>
  <c r="B19" i="8"/>
  <c r="K42" i="12"/>
  <c r="E43" i="38"/>
  <c r="D24" i="78"/>
  <c r="CD8" i="6"/>
  <c r="CD2" i="6"/>
  <c r="CD71" i="6"/>
  <c r="CD4" i="6"/>
  <c r="D16" i="52"/>
  <c r="D26" i="21"/>
  <c r="D18" i="23"/>
  <c r="CD11" i="6"/>
  <c r="D11" i="97" l="1"/>
  <c r="D7" i="92"/>
  <c r="CD80" i="6"/>
  <c r="CD76" i="6"/>
  <c r="D25" i="19"/>
  <c r="CD21" i="6"/>
  <c r="D12" i="48"/>
  <c r="F73" i="12"/>
  <c r="G73" i="12" s="1"/>
  <c r="L73" i="12" s="1"/>
  <c r="D8" i="39"/>
  <c r="D9" i="39"/>
  <c r="D7" i="39"/>
  <c r="C9" i="50"/>
  <c r="D10" i="89"/>
  <c r="CD12" i="6"/>
  <c r="G3" i="13"/>
  <c r="H3" i="13" s="1"/>
  <c r="G4" i="13"/>
  <c r="H4" i="13" s="1"/>
  <c r="G5" i="13"/>
  <c r="H5" i="13" s="1"/>
  <c r="G6" i="13"/>
  <c r="H6" i="13" s="1"/>
  <c r="G7" i="13"/>
  <c r="H7" i="13" s="1"/>
  <c r="G8" i="13"/>
  <c r="H8" i="13" s="1"/>
  <c r="G9" i="13"/>
  <c r="H9" i="13" s="1"/>
  <c r="G10" i="13"/>
  <c r="H10" i="13" s="1"/>
  <c r="G11" i="13"/>
  <c r="H11" i="13" s="1"/>
  <c r="G12" i="13"/>
  <c r="H12" i="13" s="1"/>
  <c r="G13" i="13"/>
  <c r="H13" i="13" s="1"/>
  <c r="G14" i="13"/>
  <c r="H14" i="13" s="1"/>
  <c r="G15" i="13"/>
  <c r="H15" i="13" s="1"/>
  <c r="G16" i="13"/>
  <c r="H16" i="13" s="1"/>
  <c r="G17" i="13"/>
  <c r="H17" i="13" s="1"/>
  <c r="G18" i="13"/>
  <c r="H18" i="13" s="1"/>
  <c r="G19" i="13"/>
  <c r="H19" i="13" s="1"/>
  <c r="G20" i="13"/>
  <c r="H20" i="13" s="1"/>
  <c r="G21" i="13"/>
  <c r="H21" i="13" s="1"/>
  <c r="G22" i="13"/>
  <c r="H22" i="13" s="1"/>
  <c r="G23" i="13"/>
  <c r="H23" i="13" s="1"/>
  <c r="G24" i="13"/>
  <c r="H24" i="13" s="1"/>
  <c r="G25" i="13"/>
  <c r="H25" i="13" s="1"/>
  <c r="G26" i="13"/>
  <c r="H26" i="13" s="1"/>
  <c r="G27" i="13"/>
  <c r="H27" i="13" s="1"/>
  <c r="G28" i="13"/>
  <c r="H28" i="13" s="1"/>
  <c r="G29" i="13"/>
  <c r="H29" i="13" s="1"/>
  <c r="G30" i="13"/>
  <c r="H30" i="13" s="1"/>
  <c r="G31" i="13"/>
  <c r="H31" i="13" s="1"/>
  <c r="G32" i="13"/>
  <c r="H32" i="13" s="1"/>
  <c r="G33" i="13"/>
  <c r="H33" i="13" s="1"/>
  <c r="G34" i="13"/>
  <c r="H34" i="13" s="1"/>
  <c r="G35" i="13"/>
  <c r="H35" i="13" s="1"/>
  <c r="G36" i="13"/>
  <c r="H36" i="13" s="1"/>
  <c r="G37" i="13"/>
  <c r="H37" i="13" s="1"/>
  <c r="G38" i="13"/>
  <c r="H38" i="13" s="1"/>
  <c r="G39" i="13"/>
  <c r="H39" i="13" s="1"/>
  <c r="G40" i="13"/>
  <c r="H40" i="13" s="1"/>
  <c r="G41" i="13"/>
  <c r="H41" i="13" s="1"/>
  <c r="G42" i="13"/>
  <c r="H42" i="13" s="1"/>
  <c r="G43" i="13"/>
  <c r="H43" i="13" s="1"/>
  <c r="G44" i="13"/>
  <c r="H44" i="13" s="1"/>
  <c r="G45" i="13"/>
  <c r="H45" i="13" s="1"/>
  <c r="G46" i="13"/>
  <c r="H46" i="13" s="1"/>
  <c r="G47" i="13"/>
  <c r="H47" i="13" s="1"/>
  <c r="G48" i="13"/>
  <c r="H48" i="13" s="1"/>
  <c r="G49" i="13"/>
  <c r="H49" i="13" s="1"/>
  <c r="G50" i="13"/>
  <c r="H50" i="13" s="1"/>
  <c r="G51" i="13"/>
  <c r="H51" i="13" s="1"/>
  <c r="G52" i="13"/>
  <c r="H52" i="13" s="1"/>
  <c r="G53" i="13"/>
  <c r="H53" i="13" s="1"/>
  <c r="G54" i="13"/>
  <c r="H54" i="13" s="1"/>
  <c r="G55" i="13"/>
  <c r="H55" i="13" s="1"/>
  <c r="G56" i="13"/>
  <c r="H56" i="13" s="1"/>
  <c r="G57" i="13"/>
  <c r="H57" i="13" s="1"/>
  <c r="G58" i="13"/>
  <c r="H58" i="13" s="1"/>
  <c r="G59" i="13"/>
  <c r="H59" i="13" s="1"/>
  <c r="G60" i="13"/>
  <c r="H60" i="13" s="1"/>
  <c r="G61" i="13"/>
  <c r="H61" i="13" s="1"/>
  <c r="G62" i="13"/>
  <c r="H62" i="13" s="1"/>
  <c r="G63" i="13"/>
  <c r="H63" i="13" s="1"/>
  <c r="G64" i="13"/>
  <c r="H64" i="13" s="1"/>
  <c r="G65" i="13"/>
  <c r="H65" i="13" s="1"/>
  <c r="G66" i="13"/>
  <c r="H66" i="13" s="1"/>
  <c r="G67" i="13"/>
  <c r="H67" i="13" s="1"/>
  <c r="G68" i="13"/>
  <c r="H68" i="13" s="1"/>
  <c r="G69" i="13"/>
  <c r="H69" i="13" s="1"/>
  <c r="G70" i="13"/>
  <c r="H70" i="13" s="1"/>
  <c r="G71" i="13"/>
  <c r="H71" i="13" s="1"/>
  <c r="G72" i="13"/>
  <c r="H72" i="13" s="1"/>
  <c r="G73" i="13"/>
  <c r="H73" i="13" s="1"/>
  <c r="G74" i="13"/>
  <c r="H74" i="13" s="1"/>
  <c r="G75" i="13"/>
  <c r="H75" i="13" s="1"/>
  <c r="G76" i="13"/>
  <c r="H76" i="13" s="1"/>
  <c r="G77" i="13"/>
  <c r="H77" i="13" s="1"/>
  <c r="G78" i="13"/>
  <c r="H78" i="13" s="1"/>
  <c r="G79" i="13"/>
  <c r="H79" i="13" s="1"/>
  <c r="G80" i="13"/>
  <c r="H80" i="13" s="1"/>
  <c r="G81" i="13"/>
  <c r="H81" i="13" s="1"/>
  <c r="G82" i="13"/>
  <c r="H82" i="13" s="1"/>
  <c r="G83" i="13"/>
  <c r="H83" i="13" s="1"/>
  <c r="G84" i="13"/>
  <c r="H84" i="13" s="1"/>
  <c r="G85" i="13"/>
  <c r="H85" i="13" s="1"/>
  <c r="G86" i="13"/>
  <c r="H86" i="13" s="1"/>
  <c r="G87" i="13"/>
  <c r="H87" i="13" s="1"/>
  <c r="G88" i="13"/>
  <c r="H88" i="13" s="1"/>
  <c r="G89" i="13"/>
  <c r="H89" i="13" s="1"/>
  <c r="G90" i="13"/>
  <c r="H90" i="13" s="1"/>
  <c r="G2" i="13"/>
  <c r="H2" i="13" s="1"/>
  <c r="C16" i="38"/>
  <c r="C15" i="38"/>
  <c r="D6" i="32"/>
  <c r="C35" i="32"/>
  <c r="D7" i="94"/>
  <c r="C14" i="47"/>
  <c r="C23" i="33"/>
  <c r="C22" i="33"/>
  <c r="C21" i="33"/>
  <c r="C20" i="33"/>
  <c r="C19" i="33"/>
  <c r="C13" i="33"/>
  <c r="D27" i="18"/>
  <c r="CD89" i="6"/>
  <c r="CD5" i="6"/>
  <c r="CD86" i="6"/>
  <c r="C17" i="37"/>
  <c r="C14" i="37"/>
  <c r="C21" i="38"/>
  <c r="D7" i="40"/>
  <c r="C13" i="41"/>
  <c r="C16" i="43"/>
  <c r="C15" i="43"/>
  <c r="C13" i="43"/>
  <c r="C11" i="43"/>
  <c r="C27" i="44"/>
  <c r="C20" i="44"/>
  <c r="C15" i="44"/>
  <c r="C13" i="44"/>
  <c r="C12" i="44"/>
  <c r="C11" i="44"/>
  <c r="C12" i="45"/>
  <c r="D8" i="35"/>
  <c r="D9" i="35" s="1"/>
  <c r="D10" i="35" s="1"/>
  <c r="D11" i="35" s="1"/>
  <c r="D12" i="35" s="1"/>
  <c r="D13" i="35" s="1"/>
  <c r="D7" i="35"/>
  <c r="C16" i="34"/>
  <c r="C14" i="34"/>
  <c r="C14" i="32"/>
  <c r="D11" i="67"/>
  <c r="D10" i="30"/>
  <c r="D11" i="30"/>
  <c r="D12" i="30"/>
  <c r="D13" i="30"/>
  <c r="D14" i="30"/>
  <c r="D15" i="30"/>
  <c r="C10" i="30"/>
  <c r="D10" i="52"/>
  <c r="D11" i="52"/>
  <c r="D12" i="52" s="1"/>
  <c r="D13" i="52" s="1"/>
  <c r="D14" i="52" s="1"/>
  <c r="D15" i="52" s="1"/>
  <c r="D12" i="29"/>
  <c r="C18" i="29"/>
  <c r="C16" i="29"/>
  <c r="C14" i="29"/>
  <c r="C17" i="27"/>
  <c r="C36" i="26"/>
  <c r="C30" i="26"/>
  <c r="C26" i="26"/>
  <c r="C15" i="26"/>
  <c r="D17" i="23"/>
  <c r="CD7" i="6"/>
  <c r="D35" i="20"/>
  <c r="E28" i="116"/>
  <c r="C25" i="116"/>
  <c r="D6" i="116"/>
  <c r="CN92" i="6"/>
  <c r="CD62" i="6"/>
  <c r="CU92" i="6"/>
  <c r="DU92" i="6"/>
  <c r="DU90" i="6"/>
  <c r="CU90" i="6"/>
  <c r="CW90" i="6" s="1"/>
  <c r="CM90" i="6"/>
  <c r="CN90" i="6" s="1"/>
  <c r="D6" i="114"/>
  <c r="E28" i="114"/>
  <c r="C25" i="114"/>
  <c r="F74" i="12" l="1"/>
  <c r="G74" i="12" s="1"/>
  <c r="L74" i="12" s="1"/>
  <c r="F75" i="12" s="1"/>
  <c r="CW92" i="6"/>
  <c r="CY90" i="6"/>
  <c r="DB90" i="6" s="1"/>
  <c r="DE90" i="6" s="1"/>
  <c r="CY92" i="6" l="1"/>
  <c r="DB92" i="6" s="1"/>
  <c r="DE92" i="6" s="1"/>
  <c r="D11" i="48" l="1"/>
  <c r="C13" i="49"/>
  <c r="C11" i="49"/>
  <c r="C11" i="52"/>
  <c r="C14" i="52"/>
  <c r="C35" i="52"/>
  <c r="C17" i="54"/>
  <c r="C13" i="54"/>
  <c r="C35" i="54" s="1"/>
  <c r="C10" i="57"/>
  <c r="C12" i="58"/>
  <c r="C35" i="58"/>
  <c r="C7" i="66"/>
  <c r="C17" i="68"/>
  <c r="C35" i="68" s="1"/>
  <c r="C24" i="72"/>
  <c r="C22" i="72"/>
  <c r="C20" i="72"/>
  <c r="C17" i="72"/>
  <c r="C13" i="72"/>
  <c r="D12" i="28"/>
  <c r="D13" i="28"/>
  <c r="D14" i="28" s="1"/>
  <c r="C35" i="25"/>
  <c r="C32" i="25"/>
  <c r="C29" i="25"/>
  <c r="C7" i="60"/>
  <c r="C13" i="62"/>
  <c r="C35" i="62" s="1"/>
  <c r="C10" i="62"/>
  <c r="C8" i="62"/>
  <c r="C15" i="23"/>
  <c r="C13" i="23"/>
  <c r="C12" i="23"/>
  <c r="D12" i="22"/>
  <c r="D13" i="22"/>
  <c r="D10" i="24"/>
  <c r="D11" i="24" s="1"/>
  <c r="C24" i="21"/>
  <c r="C22" i="21"/>
  <c r="C18" i="21"/>
  <c r="C17" i="21"/>
  <c r="C14" i="21"/>
  <c r="C29" i="20"/>
  <c r="C27" i="20"/>
  <c r="C22" i="20"/>
  <c r="C6" i="19"/>
  <c r="D6" i="19" s="1"/>
  <c r="D7" i="19" s="1"/>
  <c r="D8" i="19" s="1"/>
  <c r="D9" i="19" s="1"/>
  <c r="D10" i="19" s="1"/>
  <c r="D11" i="19" s="1"/>
  <c r="D12" i="19" s="1"/>
  <c r="D13" i="19" s="1"/>
  <c r="D14" i="19" s="1"/>
  <c r="D15" i="19" s="1"/>
  <c r="D16" i="19" s="1"/>
  <c r="D17" i="19" s="1"/>
  <c r="D18" i="19" s="1"/>
  <c r="D19" i="19" s="1"/>
  <c r="D20" i="19" s="1"/>
  <c r="D21" i="19" s="1"/>
  <c r="D22" i="19" s="1"/>
  <c r="D23" i="19" s="1"/>
  <c r="D24" i="19" s="1"/>
  <c r="C23" i="18"/>
  <c r="C22" i="18"/>
  <c r="C21" i="18"/>
  <c r="C20" i="18"/>
  <c r="C18" i="18"/>
  <c r="D7" i="88"/>
  <c r="E28" i="89"/>
  <c r="C25" i="85"/>
  <c r="C25" i="86"/>
  <c r="C25" i="90"/>
  <c r="C25" i="92"/>
  <c r="C25" i="93"/>
  <c r="C25" i="94"/>
  <c r="C25" i="97"/>
  <c r="C25" i="98"/>
  <c r="D7" i="100"/>
  <c r="D8" i="102"/>
  <c r="D9" i="102" s="1"/>
  <c r="D7" i="102"/>
  <c r="C25" i="102"/>
  <c r="C25" i="103"/>
  <c r="C25" i="105"/>
  <c r="C25" i="104"/>
  <c r="C25" i="91"/>
  <c r="C25" i="106"/>
  <c r="C25" i="100"/>
  <c r="C25" i="99"/>
  <c r="C26" i="107"/>
  <c r="C25" i="51"/>
  <c r="E28" i="51"/>
  <c r="D6" i="51"/>
  <c r="E29" i="107"/>
  <c r="E28" i="106"/>
  <c r="E28" i="105"/>
  <c r="E28" i="104"/>
  <c r="E28" i="103"/>
  <c r="E28" i="102"/>
  <c r="E28" i="100"/>
  <c r="E28" i="99"/>
  <c r="E28" i="98"/>
  <c r="E28" i="97"/>
  <c r="E28" i="96"/>
  <c r="C25" i="95"/>
  <c r="E28" i="95"/>
  <c r="E28" i="94"/>
  <c r="E28" i="93"/>
  <c r="E28" i="92"/>
  <c r="E28" i="91"/>
  <c r="E28" i="90"/>
  <c r="E28" i="86"/>
  <c r="E28" i="85"/>
  <c r="E28" i="84"/>
  <c r="E28" i="88"/>
  <c r="E28" i="87"/>
  <c r="E28" i="83"/>
  <c r="E28" i="82"/>
  <c r="E28" i="79"/>
  <c r="E38" i="78"/>
  <c r="E38" i="77"/>
  <c r="E38" i="76"/>
  <c r="E38" i="75"/>
  <c r="E38" i="73"/>
  <c r="E38" i="74"/>
  <c r="E38" i="63"/>
  <c r="E38" i="62"/>
  <c r="E38" i="71"/>
  <c r="E38" i="61"/>
  <c r="E38" i="60"/>
  <c r="E38" i="69"/>
  <c r="E38" i="72"/>
  <c r="E38" i="68"/>
  <c r="E38" i="67"/>
  <c r="E38" i="59"/>
  <c r="E38" i="58"/>
  <c r="E38" i="57"/>
  <c r="E38" i="56"/>
  <c r="E38" i="55"/>
  <c r="E38" i="54"/>
  <c r="E38" i="53"/>
  <c r="E38" i="52"/>
  <c r="E38" i="11"/>
  <c r="E38" i="50"/>
  <c r="E38" i="49"/>
  <c r="E38" i="48"/>
  <c r="E38" i="47"/>
  <c r="E38" i="46"/>
  <c r="E38" i="45"/>
  <c r="E38" i="44"/>
  <c r="E38" i="43"/>
  <c r="E38" i="41"/>
  <c r="E38" i="42"/>
  <c r="E38" i="40"/>
  <c r="E38" i="37"/>
  <c r="E38" i="36"/>
  <c r="E38" i="35"/>
  <c r="E38" i="34"/>
  <c r="E38" i="33"/>
  <c r="E38" i="32"/>
  <c r="E38" i="31"/>
  <c r="E38" i="30"/>
  <c r="E38" i="29"/>
  <c r="E38" i="28"/>
  <c r="E38" i="27"/>
  <c r="E48" i="26"/>
  <c r="E46" i="25"/>
  <c r="E38" i="23"/>
  <c r="E38" i="22"/>
  <c r="E38" i="24"/>
  <c r="E43" i="21"/>
  <c r="E48" i="20"/>
  <c r="E38" i="19"/>
  <c r="E39" i="18"/>
  <c r="C71" i="15"/>
  <c r="E74" i="15"/>
  <c r="C18" i="17"/>
  <c r="C35" i="17" s="1"/>
  <c r="E50" i="110"/>
  <c r="E38" i="17"/>
  <c r="C47" i="110"/>
  <c r="AJ3" i="21"/>
  <c r="AI3" i="29"/>
  <c r="AR3" i="30"/>
  <c r="AA3" i="30"/>
  <c r="BI28" i="6"/>
  <c r="BL28" i="6"/>
  <c r="BM28" i="6" s="1"/>
  <c r="CM28" i="6"/>
  <c r="DU28" i="6"/>
  <c r="D6" i="17"/>
  <c r="D7" i="17" s="1"/>
  <c r="D8" i="17" s="1"/>
  <c r="D9" i="17" s="1"/>
  <c r="D10" i="17" s="1"/>
  <c r="D11" i="17" s="1"/>
  <c r="D12" i="17" s="1"/>
  <c r="D13" i="17" s="1"/>
  <c r="D14" i="17" s="1"/>
  <c r="D15" i="17" s="1"/>
  <c r="D16" i="17" s="1"/>
  <c r="D17" i="17" s="1"/>
  <c r="D6" i="15"/>
  <c r="D7" i="15" s="1"/>
  <c r="D8" i="15" s="1"/>
  <c r="D9" i="15" s="1"/>
  <c r="D10" i="15" s="1"/>
  <c r="D11" i="15" s="1"/>
  <c r="D12" i="15" s="1"/>
  <c r="D13" i="15" s="1"/>
  <c r="D14" i="15" s="1"/>
  <c r="D15" i="15" s="1"/>
  <c r="D16" i="15" s="1"/>
  <c r="D17" i="15" s="1"/>
  <c r="D18" i="15" s="1"/>
  <c r="D19" i="15" s="1"/>
  <c r="D20" i="15" s="1"/>
  <c r="D21" i="15" s="1"/>
  <c r="D22" i="15" s="1"/>
  <c r="D23" i="15" s="1"/>
  <c r="D24" i="15" s="1"/>
  <c r="D25" i="15" s="1"/>
  <c r="D26" i="15" s="1"/>
  <c r="D27" i="15" s="1"/>
  <c r="D28" i="15" s="1"/>
  <c r="D29" i="15" s="1"/>
  <c r="D30" i="15" s="1"/>
  <c r="D31" i="15" s="1"/>
  <c r="D32" i="15" s="1"/>
  <c r="D33" i="15" s="1"/>
  <c r="D34" i="15" s="1"/>
  <c r="D35" i="15" s="1"/>
  <c r="D36" i="15" s="1"/>
  <c r="D37" i="15" s="1"/>
  <c r="D38" i="15" s="1"/>
  <c r="D39" i="15" s="1"/>
  <c r="D40" i="15" s="1"/>
  <c r="D41" i="15" s="1"/>
  <c r="D42" i="15" s="1"/>
  <c r="D43" i="15" s="1"/>
  <c r="D44" i="15" s="1"/>
  <c r="D45" i="15" s="1"/>
  <c r="D46" i="15" s="1"/>
  <c r="D47" i="15" s="1"/>
  <c r="D48" i="15" s="1"/>
  <c r="D49" i="15" s="1"/>
  <c r="D50" i="15" s="1"/>
  <c r="D51" i="15" s="1"/>
  <c r="D52" i="15" s="1"/>
  <c r="D53" i="15" s="1"/>
  <c r="D54" i="15" s="1"/>
  <c r="D55" i="15" s="1"/>
  <c r="D56" i="15" s="1"/>
  <c r="D57" i="15" s="1"/>
  <c r="D58" i="15" s="1"/>
  <c r="D59" i="15" s="1"/>
  <c r="D60" i="15" s="1"/>
  <c r="D61" i="15" s="1"/>
  <c r="D62" i="15" s="1"/>
  <c r="D63" i="15" s="1"/>
  <c r="D64" i="15" s="1"/>
  <c r="D65" i="15" s="1"/>
  <c r="D66" i="15" s="1"/>
  <c r="D67" i="15" s="1"/>
  <c r="D68" i="15" s="1"/>
  <c r="D7" i="18"/>
  <c r="D8" i="18" s="1"/>
  <c r="D9" i="18" s="1"/>
  <c r="D10" i="18" s="1"/>
  <c r="D11" i="18" s="1"/>
  <c r="D12" i="18" s="1"/>
  <c r="D13" i="18" s="1"/>
  <c r="D14" i="18" s="1"/>
  <c r="D15" i="18" s="1"/>
  <c r="D16" i="18" s="1"/>
  <c r="D17" i="18" s="1"/>
  <c r="D6" i="20"/>
  <c r="D7" i="20" s="1"/>
  <c r="D8" i="20" s="1"/>
  <c r="D9" i="20" s="1"/>
  <c r="D10" i="20" s="1"/>
  <c r="D11" i="20" s="1"/>
  <c r="D12" i="20" s="1"/>
  <c r="D13" i="20" s="1"/>
  <c r="D14" i="20" s="1"/>
  <c r="D15" i="20" s="1"/>
  <c r="D16" i="20" s="1"/>
  <c r="D17" i="20" s="1"/>
  <c r="D18" i="20" s="1"/>
  <c r="D19" i="20" s="1"/>
  <c r="D20" i="20" s="1"/>
  <c r="D21" i="20" s="1"/>
  <c r="D6" i="21"/>
  <c r="D7" i="21" s="1"/>
  <c r="D8" i="21" s="1"/>
  <c r="D9" i="21" s="1"/>
  <c r="D10" i="21" s="1"/>
  <c r="D11" i="21" s="1"/>
  <c r="D12" i="21" s="1"/>
  <c r="D13" i="21" s="1"/>
  <c r="D14" i="21" s="1"/>
  <c r="D15" i="21" s="1"/>
  <c r="D16" i="21" s="1"/>
  <c r="D17" i="21" s="1"/>
  <c r="D18" i="21" s="1"/>
  <c r="D19" i="21" s="1"/>
  <c r="D20" i="21" s="1"/>
  <c r="D21" i="21" s="1"/>
  <c r="D22" i="21" s="1"/>
  <c r="D23" i="21" s="1"/>
  <c r="D24" i="21" s="1"/>
  <c r="D25" i="21" s="1"/>
  <c r="C35" i="24"/>
  <c r="D6" i="24"/>
  <c r="D7" i="24" s="1"/>
  <c r="D8" i="24" s="1"/>
  <c r="D9" i="24" s="1"/>
  <c r="C35" i="22"/>
  <c r="D6" i="22"/>
  <c r="D7" i="22" s="1"/>
  <c r="D8" i="22" s="1"/>
  <c r="D9" i="22" s="1"/>
  <c r="D10" i="22" s="1"/>
  <c r="D11" i="22" s="1"/>
  <c r="D6" i="23"/>
  <c r="D7" i="23" s="1"/>
  <c r="D8" i="23" s="1"/>
  <c r="D9" i="23" s="1"/>
  <c r="D10" i="23" s="1"/>
  <c r="D11" i="23" s="1"/>
  <c r="D12" i="23" s="1"/>
  <c r="D5" i="25"/>
  <c r="D6" i="25" s="1"/>
  <c r="D7" i="25" s="1"/>
  <c r="D8" i="25" s="1"/>
  <c r="D9" i="25" s="1"/>
  <c r="D10" i="25" s="1"/>
  <c r="D11" i="25" s="1"/>
  <c r="D12" i="25" s="1"/>
  <c r="D13" i="25" s="1"/>
  <c r="D14" i="25" s="1"/>
  <c r="D15" i="25" s="1"/>
  <c r="D16" i="25" s="1"/>
  <c r="D17" i="25" s="1"/>
  <c r="D18" i="25" s="1"/>
  <c r="D19" i="25" s="1"/>
  <c r="D20" i="25" s="1"/>
  <c r="D21" i="25" s="1"/>
  <c r="D22" i="25" s="1"/>
  <c r="D23" i="25" s="1"/>
  <c r="D24" i="25" s="1"/>
  <c r="D25" i="25" s="1"/>
  <c r="D26" i="25" s="1"/>
  <c r="D27" i="25" s="1"/>
  <c r="D28" i="25" s="1"/>
  <c r="C45" i="26"/>
  <c r="D6" i="26"/>
  <c r="D7" i="26" s="1"/>
  <c r="D8" i="26" s="1"/>
  <c r="D9" i="26" s="1"/>
  <c r="D10" i="26" s="1"/>
  <c r="D11" i="26" s="1"/>
  <c r="D12" i="26" s="1"/>
  <c r="D13" i="26" s="1"/>
  <c r="D14" i="26" s="1"/>
  <c r="D15" i="26" s="1"/>
  <c r="D16" i="26" s="1"/>
  <c r="D17" i="26" s="1"/>
  <c r="D18" i="26" s="1"/>
  <c r="D19" i="26" s="1"/>
  <c r="D20" i="26" s="1"/>
  <c r="D21" i="26" s="1"/>
  <c r="D22" i="26" s="1"/>
  <c r="D23" i="26" s="1"/>
  <c r="D24" i="26" s="1"/>
  <c r="D25" i="26" s="1"/>
  <c r="D26" i="26" s="1"/>
  <c r="D27" i="26" s="1"/>
  <c r="D28" i="26" s="1"/>
  <c r="D29" i="26" s="1"/>
  <c r="D30" i="26" s="1"/>
  <c r="D31" i="26" s="1"/>
  <c r="D32" i="26" s="1"/>
  <c r="D33" i="26" s="1"/>
  <c r="D34" i="26" s="1"/>
  <c r="D35" i="26" s="1"/>
  <c r="D36" i="26" s="1"/>
  <c r="D37" i="26" s="1"/>
  <c r="D38" i="26" s="1"/>
  <c r="C35" i="27"/>
  <c r="D6" i="27"/>
  <c r="D7" i="27" s="1"/>
  <c r="D8" i="27" s="1"/>
  <c r="D9" i="27" s="1"/>
  <c r="D10" i="27" s="1"/>
  <c r="D11" i="27" s="1"/>
  <c r="D12" i="27" s="1"/>
  <c r="D13" i="27" s="1"/>
  <c r="D14" i="27" s="1"/>
  <c r="D15" i="27" s="1"/>
  <c r="D16" i="27" s="1"/>
  <c r="D17" i="27" s="1"/>
  <c r="D18" i="27" s="1"/>
  <c r="D19" i="27" s="1"/>
  <c r="D20" i="27" s="1"/>
  <c r="D21" i="27" s="1"/>
  <c r="C35" i="28"/>
  <c r="D6" i="28"/>
  <c r="D7" i="28" s="1"/>
  <c r="D8" i="28" s="1"/>
  <c r="D9" i="28" s="1"/>
  <c r="D10" i="28" s="1"/>
  <c r="D11" i="28" s="1"/>
  <c r="C35" i="29"/>
  <c r="D6" i="29"/>
  <c r="D7" i="29" s="1"/>
  <c r="D8" i="29" s="1"/>
  <c r="D9" i="29" s="1"/>
  <c r="D10" i="29" s="1"/>
  <c r="D11" i="29" s="1"/>
  <c r="D13" i="29" s="1"/>
  <c r="D14" i="29" s="1"/>
  <c r="D15" i="29" s="1"/>
  <c r="D16" i="29" s="1"/>
  <c r="D17" i="29" s="1"/>
  <c r="D18" i="29" s="1"/>
  <c r="D19" i="29" s="1"/>
  <c r="D20" i="29" s="1"/>
  <c r="C35" i="30"/>
  <c r="D6" i="30"/>
  <c r="D7" i="30" s="1"/>
  <c r="D8" i="30" s="1"/>
  <c r="D9" i="30" s="1"/>
  <c r="C35" i="31"/>
  <c r="D6" i="31"/>
  <c r="D7" i="31" s="1"/>
  <c r="D8" i="31" s="1"/>
  <c r="D9" i="31" s="1"/>
  <c r="D10" i="31" s="1"/>
  <c r="D11" i="31" s="1"/>
  <c r="D12" i="31" s="1"/>
  <c r="D13" i="31" s="1"/>
  <c r="D14" i="31" s="1"/>
  <c r="D15" i="31" s="1"/>
  <c r="D7" i="32"/>
  <c r="D8" i="32" s="1"/>
  <c r="D9" i="32" s="1"/>
  <c r="D10" i="32" s="1"/>
  <c r="D11" i="32" s="1"/>
  <c r="D12" i="32" s="1"/>
  <c r="D13" i="32" s="1"/>
  <c r="D14" i="32" s="1"/>
  <c r="D15" i="32" s="1"/>
  <c r="D16" i="32" s="1"/>
  <c r="D17" i="32" s="1"/>
  <c r="C35" i="33"/>
  <c r="D6" i="33"/>
  <c r="D7" i="33" s="1"/>
  <c r="D8" i="33" s="1"/>
  <c r="D9" i="33" s="1"/>
  <c r="D10" i="33" s="1"/>
  <c r="D11" i="33" s="1"/>
  <c r="D12" i="33" s="1"/>
  <c r="D13" i="33" s="1"/>
  <c r="D14" i="33" s="1"/>
  <c r="D15" i="33" s="1"/>
  <c r="D16" i="33" s="1"/>
  <c r="D17" i="33" s="1"/>
  <c r="D18" i="33" s="1"/>
  <c r="D19" i="33" s="1"/>
  <c r="D20" i="33" s="1"/>
  <c r="D21" i="33" s="1"/>
  <c r="D22" i="33" s="1"/>
  <c r="D23" i="33" s="1"/>
  <c r="D24" i="33" s="1"/>
  <c r="C35" i="34"/>
  <c r="D6" i="34"/>
  <c r="D7" i="34" s="1"/>
  <c r="D8" i="34" s="1"/>
  <c r="D9" i="34" s="1"/>
  <c r="D10" i="34" s="1"/>
  <c r="D11" i="34" s="1"/>
  <c r="D12" i="34" s="1"/>
  <c r="D13" i="34" s="1"/>
  <c r="D14" i="34" s="1"/>
  <c r="D15" i="34" s="1"/>
  <c r="D16" i="34" s="1"/>
  <c r="D17" i="34" s="1"/>
  <c r="D18" i="34" s="1"/>
  <c r="D19" i="34" s="1"/>
  <c r="C35" i="35"/>
  <c r="D6" i="35"/>
  <c r="C35" i="36"/>
  <c r="D6" i="36"/>
  <c r="D7" i="36" s="1"/>
  <c r="D8" i="36" s="1"/>
  <c r="D9" i="36" s="1"/>
  <c r="D10" i="36" s="1"/>
  <c r="C35" i="37"/>
  <c r="D6" i="37"/>
  <c r="D7" i="37" s="1"/>
  <c r="D8" i="37" s="1"/>
  <c r="D9" i="37" s="1"/>
  <c r="D10" i="37" s="1"/>
  <c r="D11" i="37" s="1"/>
  <c r="D12" i="37" s="1"/>
  <c r="D13" i="37" s="1"/>
  <c r="D14" i="37" s="1"/>
  <c r="D15" i="37" s="1"/>
  <c r="D16" i="37" s="1"/>
  <c r="D17" i="37" s="1"/>
  <c r="D18" i="37" s="1"/>
  <c r="D19" i="37" s="1"/>
  <c r="C40" i="38"/>
  <c r="D6" i="38"/>
  <c r="D7" i="38" s="1"/>
  <c r="D8" i="38" s="1"/>
  <c r="D9" i="38" s="1"/>
  <c r="D10" i="38" s="1"/>
  <c r="D11" i="38" s="1"/>
  <c r="D12" i="38" s="1"/>
  <c r="D13" i="38" s="1"/>
  <c r="D14" i="38" s="1"/>
  <c r="D15" i="38" s="1"/>
  <c r="D16" i="38" s="1"/>
  <c r="D17" i="38" s="1"/>
  <c r="D18" i="38" s="1"/>
  <c r="D19" i="38" s="1"/>
  <c r="D20" i="38" s="1"/>
  <c r="D21" i="38" s="1"/>
  <c r="D22" i="38" s="1"/>
  <c r="D23" i="38" s="1"/>
  <c r="D24" i="38" s="1"/>
  <c r="D25" i="38" s="1"/>
  <c r="D26" i="38" s="1"/>
  <c r="D27" i="38" s="1"/>
  <c r="D28" i="38" s="1"/>
  <c r="D29" i="38" s="1"/>
  <c r="D30" i="38" s="1"/>
  <c r="D31" i="38" s="1"/>
  <c r="D32" i="38" s="1"/>
  <c r="D33" i="38" s="1"/>
  <c r="D34" i="38" s="1"/>
  <c r="D35" i="38" s="1"/>
  <c r="D36" i="38" s="1"/>
  <c r="C35" i="39"/>
  <c r="D6" i="39"/>
  <c r="C35" i="40"/>
  <c r="D6" i="40"/>
  <c r="C35" i="42"/>
  <c r="D6" i="42"/>
  <c r="D7" i="42" s="1"/>
  <c r="C35" i="41"/>
  <c r="D6" i="41"/>
  <c r="D7" i="41" s="1"/>
  <c r="D8" i="41" s="1"/>
  <c r="D9" i="41" s="1"/>
  <c r="D10" i="41" s="1"/>
  <c r="D11" i="41" s="1"/>
  <c r="D12" i="41" s="1"/>
  <c r="D13" i="41" s="1"/>
  <c r="D14" i="41" s="1"/>
  <c r="D15" i="41" s="1"/>
  <c r="D16" i="41" s="1"/>
  <c r="C35" i="43"/>
  <c r="D6" i="43"/>
  <c r="D7" i="43" s="1"/>
  <c r="D8" i="43" s="1"/>
  <c r="D9" i="43" s="1"/>
  <c r="D10" i="43" s="1"/>
  <c r="D11" i="43" s="1"/>
  <c r="D12" i="43" s="1"/>
  <c r="D13" i="43" s="1"/>
  <c r="D14" i="43" s="1"/>
  <c r="D15" i="43" s="1"/>
  <c r="D16" i="43" s="1"/>
  <c r="D17" i="43" s="1"/>
  <c r="D18" i="43" s="1"/>
  <c r="D19" i="43" s="1"/>
  <c r="D20" i="43" s="1"/>
  <c r="D21" i="43" s="1"/>
  <c r="C35" i="44"/>
  <c r="D6" i="44"/>
  <c r="D7" i="44" s="1"/>
  <c r="D8" i="44" s="1"/>
  <c r="D9" i="44" s="1"/>
  <c r="D10" i="44" s="1"/>
  <c r="D11" i="44" s="1"/>
  <c r="D12" i="44" s="1"/>
  <c r="D13" i="44" s="1"/>
  <c r="D14" i="44" s="1"/>
  <c r="D15" i="44" s="1"/>
  <c r="D16" i="44" s="1"/>
  <c r="D17" i="44" s="1"/>
  <c r="D18" i="44" s="1"/>
  <c r="D19" i="44" s="1"/>
  <c r="D20" i="44" s="1"/>
  <c r="D21" i="44" s="1"/>
  <c r="D22" i="44" s="1"/>
  <c r="D23" i="44" s="1"/>
  <c r="D24" i="44" s="1"/>
  <c r="D25" i="44" s="1"/>
  <c r="D26" i="44" s="1"/>
  <c r="D27" i="44" s="1"/>
  <c r="D28" i="44" s="1"/>
  <c r="C35" i="45"/>
  <c r="D6" i="45"/>
  <c r="D7" i="45" s="1"/>
  <c r="D8" i="45" s="1"/>
  <c r="D9" i="45" s="1"/>
  <c r="D10" i="45" s="1"/>
  <c r="D11" i="45" s="1"/>
  <c r="D12" i="45" s="1"/>
  <c r="D13" i="45" s="1"/>
  <c r="D14" i="45" s="1"/>
  <c r="C35" i="46"/>
  <c r="D6" i="46"/>
  <c r="D7" i="46" s="1"/>
  <c r="D8" i="46" s="1"/>
  <c r="C35" i="47"/>
  <c r="D6" i="47"/>
  <c r="D7" i="47" s="1"/>
  <c r="D8" i="47" s="1"/>
  <c r="D9" i="47" s="1"/>
  <c r="D10" i="47" s="1"/>
  <c r="D11" i="47" s="1"/>
  <c r="D12" i="47" s="1"/>
  <c r="D13" i="47" s="1"/>
  <c r="D14" i="47" s="1"/>
  <c r="D15" i="47" s="1"/>
  <c r="D16" i="47" s="1"/>
  <c r="D17" i="47" s="1"/>
  <c r="D18" i="47" s="1"/>
  <c r="C35" i="48"/>
  <c r="D6" i="48"/>
  <c r="D7" i="48" s="1"/>
  <c r="D8" i="48" s="1"/>
  <c r="D9" i="48" s="1"/>
  <c r="D10" i="48" s="1"/>
  <c r="C35" i="49"/>
  <c r="D6" i="49"/>
  <c r="D7" i="49" s="1"/>
  <c r="D8" i="49" s="1"/>
  <c r="D9" i="49" s="1"/>
  <c r="D10" i="49" s="1"/>
  <c r="C35" i="50"/>
  <c r="D6" i="50"/>
  <c r="D7" i="50" s="1"/>
  <c r="D8" i="50" s="1"/>
  <c r="D9" i="50" s="1"/>
  <c r="C35" i="11"/>
  <c r="D6" i="11"/>
  <c r="D7" i="11" s="1"/>
  <c r="D8" i="11" s="1"/>
  <c r="D9" i="11" s="1"/>
  <c r="D10" i="11" s="1"/>
  <c r="D11" i="11" s="1"/>
  <c r="D12" i="11" s="1"/>
  <c r="D13" i="11" s="1"/>
  <c r="D14" i="11" s="1"/>
  <c r="D15" i="11" s="1"/>
  <c r="D16" i="11" s="1"/>
  <c r="D6" i="52"/>
  <c r="D7" i="52" s="1"/>
  <c r="D8" i="52" s="1"/>
  <c r="D9" i="52" s="1"/>
  <c r="C35" i="53"/>
  <c r="D6" i="53"/>
  <c r="D7" i="53" s="1"/>
  <c r="D8" i="53" s="1"/>
  <c r="D9" i="53" s="1"/>
  <c r="D10" i="53" s="1"/>
  <c r="D11" i="53" s="1"/>
  <c r="D6" i="54"/>
  <c r="D7" i="54" s="1"/>
  <c r="D8" i="54" s="1"/>
  <c r="D9" i="54" s="1"/>
  <c r="D10" i="54" s="1"/>
  <c r="D11" i="54" s="1"/>
  <c r="D12" i="54" s="1"/>
  <c r="D13" i="54" s="1"/>
  <c r="D14" i="54" s="1"/>
  <c r="D15" i="54" s="1"/>
  <c r="D16" i="54" s="1"/>
  <c r="D17" i="54" s="1"/>
  <c r="D18" i="54" s="1"/>
  <c r="D19" i="54" s="1"/>
  <c r="C35" i="55"/>
  <c r="D6" i="55"/>
  <c r="D7" i="55" s="1"/>
  <c r="D8" i="55" s="1"/>
  <c r="D9" i="55" s="1"/>
  <c r="D10" i="55" s="1"/>
  <c r="D11" i="55" s="1"/>
  <c r="C35" i="66"/>
  <c r="D6" i="66"/>
  <c r="D7" i="66" s="1"/>
  <c r="D8" i="66" s="1"/>
  <c r="D9" i="66" s="1"/>
  <c r="C35" i="67"/>
  <c r="D6" i="67"/>
  <c r="D7" i="67" s="1"/>
  <c r="D8" i="67" s="1"/>
  <c r="D9" i="67" s="1"/>
  <c r="D10" i="67" s="1"/>
  <c r="D6" i="68"/>
  <c r="D7" i="68" s="1"/>
  <c r="D8" i="68" s="1"/>
  <c r="D9" i="68" s="1"/>
  <c r="D10" i="68" s="1"/>
  <c r="D11" i="68" s="1"/>
  <c r="D12" i="68" s="1"/>
  <c r="D13" i="68" s="1"/>
  <c r="D14" i="68" s="1"/>
  <c r="D15" i="68" s="1"/>
  <c r="D16" i="68" s="1"/>
  <c r="D17" i="68" s="1"/>
  <c r="D18" i="68" s="1"/>
  <c r="C35" i="56"/>
  <c r="D6" i="56"/>
  <c r="D7" i="56" s="1"/>
  <c r="D8" i="56" s="1"/>
  <c r="D9" i="56" s="1"/>
  <c r="D10" i="56" s="1"/>
  <c r="D11" i="56" s="1"/>
  <c r="C35" i="57"/>
  <c r="D6" i="57"/>
  <c r="D7" i="57" s="1"/>
  <c r="D8" i="57" s="1"/>
  <c r="D9" i="57" s="1"/>
  <c r="D10" i="57" s="1"/>
  <c r="D11" i="57" s="1"/>
  <c r="D12" i="57" s="1"/>
  <c r="D13" i="57" s="1"/>
  <c r="D6" i="58"/>
  <c r="D7" i="58" s="1"/>
  <c r="D8" i="58" s="1"/>
  <c r="D9" i="58" s="1"/>
  <c r="D10" i="58" s="1"/>
  <c r="D11" i="58" s="1"/>
  <c r="C35" i="59"/>
  <c r="D6" i="59"/>
  <c r="D7" i="59" s="1"/>
  <c r="D8" i="59" s="1"/>
  <c r="D9" i="59" s="1"/>
  <c r="D10" i="59" s="1"/>
  <c r="D6" i="72"/>
  <c r="D7" i="72" s="1"/>
  <c r="D8" i="72" s="1"/>
  <c r="D9" i="72" s="1"/>
  <c r="D10" i="72" s="1"/>
  <c r="D11" i="72" s="1"/>
  <c r="D12" i="72" s="1"/>
  <c r="D13" i="72" s="1"/>
  <c r="D14" i="72" s="1"/>
  <c r="D6" i="69"/>
  <c r="D7" i="69" s="1"/>
  <c r="D8" i="69" s="1"/>
  <c r="D9" i="69" s="1"/>
  <c r="D10" i="69" s="1"/>
  <c r="D11" i="69" s="1"/>
  <c r="C35" i="60"/>
  <c r="D6" i="60"/>
  <c r="C35" i="61"/>
  <c r="D6" i="61"/>
  <c r="D7" i="61" s="1"/>
  <c r="D8" i="61" s="1"/>
  <c r="C35" i="71"/>
  <c r="D6" i="71"/>
  <c r="D7" i="71" s="1"/>
  <c r="D8" i="71" s="1"/>
  <c r="D6" i="62"/>
  <c r="D7" i="62" s="1"/>
  <c r="C35" i="63"/>
  <c r="D6" i="63"/>
  <c r="D7" i="63" s="1"/>
  <c r="C35" i="74"/>
  <c r="D6" i="74"/>
  <c r="C35" i="73"/>
  <c r="D6" i="73"/>
  <c r="D7" i="73" s="1"/>
  <c r="D8" i="73" s="1"/>
  <c r="C35" i="75"/>
  <c r="D6" i="75"/>
  <c r="D7" i="75" s="1"/>
  <c r="D8" i="75" s="1"/>
  <c r="C35" i="76"/>
  <c r="D6" i="76"/>
  <c r="D7" i="76" s="1"/>
  <c r="D6" i="77"/>
  <c r="C35" i="77"/>
  <c r="C35" i="78"/>
  <c r="C25" i="79"/>
  <c r="C25" i="82"/>
  <c r="C25" i="83"/>
  <c r="C25" i="88"/>
  <c r="C25" i="87"/>
  <c r="C25" i="89"/>
  <c r="C25" i="84"/>
  <c r="D6" i="84"/>
  <c r="D7" i="84" s="1"/>
  <c r="D8" i="84" s="1"/>
  <c r="CD45" i="6"/>
  <c r="D7" i="60" l="1"/>
  <c r="D8" i="60" s="1"/>
  <c r="D9" i="60" s="1"/>
  <c r="D10" i="60" s="1"/>
  <c r="D11" i="60" s="1"/>
  <c r="D12" i="60" s="1"/>
  <c r="D13" i="60" s="1"/>
  <c r="D11" i="50"/>
  <c r="D10" i="50"/>
  <c r="D12" i="58"/>
  <c r="D13" i="58" s="1"/>
  <c r="D14" i="58" s="1"/>
  <c r="D15" i="58" s="1"/>
  <c r="D16" i="58" s="1"/>
  <c r="D17" i="58" s="1"/>
  <c r="D18" i="58" s="1"/>
  <c r="D19" i="58" s="1"/>
  <c r="D20" i="58" s="1"/>
  <c r="D21" i="58" s="1"/>
  <c r="D22" i="58" s="1"/>
  <c r="D23" i="58" s="1"/>
  <c r="D15" i="72"/>
  <c r="D16" i="72" s="1"/>
  <c r="D17" i="72" s="1"/>
  <c r="D18" i="72" s="1"/>
  <c r="D19" i="72" s="1"/>
  <c r="D20" i="72" s="1"/>
  <c r="D21" i="72" s="1"/>
  <c r="D22" i="72" s="1"/>
  <c r="D23" i="72" s="1"/>
  <c r="D24" i="72" s="1"/>
  <c r="D25" i="72" s="1"/>
  <c r="R3" i="29"/>
  <c r="S3" i="29" s="1"/>
  <c r="C43" i="25"/>
  <c r="D29" i="25"/>
  <c r="D30" i="25" s="1"/>
  <c r="D31" i="25" s="1"/>
  <c r="D32" i="25" s="1"/>
  <c r="D33" i="25" s="1"/>
  <c r="D34" i="25" s="1"/>
  <c r="D35" i="25" s="1"/>
  <c r="D36" i="25" s="1"/>
  <c r="D37" i="25" s="1"/>
  <c r="D38" i="25" s="1"/>
  <c r="D18" i="18"/>
  <c r="D19" i="18" s="1"/>
  <c r="D20" i="18" s="1"/>
  <c r="D21" i="18" s="1"/>
  <c r="D22" i="18" s="1"/>
  <c r="D23" i="18" s="1"/>
  <c r="D24" i="18" s="1"/>
  <c r="D25" i="18" s="1"/>
  <c r="D26" i="18" s="1"/>
  <c r="CS28" i="6"/>
  <c r="CU28" i="6" s="1"/>
  <c r="BN28" i="6"/>
  <c r="CN28" i="6"/>
  <c r="CP28" i="6"/>
  <c r="D11" i="49"/>
  <c r="D12" i="49" s="1"/>
  <c r="D13" i="49" s="1"/>
  <c r="D14" i="49" s="1"/>
  <c r="D15" i="49" s="1"/>
  <c r="C35" i="72"/>
  <c r="D8" i="62"/>
  <c r="D9" i="62" s="1"/>
  <c r="D10" i="62" s="1"/>
  <c r="D11" i="62" s="1"/>
  <c r="D12" i="62" s="1"/>
  <c r="D13" i="62"/>
  <c r="D14" i="62" s="1"/>
  <c r="C35" i="23"/>
  <c r="D13" i="23"/>
  <c r="D14" i="23" s="1"/>
  <c r="D15" i="23" s="1"/>
  <c r="D16" i="23" s="1"/>
  <c r="S3" i="21"/>
  <c r="T3" i="21" s="1"/>
  <c r="C45" i="20"/>
  <c r="D22" i="20"/>
  <c r="D23" i="20" s="1"/>
  <c r="D24" i="20" s="1"/>
  <c r="D25" i="20" s="1"/>
  <c r="D26" i="20" s="1"/>
  <c r="D27" i="20" s="1"/>
  <c r="D28" i="20" s="1"/>
  <c r="D29" i="20" s="1"/>
  <c r="D30" i="20" s="1"/>
  <c r="D31" i="20" s="1"/>
  <c r="D32" i="20" s="1"/>
  <c r="D33" i="20" s="1"/>
  <c r="D34" i="20" s="1"/>
  <c r="C35" i="19"/>
  <c r="C36" i="18"/>
  <c r="D18" i="17"/>
  <c r="D19" i="17" s="1"/>
  <c r="D20" i="17" s="1"/>
  <c r="D21" i="17" s="1"/>
  <c r="D22" i="17" s="1"/>
  <c r="D23" i="17" s="1"/>
  <c r="D24" i="17" s="1"/>
  <c r="D25" i="17" s="1"/>
  <c r="D26" i="17" s="1"/>
  <c r="D27" i="17" s="1"/>
  <c r="D28" i="17" s="1"/>
  <c r="Y3" i="21"/>
  <c r="U3" i="21"/>
  <c r="V3" i="21"/>
  <c r="AC3" i="30"/>
  <c r="AG3" i="30"/>
  <c r="AD3" i="30"/>
  <c r="AB3" i="30"/>
  <c r="L53" i="12"/>
  <c r="C8" i="117"/>
  <c r="A1" i="13"/>
  <c r="CD30" i="6"/>
  <c r="CD87" i="6"/>
  <c r="CD84" i="6"/>
  <c r="CD20" i="6"/>
  <c r="AW3" i="86"/>
  <c r="AN3" i="86"/>
  <c r="AP3" i="86" s="1"/>
  <c r="AF3" i="86"/>
  <c r="AG3" i="86" s="1"/>
  <c r="D6" i="78"/>
  <c r="D7" i="78" s="1"/>
  <c r="D8" i="78" s="1"/>
  <c r="D9" i="78" s="1"/>
  <c r="D10" i="78" s="1"/>
  <c r="D11" i="78" s="1"/>
  <c r="D12" i="78" s="1"/>
  <c r="D13" i="78" s="1"/>
  <c r="D14" i="78" s="1"/>
  <c r="D15" i="78" s="1"/>
  <c r="D16" i="78" s="1"/>
  <c r="D17" i="78" s="1"/>
  <c r="D18" i="78" s="1"/>
  <c r="D19" i="78" s="1"/>
  <c r="D20" i="78" s="1"/>
  <c r="D21" i="78" s="1"/>
  <c r="D22" i="78" s="1"/>
  <c r="D23" i="78" s="1"/>
  <c r="D6" i="79"/>
  <c r="D7" i="79" s="1"/>
  <c r="D8" i="79" s="1"/>
  <c r="D9" i="79" s="1"/>
  <c r="D6" i="82"/>
  <c r="D7" i="82" s="1"/>
  <c r="D8" i="83"/>
  <c r="D7" i="83"/>
  <c r="D6" i="83"/>
  <c r="D6" i="87"/>
  <c r="D6" i="88"/>
  <c r="D6" i="89"/>
  <c r="D7" i="89" s="1"/>
  <c r="D8" i="89" s="1"/>
  <c r="D9" i="89" s="1"/>
  <c r="D6" i="85"/>
  <c r="D6" i="86"/>
  <c r="D7" i="86" s="1"/>
  <c r="D8" i="86" s="1"/>
  <c r="D9" i="86" s="1"/>
  <c r="D6" i="80"/>
  <c r="D6" i="90"/>
  <c r="D7" i="90" s="1"/>
  <c r="D6" i="91"/>
  <c r="D6" i="92"/>
  <c r="D6" i="93"/>
  <c r="D7" i="93" s="1"/>
  <c r="D8" i="93" s="1"/>
  <c r="D9" i="93" s="1"/>
  <c r="D10" i="93" s="1"/>
  <c r="D11" i="93" s="1"/>
  <c r="D12" i="93" s="1"/>
  <c r="D13" i="93" s="1"/>
  <c r="D14" i="93" s="1"/>
  <c r="D15" i="93" s="1"/>
  <c r="D6" i="94"/>
  <c r="D7" i="105"/>
  <c r="C352" i="8"/>
  <c r="D6" i="95"/>
  <c r="C190" i="8"/>
  <c r="C216" i="8" s="1"/>
  <c r="CD83" i="6"/>
  <c r="CM89" i="6"/>
  <c r="CM91" i="6"/>
  <c r="CN91" i="6" s="1"/>
  <c r="CU91" i="6"/>
  <c r="CW91" i="6" s="1"/>
  <c r="CY91" i="6" s="1"/>
  <c r="DB91" i="6" s="1"/>
  <c r="DE91" i="6" s="1"/>
  <c r="DU91" i="6"/>
  <c r="D6" i="96"/>
  <c r="D8" i="97"/>
  <c r="D9" i="97"/>
  <c r="D10" i="97"/>
  <c r="C8" i="97"/>
  <c r="D7" i="97"/>
  <c r="D6" i="97"/>
  <c r="D6" i="98"/>
  <c r="D7" i="99"/>
  <c r="D8" i="99"/>
  <c r="D6" i="99"/>
  <c r="D6" i="100"/>
  <c r="D6" i="102"/>
  <c r="D6" i="103"/>
  <c r="D6" i="104"/>
  <c r="D7" i="104" s="1"/>
  <c r="D6" i="105"/>
  <c r="D6" i="106"/>
  <c r="D6" i="107"/>
  <c r="D7" i="107" s="1"/>
  <c r="D8" i="107" s="1"/>
  <c r="D9" i="107" s="1"/>
  <c r="D10" i="107" s="1"/>
  <c r="D11" i="107" s="1"/>
  <c r="D12" i="107" s="1"/>
  <c r="D13" i="107" s="1"/>
  <c r="D14" i="107" s="1"/>
  <c r="D15" i="107" s="1"/>
  <c r="D16" i="107" s="1"/>
  <c r="D17" i="107" s="1"/>
  <c r="D18" i="107" s="1"/>
  <c r="A19" i="8"/>
  <c r="AD19" i="8"/>
  <c r="DU87" i="6"/>
  <c r="DU88" i="6"/>
  <c r="DU89" i="6"/>
  <c r="CU89" i="6"/>
  <c r="CW89" i="6" s="1"/>
  <c r="T3" i="29" l="1"/>
  <c r="U3" i="29"/>
  <c r="W3" i="29" s="1"/>
  <c r="X3" i="29"/>
  <c r="Y3" i="29" s="1"/>
  <c r="CW28" i="6"/>
  <c r="X3" i="21"/>
  <c r="W3" i="21"/>
  <c r="Z3" i="21"/>
  <c r="AA3" i="21"/>
  <c r="AF3" i="30"/>
  <c r="AE3" i="30"/>
  <c r="AH3" i="30"/>
  <c r="AI3" i="30"/>
  <c r="D7" i="87"/>
  <c r="D8" i="87" s="1"/>
  <c r="D9" i="87" s="1"/>
  <c r="D10" i="87" s="1"/>
  <c r="D11" i="87" s="1"/>
  <c r="D12" i="87" s="1"/>
  <c r="D13" i="87" s="1"/>
  <c r="D14" i="87" s="1"/>
  <c r="D15" i="87" s="1"/>
  <c r="AR3" i="86"/>
  <c r="AQ3" i="86"/>
  <c r="AO3" i="86"/>
  <c r="CN89" i="6"/>
  <c r="CY89" i="6"/>
  <c r="DB89" i="6" s="1"/>
  <c r="DE89" i="6" s="1"/>
  <c r="Z3" i="29" l="1"/>
  <c r="AB3" i="29" s="1"/>
  <c r="V3" i="29"/>
  <c r="CY28" i="6"/>
  <c r="DB28" i="6" s="1"/>
  <c r="DE28" i="6" s="1"/>
  <c r="AC3" i="21"/>
  <c r="AB3" i="21"/>
  <c r="AK3" i="30"/>
  <c r="AJ3" i="30"/>
  <c r="AT3" i="86"/>
  <c r="AS3" i="86"/>
  <c r="AU3" i="86" s="1"/>
  <c r="CD72" i="6"/>
  <c r="A88" i="8"/>
  <c r="B88" i="8"/>
  <c r="AD88" i="8"/>
  <c r="A99" i="8"/>
  <c r="B99" i="8"/>
  <c r="AD99" i="8"/>
  <c r="CM87" i="6"/>
  <c r="CN87" i="6" s="1"/>
  <c r="CU87" i="6"/>
  <c r="CW87" i="6" s="1"/>
  <c r="CM88" i="6"/>
  <c r="CN88" i="6" s="1"/>
  <c r="CU88" i="6"/>
  <c r="CW88" i="6" s="1"/>
  <c r="CY88" i="6" s="1"/>
  <c r="DB88" i="6" s="1"/>
  <c r="DE88" i="6" s="1"/>
  <c r="B8" i="8"/>
  <c r="CD63" i="6"/>
  <c r="CD81" i="6"/>
  <c r="CD82" i="6"/>
  <c r="F69" i="12"/>
  <c r="G69" i="12" s="1"/>
  <c r="A139" i="8"/>
  <c r="B139" i="8"/>
  <c r="AD139" i="8"/>
  <c r="A146" i="8"/>
  <c r="B146" i="8"/>
  <c r="AD146" i="8"/>
  <c r="CM86" i="6"/>
  <c r="CN86" i="6" s="1"/>
  <c r="CU86" i="6"/>
  <c r="DU86" i="6"/>
  <c r="DU85" i="6"/>
  <c r="CM85" i="6"/>
  <c r="CN85" i="6" s="1"/>
  <c r="CU85" i="6"/>
  <c r="CW85" i="6" s="1"/>
  <c r="CY85" i="6" s="1"/>
  <c r="DB85" i="6" s="1"/>
  <c r="DE85" i="6" s="1"/>
  <c r="A10" i="8"/>
  <c r="B10" i="8"/>
  <c r="AD10" i="8"/>
  <c r="DU84" i="6"/>
  <c r="CM84" i="6"/>
  <c r="CN84" i="6" s="1"/>
  <c r="CU84" i="6"/>
  <c r="CW84" i="6" s="1"/>
  <c r="F70" i="12" l="1"/>
  <c r="G70" i="12" s="1"/>
  <c r="L70" i="12" s="1"/>
  <c r="F71" i="12" s="1"/>
  <c r="G71" i="12" s="1"/>
  <c r="L69" i="12"/>
  <c r="AA3" i="29"/>
  <c r="AE3" i="21"/>
  <c r="AD3" i="21"/>
  <c r="AD3" i="29"/>
  <c r="AC3" i="29"/>
  <c r="AM3" i="30"/>
  <c r="AL3" i="30"/>
  <c r="AY3" i="86"/>
  <c r="AX3" i="86"/>
  <c r="AV3" i="86"/>
  <c r="CY87" i="6"/>
  <c r="DB87" i="6" s="1"/>
  <c r="DE87" i="6" s="1"/>
  <c r="CW86" i="6"/>
  <c r="CY84" i="6"/>
  <c r="DB84" i="6" s="1"/>
  <c r="DE84" i="6" s="1"/>
  <c r="AG3" i="21" l="1"/>
  <c r="AF3" i="21"/>
  <c r="AF3" i="29"/>
  <c r="AE3" i="29"/>
  <c r="AO3" i="30"/>
  <c r="AN3" i="30"/>
  <c r="AP3" i="30" s="1"/>
  <c r="CY86" i="6"/>
  <c r="DB86" i="6" s="1"/>
  <c r="DE86" i="6" s="1"/>
  <c r="F65" i="12"/>
  <c r="G65" i="12" s="1"/>
  <c r="L65" i="12" s="1"/>
  <c r="F66" i="12" s="1"/>
  <c r="G66" i="12" s="1"/>
  <c r="L66" i="12" s="1"/>
  <c r="G67" i="12" s="1"/>
  <c r="L67" i="12" s="1"/>
  <c r="CD55" i="6"/>
  <c r="A44" i="8"/>
  <c r="B44" i="8"/>
  <c r="AD44" i="8"/>
  <c r="A59" i="8"/>
  <c r="B59" i="8"/>
  <c r="AD59" i="8"/>
  <c r="CM82" i="6"/>
  <c r="CN82" i="6" s="1"/>
  <c r="CU82" i="6"/>
  <c r="DU82" i="6"/>
  <c r="CM83" i="6"/>
  <c r="CU83" i="6"/>
  <c r="DU83" i="6"/>
  <c r="CM81" i="6"/>
  <c r="CN81" i="6" s="1"/>
  <c r="DU79" i="6"/>
  <c r="DU80" i="6"/>
  <c r="DU81" i="6"/>
  <c r="F60" i="12"/>
  <c r="G60" i="12" s="1"/>
  <c r="L60" i="12" s="1"/>
  <c r="F61" i="12" s="1"/>
  <c r="I153" i="12"/>
  <c r="H154" i="12" s="1"/>
  <c r="CD13" i="6"/>
  <c r="A78" i="8"/>
  <c r="B78" i="8"/>
  <c r="AD78" i="8"/>
  <c r="CU81" i="6"/>
  <c r="CW81" i="6" s="1"/>
  <c r="CB13" i="6"/>
  <c r="CD50" i="6"/>
  <c r="C226" i="8"/>
  <c r="CD49" i="6"/>
  <c r="C219" i="8"/>
  <c r="C222" i="8"/>
  <c r="C267" i="8"/>
  <c r="C306" i="8" s="1"/>
  <c r="AG3" i="29" l="1"/>
  <c r="AH3" i="29" s="1"/>
  <c r="AH3" i="21"/>
  <c r="AI3" i="21" s="1"/>
  <c r="G61" i="12"/>
  <c r="L61" i="12" s="1"/>
  <c r="AT3" i="30"/>
  <c r="AS3" i="30"/>
  <c r="AQ3" i="30"/>
  <c r="CN83" i="6"/>
  <c r="CW82" i="6"/>
  <c r="CW83" i="6"/>
  <c r="CY83" i="6" s="1"/>
  <c r="DB83" i="6" s="1"/>
  <c r="DE83" i="6" s="1"/>
  <c r="CY81" i="6"/>
  <c r="DB81" i="6" s="1"/>
  <c r="DE81" i="6" s="1"/>
  <c r="F54" i="12"/>
  <c r="G54" i="12" s="1"/>
  <c r="L54" i="12" s="1"/>
  <c r="CD31" i="6"/>
  <c r="CD153" i="6" s="1"/>
  <c r="AD37" i="8"/>
  <c r="CB8" i="6"/>
  <c r="AD41" i="8"/>
  <c r="AD132" i="8"/>
  <c r="AD81" i="8"/>
  <c r="AD13" i="8"/>
  <c r="AD71" i="8"/>
  <c r="AD58" i="8"/>
  <c r="AD38" i="8"/>
  <c r="CB50" i="6"/>
  <c r="CB19" i="6"/>
  <c r="CB39" i="6"/>
  <c r="CB80" i="6"/>
  <c r="CB2" i="6"/>
  <c r="CB11" i="6"/>
  <c r="CB4" i="6"/>
  <c r="F62" i="12" l="1"/>
  <c r="G62" i="12" s="1"/>
  <c r="L62" i="12" s="1"/>
  <c r="F63" i="12" s="1"/>
  <c r="F55" i="12"/>
  <c r="G55" i="12" s="1"/>
  <c r="G56" i="12" s="1"/>
  <c r="B161" i="6"/>
  <c r="C360" i="8"/>
  <c r="F8" i="117" s="1"/>
  <c r="AJ3" i="29"/>
  <c r="AK3" i="29"/>
  <c r="AK3" i="21"/>
  <c r="AL3" i="21"/>
  <c r="CY82" i="6"/>
  <c r="DB82" i="6" s="1"/>
  <c r="DE82" i="6" s="1"/>
  <c r="CB76" i="6"/>
  <c r="CB62" i="6"/>
  <c r="CB14" i="6"/>
  <c r="L55" i="12" l="1"/>
  <c r="L56" i="12"/>
  <c r="A37" i="8"/>
  <c r="B37" i="8"/>
  <c r="CM80" i="6"/>
  <c r="CN80" i="6" s="1"/>
  <c r="CU80" i="6"/>
  <c r="CW80" i="6" s="1"/>
  <c r="CY80" i="6" s="1"/>
  <c r="DB80" i="6" s="1"/>
  <c r="DE80" i="6" s="1"/>
  <c r="F48" i="12"/>
  <c r="A75" i="8"/>
  <c r="B75" i="8"/>
  <c r="AD75" i="8"/>
  <c r="CB66" i="6"/>
  <c r="CB55" i="6"/>
  <c r="CM79" i="6"/>
  <c r="CN79" i="6" s="1"/>
  <c r="CU79" i="6"/>
  <c r="CB45" i="6"/>
  <c r="CB72" i="6"/>
  <c r="CB20" i="6"/>
  <c r="F41" i="12"/>
  <c r="G41" i="12" s="1"/>
  <c r="L41" i="12" s="1"/>
  <c r="D41" i="12"/>
  <c r="C41" i="12"/>
  <c r="F23" i="12"/>
  <c r="D31" i="12"/>
  <c r="C31" i="12"/>
  <c r="D28" i="12"/>
  <c r="C28" i="12"/>
  <c r="D23" i="12"/>
  <c r="C23" i="12"/>
  <c r="A45" i="8"/>
  <c r="A81" i="8"/>
  <c r="B81" i="8"/>
  <c r="B45" i="8"/>
  <c r="AD45" i="8"/>
  <c r="DU75" i="6"/>
  <c r="DU76" i="6"/>
  <c r="DU77" i="6"/>
  <c r="DU78" i="6"/>
  <c r="CM77" i="6"/>
  <c r="CN77" i="6" s="1"/>
  <c r="CU77" i="6"/>
  <c r="CW77" i="6"/>
  <c r="CY77" i="6" s="1"/>
  <c r="DB77" i="6" s="1"/>
  <c r="DE77" i="6" s="1"/>
  <c r="CB31" i="6"/>
  <c r="CB12" i="6"/>
  <c r="CB25" i="6"/>
  <c r="CB21" i="6"/>
  <c r="AK42" i="8"/>
  <c r="AL42" i="8" s="1"/>
  <c r="F36" i="12"/>
  <c r="G36" i="12" s="1"/>
  <c r="L36" i="12" s="1"/>
  <c r="D36" i="12"/>
  <c r="C36" i="12"/>
  <c r="F31" i="12"/>
  <c r="G31" i="12" s="1"/>
  <c r="L31" i="12" s="1"/>
  <c r="A31" i="8"/>
  <c r="B31" i="8"/>
  <c r="AD31" i="8"/>
  <c r="A103" i="8"/>
  <c r="B103" i="8"/>
  <c r="AD103" i="8"/>
  <c r="DU74" i="6"/>
  <c r="CM75" i="6"/>
  <c r="CN75" i="6" s="1"/>
  <c r="CU75" i="6"/>
  <c r="CW75" i="6" s="1"/>
  <c r="CY75" i="6" s="1"/>
  <c r="DB75" i="6" s="1"/>
  <c r="DE75" i="6" s="1"/>
  <c r="CB32" i="6"/>
  <c r="F57" i="12" l="1"/>
  <c r="G57" i="12" s="1"/>
  <c r="L57" i="12" s="1"/>
  <c r="F33" i="12"/>
  <c r="F32" i="12"/>
  <c r="G32" i="12" s="1"/>
  <c r="L32" i="12" s="1"/>
  <c r="F42" i="12"/>
  <c r="G42" i="12" s="1"/>
  <c r="L42" i="12" s="1"/>
  <c r="F37" i="12"/>
  <c r="G37" i="12" s="1"/>
  <c r="L37" i="12" s="1"/>
  <c r="G48" i="12"/>
  <c r="L48" i="12" s="1"/>
  <c r="CW79" i="6"/>
  <c r="CY79" i="6" s="1"/>
  <c r="DB79" i="6" s="1"/>
  <c r="DE79" i="6" s="1"/>
  <c r="CB41" i="6"/>
  <c r="F49" i="12" l="1"/>
  <c r="G49" i="12" s="1"/>
  <c r="G51" i="12" s="1"/>
  <c r="G33" i="12"/>
  <c r="F38" i="12"/>
  <c r="G38" i="12" s="1"/>
  <c r="F39" i="12" s="1"/>
  <c r="G39" i="12" s="1"/>
  <c r="F43" i="12"/>
  <c r="G43" i="12" s="1"/>
  <c r="L43" i="12" s="1"/>
  <c r="F44" i="12" s="1"/>
  <c r="G44" i="12" s="1"/>
  <c r="L44" i="12" s="1"/>
  <c r="G45" i="12" s="1"/>
  <c r="L45" i="12" s="1"/>
  <c r="CB37" i="6"/>
  <c r="CB24" i="6"/>
  <c r="A144" i="8"/>
  <c r="B144" i="8"/>
  <c r="AD144" i="8"/>
  <c r="CM74" i="6"/>
  <c r="CN74" i="6" s="1"/>
  <c r="CU74" i="6"/>
  <c r="CW74" i="6" s="1"/>
  <c r="CY74" i="6" s="1"/>
  <c r="DB74" i="6" s="1"/>
  <c r="DE74" i="6" s="1"/>
  <c r="BZ4" i="6"/>
  <c r="DS183" i="6"/>
  <c r="DS175" i="6"/>
  <c r="CM76" i="6"/>
  <c r="CW76" i="6"/>
  <c r="CY76" i="6" s="1"/>
  <c r="DB76" i="6" s="1"/>
  <c r="DE76" i="6" s="1"/>
  <c r="F34" i="12" l="1"/>
  <c r="G34" i="12" s="1"/>
  <c r="L49" i="12"/>
  <c r="L51" i="12"/>
  <c r="F52" i="12" s="1"/>
  <c r="CB153" i="6"/>
  <c r="C359" i="8" s="1"/>
  <c r="G30" i="12"/>
  <c r="L30" i="12" s="1"/>
  <c r="F28" i="12"/>
  <c r="G23" i="12"/>
  <c r="F24" i="12" s="1"/>
  <c r="CN76" i="6"/>
  <c r="CU76" i="6"/>
  <c r="G52" i="12" l="1"/>
  <c r="AD360" i="8"/>
  <c r="F7" i="117"/>
  <c r="G28" i="12"/>
  <c r="L28" i="12" s="1"/>
  <c r="L23" i="12"/>
  <c r="G24" i="12" s="1"/>
  <c r="L24" i="12" s="1"/>
  <c r="CM78" i="6"/>
  <c r="CN78" i="6" s="1"/>
  <c r="CU78" i="6"/>
  <c r="CW78" i="6" s="1"/>
  <c r="CY78" i="6" s="1"/>
  <c r="DB78" i="6" s="1"/>
  <c r="DE78" i="6" s="1"/>
  <c r="BZ31" i="6"/>
  <c r="A96" i="8"/>
  <c r="B96" i="8"/>
  <c r="AD96" i="8"/>
  <c r="DU73" i="6"/>
  <c r="CM73" i="6"/>
  <c r="CN73" i="6" s="1"/>
  <c r="CU73" i="6"/>
  <c r="CW73" i="6" s="1"/>
  <c r="CY73" i="6" s="1"/>
  <c r="DB73" i="6" s="1"/>
  <c r="DE73" i="6" s="1"/>
  <c r="A66" i="8"/>
  <c r="B66" i="8"/>
  <c r="AD66" i="8"/>
  <c r="DU72" i="6"/>
  <c r="CM72" i="6"/>
  <c r="CU72" i="6"/>
  <c r="CW72" i="6" s="1"/>
  <c r="CY72" i="6" s="1"/>
  <c r="DB72" i="6" s="1"/>
  <c r="DE72" i="6" s="1"/>
  <c r="A25" i="8"/>
  <c r="B25" i="8"/>
  <c r="AD25" i="8"/>
  <c r="BZ63" i="6"/>
  <c r="CM63" i="6" s="1"/>
  <c r="BZ2" i="6"/>
  <c r="DU71" i="6"/>
  <c r="CM71" i="6"/>
  <c r="CN71" i="6" s="1"/>
  <c r="CU71" i="6"/>
  <c r="CW71" i="6" s="1"/>
  <c r="CY71" i="6" s="1"/>
  <c r="DB71" i="6" s="1"/>
  <c r="DE71" i="6" s="1"/>
  <c r="BZ62" i="6"/>
  <c r="BZ34" i="6"/>
  <c r="CM34" i="6" s="1"/>
  <c r="A113" i="8"/>
  <c r="B113" i="8"/>
  <c r="AD113" i="8"/>
  <c r="DU70" i="6"/>
  <c r="CM70" i="6"/>
  <c r="CN70" i="6" s="1"/>
  <c r="CU70" i="6"/>
  <c r="CW70" i="6" s="1"/>
  <c r="CY70" i="6" s="1"/>
  <c r="DB70" i="6" s="1"/>
  <c r="DE70" i="6" s="1"/>
  <c r="CM49" i="6"/>
  <c r="B70" i="8"/>
  <c r="BZ52" i="6"/>
  <c r="CM52" i="6" s="1"/>
  <c r="CM9" i="6"/>
  <c r="CM10" i="6"/>
  <c r="CM14" i="6"/>
  <c r="CM15" i="6"/>
  <c r="CM18" i="6"/>
  <c r="CM19" i="6"/>
  <c r="CM22" i="6"/>
  <c r="CM23" i="6"/>
  <c r="CM26" i="6"/>
  <c r="CM27" i="6"/>
  <c r="CM32" i="6"/>
  <c r="CM33" i="6"/>
  <c r="CM35" i="6"/>
  <c r="CM37" i="6"/>
  <c r="CM38" i="6"/>
  <c r="CM40" i="6"/>
  <c r="CM42" i="6"/>
  <c r="CM43" i="6"/>
  <c r="CM45" i="6"/>
  <c r="CM46" i="6"/>
  <c r="CM48" i="6"/>
  <c r="CM51" i="6"/>
  <c r="CM53" i="6"/>
  <c r="CM54" i="6"/>
  <c r="CM56" i="6"/>
  <c r="CM57" i="6"/>
  <c r="CM58" i="6"/>
  <c r="CM59" i="6"/>
  <c r="CM60" i="6"/>
  <c r="CM61" i="6"/>
  <c r="CM64" i="6"/>
  <c r="CM67" i="6"/>
  <c r="CM69" i="6"/>
  <c r="B1" i="13"/>
  <c r="BZ30" i="6"/>
  <c r="BZ25" i="6"/>
  <c r="BZ6" i="6"/>
  <c r="AJ49" i="8"/>
  <c r="BZ29" i="6"/>
  <c r="CM29" i="6" s="1"/>
  <c r="F25" i="12" l="1"/>
  <c r="CN72" i="6"/>
  <c r="CM62" i="6"/>
  <c r="A17" i="8"/>
  <c r="B17" i="8"/>
  <c r="AD17" i="8"/>
  <c r="BZ47" i="6"/>
  <c r="CM47" i="6" s="1"/>
  <c r="BZ55" i="6"/>
  <c r="CM55" i="6" s="1"/>
  <c r="BZ20" i="6"/>
  <c r="BZ12" i="6"/>
  <c r="BZ5" i="6"/>
  <c r="CN69" i="6"/>
  <c r="CU69" i="6"/>
  <c r="CW69" i="6" s="1"/>
  <c r="CY69" i="6" s="1"/>
  <c r="DB69" i="6" s="1"/>
  <c r="DE69" i="6" s="1"/>
  <c r="DU69" i="6"/>
  <c r="BZ68" i="6"/>
  <c r="BZ3" i="6"/>
  <c r="BZ36" i="6"/>
  <c r="F17" i="12"/>
  <c r="BZ13" i="6"/>
  <c r="BZ8" i="6"/>
  <c r="BZ11" i="6"/>
  <c r="CM11" i="6" s="1"/>
  <c r="BZ7" i="6"/>
  <c r="A21" i="8"/>
  <c r="B21" i="8"/>
  <c r="AD21" i="8"/>
  <c r="DU67" i="6"/>
  <c r="CN67" i="6"/>
  <c r="CU67" i="6"/>
  <c r="CW67" i="6" s="1"/>
  <c r="CY67" i="6" s="1"/>
  <c r="DB67" i="6" s="1"/>
  <c r="DE67" i="6" s="1"/>
  <c r="BZ39" i="6"/>
  <c r="CM39" i="6" s="1"/>
  <c r="C7" i="117" l="1"/>
  <c r="J7" i="117" s="1"/>
  <c r="G25" i="12"/>
  <c r="K25" i="12"/>
  <c r="C309" i="8"/>
  <c r="AJ309" i="8" s="1"/>
  <c r="CM68" i="6"/>
  <c r="CN68" i="6" s="1"/>
  <c r="G17" i="12"/>
  <c r="L17" i="12" s="1"/>
  <c r="A97" i="8"/>
  <c r="B97" i="8"/>
  <c r="AD97" i="8"/>
  <c r="CU68" i="6"/>
  <c r="CW68" i="6" s="1"/>
  <c r="CY68" i="6" s="1"/>
  <c r="DB68" i="6" s="1"/>
  <c r="DE68" i="6" s="1"/>
  <c r="DU68" i="6"/>
  <c r="BZ21" i="6"/>
  <c r="CM21" i="6" s="1"/>
  <c r="BZ16" i="6"/>
  <c r="BZ65" i="6"/>
  <c r="A23" i="8"/>
  <c r="B23" i="8"/>
  <c r="AD23" i="8"/>
  <c r="DU66" i="6"/>
  <c r="BZ66" i="6"/>
  <c r="CU66" i="6"/>
  <c r="A58" i="8"/>
  <c r="B58" i="8"/>
  <c r="DU65" i="6"/>
  <c r="CU65" i="6"/>
  <c r="BZ50" i="6"/>
  <c r="L25" i="12" l="1"/>
  <c r="G26" i="12" s="1"/>
  <c r="L26" i="12" s="1"/>
  <c r="BZ153" i="6"/>
  <c r="C358" i="8" s="1"/>
  <c r="F6" i="117" s="1"/>
  <c r="F18" i="12"/>
  <c r="CW66" i="6"/>
  <c r="CY66" i="6" s="1"/>
  <c r="DB66" i="6" s="1"/>
  <c r="DE66" i="6" s="1"/>
  <c r="CW65" i="6"/>
  <c r="CY65" i="6" s="1"/>
  <c r="DB65" i="6" s="1"/>
  <c r="DE65" i="6" s="1"/>
  <c r="CM65" i="6"/>
  <c r="CN65" i="6" s="1"/>
  <c r="CM66" i="6"/>
  <c r="A57" i="8"/>
  <c r="B57" i="8"/>
  <c r="AD57" i="8"/>
  <c r="DU64" i="6"/>
  <c r="CN64" i="6"/>
  <c r="CU64" i="6"/>
  <c r="CW64" i="6" s="1"/>
  <c r="CY64" i="6" s="1"/>
  <c r="DB64" i="6" s="1"/>
  <c r="DE64" i="6" s="1"/>
  <c r="CN66" i="6" l="1"/>
  <c r="G18" i="12"/>
  <c r="F19" i="12" s="1"/>
  <c r="G19" i="12" s="1"/>
  <c r="BX161" i="6"/>
  <c r="A3" i="8"/>
  <c r="B3" i="8"/>
  <c r="AD3" i="8"/>
  <c r="A83" i="8"/>
  <c r="B83" i="8"/>
  <c r="AD83" i="8"/>
  <c r="CN63" i="6"/>
  <c r="CU63" i="6"/>
  <c r="CW63" i="6" s="1"/>
  <c r="CY63" i="6" s="1"/>
  <c r="DB63" i="6" s="1"/>
  <c r="DE63" i="6" s="1"/>
  <c r="DU63" i="6"/>
  <c r="DU62" i="6"/>
  <c r="CU62" i="6"/>
  <c r="CW62" i="6" s="1"/>
  <c r="CY62" i="6" s="1"/>
  <c r="DB62" i="6" s="1"/>
  <c r="DE62" i="6" s="1"/>
  <c r="CN62" i="6"/>
  <c r="DU3" i="6"/>
  <c r="DU4" i="6"/>
  <c r="DU5" i="6"/>
  <c r="DU6" i="6"/>
  <c r="DU7" i="6"/>
  <c r="DU8" i="6"/>
  <c r="DU9" i="6"/>
  <c r="DU10" i="6"/>
  <c r="DU11" i="6"/>
  <c r="DU12" i="6"/>
  <c r="DU13" i="6"/>
  <c r="DU14" i="6"/>
  <c r="DU15" i="6"/>
  <c r="DU16" i="6"/>
  <c r="DU17" i="6"/>
  <c r="DU18" i="6"/>
  <c r="DU19" i="6"/>
  <c r="DU20" i="6"/>
  <c r="DU21" i="6"/>
  <c r="DU22" i="6"/>
  <c r="DU23" i="6"/>
  <c r="DU24" i="6"/>
  <c r="DU25" i="6"/>
  <c r="DU26" i="6"/>
  <c r="DU27" i="6"/>
  <c r="DU29" i="6"/>
  <c r="DU30" i="6"/>
  <c r="DU31" i="6"/>
  <c r="DU32" i="6"/>
  <c r="DU33" i="6"/>
  <c r="DU34" i="6"/>
  <c r="DU35" i="6"/>
  <c r="DU36" i="6"/>
  <c r="DU37" i="6"/>
  <c r="DU38" i="6"/>
  <c r="DU39" i="6"/>
  <c r="DU40" i="6"/>
  <c r="DU41" i="6"/>
  <c r="DU42" i="6"/>
  <c r="DU43" i="6"/>
  <c r="DU44" i="6"/>
  <c r="DU45" i="6"/>
  <c r="DU46" i="6"/>
  <c r="DU47" i="6"/>
  <c r="DU48" i="6"/>
  <c r="DU49" i="6"/>
  <c r="DU50" i="6"/>
  <c r="DU51" i="6"/>
  <c r="DU52" i="6"/>
  <c r="DU53" i="6"/>
  <c r="DU54" i="6"/>
  <c r="DU55" i="6"/>
  <c r="DU56" i="6"/>
  <c r="DU57" i="6"/>
  <c r="DU58" i="6"/>
  <c r="DU59" i="6"/>
  <c r="DU60" i="6"/>
  <c r="DU61" i="6"/>
  <c r="DU2" i="6"/>
  <c r="C361" i="8"/>
  <c r="F9" i="117" s="1"/>
  <c r="CI153" i="6"/>
  <c r="L14" i="12"/>
  <c r="L15" i="12" s="1"/>
  <c r="BX50" i="6"/>
  <c r="BX5" i="6"/>
  <c r="BX8" i="6"/>
  <c r="BX6" i="6"/>
  <c r="BX16" i="6"/>
  <c r="BX31" i="6"/>
  <c r="B65" i="8"/>
  <c r="A65" i="8"/>
  <c r="AD65" i="8"/>
  <c r="BX13" i="6"/>
  <c r="BX2" i="6"/>
  <c r="BX4" i="6"/>
  <c r="BX24" i="6"/>
  <c r="CM24" i="6" s="1"/>
  <c r="F20" i="12" l="1"/>
  <c r="DU153" i="6"/>
  <c r="L18" i="12"/>
  <c r="BX30" i="6"/>
  <c r="BX12" i="6"/>
  <c r="G20" i="12" l="1"/>
  <c r="L20" i="12" s="1"/>
  <c r="F21" i="12" s="1"/>
  <c r="L19" i="12"/>
  <c r="BX153" i="6"/>
  <c r="DT184" i="6"/>
  <c r="BV36" i="6"/>
  <c r="CM36" i="6" s="1"/>
  <c r="BV7" i="6"/>
  <c r="BV13" i="6"/>
  <c r="BV2" i="6"/>
  <c r="BV5" i="6"/>
  <c r="CM5" i="6" s="1"/>
  <c r="BV4" i="6"/>
  <c r="BV12" i="6" l="1"/>
  <c r="CM12" i="6" s="1"/>
  <c r="BV31" i="6"/>
  <c r="BV153" i="6" l="1"/>
  <c r="BT3" i="6"/>
  <c r="BT16" i="6"/>
  <c r="CM16" i="6" s="1"/>
  <c r="BT2" i="6"/>
  <c r="BT44" i="6"/>
  <c r="CM44" i="6" s="1"/>
  <c r="BT41" i="6"/>
  <c r="CM41" i="6" s="1"/>
  <c r="BT31" i="6"/>
  <c r="CM31" i="6" s="1"/>
  <c r="BT4" i="6"/>
  <c r="L4" i="12"/>
  <c r="L5" i="12" s="1"/>
  <c r="L6" i="12" s="1"/>
  <c r="L7" i="12" s="1"/>
  <c r="L8" i="12" s="1"/>
  <c r="DT183" i="6"/>
  <c r="BT13" i="6"/>
  <c r="F3" i="12"/>
  <c r="BT30" i="6"/>
  <c r="CM30" i="6" s="1"/>
  <c r="DT182" i="6"/>
  <c r="DS182" i="6"/>
  <c r="DT181" i="6"/>
  <c r="DT180" i="6"/>
  <c r="DT179" i="6"/>
  <c r="DT178" i="6"/>
  <c r="BT25" i="6"/>
  <c r="BT8" i="6"/>
  <c r="CM8" i="6" s="1"/>
  <c r="AK8" i="8"/>
  <c r="F134" i="12" l="1"/>
  <c r="F135" i="12" s="1"/>
  <c r="C217" i="8" s="1"/>
  <c r="G3" i="12"/>
  <c r="G134" i="12" s="1"/>
  <c r="BT153" i="6"/>
  <c r="BO182" i="6" s="1"/>
  <c r="BR50" i="6"/>
  <c r="CM50" i="6" s="1"/>
  <c r="BR7" i="6"/>
  <c r="B14" i="8"/>
  <c r="B4" i="8"/>
  <c r="B64" i="8"/>
  <c r="B36" i="8"/>
  <c r="B15" i="8"/>
  <c r="B152" i="8"/>
  <c r="B127" i="8"/>
  <c r="B11" i="8"/>
  <c r="B18" i="8"/>
  <c r="B12" i="8"/>
  <c r="B28" i="8"/>
  <c r="B105" i="8"/>
  <c r="B6" i="8"/>
  <c r="B109" i="8"/>
  <c r="B9" i="8"/>
  <c r="B38" i="8"/>
  <c r="B20" i="8"/>
  <c r="B34" i="8"/>
  <c r="B82" i="8"/>
  <c r="B16" i="8"/>
  <c r="B42" i="8"/>
  <c r="B124" i="8"/>
  <c r="B101" i="8"/>
  <c r="B40" i="8"/>
  <c r="B39" i="8"/>
  <c r="B33" i="8"/>
  <c r="B98" i="8"/>
  <c r="B136" i="8"/>
  <c r="B100" i="8"/>
  <c r="B126" i="8"/>
  <c r="B135" i="8"/>
  <c r="B116" i="8"/>
  <c r="B24" i="8"/>
  <c r="B56" i="8"/>
  <c r="B128" i="8"/>
  <c r="B51" i="8"/>
  <c r="B53" i="8"/>
  <c r="B30" i="8"/>
  <c r="B114" i="8"/>
  <c r="B13" i="8"/>
  <c r="B138" i="8"/>
  <c r="B46" i="8"/>
  <c r="B123" i="8"/>
  <c r="B132" i="8"/>
  <c r="B71" i="8"/>
  <c r="B27" i="8"/>
  <c r="B145" i="8"/>
  <c r="B93" i="8"/>
  <c r="B76" i="8"/>
  <c r="B120" i="8"/>
  <c r="B73" i="8"/>
  <c r="B133" i="8"/>
  <c r="B104" i="8"/>
  <c r="B7" i="8"/>
  <c r="A11" i="8"/>
  <c r="A18" i="8"/>
  <c r="A12" i="8"/>
  <c r="A28" i="8"/>
  <c r="A105" i="8"/>
  <c r="A70" i="8"/>
  <c r="A6" i="8"/>
  <c r="A109" i="8"/>
  <c r="A9" i="8"/>
  <c r="A38" i="8"/>
  <c r="A20" i="8"/>
  <c r="A34" i="8"/>
  <c r="A82" i="8"/>
  <c r="A16" i="8"/>
  <c r="A42" i="8"/>
  <c r="A124" i="8"/>
  <c r="A41" i="8"/>
  <c r="A101" i="8"/>
  <c r="A40" i="8"/>
  <c r="A39" i="8"/>
  <c r="A33" i="8"/>
  <c r="A98" i="8"/>
  <c r="A136" i="8"/>
  <c r="A100" i="8"/>
  <c r="A126" i="8"/>
  <c r="A135" i="8"/>
  <c r="A116" i="8"/>
  <c r="A24" i="8"/>
  <c r="A56" i="8"/>
  <c r="A128" i="8"/>
  <c r="A51" i="8"/>
  <c r="A53" i="8"/>
  <c r="A30" i="8"/>
  <c r="A114" i="8"/>
  <c r="A13" i="8"/>
  <c r="A138" i="8"/>
  <c r="A46" i="8"/>
  <c r="A123" i="8"/>
  <c r="A132" i="8"/>
  <c r="A71" i="8"/>
  <c r="A27" i="8"/>
  <c r="A145" i="8"/>
  <c r="A93" i="8"/>
  <c r="A76" i="8"/>
  <c r="A120" i="8"/>
  <c r="A73" i="8"/>
  <c r="A122" i="8"/>
  <c r="A133" i="8"/>
  <c r="A5" i="8"/>
  <c r="A104" i="8"/>
  <c r="A14" i="8"/>
  <c r="A4" i="8"/>
  <c r="A64" i="8"/>
  <c r="A36" i="8"/>
  <c r="A15" i="8"/>
  <c r="A8" i="8"/>
  <c r="A152" i="8"/>
  <c r="A127" i="8"/>
  <c r="A7" i="8"/>
  <c r="BR3" i="6"/>
  <c r="BR4" i="6"/>
  <c r="BR25" i="6"/>
  <c r="CM25" i="6" s="1"/>
  <c r="AD7" i="8"/>
  <c r="BP13" i="6"/>
  <c r="CM13" i="6" s="1"/>
  <c r="BP20" i="6"/>
  <c r="CM20" i="6" s="1"/>
  <c r="BP17" i="6"/>
  <c r="CM17" i="6" s="1"/>
  <c r="BP6" i="6"/>
  <c r="CM6" i="6" s="1"/>
  <c r="BP7" i="6"/>
  <c r="BP2" i="6"/>
  <c r="BP3" i="6"/>
  <c r="C6" i="117" l="1"/>
  <c r="B85" i="13"/>
  <c r="A80" i="13"/>
  <c r="A85" i="13"/>
  <c r="B80" i="13"/>
  <c r="A59" i="13"/>
  <c r="B59" i="13"/>
  <c r="B10" i="13"/>
  <c r="A10" i="13"/>
  <c r="B55" i="13"/>
  <c r="B56" i="13"/>
  <c r="B50" i="13"/>
  <c r="B51" i="13"/>
  <c r="A77" i="13"/>
  <c r="A47" i="13"/>
  <c r="A50" i="13"/>
  <c r="A51" i="13"/>
  <c r="A52" i="13"/>
  <c r="B52" i="13"/>
  <c r="A55" i="13"/>
  <c r="A56" i="13"/>
  <c r="B77" i="13"/>
  <c r="B47" i="13"/>
  <c r="A26" i="13"/>
  <c r="B26" i="13"/>
  <c r="A30" i="13"/>
  <c r="B58" i="13"/>
  <c r="B72" i="13"/>
  <c r="B53" i="13"/>
  <c r="B35" i="13"/>
  <c r="A53" i="13"/>
  <c r="A35" i="13"/>
  <c r="A58" i="13"/>
  <c r="A72" i="13"/>
  <c r="B84" i="13"/>
  <c r="A84" i="13"/>
  <c r="B28" i="13"/>
  <c r="CM3" i="6"/>
  <c r="BR153" i="6"/>
  <c r="BO181" i="6" s="1"/>
  <c r="B60" i="13"/>
  <c r="A60" i="13"/>
  <c r="B7" i="13"/>
  <c r="A83" i="13"/>
  <c r="A7" i="13"/>
  <c r="B83" i="13"/>
  <c r="B62" i="13"/>
  <c r="A16" i="13"/>
  <c r="B33" i="13"/>
  <c r="A42" i="13"/>
  <c r="AJ44" i="8"/>
  <c r="A19" i="13"/>
  <c r="B40" i="13"/>
  <c r="B17" i="13"/>
  <c r="B42" i="13"/>
  <c r="A9" i="13"/>
  <c r="B44" i="13"/>
  <c r="B9" i="13"/>
  <c r="B37" i="13"/>
  <c r="A48" i="13"/>
  <c r="A23" i="13"/>
  <c r="AI44" i="8"/>
  <c r="B41" i="13"/>
  <c r="A28" i="13"/>
  <c r="B78" i="13"/>
  <c r="A41" i="13"/>
  <c r="A40" i="13"/>
  <c r="A25" i="13"/>
  <c r="A44" i="13"/>
  <c r="B6" i="13"/>
  <c r="A11" i="13"/>
  <c r="A27" i="13"/>
  <c r="A54" i="13"/>
  <c r="A34" i="13"/>
  <c r="B81" i="13"/>
  <c r="B48" i="13"/>
  <c r="B11" i="13"/>
  <c r="B27" i="13"/>
  <c r="A69" i="13"/>
  <c r="A39" i="13"/>
  <c r="B34" i="13"/>
  <c r="A33" i="13"/>
  <c r="B65" i="13"/>
  <c r="B23" i="13"/>
  <c r="A29" i="13"/>
  <c r="B29" i="13"/>
  <c r="A81" i="13"/>
  <c r="A24" i="13"/>
  <c r="B69" i="13"/>
  <c r="A36" i="13"/>
  <c r="A70" i="13"/>
  <c r="B36" i="13"/>
  <c r="B70" i="13"/>
  <c r="A64" i="13"/>
  <c r="A13" i="13"/>
  <c r="A82" i="13"/>
  <c r="A37" i="13"/>
  <c r="A79" i="13"/>
  <c r="B89" i="13"/>
  <c r="B39" i="13"/>
  <c r="A12" i="13"/>
  <c r="AI43" i="8"/>
  <c r="B12" i="13"/>
  <c r="AJ43" i="8"/>
  <c r="CM2" i="6"/>
  <c r="CM7" i="6"/>
  <c r="AJ37" i="8"/>
  <c r="B15" i="13"/>
  <c r="A17" i="13"/>
  <c r="A15" i="13"/>
  <c r="AI37" i="8"/>
  <c r="A2" i="13"/>
  <c r="AI38" i="8"/>
  <c r="B2" i="13"/>
  <c r="AJ38" i="8"/>
  <c r="B49" i="13"/>
  <c r="B74" i="13"/>
  <c r="B13" i="13"/>
  <c r="A32" i="13"/>
  <c r="A71" i="13"/>
  <c r="B61" i="13"/>
  <c r="B14" i="13"/>
  <c r="B79" i="13"/>
  <c r="A5" i="13"/>
  <c r="B45" i="13"/>
  <c r="B31" i="13"/>
  <c r="B32" i="13"/>
  <c r="B71" i="13"/>
  <c r="B25" i="13"/>
  <c r="B57" i="13"/>
  <c r="A38" i="13"/>
  <c r="A66" i="13"/>
  <c r="A20" i="13"/>
  <c r="B86" i="13"/>
  <c r="B68" i="13"/>
  <c r="B5" i="13"/>
  <c r="B22" i="13"/>
  <c r="A46" i="13"/>
  <c r="A76" i="13"/>
  <c r="A90" i="13"/>
  <c r="A87" i="13"/>
  <c r="A67" i="13"/>
  <c r="B54" i="13"/>
  <c r="B63" i="13"/>
  <c r="B64" i="13"/>
  <c r="B19" i="13"/>
  <c r="B4" i="13"/>
  <c r="A45" i="13"/>
  <c r="A31" i="13"/>
  <c r="A8" i="13"/>
  <c r="B82" i="13"/>
  <c r="A22" i="13"/>
  <c r="A63" i="13"/>
  <c r="A89" i="13"/>
  <c r="A49" i="13"/>
  <c r="A74" i="13"/>
  <c r="A65" i="13"/>
  <c r="B18" i="13"/>
  <c r="B24" i="13"/>
  <c r="B88" i="13"/>
  <c r="B43" i="13"/>
  <c r="A57" i="13"/>
  <c r="B38" i="13"/>
  <c r="B66" i="13"/>
  <c r="B20" i="13"/>
  <c r="A21" i="13"/>
  <c r="A86" i="13"/>
  <c r="A68" i="13"/>
  <c r="B8" i="13"/>
  <c r="A18" i="13"/>
  <c r="B16" i="13"/>
  <c r="B21" i="13"/>
  <c r="A4" i="13"/>
  <c r="A78" i="13"/>
  <c r="A88" i="13"/>
  <c r="A43" i="13"/>
  <c r="A62" i="13"/>
  <c r="A75" i="13"/>
  <c r="A61" i="13"/>
  <c r="A14" i="13"/>
  <c r="A6" i="13"/>
  <c r="B46" i="13"/>
  <c r="B76" i="13"/>
  <c r="B90" i="13"/>
  <c r="B87" i="13"/>
  <c r="B30" i="13"/>
  <c r="B67" i="13"/>
  <c r="AJ19" i="8"/>
  <c r="B3" i="13"/>
  <c r="AJ22" i="8"/>
  <c r="B75" i="13"/>
  <c r="AI19" i="8"/>
  <c r="A3" i="13"/>
  <c r="AI13" i="8"/>
  <c r="AJ13" i="8"/>
  <c r="AI22" i="8"/>
  <c r="BP4" i="6"/>
  <c r="BP153" i="6" s="1"/>
  <c r="BO180" i="6" s="1"/>
  <c r="BI20" i="6"/>
  <c r="BL57" i="6"/>
  <c r="BJ57" i="6"/>
  <c r="BK31" i="6"/>
  <c r="BJ20" i="6"/>
  <c r="BK10" i="6"/>
  <c r="BK6" i="6"/>
  <c r="BK27" i="6"/>
  <c r="BK29" i="6"/>
  <c r="BM155" i="6"/>
  <c r="BK16" i="6"/>
  <c r="BL31" i="6"/>
  <c r="BK12" i="6"/>
  <c r="C357" i="8" l="1"/>
  <c r="F5" i="117" s="1"/>
  <c r="CM4" i="6"/>
  <c r="CM153" i="6" s="1"/>
  <c r="DS180" i="6"/>
  <c r="C159" i="8"/>
  <c r="BK21" i="6"/>
  <c r="BK3" i="6"/>
  <c r="BK14" i="6"/>
  <c r="BK11" i="6"/>
  <c r="C158" i="8"/>
  <c r="BM157" i="6"/>
  <c r="BK2" i="6"/>
  <c r="BK15" i="6"/>
  <c r="BK7" i="6"/>
  <c r="BK25" i="6"/>
  <c r="BL22" i="6"/>
  <c r="BK20" i="6"/>
  <c r="BK42" i="6"/>
  <c r="BL48" i="6"/>
  <c r="BK13" i="6"/>
  <c r="BK50" i="6"/>
  <c r="BK8" i="6"/>
  <c r="BL50" i="6"/>
  <c r="BK4" i="6"/>
  <c r="BK17" i="6"/>
  <c r="BK24" i="6"/>
  <c r="AD14" i="8"/>
  <c r="AD4" i="8"/>
  <c r="F142" i="111" s="1"/>
  <c r="AD64" i="8"/>
  <c r="AD36" i="8"/>
  <c r="AD15" i="8"/>
  <c r="AD8" i="8"/>
  <c r="F138" i="111" s="1"/>
  <c r="AD152" i="8"/>
  <c r="AD127" i="8"/>
  <c r="F136" i="111" s="1"/>
  <c r="AD11" i="8"/>
  <c r="F135" i="111" s="1"/>
  <c r="AD18" i="8"/>
  <c r="F134" i="111" s="1"/>
  <c r="AD12" i="8"/>
  <c r="AD28" i="8"/>
  <c r="AD105" i="8"/>
  <c r="AD70" i="8"/>
  <c r="AD6" i="8"/>
  <c r="AD109" i="8"/>
  <c r="AD9" i="8"/>
  <c r="AD20" i="8"/>
  <c r="AD34" i="8"/>
  <c r="AD82" i="8"/>
  <c r="AD16" i="8"/>
  <c r="AD42" i="8"/>
  <c r="AD124" i="8"/>
  <c r="AD101" i="8"/>
  <c r="F141" i="111" s="1"/>
  <c r="AD40" i="8"/>
  <c r="AD39" i="8"/>
  <c r="AD33" i="8"/>
  <c r="AD98" i="8"/>
  <c r="AD136" i="8"/>
  <c r="AD100" i="8"/>
  <c r="AD126" i="8"/>
  <c r="AD135" i="8"/>
  <c r="AD116" i="8"/>
  <c r="AD24" i="8"/>
  <c r="AD56" i="8"/>
  <c r="AD128" i="8"/>
  <c r="F140" i="111" s="1"/>
  <c r="AD51" i="8"/>
  <c r="AD53" i="8"/>
  <c r="F143" i="111" s="1"/>
  <c r="AD30" i="8"/>
  <c r="AD114" i="8"/>
  <c r="AD138" i="8"/>
  <c r="AD46" i="8"/>
  <c r="AD123" i="8"/>
  <c r="F146" i="111" s="1"/>
  <c r="AD27" i="8"/>
  <c r="AD145" i="8"/>
  <c r="AD93" i="8"/>
  <c r="AD76" i="8"/>
  <c r="AD120" i="8"/>
  <c r="AD73" i="8"/>
  <c r="AD122" i="8"/>
  <c r="AD133" i="8"/>
  <c r="AD5" i="8"/>
  <c r="AD104" i="8"/>
  <c r="BI40" i="6"/>
  <c r="BI45" i="6"/>
  <c r="BI35" i="6"/>
  <c r="BI43" i="6"/>
  <c r="BI47" i="6"/>
  <c r="BI41" i="6"/>
  <c r="BI19" i="6"/>
  <c r="BI24" i="6"/>
  <c r="BI25" i="6"/>
  <c r="BI37" i="6"/>
  <c r="BI36" i="6"/>
  <c r="BI39" i="6"/>
  <c r="BI60" i="6"/>
  <c r="BI6" i="6"/>
  <c r="BI38" i="6"/>
  <c r="BI30" i="6"/>
  <c r="BI14" i="6"/>
  <c r="BI18" i="6"/>
  <c r="BI48" i="6"/>
  <c r="BI8" i="6"/>
  <c r="BI46" i="6"/>
  <c r="BI29" i="6"/>
  <c r="BI5" i="6"/>
  <c r="BI9" i="6"/>
  <c r="BI34" i="6"/>
  <c r="BI10" i="6"/>
  <c r="BI26" i="6"/>
  <c r="BI44" i="6"/>
  <c r="BI59" i="6"/>
  <c r="BI23" i="6"/>
  <c r="BI12" i="6"/>
  <c r="BI21" i="6"/>
  <c r="BI15" i="6"/>
  <c r="BI42" i="6"/>
  <c r="BI50" i="6"/>
  <c r="BI22" i="6"/>
  <c r="BI13" i="6"/>
  <c r="BI16" i="6"/>
  <c r="BI11" i="6"/>
  <c r="BI52" i="6"/>
  <c r="BI49" i="6"/>
  <c r="BI4" i="6"/>
  <c r="BI2" i="6"/>
  <c r="BI53" i="6"/>
  <c r="BI58" i="6"/>
  <c r="BI31" i="6"/>
  <c r="BI57" i="6"/>
  <c r="BI54" i="6"/>
  <c r="BI56" i="6"/>
  <c r="BI33" i="6"/>
  <c r="BI51" i="6"/>
  <c r="BI55" i="6"/>
  <c r="BI32" i="6"/>
  <c r="BI17" i="6"/>
  <c r="BI3" i="6"/>
  <c r="BI27" i="6"/>
  <c r="BI61" i="6"/>
  <c r="BL18" i="6"/>
  <c r="BM18" i="6" s="1"/>
  <c r="BL12" i="6"/>
  <c r="BL6" i="6"/>
  <c r="BL4" i="6"/>
  <c r="BL49" i="6"/>
  <c r="BK49" i="6"/>
  <c r="BL10" i="6"/>
  <c r="BL8" i="6"/>
  <c r="BL30" i="6"/>
  <c r="BL25" i="6"/>
  <c r="BK30" i="6"/>
  <c r="BM27" i="6"/>
  <c r="BL24" i="6"/>
  <c r="BL23" i="6"/>
  <c r="BM23" i="6" s="1"/>
  <c r="BL21" i="6"/>
  <c r="D4" i="9"/>
  <c r="B4" i="9"/>
  <c r="C4" i="9"/>
  <c r="BL29" i="6"/>
  <c r="BL2" i="6"/>
  <c r="BL16" i="6"/>
  <c r="BL33" i="6"/>
  <c r="BM33" i="6" s="1"/>
  <c r="F137" i="111" l="1"/>
  <c r="F152" i="111"/>
  <c r="F133" i="111"/>
  <c r="F107" i="111"/>
  <c r="F148" i="111"/>
  <c r="F149" i="111"/>
  <c r="F147" i="111"/>
  <c r="F139" i="111"/>
  <c r="F145" i="111"/>
  <c r="F113" i="111"/>
  <c r="F144" i="111"/>
  <c r="F130" i="111"/>
  <c r="F132" i="111"/>
  <c r="F131" i="111"/>
  <c r="F128" i="111"/>
  <c r="F127" i="111"/>
  <c r="F117" i="111"/>
  <c r="F125" i="111"/>
  <c r="F118" i="111"/>
  <c r="F126" i="111"/>
  <c r="F124" i="111"/>
  <c r="F129" i="111"/>
  <c r="F123" i="111"/>
  <c r="F111" i="111"/>
  <c r="F116" i="111"/>
  <c r="F108" i="111"/>
  <c r="F121" i="111"/>
  <c r="F122" i="111"/>
  <c r="F120" i="111"/>
  <c r="F114" i="111"/>
  <c r="F112" i="111"/>
  <c r="F119" i="111"/>
  <c r="F115" i="111"/>
  <c r="F109" i="111"/>
  <c r="F110" i="111"/>
  <c r="F104" i="111"/>
  <c r="H44" i="7"/>
  <c r="F105" i="111"/>
  <c r="F106" i="111"/>
  <c r="F102" i="111"/>
  <c r="F103" i="111"/>
  <c r="F100" i="111"/>
  <c r="F101" i="111"/>
  <c r="F99" i="111"/>
  <c r="F97" i="111"/>
  <c r="F98" i="111"/>
  <c r="F96" i="111"/>
  <c r="F95" i="111"/>
  <c r="F94" i="111"/>
  <c r="F68" i="111"/>
  <c r="F88" i="111"/>
  <c r="F87" i="111"/>
  <c r="F84" i="111"/>
  <c r="F75" i="111"/>
  <c r="F92" i="111"/>
  <c r="F7" i="111"/>
  <c r="F3" i="111"/>
  <c r="F31" i="111"/>
  <c r="F79" i="111"/>
  <c r="F63" i="111"/>
  <c r="F64" i="111"/>
  <c r="F91" i="111"/>
  <c r="F93" i="111"/>
  <c r="F59" i="111"/>
  <c r="F62" i="111"/>
  <c r="F46" i="111"/>
  <c r="F21" i="111"/>
  <c r="F51" i="111"/>
  <c r="F77" i="111"/>
  <c r="F60" i="111"/>
  <c r="F54" i="111"/>
  <c r="F78" i="111"/>
  <c r="F73" i="111"/>
  <c r="F74" i="111"/>
  <c r="F27" i="111"/>
  <c r="F28" i="111"/>
  <c r="F17" i="111"/>
  <c r="F30" i="111"/>
  <c r="F50" i="111"/>
  <c r="F71" i="111"/>
  <c r="F69" i="111"/>
  <c r="F70" i="111"/>
  <c r="F65" i="111"/>
  <c r="F66" i="111"/>
  <c r="F85" i="111"/>
  <c r="F86" i="111"/>
  <c r="F76" i="111"/>
  <c r="F80" i="111"/>
  <c r="F81" i="111"/>
  <c r="F48" i="111"/>
  <c r="F33" i="111"/>
  <c r="F42" i="111"/>
  <c r="F20" i="111"/>
  <c r="F67" i="111"/>
  <c r="F45" i="111"/>
  <c r="F49" i="111"/>
  <c r="F19" i="111"/>
  <c r="F83" i="111"/>
  <c r="F61" i="111"/>
  <c r="F53" i="111"/>
  <c r="F34" i="111"/>
  <c r="F13" i="111"/>
  <c r="F44" i="111"/>
  <c r="F43" i="111"/>
  <c r="F6" i="111"/>
  <c r="F90" i="111"/>
  <c r="F58" i="111"/>
  <c r="F41" i="111"/>
  <c r="F56" i="111"/>
  <c r="F35" i="111"/>
  <c r="F23" i="111"/>
  <c r="F89" i="111"/>
  <c r="F57" i="111"/>
  <c r="F47" i="111"/>
  <c r="F16" i="111"/>
  <c r="F8" i="111"/>
  <c r="F4" i="111"/>
  <c r="F14" i="111"/>
  <c r="F25" i="111"/>
  <c r="F10" i="111"/>
  <c r="F12" i="111"/>
  <c r="F38" i="111"/>
  <c r="F24" i="111"/>
  <c r="F72" i="111"/>
  <c r="F36" i="111"/>
  <c r="F5" i="111"/>
  <c r="F18" i="111"/>
  <c r="F82" i="111"/>
  <c r="F55" i="111"/>
  <c r="F37" i="111"/>
  <c r="F40" i="111"/>
  <c r="F9" i="111"/>
  <c r="F15" i="111"/>
  <c r="F22" i="111"/>
  <c r="F52" i="111"/>
  <c r="F32" i="111"/>
  <c r="F39" i="111"/>
  <c r="F29" i="111"/>
  <c r="F26" i="111"/>
  <c r="F11" i="111"/>
  <c r="CS23" i="6"/>
  <c r="CU23" i="6" s="1"/>
  <c r="CW23" i="6" s="1"/>
  <c r="CY23" i="6" s="1"/>
  <c r="DB23" i="6" s="1"/>
  <c r="DE23" i="6" s="1"/>
  <c r="CS33" i="6"/>
  <c r="CU33" i="6" s="1"/>
  <c r="CW33" i="6" s="1"/>
  <c r="CY33" i="6" s="1"/>
  <c r="DB33" i="6" s="1"/>
  <c r="DE33" i="6" s="1"/>
  <c r="CS18" i="6"/>
  <c r="CU18" i="6" s="1"/>
  <c r="CW18" i="6" s="1"/>
  <c r="CY18" i="6" s="1"/>
  <c r="DB18" i="6" s="1"/>
  <c r="DE18" i="6" s="1"/>
  <c r="CS27" i="6"/>
  <c r="CU27" i="6" s="1"/>
  <c r="CW27" i="6" s="1"/>
  <c r="CY27" i="6" s="1"/>
  <c r="DB27" i="6" s="1"/>
  <c r="DE27" i="6" s="1"/>
  <c r="H63" i="7"/>
  <c r="H40" i="7"/>
  <c r="H56" i="7"/>
  <c r="H31" i="7"/>
  <c r="H55" i="7"/>
  <c r="H67" i="7"/>
  <c r="H42" i="7"/>
  <c r="H18" i="7"/>
  <c r="H17" i="7"/>
  <c r="H66" i="7"/>
  <c r="H54" i="7"/>
  <c r="H41" i="7"/>
  <c r="CN23" i="6"/>
  <c r="CP23" i="6"/>
  <c r="CN33" i="6"/>
  <c r="CP33" i="6"/>
  <c r="CN18" i="6"/>
  <c r="CP18" i="6"/>
  <c r="CN27" i="6"/>
  <c r="CP27" i="6"/>
  <c r="H51" i="7"/>
  <c r="H30" i="7"/>
  <c r="H29" i="7"/>
  <c r="H16" i="7"/>
  <c r="H19" i="7"/>
  <c r="H43" i="7"/>
  <c r="H46" i="7"/>
  <c r="H64" i="7"/>
  <c r="H61" i="7"/>
  <c r="H50" i="7"/>
  <c r="H12" i="7"/>
  <c r="H52" i="7"/>
  <c r="H38" i="7"/>
  <c r="H13" i="7"/>
  <c r="H47" i="7"/>
  <c r="H53" i="7"/>
  <c r="H15" i="7"/>
  <c r="H39" i="7"/>
  <c r="H62" i="7"/>
  <c r="H25" i="7"/>
  <c r="H49" i="7"/>
  <c r="H37" i="7"/>
  <c r="H24" i="7"/>
  <c r="H60" i="7"/>
  <c r="H48" i="7"/>
  <c r="H36" i="7"/>
  <c r="H23" i="7"/>
  <c r="H11" i="7"/>
  <c r="H59" i="7"/>
  <c r="H35" i="7"/>
  <c r="H58" i="7"/>
  <c r="H34" i="7"/>
  <c r="H21" i="7"/>
  <c r="H65" i="7"/>
  <c r="H28" i="7"/>
  <c r="H26" i="7"/>
  <c r="H57" i="7"/>
  <c r="H45" i="7"/>
  <c r="H33" i="7"/>
  <c r="H20" i="7"/>
  <c r="C157" i="8"/>
  <c r="C175" i="8" s="1"/>
  <c r="BN27" i="6"/>
  <c r="H92" i="7"/>
  <c r="BM16" i="6"/>
  <c r="BM30" i="6"/>
  <c r="BK153" i="6"/>
  <c r="BP46" i="8"/>
  <c r="C108" i="7"/>
  <c r="C118" i="7" s="1"/>
  <c r="P92" i="7"/>
  <c r="Q92" i="7" s="1"/>
  <c r="N91" i="7"/>
  <c r="I91" i="7"/>
  <c r="E91" i="7"/>
  <c r="D91" i="7"/>
  <c r="C91" i="7"/>
  <c r="O88" i="7"/>
  <c r="J88" i="7"/>
  <c r="G88" i="7"/>
  <c r="J87" i="7"/>
  <c r="L87" i="7" s="1"/>
  <c r="F87" i="7"/>
  <c r="G87" i="7" s="1"/>
  <c r="J86" i="7"/>
  <c r="L86" i="7" s="1"/>
  <c r="F86" i="7"/>
  <c r="G86" i="7" s="1"/>
  <c r="J85" i="7"/>
  <c r="L85" i="7" s="1"/>
  <c r="F85" i="7"/>
  <c r="K85" i="7" s="1"/>
  <c r="J84" i="7"/>
  <c r="L84" i="7" s="1"/>
  <c r="F84" i="7"/>
  <c r="O84" i="7" s="1"/>
  <c r="J83" i="7"/>
  <c r="L83" i="7" s="1"/>
  <c r="F83" i="7"/>
  <c r="O83" i="7" s="1"/>
  <c r="J82" i="7"/>
  <c r="L82" i="7" s="1"/>
  <c r="F82" i="7"/>
  <c r="K82" i="7" s="1"/>
  <c r="J81" i="7"/>
  <c r="L81" i="7" s="1"/>
  <c r="F81" i="7"/>
  <c r="J80" i="7"/>
  <c r="L80" i="7" s="1"/>
  <c r="F80" i="7"/>
  <c r="G80" i="7" s="1"/>
  <c r="J79" i="7"/>
  <c r="L79" i="7" s="1"/>
  <c r="F79" i="7"/>
  <c r="O79" i="7" s="1"/>
  <c r="J78" i="7"/>
  <c r="L78" i="7" s="1"/>
  <c r="F78" i="7"/>
  <c r="K78" i="7" s="1"/>
  <c r="J77" i="7"/>
  <c r="L77" i="7" s="1"/>
  <c r="F77" i="7"/>
  <c r="K77" i="7" s="1"/>
  <c r="J76" i="7"/>
  <c r="L76" i="7" s="1"/>
  <c r="F76" i="7"/>
  <c r="J75" i="7"/>
  <c r="L75" i="7" s="1"/>
  <c r="F75" i="7"/>
  <c r="G75" i="7" s="1"/>
  <c r="J74" i="7"/>
  <c r="L74" i="7" s="1"/>
  <c r="F74" i="7"/>
  <c r="J73" i="7"/>
  <c r="L73" i="7" s="1"/>
  <c r="F73" i="7"/>
  <c r="K73" i="7" s="1"/>
  <c r="K72" i="7"/>
  <c r="J72" i="7"/>
  <c r="L72" i="7" s="1"/>
  <c r="F72" i="7"/>
  <c r="O72" i="7" s="1"/>
  <c r="G71" i="7"/>
  <c r="G70" i="7"/>
  <c r="G69" i="7"/>
  <c r="G68" i="7"/>
  <c r="F57" i="7"/>
  <c r="F60" i="7"/>
  <c r="F14" i="7"/>
  <c r="F62" i="7"/>
  <c r="F40" i="7"/>
  <c r="F25" i="7"/>
  <c r="F67" i="7"/>
  <c r="F66" i="7"/>
  <c r="F65" i="7"/>
  <c r="F64" i="7"/>
  <c r="F63" i="7"/>
  <c r="F61" i="7"/>
  <c r="F59" i="7"/>
  <c r="F58" i="7"/>
  <c r="F56" i="7"/>
  <c r="F55" i="7"/>
  <c r="F53" i="7"/>
  <c r="F52" i="7"/>
  <c r="F51" i="7"/>
  <c r="F47" i="7"/>
  <c r="F46" i="7"/>
  <c r="F45" i="7"/>
  <c r="F44" i="7"/>
  <c r="F42" i="7"/>
  <c r="F41" i="7"/>
  <c r="F39" i="7"/>
  <c r="F38" i="7"/>
  <c r="F37" i="7"/>
  <c r="F36" i="7"/>
  <c r="F34" i="7"/>
  <c r="F32" i="7"/>
  <c r="F29" i="7"/>
  <c r="F22" i="7"/>
  <c r="F21" i="7"/>
  <c r="F20" i="7"/>
  <c r="F19" i="7"/>
  <c r="F16" i="7"/>
  <c r="F15" i="7"/>
  <c r="F10" i="7"/>
  <c r="F54" i="7"/>
  <c r="F50" i="7"/>
  <c r="F49" i="7"/>
  <c r="F48" i="7"/>
  <c r="F43" i="7"/>
  <c r="F35" i="7"/>
  <c r="F33" i="7"/>
  <c r="F31" i="7"/>
  <c r="F30" i="7"/>
  <c r="F28" i="7"/>
  <c r="F27" i="7"/>
  <c r="F26" i="7"/>
  <c r="F24" i="7"/>
  <c r="F23" i="7"/>
  <c r="F18" i="7"/>
  <c r="F17" i="7"/>
  <c r="F13" i="7"/>
  <c r="F12" i="7"/>
  <c r="F11" i="7"/>
  <c r="F9" i="7"/>
  <c r="BJ9" i="6"/>
  <c r="BL9" i="6"/>
  <c r="BJ4" i="6"/>
  <c r="BM4" i="6" s="1"/>
  <c r="BJ5" i="6"/>
  <c r="BL5" i="6"/>
  <c r="AI7" i="6"/>
  <c r="BI7" i="6" s="1"/>
  <c r="H14" i="7" s="1"/>
  <c r="BJ7" i="6"/>
  <c r="BJ59" i="6"/>
  <c r="BL59" i="6"/>
  <c r="BJ15" i="6"/>
  <c r="BL15" i="6"/>
  <c r="BJ29" i="6"/>
  <c r="BM29" i="6" s="1"/>
  <c r="BJ6" i="6"/>
  <c r="BM6" i="6" s="1"/>
  <c r="BJ32" i="6"/>
  <c r="BL32" i="6"/>
  <c r="BJ11" i="6"/>
  <c r="BL11" i="6"/>
  <c r="BL61" i="6"/>
  <c r="BM61" i="6" s="1"/>
  <c r="BJ12" i="6"/>
  <c r="BM12" i="6" s="1"/>
  <c r="BJ2" i="6"/>
  <c r="BM2" i="6" s="1"/>
  <c r="BJ41" i="6"/>
  <c r="BL41" i="6"/>
  <c r="BJ58" i="6"/>
  <c r="BL58" i="6"/>
  <c r="BJ38" i="6"/>
  <c r="BL38" i="6"/>
  <c r="BJ60" i="6"/>
  <c r="BL60" i="6"/>
  <c r="BL44" i="6"/>
  <c r="BM44" i="6" s="1"/>
  <c r="BL53" i="6"/>
  <c r="BM53" i="6" s="1"/>
  <c r="BJ8" i="6"/>
  <c r="BM8" i="6" s="1"/>
  <c r="BJ14" i="6"/>
  <c r="BL14" i="6"/>
  <c r="BJ42" i="6"/>
  <c r="BL42" i="6"/>
  <c r="BJ50" i="6"/>
  <c r="BJ46" i="6"/>
  <c r="BL46" i="6"/>
  <c r="BJ17" i="6"/>
  <c r="BL17" i="6"/>
  <c r="BL55" i="6"/>
  <c r="BM55" i="6" s="1"/>
  <c r="BJ35" i="6"/>
  <c r="BL35" i="6"/>
  <c r="BJ45" i="6"/>
  <c r="BL45" i="6"/>
  <c r="BJ22" i="6"/>
  <c r="BJ37" i="6"/>
  <c r="BL37" i="6"/>
  <c r="BJ25" i="6"/>
  <c r="BM25" i="6" s="1"/>
  <c r="BJ52" i="6"/>
  <c r="BM52" i="6" s="1"/>
  <c r="BJ36" i="6"/>
  <c r="BL36" i="6"/>
  <c r="BJ10" i="6"/>
  <c r="BM10" i="6" s="1"/>
  <c r="BJ24" i="6"/>
  <c r="BM24" i="6" s="1"/>
  <c r="BJ13" i="6"/>
  <c r="BL13" i="6"/>
  <c r="BM48" i="6"/>
  <c r="BJ21" i="6"/>
  <c r="BM21" i="6" s="1"/>
  <c r="BJ3" i="6"/>
  <c r="BL3" i="6"/>
  <c r="BJ49" i="6"/>
  <c r="BM49" i="6" s="1"/>
  <c r="BJ40" i="6"/>
  <c r="BL40" i="6"/>
  <c r="BL20" i="6"/>
  <c r="BJ19" i="6"/>
  <c r="BL19" i="6"/>
  <c r="BJ34" i="6"/>
  <c r="BL34" i="6"/>
  <c r="BJ39" i="6"/>
  <c r="BL39" i="6"/>
  <c r="BJ26" i="6"/>
  <c r="BL26" i="6"/>
  <c r="BL56" i="6"/>
  <c r="BM56" i="6" s="1"/>
  <c r="BJ51" i="6"/>
  <c r="BL51" i="6"/>
  <c r="BJ43" i="6"/>
  <c r="BL43" i="6"/>
  <c r="BJ54" i="6"/>
  <c r="BL54" i="6"/>
  <c r="BL47" i="6"/>
  <c r="BM47" i="6" s="1"/>
  <c r="BM31" i="6"/>
  <c r="H92" i="2"/>
  <c r="H92" i="4" s="1"/>
  <c r="H93" i="4" s="1"/>
  <c r="H64" i="2"/>
  <c r="H64" i="4" s="1"/>
  <c r="H65" i="2"/>
  <c r="J65" i="2" s="1"/>
  <c r="L65" i="2" s="1"/>
  <c r="H66" i="2"/>
  <c r="K66" i="2" s="1"/>
  <c r="AY64" i="1"/>
  <c r="AZ64" i="1" s="1"/>
  <c r="AY7" i="1"/>
  <c r="AW7" i="1"/>
  <c r="H91" i="4"/>
  <c r="AY27" i="1"/>
  <c r="I89" i="4"/>
  <c r="J89" i="4"/>
  <c r="K89" i="4"/>
  <c r="L89" i="4"/>
  <c r="M89" i="4"/>
  <c r="N89" i="4"/>
  <c r="O89" i="4"/>
  <c r="Q68" i="4"/>
  <c r="Q69" i="4"/>
  <c r="Q70" i="4"/>
  <c r="Q71" i="4"/>
  <c r="Q72" i="4"/>
  <c r="Q73" i="4"/>
  <c r="Q74" i="4"/>
  <c r="Q75" i="4"/>
  <c r="Q76" i="4"/>
  <c r="Q77" i="4"/>
  <c r="Q78" i="4"/>
  <c r="Q79" i="4"/>
  <c r="Q80" i="4"/>
  <c r="Q81" i="4"/>
  <c r="Q82" i="4"/>
  <c r="Q83" i="4"/>
  <c r="Q84" i="4"/>
  <c r="Q85" i="4"/>
  <c r="Q86" i="4"/>
  <c r="Q87" i="4"/>
  <c r="Q88"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9" i="4"/>
  <c r="P89" i="4" s="1"/>
  <c r="C106" i="4"/>
  <c r="C116" i="4" s="1"/>
  <c r="E89" i="4"/>
  <c r="D89" i="4"/>
  <c r="C89" i="4"/>
  <c r="G88" i="4"/>
  <c r="F87" i="4"/>
  <c r="G87" i="4" s="1"/>
  <c r="F86" i="4"/>
  <c r="F85" i="4"/>
  <c r="G85" i="4" s="1"/>
  <c r="F84" i="4"/>
  <c r="F83" i="4"/>
  <c r="G83" i="4" s="1"/>
  <c r="F82" i="4"/>
  <c r="F81" i="4"/>
  <c r="F80" i="4"/>
  <c r="G80" i="4" s="1"/>
  <c r="F79" i="4"/>
  <c r="G79" i="4" s="1"/>
  <c r="F78" i="4"/>
  <c r="G78" i="4" s="1"/>
  <c r="F77" i="4"/>
  <c r="F76" i="4"/>
  <c r="F75" i="4"/>
  <c r="G75" i="4" s="1"/>
  <c r="F74" i="4"/>
  <c r="F73" i="4"/>
  <c r="G73" i="4" s="1"/>
  <c r="F72" i="4"/>
  <c r="G71" i="4"/>
  <c r="G70" i="4"/>
  <c r="G69" i="4"/>
  <c r="G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A10" i="4"/>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F9" i="4"/>
  <c r="F49" i="2"/>
  <c r="C89" i="2"/>
  <c r="F63" i="2"/>
  <c r="F64" i="2"/>
  <c r="F65" i="2"/>
  <c r="F66" i="2"/>
  <c r="F67" i="2"/>
  <c r="G68" i="2"/>
  <c r="G69" i="2"/>
  <c r="G70" i="2"/>
  <c r="G71" i="2"/>
  <c r="G88" i="2"/>
  <c r="P90" i="2"/>
  <c r="Q90" i="2" s="1"/>
  <c r="AZ89" i="1"/>
  <c r="AY18" i="1"/>
  <c r="AY47" i="1"/>
  <c r="AY52" i="1"/>
  <c r="AY16" i="1"/>
  <c r="AW11" i="1"/>
  <c r="AW12"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AW45" i="1"/>
  <c r="AW46" i="1"/>
  <c r="AW47" i="1"/>
  <c r="AW48" i="1"/>
  <c r="AW49" i="1"/>
  <c r="AW50" i="1"/>
  <c r="AW51" i="1"/>
  <c r="AW52" i="1"/>
  <c r="AW53" i="1"/>
  <c r="AW54" i="1"/>
  <c r="AW55" i="1"/>
  <c r="AW56" i="1"/>
  <c r="AW57" i="1"/>
  <c r="AW58" i="1"/>
  <c r="AW59" i="1"/>
  <c r="AW60" i="1"/>
  <c r="AW61" i="1"/>
  <c r="AW62" i="1"/>
  <c r="AW63" i="1"/>
  <c r="AW64" i="1"/>
  <c r="AW65" i="1"/>
  <c r="AW6" i="1"/>
  <c r="AW8" i="1"/>
  <c r="AW9" i="1"/>
  <c r="AY59" i="1"/>
  <c r="AZ59" i="1" s="1"/>
  <c r="AY23" i="1"/>
  <c r="AY58" i="1"/>
  <c r="AY42" i="1"/>
  <c r="AY41" i="1"/>
  <c r="AY37" i="1"/>
  <c r="AY20" i="1"/>
  <c r="AX48" i="1"/>
  <c r="AY63" i="1"/>
  <c r="AZ63" i="1" s="1"/>
  <c r="AY62" i="1"/>
  <c r="AZ62" i="1" s="1"/>
  <c r="F9" i="2"/>
  <c r="A10" i="2"/>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50" i="2"/>
  <c r="F51" i="2"/>
  <c r="F52" i="2"/>
  <c r="F53" i="2"/>
  <c r="AY28" i="1"/>
  <c r="AY34" i="1"/>
  <c r="AY9" i="1"/>
  <c r="AY43" i="1"/>
  <c r="AY25" i="1"/>
  <c r="AY49" i="1"/>
  <c r="AY38" i="1"/>
  <c r="AY56" i="1"/>
  <c r="AY50" i="1"/>
  <c r="AY53" i="1"/>
  <c r="AY45" i="1"/>
  <c r="AY19" i="1"/>
  <c r="AY40" i="1"/>
  <c r="J72" i="2"/>
  <c r="L72" i="2" s="1"/>
  <c r="J73" i="2"/>
  <c r="J74" i="2"/>
  <c r="J75" i="2"/>
  <c r="J76" i="2"/>
  <c r="J77" i="2"/>
  <c r="J78" i="2"/>
  <c r="J79" i="2"/>
  <c r="J80" i="2"/>
  <c r="J81" i="2"/>
  <c r="J82" i="2"/>
  <c r="J83" i="2"/>
  <c r="J84" i="2"/>
  <c r="J85" i="2"/>
  <c r="J86" i="2"/>
  <c r="J87" i="2"/>
  <c r="J88" i="2"/>
  <c r="AY8" i="1"/>
  <c r="AY44" i="1"/>
  <c r="AY60" i="1"/>
  <c r="AZ60" i="1" s="1"/>
  <c r="AY51" i="1"/>
  <c r="AY12" i="1"/>
  <c r="AY61" i="1"/>
  <c r="AZ61" i="1" s="1"/>
  <c r="AY14" i="1"/>
  <c r="AY36" i="1"/>
  <c r="AY15" i="1"/>
  <c r="F62" i="2"/>
  <c r="K72" i="2"/>
  <c r="F72" i="2"/>
  <c r="O72" i="2" s="1"/>
  <c r="AW67" i="1"/>
  <c r="AX10" i="1"/>
  <c r="AW68" i="1"/>
  <c r="AW69" i="1"/>
  <c r="AW70" i="1"/>
  <c r="AW71" i="1"/>
  <c r="AW72" i="1"/>
  <c r="AW73" i="1"/>
  <c r="AW74" i="1"/>
  <c r="AW75" i="1"/>
  <c r="AW76" i="1"/>
  <c r="AW77" i="1"/>
  <c r="AW78" i="1"/>
  <c r="AW79" i="1"/>
  <c r="AW80" i="1"/>
  <c r="AW81" i="1"/>
  <c r="AW82" i="1"/>
  <c r="AW83" i="1"/>
  <c r="AW84" i="1"/>
  <c r="AW85" i="1"/>
  <c r="AW86" i="1"/>
  <c r="AW87" i="1"/>
  <c r="AX51" i="1"/>
  <c r="AY55" i="1"/>
  <c r="H32" i="7" l="1"/>
  <c r="O32" i="7" s="1"/>
  <c r="H22" i="7"/>
  <c r="K22" i="7" s="1"/>
  <c r="F154" i="111"/>
  <c r="CN4" i="6"/>
  <c r="CN2" i="6"/>
  <c r="CS10" i="6"/>
  <c r="CU10" i="6" s="1"/>
  <c r="CW10" i="6" s="1"/>
  <c r="CY10" i="6" s="1"/>
  <c r="DB10" i="6" s="1"/>
  <c r="DE10" i="6" s="1"/>
  <c r="CS47" i="6"/>
  <c r="CU47" i="6" s="1"/>
  <c r="CW47" i="6" s="1"/>
  <c r="CY47" i="6" s="1"/>
  <c r="DB47" i="6" s="1"/>
  <c r="DE47" i="6" s="1"/>
  <c r="CS2" i="6"/>
  <c r="CP2" i="6"/>
  <c r="CS4" i="6"/>
  <c r="CU4" i="6" s="1"/>
  <c r="CW4" i="6" s="1"/>
  <c r="CY4" i="6" s="1"/>
  <c r="DB4" i="6" s="1"/>
  <c r="DE4" i="6" s="1"/>
  <c r="CS56" i="6"/>
  <c r="CU56" i="6" s="1"/>
  <c r="CW56" i="6" s="1"/>
  <c r="CY56" i="6" s="1"/>
  <c r="DB56" i="6" s="1"/>
  <c r="DE56" i="6" s="1"/>
  <c r="CS6" i="6"/>
  <c r="CU6" i="6" s="1"/>
  <c r="CW6" i="6" s="1"/>
  <c r="CY6" i="6" s="1"/>
  <c r="DB6" i="6" s="1"/>
  <c r="DE6" i="6" s="1"/>
  <c r="CS29" i="6"/>
  <c r="CU29" i="6" s="1"/>
  <c r="CW29" i="6" s="1"/>
  <c r="CY29" i="6" s="1"/>
  <c r="DB29" i="6" s="1"/>
  <c r="DE29" i="6" s="1"/>
  <c r="CS8" i="6"/>
  <c r="CU8" i="6" s="1"/>
  <c r="CW8" i="6" s="1"/>
  <c r="CY8" i="6" s="1"/>
  <c r="DB8" i="6" s="1"/>
  <c r="DE8" i="6" s="1"/>
  <c r="CS24" i="6"/>
  <c r="CU24" i="6" s="1"/>
  <c r="CW24" i="6" s="1"/>
  <c r="CY24" i="6" s="1"/>
  <c r="DB24" i="6" s="1"/>
  <c r="DE24" i="6" s="1"/>
  <c r="CS61" i="6"/>
  <c r="CU61" i="6" s="1"/>
  <c r="CW61" i="6" s="1"/>
  <c r="CY61" i="6" s="1"/>
  <c r="DB61" i="6" s="1"/>
  <c r="DE61" i="6" s="1"/>
  <c r="CS55" i="6"/>
  <c r="CU55" i="6" s="1"/>
  <c r="CW55" i="6" s="1"/>
  <c r="CY55" i="6" s="1"/>
  <c r="DB55" i="6" s="1"/>
  <c r="DE55" i="6" s="1"/>
  <c r="CS30" i="6"/>
  <c r="CU30" i="6" s="1"/>
  <c r="CW30" i="6" s="1"/>
  <c r="CY30" i="6" s="1"/>
  <c r="DB30" i="6" s="1"/>
  <c r="DE30" i="6" s="1"/>
  <c r="CS52" i="6"/>
  <c r="CU52" i="6" s="1"/>
  <c r="CW52" i="6" s="1"/>
  <c r="CY52" i="6" s="1"/>
  <c r="DB52" i="6" s="1"/>
  <c r="DE52" i="6" s="1"/>
  <c r="CS25" i="6"/>
  <c r="CU25" i="6" s="1"/>
  <c r="CW25" i="6" s="1"/>
  <c r="CY25" i="6" s="1"/>
  <c r="DB25" i="6" s="1"/>
  <c r="DE25" i="6" s="1"/>
  <c r="CS31" i="6"/>
  <c r="CU31" i="6" s="1"/>
  <c r="CW31" i="6" s="1"/>
  <c r="CY31" i="6" s="1"/>
  <c r="DB31" i="6" s="1"/>
  <c r="DE31" i="6" s="1"/>
  <c r="CS21" i="6"/>
  <c r="CU21" i="6" s="1"/>
  <c r="CW21" i="6" s="1"/>
  <c r="CY21" i="6" s="1"/>
  <c r="DB21" i="6" s="1"/>
  <c r="DE21" i="6" s="1"/>
  <c r="CS12" i="6"/>
  <c r="CU12" i="6" s="1"/>
  <c r="CW12" i="6" s="1"/>
  <c r="CY12" i="6" s="1"/>
  <c r="DB12" i="6" s="1"/>
  <c r="DE12" i="6" s="1"/>
  <c r="CS53" i="6"/>
  <c r="CU53" i="6" s="1"/>
  <c r="CW53" i="6" s="1"/>
  <c r="CY53" i="6" s="1"/>
  <c r="DB53" i="6" s="1"/>
  <c r="DE53" i="6" s="1"/>
  <c r="CS44" i="6"/>
  <c r="CU44" i="6" s="1"/>
  <c r="CW44" i="6" s="1"/>
  <c r="CY44" i="6" s="1"/>
  <c r="DB44" i="6" s="1"/>
  <c r="DE44" i="6" s="1"/>
  <c r="CS49" i="6"/>
  <c r="CU49" i="6" s="1"/>
  <c r="CW49" i="6" s="1"/>
  <c r="CY49" i="6" s="1"/>
  <c r="DB49" i="6" s="1"/>
  <c r="DE49" i="6" s="1"/>
  <c r="CS48" i="6"/>
  <c r="CU48" i="6" s="1"/>
  <c r="CW48" i="6" s="1"/>
  <c r="CY48" i="6" s="1"/>
  <c r="DB48" i="6" s="1"/>
  <c r="DE48" i="6" s="1"/>
  <c r="CS16" i="6"/>
  <c r="CU16" i="6" s="1"/>
  <c r="CW16" i="6" s="1"/>
  <c r="CY16" i="6" s="1"/>
  <c r="DB16" i="6" s="1"/>
  <c r="DE16" i="6" s="1"/>
  <c r="CN16" i="6"/>
  <c r="CP16" i="6"/>
  <c r="CN52" i="6"/>
  <c r="CP52" i="6"/>
  <c r="CP4" i="6"/>
  <c r="CN56" i="6"/>
  <c r="CP56" i="6"/>
  <c r="CN49" i="6"/>
  <c r="CP49" i="6"/>
  <c r="CN25" i="6"/>
  <c r="CP25" i="6"/>
  <c r="CN6" i="6"/>
  <c r="CP6" i="6"/>
  <c r="CN29" i="6"/>
  <c r="CP29" i="6"/>
  <c r="CN31" i="6"/>
  <c r="CP31" i="6"/>
  <c r="CN21" i="6"/>
  <c r="CP21" i="6"/>
  <c r="CN48" i="6"/>
  <c r="CP48" i="6"/>
  <c r="CN47" i="6"/>
  <c r="CP47" i="6"/>
  <c r="CN8" i="6"/>
  <c r="CP8" i="6"/>
  <c r="CN12" i="6"/>
  <c r="CP12" i="6"/>
  <c r="CN24" i="6"/>
  <c r="CP24" i="6"/>
  <c r="CN53" i="6"/>
  <c r="CP53" i="6"/>
  <c r="CN61" i="6"/>
  <c r="CP61" i="6"/>
  <c r="CN10" i="6"/>
  <c r="CP10" i="6"/>
  <c r="CN55" i="6"/>
  <c r="CP55" i="6"/>
  <c r="CN44" i="6"/>
  <c r="CP44" i="6"/>
  <c r="CN30" i="6"/>
  <c r="CP30" i="6"/>
  <c r="BI153" i="6"/>
  <c r="BL7" i="6"/>
  <c r="BL153" i="6" s="1"/>
  <c r="BM26" i="6"/>
  <c r="BM20" i="6"/>
  <c r="BM50" i="6"/>
  <c r="BM9" i="6"/>
  <c r="BM164" i="6" s="1"/>
  <c r="BM57" i="6"/>
  <c r="BM11" i="6"/>
  <c r="BM54" i="6"/>
  <c r="BM35" i="6"/>
  <c r="BM40" i="6"/>
  <c r="BM42" i="6"/>
  <c r="BM60" i="6"/>
  <c r="BM41" i="6"/>
  <c r="BM43" i="6"/>
  <c r="BM37" i="6"/>
  <c r="BM59" i="6"/>
  <c r="BM39" i="6"/>
  <c r="BM13" i="6"/>
  <c r="BM32" i="6"/>
  <c r="BM34" i="6"/>
  <c r="BM17" i="6"/>
  <c r="BM14" i="6"/>
  <c r="BM38" i="6"/>
  <c r="BM5" i="6"/>
  <c r="BM51" i="6"/>
  <c r="BM3" i="6"/>
  <c r="BM22" i="6"/>
  <c r="BM19" i="6"/>
  <c r="BM46" i="6"/>
  <c r="BM58" i="6"/>
  <c r="BM36" i="6"/>
  <c r="BM15" i="6"/>
  <c r="BM45" i="6"/>
  <c r="H27" i="7"/>
  <c r="K30" i="7"/>
  <c r="J50" i="7"/>
  <c r="L50" i="7" s="1"/>
  <c r="J20" i="7"/>
  <c r="L20" i="7" s="1"/>
  <c r="BN18" i="6"/>
  <c r="K32" i="7"/>
  <c r="K42" i="7"/>
  <c r="K56" i="7"/>
  <c r="O25" i="7"/>
  <c r="K59" i="7"/>
  <c r="K25" i="7"/>
  <c r="J23" i="7"/>
  <c r="L23" i="7" s="1"/>
  <c r="G62" i="7"/>
  <c r="K16" i="7"/>
  <c r="J62" i="7"/>
  <c r="L62" i="7" s="1"/>
  <c r="O19" i="7"/>
  <c r="K35" i="7"/>
  <c r="K19" i="7"/>
  <c r="K14" i="7"/>
  <c r="K55" i="7"/>
  <c r="K34" i="7"/>
  <c r="BN48" i="6"/>
  <c r="BN4" i="6"/>
  <c r="K13" i="7"/>
  <c r="K67" i="7"/>
  <c r="K60" i="7"/>
  <c r="K52" i="7"/>
  <c r="BN31" i="6"/>
  <c r="BN30" i="6"/>
  <c r="BN10" i="6"/>
  <c r="BN56" i="6"/>
  <c r="BN16" i="6"/>
  <c r="BN25" i="6"/>
  <c r="BN33" i="6"/>
  <c r="BN53" i="6"/>
  <c r="K21" i="7"/>
  <c r="K36" i="7"/>
  <c r="K65" i="7"/>
  <c r="K26" i="7"/>
  <c r="K48" i="7"/>
  <c r="K41" i="7"/>
  <c r="K51" i="7"/>
  <c r="K18" i="7"/>
  <c r="K58" i="7"/>
  <c r="K45" i="7"/>
  <c r="K61" i="7"/>
  <c r="K57" i="7"/>
  <c r="K49" i="7"/>
  <c r="K37" i="7"/>
  <c r="K17" i="7"/>
  <c r="G31" i="7"/>
  <c r="K54" i="7"/>
  <c r="G63" i="7"/>
  <c r="O34" i="7"/>
  <c r="O44" i="7"/>
  <c r="K33" i="7"/>
  <c r="K38" i="7"/>
  <c r="K39" i="7"/>
  <c r="G23" i="7"/>
  <c r="G21" i="7"/>
  <c r="O52" i="7"/>
  <c r="G50" i="7"/>
  <c r="G55" i="7"/>
  <c r="O30" i="7"/>
  <c r="G33" i="7"/>
  <c r="K64" i="7"/>
  <c r="K46" i="7"/>
  <c r="G20" i="7"/>
  <c r="H63" i="2"/>
  <c r="H63" i="4" s="1"/>
  <c r="G63" i="4" s="1"/>
  <c r="G47" i="7"/>
  <c r="G66" i="7"/>
  <c r="O42" i="7"/>
  <c r="K28" i="7"/>
  <c r="G53" i="7"/>
  <c r="O35" i="7"/>
  <c r="O56" i="7"/>
  <c r="G14" i="7"/>
  <c r="G13" i="7"/>
  <c r="G43" i="7"/>
  <c r="O15" i="7"/>
  <c r="G29" i="7"/>
  <c r="G60" i="7"/>
  <c r="G16" i="7"/>
  <c r="G59" i="7"/>
  <c r="G67" i="7"/>
  <c r="K80" i="7"/>
  <c r="O80" i="7"/>
  <c r="O53" i="7"/>
  <c r="O55" i="7"/>
  <c r="O77" i="7"/>
  <c r="O50" i="7"/>
  <c r="O78" i="7"/>
  <c r="G40" i="7"/>
  <c r="O82" i="7"/>
  <c r="O45" i="7"/>
  <c r="G15" i="7"/>
  <c r="J15" i="7"/>
  <c r="L15" i="7" s="1"/>
  <c r="K15" i="7"/>
  <c r="O67" i="7"/>
  <c r="O73" i="7"/>
  <c r="G82" i="7"/>
  <c r="O29" i="7"/>
  <c r="J42" i="7"/>
  <c r="L42" i="7" s="1"/>
  <c r="O23" i="7"/>
  <c r="K75" i="7"/>
  <c r="K87" i="7"/>
  <c r="J30" i="7"/>
  <c r="L30" i="7" s="1"/>
  <c r="O59" i="7"/>
  <c r="O85" i="7"/>
  <c r="O16" i="7"/>
  <c r="O43" i="7"/>
  <c r="J19" i="7"/>
  <c r="L19" i="7" s="1"/>
  <c r="G72" i="7"/>
  <c r="O75" i="7"/>
  <c r="O87" i="7"/>
  <c r="G84" i="7"/>
  <c r="O20" i="7"/>
  <c r="J34" i="7"/>
  <c r="L34" i="7" s="1"/>
  <c r="J14" i="7"/>
  <c r="L14" i="7" s="1"/>
  <c r="K43" i="7"/>
  <c r="K29" i="7"/>
  <c r="K84" i="7"/>
  <c r="G77" i="7"/>
  <c r="J40" i="7"/>
  <c r="L40" i="7" s="1"/>
  <c r="J35" i="7"/>
  <c r="L35" i="7" s="1"/>
  <c r="K81" i="7"/>
  <c r="O81" i="7"/>
  <c r="K20" i="7"/>
  <c r="G52" i="7"/>
  <c r="G25" i="7"/>
  <c r="G81" i="7"/>
  <c r="J43" i="7"/>
  <c r="L43" i="7" s="1"/>
  <c r="J29" i="7"/>
  <c r="L29" i="7" s="1"/>
  <c r="J25" i="7"/>
  <c r="L25" i="7" s="1"/>
  <c r="G79" i="7"/>
  <c r="K79" i="7"/>
  <c r="O13" i="7"/>
  <c r="J56" i="7"/>
  <c r="L56" i="7" s="1"/>
  <c r="K23" i="7"/>
  <c r="G30" i="7"/>
  <c r="K50" i="7"/>
  <c r="G19" i="7"/>
  <c r="G42" i="7"/>
  <c r="K53" i="7"/>
  <c r="K40" i="7"/>
  <c r="G35" i="7"/>
  <c r="O86" i="7"/>
  <c r="K86" i="7"/>
  <c r="G34" i="7"/>
  <c r="O76" i="7"/>
  <c r="K76" i="7"/>
  <c r="G76" i="7"/>
  <c r="J13" i="7"/>
  <c r="L13" i="7" s="1"/>
  <c r="J52" i="7"/>
  <c r="L52" i="7" s="1"/>
  <c r="G56" i="7"/>
  <c r="O74" i="7"/>
  <c r="K74" i="7"/>
  <c r="J53" i="7"/>
  <c r="L53" i="7" s="1"/>
  <c r="G74" i="7"/>
  <c r="G78" i="7"/>
  <c r="J16" i="7"/>
  <c r="L16" i="7" s="1"/>
  <c r="J55" i="7"/>
  <c r="L55" i="7" s="1"/>
  <c r="J59" i="7"/>
  <c r="L59" i="7" s="1"/>
  <c r="J67" i="7"/>
  <c r="L67" i="7" s="1"/>
  <c r="K62" i="7"/>
  <c r="G73" i="7"/>
  <c r="K83" i="7"/>
  <c r="G85" i="7"/>
  <c r="J60" i="7"/>
  <c r="L60" i="7" s="1"/>
  <c r="F91" i="7"/>
  <c r="G83" i="7"/>
  <c r="H29" i="2"/>
  <c r="H29" i="4" s="1"/>
  <c r="Q29" i="4" s="1"/>
  <c r="BN55" i="6"/>
  <c r="BN29" i="6"/>
  <c r="BN2" i="6"/>
  <c r="BN8" i="6"/>
  <c r="BN12" i="6"/>
  <c r="BN52" i="6"/>
  <c r="BN47" i="6"/>
  <c r="BN24" i="6"/>
  <c r="BN6" i="6"/>
  <c r="BN23" i="6"/>
  <c r="BN49" i="6"/>
  <c r="BN61" i="6"/>
  <c r="BN21" i="6"/>
  <c r="BJ153" i="6"/>
  <c r="BN44" i="6"/>
  <c r="H44" i="2"/>
  <c r="H44" i="4" s="1"/>
  <c r="G44" i="4" s="1"/>
  <c r="H60" i="2"/>
  <c r="H60" i="4" s="1"/>
  <c r="Q60" i="4" s="1"/>
  <c r="H42" i="2"/>
  <c r="H42" i="4" s="1"/>
  <c r="Q42" i="4" s="1"/>
  <c r="H37" i="2"/>
  <c r="H37" i="4" s="1"/>
  <c r="Q37" i="4" s="1"/>
  <c r="H49" i="2"/>
  <c r="J49" i="2" s="1"/>
  <c r="H67" i="2"/>
  <c r="K67" i="2" s="1"/>
  <c r="H33" i="2"/>
  <c r="H33" i="4" s="1"/>
  <c r="G33" i="4" s="1"/>
  <c r="H17" i="2"/>
  <c r="H17" i="4" s="1"/>
  <c r="Q17" i="4" s="1"/>
  <c r="H23" i="2"/>
  <c r="J23" i="2" s="1"/>
  <c r="H52" i="2"/>
  <c r="H52" i="4" s="1"/>
  <c r="Q52" i="4" s="1"/>
  <c r="H41" i="2"/>
  <c r="H41" i="4" s="1"/>
  <c r="G41" i="4" s="1"/>
  <c r="H24" i="2"/>
  <c r="J24" i="2" s="1"/>
  <c r="H48" i="2"/>
  <c r="K48" i="2" s="1"/>
  <c r="H14" i="2"/>
  <c r="J14" i="2" s="1"/>
  <c r="H15" i="2"/>
  <c r="H15" i="4" s="1"/>
  <c r="Q15" i="4" s="1"/>
  <c r="K64" i="2"/>
  <c r="H62" i="2"/>
  <c r="H61" i="2"/>
  <c r="H61" i="4" s="1"/>
  <c r="Q61" i="4" s="1"/>
  <c r="H65" i="4"/>
  <c r="G65" i="4" s="1"/>
  <c r="Q64" i="4"/>
  <c r="H66" i="4"/>
  <c r="Q66" i="4" s="1"/>
  <c r="G64" i="4"/>
  <c r="A67" i="4"/>
  <c r="A72" i="4"/>
  <c r="A73" i="4" s="1"/>
  <c r="A74" i="4" s="1"/>
  <c r="A75" i="4" s="1"/>
  <c r="A76" i="4" s="1"/>
  <c r="A77" i="4" s="1"/>
  <c r="A78" i="4" s="1"/>
  <c r="A79" i="4" s="1"/>
  <c r="A80" i="4" s="1"/>
  <c r="A81" i="4" s="1"/>
  <c r="A82" i="4" s="1"/>
  <c r="A83" i="4" s="1"/>
  <c r="A84" i="4" s="1"/>
  <c r="A85" i="4" s="1"/>
  <c r="A86" i="4" s="1"/>
  <c r="A87" i="4" s="1"/>
  <c r="G82" i="4"/>
  <c r="G77" i="4"/>
  <c r="G84" i="4"/>
  <c r="G86" i="4"/>
  <c r="F89" i="4"/>
  <c r="G72" i="4"/>
  <c r="G74" i="4"/>
  <c r="G81" i="4"/>
  <c r="G76" i="4"/>
  <c r="G72" i="2"/>
  <c r="G66" i="2"/>
  <c r="G65" i="2"/>
  <c r="G64" i="2"/>
  <c r="H53" i="2"/>
  <c r="H22" i="2"/>
  <c r="H22" i="4" s="1"/>
  <c r="Q22" i="4" s="1"/>
  <c r="K65" i="2"/>
  <c r="J66" i="2"/>
  <c r="L66" i="2" s="1"/>
  <c r="J64" i="2"/>
  <c r="L64" i="2" s="1"/>
  <c r="H34" i="2"/>
  <c r="H32" i="2"/>
  <c r="BA63" i="1"/>
  <c r="BA61" i="1"/>
  <c r="H13" i="2"/>
  <c r="H25" i="2"/>
  <c r="H21" i="2"/>
  <c r="H47" i="2"/>
  <c r="H36" i="2"/>
  <c r="H36" i="4" s="1"/>
  <c r="Q36" i="4" s="1"/>
  <c r="H28" i="2"/>
  <c r="H43" i="2"/>
  <c r="H40" i="2"/>
  <c r="H31" i="2"/>
  <c r="H20" i="2"/>
  <c r="H12" i="2"/>
  <c r="H51" i="2"/>
  <c r="H46" i="2"/>
  <c r="H27" i="2"/>
  <c r="BA64" i="1"/>
  <c r="H39" i="2"/>
  <c r="H38" i="2"/>
  <c r="H30" i="2"/>
  <c r="H30" i="4" s="1"/>
  <c r="Q30" i="4" s="1"/>
  <c r="H19" i="2"/>
  <c r="H45" i="2"/>
  <c r="H26" i="2"/>
  <c r="H50" i="2"/>
  <c r="BA59" i="1"/>
  <c r="BA62" i="1"/>
  <c r="BA60" i="1"/>
  <c r="AY46" i="1"/>
  <c r="AY31" i="1"/>
  <c r="AX31" i="1"/>
  <c r="AY32" i="1"/>
  <c r="H56" i="2"/>
  <c r="H57" i="2"/>
  <c r="H55" i="2"/>
  <c r="O88" i="2"/>
  <c r="H54" i="2"/>
  <c r="H58" i="2"/>
  <c r="H59" i="2"/>
  <c r="H59" i="4" s="1"/>
  <c r="Q59" i="4" s="1"/>
  <c r="I89" i="2"/>
  <c r="D89" i="2"/>
  <c r="C106" i="2"/>
  <c r="C116" i="2" s="1"/>
  <c r="N89" i="2"/>
  <c r="F87" i="2"/>
  <c r="G87" i="2" s="1"/>
  <c r="F86" i="2"/>
  <c r="G86" i="2" s="1"/>
  <c r="F85" i="2"/>
  <c r="G85" i="2" s="1"/>
  <c r="F84" i="2"/>
  <c r="G84" i="2" s="1"/>
  <c r="F83" i="2"/>
  <c r="G83" i="2" s="1"/>
  <c r="F82" i="2"/>
  <c r="G82" i="2" s="1"/>
  <c r="F81" i="2"/>
  <c r="G81" i="2" s="1"/>
  <c r="F80" i="2"/>
  <c r="G80" i="2" s="1"/>
  <c r="F79" i="2"/>
  <c r="G79" i="2" s="1"/>
  <c r="F78" i="2"/>
  <c r="G78" i="2" s="1"/>
  <c r="F77" i="2"/>
  <c r="G77" i="2" s="1"/>
  <c r="F76" i="2"/>
  <c r="G76" i="2" s="1"/>
  <c r="F75" i="2"/>
  <c r="G75" i="2" s="1"/>
  <c r="F74" i="2"/>
  <c r="G74" i="2" s="1"/>
  <c r="F73" i="2"/>
  <c r="G73" i="2" s="1"/>
  <c r="F61" i="2"/>
  <c r="F60" i="2"/>
  <c r="F59" i="2"/>
  <c r="F58" i="2"/>
  <c r="F57" i="2"/>
  <c r="F56" i="2"/>
  <c r="F55" i="2"/>
  <c r="F54" i="2"/>
  <c r="A54" i="2"/>
  <c r="A55" i="2" s="1"/>
  <c r="A56" i="2" s="1"/>
  <c r="A57" i="2" s="1"/>
  <c r="A58" i="2" s="1"/>
  <c r="A59" i="2" s="1"/>
  <c r="A60" i="2" s="1"/>
  <c r="A61" i="2" s="1"/>
  <c r="A62" i="2" s="1"/>
  <c r="AY13" i="1"/>
  <c r="AZ67" i="1"/>
  <c r="BA67" i="1" s="1"/>
  <c r="AZ58" i="1"/>
  <c r="BA58" i="1" s="1"/>
  <c r="AX13" i="1"/>
  <c r="AI10" i="1"/>
  <c r="G32" i="7" l="1"/>
  <c r="H9" i="7"/>
  <c r="H10" i="7"/>
  <c r="K10" i="7" s="1"/>
  <c r="J32" i="7"/>
  <c r="L32" i="7" s="1"/>
  <c r="CN5" i="6"/>
  <c r="CU2" i="6"/>
  <c r="AK175" i="8"/>
  <c r="C308" i="8"/>
  <c r="AK168" i="8"/>
  <c r="CS45" i="6"/>
  <c r="CU45" i="6" s="1"/>
  <c r="CW45" i="6" s="1"/>
  <c r="CY45" i="6" s="1"/>
  <c r="DB45" i="6" s="1"/>
  <c r="DE45" i="6" s="1"/>
  <c r="CS17" i="6"/>
  <c r="CU17" i="6" s="1"/>
  <c r="CW17" i="6" s="1"/>
  <c r="CY17" i="6" s="1"/>
  <c r="DB17" i="6" s="1"/>
  <c r="DE17" i="6" s="1"/>
  <c r="CS35" i="6"/>
  <c r="CU35" i="6" s="1"/>
  <c r="CW35" i="6" s="1"/>
  <c r="CY35" i="6" s="1"/>
  <c r="DB35" i="6" s="1"/>
  <c r="DE35" i="6" s="1"/>
  <c r="CS15" i="6"/>
  <c r="CU15" i="6" s="1"/>
  <c r="CW15" i="6" s="1"/>
  <c r="CY15" i="6" s="1"/>
  <c r="DB15" i="6" s="1"/>
  <c r="DE15" i="6" s="1"/>
  <c r="CS34" i="6"/>
  <c r="CU34" i="6" s="1"/>
  <c r="CW34" i="6" s="1"/>
  <c r="CY34" i="6" s="1"/>
  <c r="DB34" i="6" s="1"/>
  <c r="DE34" i="6" s="1"/>
  <c r="CS54" i="6"/>
  <c r="CU54" i="6" s="1"/>
  <c r="CW54" i="6" s="1"/>
  <c r="CY54" i="6" s="1"/>
  <c r="DB54" i="6" s="1"/>
  <c r="DE54" i="6" s="1"/>
  <c r="CS3" i="6"/>
  <c r="CU3" i="6" s="1"/>
  <c r="CW3" i="6" s="1"/>
  <c r="CY3" i="6" s="1"/>
  <c r="DB3" i="6" s="1"/>
  <c r="DE3" i="6" s="1"/>
  <c r="CS41" i="6"/>
  <c r="CU41" i="6" s="1"/>
  <c r="CW41" i="6" s="1"/>
  <c r="CY41" i="6" s="1"/>
  <c r="DB41" i="6" s="1"/>
  <c r="DE41" i="6" s="1"/>
  <c r="CS38" i="6"/>
  <c r="CU38" i="6" s="1"/>
  <c r="CW38" i="6" s="1"/>
  <c r="CY38" i="6" s="1"/>
  <c r="DB38" i="6" s="1"/>
  <c r="DE38" i="6" s="1"/>
  <c r="CS36" i="6"/>
  <c r="CU36" i="6" s="1"/>
  <c r="CW36" i="6" s="1"/>
  <c r="CY36" i="6" s="1"/>
  <c r="DB36" i="6" s="1"/>
  <c r="DE36" i="6" s="1"/>
  <c r="CS11" i="6"/>
  <c r="CU11" i="6" s="1"/>
  <c r="CW11" i="6" s="1"/>
  <c r="CY11" i="6" s="1"/>
  <c r="DB11" i="6" s="1"/>
  <c r="DE11" i="6" s="1"/>
  <c r="CS13" i="6"/>
  <c r="CU13" i="6" s="1"/>
  <c r="CW13" i="6" s="1"/>
  <c r="CY13" i="6" s="1"/>
  <c r="DB13" i="6" s="1"/>
  <c r="DE13" i="6" s="1"/>
  <c r="CS57" i="6"/>
  <c r="CU57" i="6" s="1"/>
  <c r="CW57" i="6" s="1"/>
  <c r="CY57" i="6" s="1"/>
  <c r="DB57" i="6" s="1"/>
  <c r="DE57" i="6" s="1"/>
  <c r="CS46" i="6"/>
  <c r="CU46" i="6" s="1"/>
  <c r="CW46" i="6" s="1"/>
  <c r="CY46" i="6" s="1"/>
  <c r="DB46" i="6" s="1"/>
  <c r="DE46" i="6" s="1"/>
  <c r="CS39" i="6"/>
  <c r="CU39" i="6" s="1"/>
  <c r="CW39" i="6" s="1"/>
  <c r="CY39" i="6" s="1"/>
  <c r="DB39" i="6" s="1"/>
  <c r="DE39" i="6" s="1"/>
  <c r="CS9" i="6"/>
  <c r="CU9" i="6" s="1"/>
  <c r="CW9" i="6" s="1"/>
  <c r="CY9" i="6" s="1"/>
  <c r="DB9" i="6" s="1"/>
  <c r="DE9" i="6" s="1"/>
  <c r="CS26" i="6"/>
  <c r="CU26" i="6" s="1"/>
  <c r="CW26" i="6" s="1"/>
  <c r="CY26" i="6" s="1"/>
  <c r="DB26" i="6" s="1"/>
  <c r="DE26" i="6" s="1"/>
  <c r="CS60" i="6"/>
  <c r="CU60" i="6" s="1"/>
  <c r="CW60" i="6" s="1"/>
  <c r="CY60" i="6" s="1"/>
  <c r="DB60" i="6" s="1"/>
  <c r="DE60" i="6" s="1"/>
  <c r="CS14" i="6"/>
  <c r="CU14" i="6" s="1"/>
  <c r="CW14" i="6" s="1"/>
  <c r="CY14" i="6" s="1"/>
  <c r="DB14" i="6" s="1"/>
  <c r="DE14" i="6" s="1"/>
  <c r="CS40" i="6"/>
  <c r="CU40" i="6" s="1"/>
  <c r="CW40" i="6" s="1"/>
  <c r="CY40" i="6" s="1"/>
  <c r="DB40" i="6" s="1"/>
  <c r="DE40" i="6" s="1"/>
  <c r="CS32" i="6"/>
  <c r="CU32" i="6" s="1"/>
  <c r="CW32" i="6" s="1"/>
  <c r="CY32" i="6" s="1"/>
  <c r="DB32" i="6" s="1"/>
  <c r="DE32" i="6" s="1"/>
  <c r="CS58" i="6"/>
  <c r="CU58" i="6" s="1"/>
  <c r="CW58" i="6" s="1"/>
  <c r="CY58" i="6" s="1"/>
  <c r="DB58" i="6" s="1"/>
  <c r="DE58" i="6" s="1"/>
  <c r="CS19" i="6"/>
  <c r="CU19" i="6" s="1"/>
  <c r="CW19" i="6" s="1"/>
  <c r="CY19" i="6" s="1"/>
  <c r="DB19" i="6" s="1"/>
  <c r="DE19" i="6" s="1"/>
  <c r="CS59" i="6"/>
  <c r="CU59" i="6" s="1"/>
  <c r="CW59" i="6" s="1"/>
  <c r="CY59" i="6" s="1"/>
  <c r="DB59" i="6" s="1"/>
  <c r="DE59" i="6" s="1"/>
  <c r="CS50" i="6"/>
  <c r="CU50" i="6" s="1"/>
  <c r="CW50" i="6" s="1"/>
  <c r="CY50" i="6" s="1"/>
  <c r="DB50" i="6" s="1"/>
  <c r="DE50" i="6" s="1"/>
  <c r="CS43" i="6"/>
  <c r="CU43" i="6" s="1"/>
  <c r="CW43" i="6" s="1"/>
  <c r="CY43" i="6" s="1"/>
  <c r="DB43" i="6" s="1"/>
  <c r="DE43" i="6" s="1"/>
  <c r="CS51" i="6"/>
  <c r="CU51" i="6" s="1"/>
  <c r="CW51" i="6" s="1"/>
  <c r="CY51" i="6" s="1"/>
  <c r="DB51" i="6" s="1"/>
  <c r="DE51" i="6" s="1"/>
  <c r="CS5" i="6"/>
  <c r="CU5" i="6" s="1"/>
  <c r="CW5" i="6" s="1"/>
  <c r="CY5" i="6" s="1"/>
  <c r="DB5" i="6" s="1"/>
  <c r="DE5" i="6" s="1"/>
  <c r="CS42" i="6"/>
  <c r="CU42" i="6" s="1"/>
  <c r="CW42" i="6" s="1"/>
  <c r="CY42" i="6" s="1"/>
  <c r="DB42" i="6" s="1"/>
  <c r="DE42" i="6" s="1"/>
  <c r="CS22" i="6"/>
  <c r="CU22" i="6" s="1"/>
  <c r="CW22" i="6" s="1"/>
  <c r="CY22" i="6" s="1"/>
  <c r="DB22" i="6" s="1"/>
  <c r="DE22" i="6" s="1"/>
  <c r="CS37" i="6"/>
  <c r="CU37" i="6" s="1"/>
  <c r="CW37" i="6" s="1"/>
  <c r="CY37" i="6" s="1"/>
  <c r="DB37" i="6" s="1"/>
  <c r="DE37" i="6" s="1"/>
  <c r="CS20" i="6"/>
  <c r="CU20" i="6" s="1"/>
  <c r="CW20" i="6" s="1"/>
  <c r="CY20" i="6" s="1"/>
  <c r="DB20" i="6" s="1"/>
  <c r="DE20" i="6" s="1"/>
  <c r="AK183" i="8"/>
  <c r="CN32" i="6"/>
  <c r="CP32" i="6"/>
  <c r="CN36" i="6"/>
  <c r="CP36" i="6"/>
  <c r="CN11" i="6"/>
  <c r="CP11" i="6"/>
  <c r="CN58" i="6"/>
  <c r="CP58" i="6"/>
  <c r="CN13" i="6"/>
  <c r="CP13" i="6"/>
  <c r="CN57" i="6"/>
  <c r="CP57" i="6"/>
  <c r="CN46" i="6"/>
  <c r="CP46" i="6"/>
  <c r="CN39" i="6"/>
  <c r="CP39" i="6"/>
  <c r="CN9" i="6"/>
  <c r="CP9" i="6"/>
  <c r="CN22" i="6"/>
  <c r="CP22" i="6"/>
  <c r="CN37" i="6"/>
  <c r="CP37" i="6"/>
  <c r="CN20" i="6"/>
  <c r="CP20" i="6"/>
  <c r="CN3" i="6"/>
  <c r="CP3" i="6"/>
  <c r="CN43" i="6"/>
  <c r="CP43" i="6"/>
  <c r="CN26" i="6"/>
  <c r="CP26" i="6"/>
  <c r="CN51" i="6"/>
  <c r="CP51" i="6"/>
  <c r="CN41" i="6"/>
  <c r="CP41" i="6"/>
  <c r="CN19" i="6"/>
  <c r="CP19" i="6"/>
  <c r="CN59" i="6"/>
  <c r="CP59" i="6"/>
  <c r="CN50" i="6"/>
  <c r="CP50" i="6"/>
  <c r="CP5" i="6"/>
  <c r="CN60" i="6"/>
  <c r="CP60" i="6"/>
  <c r="CN38" i="6"/>
  <c r="CP38" i="6"/>
  <c r="CN42" i="6"/>
  <c r="CP42" i="6"/>
  <c r="CN14" i="6"/>
  <c r="CP14" i="6"/>
  <c r="CN40" i="6"/>
  <c r="CP40" i="6"/>
  <c r="CN45" i="6"/>
  <c r="CP45" i="6"/>
  <c r="CN17" i="6"/>
  <c r="CP17" i="6"/>
  <c r="CN35" i="6"/>
  <c r="CP35" i="6"/>
  <c r="CN15" i="6"/>
  <c r="CP15" i="6"/>
  <c r="CN34" i="6"/>
  <c r="CP34" i="6"/>
  <c r="CN54" i="6"/>
  <c r="CP54" i="6"/>
  <c r="BN45" i="6"/>
  <c r="BN17" i="6"/>
  <c r="BN35" i="6"/>
  <c r="BN15" i="6"/>
  <c r="BN34" i="6"/>
  <c r="BN54" i="6"/>
  <c r="BN36" i="6"/>
  <c r="BN32" i="6"/>
  <c r="BN11" i="6"/>
  <c r="BN58" i="6"/>
  <c r="BN13" i="6"/>
  <c r="BN57" i="6"/>
  <c r="BN46" i="6"/>
  <c r="BN39" i="6"/>
  <c r="BN9" i="6"/>
  <c r="BN19" i="6"/>
  <c r="BN59" i="6"/>
  <c r="BN50" i="6"/>
  <c r="BN22" i="6"/>
  <c r="BN37" i="6"/>
  <c r="BN20" i="6"/>
  <c r="BN3" i="6"/>
  <c r="BN43" i="6"/>
  <c r="BN26" i="6"/>
  <c r="BN51" i="6"/>
  <c r="BN41" i="6"/>
  <c r="BN5" i="6"/>
  <c r="BN60" i="6"/>
  <c r="BN38" i="6"/>
  <c r="BN42" i="6"/>
  <c r="BN14" i="6"/>
  <c r="BN40" i="6"/>
  <c r="BM7" i="6"/>
  <c r="H91" i="7"/>
  <c r="G28" i="7"/>
  <c r="J39" i="7"/>
  <c r="L39" i="7" s="1"/>
  <c r="O38" i="7"/>
  <c r="O22" i="7"/>
  <c r="O49" i="7"/>
  <c r="J37" i="7"/>
  <c r="L37" i="7" s="1"/>
  <c r="J21" i="7"/>
  <c r="L21" i="7" s="1"/>
  <c r="J33" i="7"/>
  <c r="L33" i="7" s="1"/>
  <c r="O33" i="7"/>
  <c r="G37" i="7"/>
  <c r="O28" i="7"/>
  <c r="J41" i="7"/>
  <c r="L41" i="7" s="1"/>
  <c r="G22" i="7"/>
  <c r="J22" i="7"/>
  <c r="L22" i="7" s="1"/>
  <c r="G45" i="7"/>
  <c r="G36" i="7"/>
  <c r="G39" i="7"/>
  <c r="G61" i="7"/>
  <c r="O37" i="7"/>
  <c r="G26" i="7"/>
  <c r="G48" i="7"/>
  <c r="J38" i="7"/>
  <c r="L38" i="7" s="1"/>
  <c r="J36" i="7"/>
  <c r="L36" i="7" s="1"/>
  <c r="J51" i="7"/>
  <c r="L51" i="7" s="1"/>
  <c r="G65" i="7"/>
  <c r="J26" i="7"/>
  <c r="L26" i="7" s="1"/>
  <c r="O36" i="7"/>
  <c r="O46" i="7"/>
  <c r="O21" i="7"/>
  <c r="O39" i="7"/>
  <c r="J45" i="7"/>
  <c r="L45" i="7" s="1"/>
  <c r="O61" i="7"/>
  <c r="G17" i="7"/>
  <c r="J17" i="7"/>
  <c r="L17" i="7" s="1"/>
  <c r="O26" i="7"/>
  <c r="J31" i="7"/>
  <c r="L31" i="7" s="1"/>
  <c r="O31" i="7"/>
  <c r="O48" i="7"/>
  <c r="G49" i="7"/>
  <c r="O65" i="7"/>
  <c r="G57" i="7"/>
  <c r="J65" i="7"/>
  <c r="L65" i="7" s="1"/>
  <c r="J57" i="7"/>
  <c r="L57" i="7" s="1"/>
  <c r="K63" i="7"/>
  <c r="K44" i="7"/>
  <c r="J58" i="7"/>
  <c r="L58" i="7" s="1"/>
  <c r="J10" i="7"/>
  <c r="L10" i="7" s="1"/>
  <c r="K31" i="7"/>
  <c r="O18" i="7"/>
  <c r="J63" i="7"/>
  <c r="L63" i="7" s="1"/>
  <c r="O41" i="7"/>
  <c r="J54" i="7"/>
  <c r="L54" i="7" s="1"/>
  <c r="J44" i="7"/>
  <c r="L44" i="7" s="1"/>
  <c r="G44" i="7"/>
  <c r="O17" i="7"/>
  <c r="G51" i="7"/>
  <c r="J48" i="7"/>
  <c r="L48" i="7" s="1"/>
  <c r="G38" i="7"/>
  <c r="J49" i="7"/>
  <c r="L49" i="7" s="1"/>
  <c r="O63" i="7"/>
  <c r="O54" i="7"/>
  <c r="J61" i="7"/>
  <c r="L61" i="7" s="1"/>
  <c r="G41" i="7"/>
  <c r="G64" i="7"/>
  <c r="G58" i="7"/>
  <c r="O58" i="7"/>
  <c r="G18" i="7"/>
  <c r="J64" i="7"/>
  <c r="L64" i="7" s="1"/>
  <c r="J46" i="7"/>
  <c r="L46" i="7" s="1"/>
  <c r="O10" i="7"/>
  <c r="Q63" i="4"/>
  <c r="J28" i="7"/>
  <c r="L28" i="7" s="1"/>
  <c r="J18" i="7"/>
  <c r="L18" i="7" s="1"/>
  <c r="O51" i="7"/>
  <c r="G54" i="7"/>
  <c r="O64" i="7"/>
  <c r="K47" i="7"/>
  <c r="G63" i="2"/>
  <c r="J47" i="7"/>
  <c r="L47" i="7" s="1"/>
  <c r="O47" i="7"/>
  <c r="J63" i="2"/>
  <c r="L63" i="2" s="1"/>
  <c r="J66" i="7"/>
  <c r="L66" i="7" s="1"/>
  <c r="K63" i="2"/>
  <c r="O66" i="7"/>
  <c r="G46" i="7"/>
  <c r="K66" i="7"/>
  <c r="G29" i="4"/>
  <c r="J29" i="2"/>
  <c r="L29" i="2" s="1"/>
  <c r="K29" i="2"/>
  <c r="Q44" i="4"/>
  <c r="G29" i="2"/>
  <c r="K44" i="2"/>
  <c r="AY10" i="1"/>
  <c r="AZ10" i="1" s="1"/>
  <c r="AW10" i="1"/>
  <c r="G44" i="2"/>
  <c r="Q65" i="4"/>
  <c r="J44" i="2"/>
  <c r="L44" i="2" s="1"/>
  <c r="H23" i="4"/>
  <c r="Q23" i="4" s="1"/>
  <c r="J41" i="2"/>
  <c r="L41" i="2" s="1"/>
  <c r="K41" i="2"/>
  <c r="G42" i="4"/>
  <c r="G17" i="4"/>
  <c r="J42" i="2"/>
  <c r="L42" i="2" s="1"/>
  <c r="J67" i="2"/>
  <c r="L67" i="2" s="1"/>
  <c r="Q41" i="4"/>
  <c r="G17" i="2"/>
  <c r="K42" i="2"/>
  <c r="J17" i="2"/>
  <c r="L17" i="2" s="1"/>
  <c r="K17" i="2"/>
  <c r="H49" i="4"/>
  <c r="Q49" i="4" s="1"/>
  <c r="G41" i="2"/>
  <c r="K24" i="2"/>
  <c r="G58" i="2"/>
  <c r="K37" i="2"/>
  <c r="G48" i="2"/>
  <c r="H14" i="4"/>
  <c r="Q14" i="4" s="1"/>
  <c r="J48" i="2"/>
  <c r="L48" i="2" s="1"/>
  <c r="K23" i="2"/>
  <c r="G52" i="2"/>
  <c r="K52" i="2"/>
  <c r="J52" i="2"/>
  <c r="L52" i="2" s="1"/>
  <c r="G42" i="2"/>
  <c r="Q33" i="4"/>
  <c r="G52" i="4"/>
  <c r="J33" i="2"/>
  <c r="L33" i="2" s="1"/>
  <c r="G14" i="2"/>
  <c r="H67" i="4"/>
  <c r="Q67" i="4" s="1"/>
  <c r="K33" i="2"/>
  <c r="G49" i="2"/>
  <c r="G37" i="4"/>
  <c r="K49" i="2"/>
  <c r="G67" i="2"/>
  <c r="K14" i="2"/>
  <c r="G23" i="2"/>
  <c r="H24" i="4"/>
  <c r="Q24" i="4" s="1"/>
  <c r="G37" i="2"/>
  <c r="J37" i="2"/>
  <c r="L37" i="2" s="1"/>
  <c r="G33" i="2"/>
  <c r="G24" i="2"/>
  <c r="H48" i="4"/>
  <c r="Q48" i="4" s="1"/>
  <c r="G15" i="2"/>
  <c r="G15" i="4"/>
  <c r="J15" i="2"/>
  <c r="L15" i="2" s="1"/>
  <c r="K15" i="2"/>
  <c r="G22" i="4"/>
  <c r="G61" i="4"/>
  <c r="G26" i="2"/>
  <c r="H26" i="4"/>
  <c r="G27" i="2"/>
  <c r="H27" i="4"/>
  <c r="G28" i="2"/>
  <c r="H28" i="4"/>
  <c r="G59" i="4"/>
  <c r="K58" i="2"/>
  <c r="H58" i="4"/>
  <c r="G45" i="2"/>
  <c r="H45" i="4"/>
  <c r="J46" i="2"/>
  <c r="L46" i="2" s="1"/>
  <c r="H46" i="4"/>
  <c r="K34" i="2"/>
  <c r="H34" i="4"/>
  <c r="K54" i="2"/>
  <c r="H54" i="4"/>
  <c r="K19" i="2"/>
  <c r="H19" i="4"/>
  <c r="G51" i="2"/>
  <c r="H51" i="4"/>
  <c r="G47" i="2"/>
  <c r="H47" i="4"/>
  <c r="G12" i="2"/>
  <c r="H12" i="4"/>
  <c r="K55" i="2"/>
  <c r="H55" i="4"/>
  <c r="J38" i="2"/>
  <c r="L38" i="2" s="1"/>
  <c r="H38" i="4"/>
  <c r="J20" i="2"/>
  <c r="L20" i="2" s="1"/>
  <c r="H20" i="4"/>
  <c r="G66" i="4"/>
  <c r="K57" i="2"/>
  <c r="H57" i="4"/>
  <c r="G31" i="2"/>
  <c r="H31" i="4"/>
  <c r="G36" i="2"/>
  <c r="K56" i="2"/>
  <c r="H56" i="4"/>
  <c r="J39" i="2"/>
  <c r="L39" i="2" s="1"/>
  <c r="H39" i="4"/>
  <c r="G40" i="2"/>
  <c r="H40" i="4"/>
  <c r="G21" i="2"/>
  <c r="H21" i="4"/>
  <c r="G30" i="4"/>
  <c r="G43" i="2"/>
  <c r="H43" i="4"/>
  <c r="G32" i="2"/>
  <c r="H32" i="4"/>
  <c r="G54" i="2"/>
  <c r="G25" i="2"/>
  <c r="H25" i="4"/>
  <c r="G60" i="4"/>
  <c r="G55" i="2"/>
  <c r="G13" i="2"/>
  <c r="H13" i="4"/>
  <c r="J53" i="2"/>
  <c r="L53" i="2" s="1"/>
  <c r="H53" i="4"/>
  <c r="G36" i="4"/>
  <c r="G50" i="2"/>
  <c r="H50" i="4"/>
  <c r="O62" i="2"/>
  <c r="H62" i="4"/>
  <c r="G30" i="2"/>
  <c r="G56" i="2"/>
  <c r="G57" i="2"/>
  <c r="G60" i="2"/>
  <c r="G20" i="2"/>
  <c r="G61" i="2"/>
  <c r="G53" i="2"/>
  <c r="K22" i="2"/>
  <c r="G22" i="2"/>
  <c r="G59" i="2"/>
  <c r="G34" i="2"/>
  <c r="G46" i="2"/>
  <c r="G19" i="2"/>
  <c r="G39" i="2"/>
  <c r="G62" i="2"/>
  <c r="G38" i="2"/>
  <c r="O46" i="2"/>
  <c r="J27" i="2"/>
  <c r="L27" i="2" s="1"/>
  <c r="K27" i="2"/>
  <c r="K53" i="2"/>
  <c r="J22" i="2"/>
  <c r="L22" i="2" s="1"/>
  <c r="J34" i="2"/>
  <c r="L34" i="2" s="1"/>
  <c r="J32" i="2"/>
  <c r="L32" i="2" s="1"/>
  <c r="K32" i="2"/>
  <c r="J13" i="2"/>
  <c r="L13" i="2" s="1"/>
  <c r="K13" i="2"/>
  <c r="K39" i="2"/>
  <c r="K62" i="2"/>
  <c r="J26" i="2"/>
  <c r="L26" i="2" s="1"/>
  <c r="K26" i="2"/>
  <c r="J25" i="2"/>
  <c r="L25" i="2" s="1"/>
  <c r="K25" i="2"/>
  <c r="J45" i="2"/>
  <c r="L45" i="2" s="1"/>
  <c r="K45" i="2"/>
  <c r="K28" i="2"/>
  <c r="J28" i="2"/>
  <c r="L28" i="2" s="1"/>
  <c r="J19" i="2"/>
  <c r="L19" i="2" s="1"/>
  <c r="K51" i="2"/>
  <c r="J51" i="2"/>
  <c r="L51" i="2" s="1"/>
  <c r="J36" i="2"/>
  <c r="L36" i="2" s="1"/>
  <c r="K36" i="2"/>
  <c r="K47" i="2"/>
  <c r="J47" i="2"/>
  <c r="L47" i="2" s="1"/>
  <c r="J62" i="2"/>
  <c r="L62" i="2" s="1"/>
  <c r="J12" i="2"/>
  <c r="L12" i="2" s="1"/>
  <c r="K12" i="2"/>
  <c r="K30" i="2"/>
  <c r="J30" i="2"/>
  <c r="L30" i="2" s="1"/>
  <c r="K20" i="2"/>
  <c r="K38" i="2"/>
  <c r="K31" i="2"/>
  <c r="J31" i="2"/>
  <c r="L31" i="2" s="1"/>
  <c r="J40" i="2"/>
  <c r="L40" i="2" s="1"/>
  <c r="K40" i="2"/>
  <c r="J43" i="2"/>
  <c r="L43" i="2" s="1"/>
  <c r="K43" i="2"/>
  <c r="K46" i="2"/>
  <c r="J21" i="2"/>
  <c r="L21" i="2" s="1"/>
  <c r="K21" i="2"/>
  <c r="J50" i="2"/>
  <c r="L50" i="2" s="1"/>
  <c r="K50" i="2"/>
  <c r="A63" i="2"/>
  <c r="J57" i="2"/>
  <c r="L57" i="2" s="1"/>
  <c r="L24" i="2"/>
  <c r="K61" i="2"/>
  <c r="J61" i="2"/>
  <c r="L61" i="2" s="1"/>
  <c r="J56" i="2"/>
  <c r="L56" i="2" s="1"/>
  <c r="J55" i="2"/>
  <c r="L55" i="2" s="1"/>
  <c r="L23" i="2"/>
  <c r="K59" i="2"/>
  <c r="J59" i="2"/>
  <c r="L59" i="2" s="1"/>
  <c r="L49" i="2"/>
  <c r="J58" i="2"/>
  <c r="L58" i="2" s="1"/>
  <c r="L14" i="2"/>
  <c r="J54" i="2"/>
  <c r="L54" i="2" s="1"/>
  <c r="K60" i="2"/>
  <c r="J60" i="2"/>
  <c r="L60" i="2" s="1"/>
  <c r="K77" i="2"/>
  <c r="L77" i="2"/>
  <c r="K85" i="2"/>
  <c r="L85" i="2"/>
  <c r="K78" i="2"/>
  <c r="L78" i="2"/>
  <c r="K86" i="2"/>
  <c r="L86" i="2"/>
  <c r="K79" i="2"/>
  <c r="L79" i="2"/>
  <c r="K87" i="2"/>
  <c r="L87" i="2"/>
  <c r="K84" i="2"/>
  <c r="L84" i="2"/>
  <c r="K80" i="2"/>
  <c r="L80" i="2"/>
  <c r="K73" i="2"/>
  <c r="L73" i="2"/>
  <c r="K81" i="2"/>
  <c r="L81" i="2"/>
  <c r="K74" i="2"/>
  <c r="L74" i="2"/>
  <c r="K82" i="2"/>
  <c r="L82" i="2"/>
  <c r="K75" i="2"/>
  <c r="L75" i="2"/>
  <c r="K83" i="2"/>
  <c r="L83" i="2"/>
  <c r="K76" i="2"/>
  <c r="L76" i="2"/>
  <c r="O27" i="2"/>
  <c r="O28" i="2"/>
  <c r="O52" i="2"/>
  <c r="O50" i="2"/>
  <c r="O48" i="2"/>
  <c r="O40" i="2"/>
  <c r="O32" i="2"/>
  <c r="O49" i="2"/>
  <c r="O87" i="2"/>
  <c r="O44" i="2"/>
  <c r="O29" i="2"/>
  <c r="O59" i="2"/>
  <c r="O34" i="2"/>
  <c r="O83" i="2"/>
  <c r="O17" i="2"/>
  <c r="O58" i="2"/>
  <c r="O80" i="2"/>
  <c r="O25" i="2"/>
  <c r="O79" i="2"/>
  <c r="O42" i="2"/>
  <c r="O19" i="2"/>
  <c r="O54" i="2"/>
  <c r="O38" i="2"/>
  <c r="O22" i="2"/>
  <c r="O36" i="2"/>
  <c r="O85" i="2"/>
  <c r="O77" i="2"/>
  <c r="O86" i="2"/>
  <c r="O78" i="2"/>
  <c r="O51" i="2"/>
  <c r="O12" i="2"/>
  <c r="O33" i="2"/>
  <c r="O41" i="2"/>
  <c r="O84" i="2"/>
  <c r="O76" i="2"/>
  <c r="O30" i="2"/>
  <c r="O24" i="2"/>
  <c r="O31" i="2"/>
  <c r="O75" i="2"/>
  <c r="O55" i="2"/>
  <c r="O26" i="2"/>
  <c r="O43" i="2"/>
  <c r="O82" i="2"/>
  <c r="O74" i="2"/>
  <c r="O39" i="2"/>
  <c r="O56" i="2"/>
  <c r="O47" i="2"/>
  <c r="O53" i="2"/>
  <c r="O81" i="2"/>
  <c r="O73" i="2"/>
  <c r="O45" i="2"/>
  <c r="O37" i="2"/>
  <c r="O61" i="2"/>
  <c r="O60" i="2"/>
  <c r="O57" i="2"/>
  <c r="O23" i="2"/>
  <c r="O21" i="2"/>
  <c r="O20" i="2"/>
  <c r="O15" i="2"/>
  <c r="O14" i="2"/>
  <c r="G10" i="7" l="1"/>
  <c r="BM153" i="6"/>
  <c r="AJ308" i="8"/>
  <c r="CW2" i="6"/>
  <c r="AK182" i="8"/>
  <c r="AK184" i="8" s="1"/>
  <c r="CS7" i="6"/>
  <c r="CU7" i="6" s="1"/>
  <c r="CU153" i="6" s="1"/>
  <c r="CN7" i="6"/>
  <c r="CN153" i="6" s="1"/>
  <c r="CP7" i="6"/>
  <c r="CP153" i="6" s="1"/>
  <c r="CQ2" i="6" s="1"/>
  <c r="BN7" i="6"/>
  <c r="BN153" i="6" s="1"/>
  <c r="K24" i="7"/>
  <c r="BA10" i="1"/>
  <c r="H35" i="2"/>
  <c r="AW88" i="1"/>
  <c r="H16" i="2"/>
  <c r="G23" i="4"/>
  <c r="G49" i="4"/>
  <c r="G14" i="4"/>
  <c r="G48" i="4"/>
  <c r="G24" i="4"/>
  <c r="G67" i="4"/>
  <c r="Q32" i="4"/>
  <c r="G32" i="4"/>
  <c r="Q55" i="4"/>
  <c r="G55" i="4"/>
  <c r="Q34" i="4"/>
  <c r="G34" i="4"/>
  <c r="Q26" i="4"/>
  <c r="G26" i="4"/>
  <c r="Q43" i="4"/>
  <c r="G43" i="4"/>
  <c r="Q31" i="4"/>
  <c r="G31" i="4"/>
  <c r="Q12" i="4"/>
  <c r="G12" i="4"/>
  <c r="Q46" i="4"/>
  <c r="G46" i="4"/>
  <c r="Q53" i="4"/>
  <c r="G53" i="4"/>
  <c r="Q57" i="4"/>
  <c r="G57" i="4"/>
  <c r="Q47" i="4"/>
  <c r="G47" i="4"/>
  <c r="Q45" i="4"/>
  <c r="G45" i="4"/>
  <c r="Q13" i="4"/>
  <c r="G13" i="4"/>
  <c r="Q21" i="4"/>
  <c r="G21" i="4"/>
  <c r="Q51" i="4"/>
  <c r="G51" i="4"/>
  <c r="Q58" i="4"/>
  <c r="G58" i="4"/>
  <c r="Q40" i="4"/>
  <c r="G40" i="4"/>
  <c r="Q62" i="4"/>
  <c r="G62" i="4"/>
  <c r="Q20" i="4"/>
  <c r="G20" i="4"/>
  <c r="Q19" i="4"/>
  <c r="G19" i="4"/>
  <c r="Q25" i="4"/>
  <c r="G25" i="4"/>
  <c r="Q39" i="4"/>
  <c r="G39" i="4"/>
  <c r="Q28" i="4"/>
  <c r="G28" i="4"/>
  <c r="Q50" i="4"/>
  <c r="G50" i="4"/>
  <c r="Q38" i="4"/>
  <c r="G38" i="4"/>
  <c r="Q54" i="4"/>
  <c r="G54" i="4"/>
  <c r="Q56" i="4"/>
  <c r="G56" i="4"/>
  <c r="Q27" i="4"/>
  <c r="G27" i="4"/>
  <c r="H18" i="2"/>
  <c r="A64" i="2"/>
  <c r="AX49" i="1"/>
  <c r="AY11" i="1"/>
  <c r="BA85" i="1"/>
  <c r="BA86" i="1"/>
  <c r="BA87" i="1"/>
  <c r="AX57" i="1"/>
  <c r="AY57" i="1"/>
  <c r="AX56" i="1"/>
  <c r="AZ56" i="1" s="1"/>
  <c r="AX55" i="1"/>
  <c r="AY54" i="1"/>
  <c r="AZ54" i="1" s="1"/>
  <c r="AX53" i="1"/>
  <c r="AZ53" i="1" s="1"/>
  <c r="AX52" i="1"/>
  <c r="AX50" i="1"/>
  <c r="AY48" i="1"/>
  <c r="AX47" i="1"/>
  <c r="AX46" i="1"/>
  <c r="AX45" i="1"/>
  <c r="AZ44" i="1"/>
  <c r="AX43" i="1"/>
  <c r="AX42" i="1"/>
  <c r="AX41" i="1"/>
  <c r="AX40" i="1"/>
  <c r="AX39" i="1"/>
  <c r="AZ39" i="1" s="1"/>
  <c r="AX38" i="1"/>
  <c r="AX37" i="1"/>
  <c r="AX36" i="1"/>
  <c r="AY35" i="1"/>
  <c r="AX35" i="1"/>
  <c r="AX34" i="1"/>
  <c r="AY33" i="1"/>
  <c r="AZ33" i="1" s="1"/>
  <c r="AX32" i="1"/>
  <c r="AY30" i="1"/>
  <c r="AX30" i="1"/>
  <c r="AY29" i="1"/>
  <c r="AX29" i="1"/>
  <c r="AX28" i="1"/>
  <c r="AX27" i="1"/>
  <c r="AY26" i="1"/>
  <c r="AZ26" i="1" s="1"/>
  <c r="AZ25" i="1"/>
  <c r="AY24" i="1"/>
  <c r="AX24" i="1"/>
  <c r="AX23" i="1"/>
  <c r="AY22" i="1"/>
  <c r="AX22" i="1"/>
  <c r="AY21" i="1"/>
  <c r="AX21" i="1"/>
  <c r="AX20" i="1"/>
  <c r="AX19" i="1"/>
  <c r="AX18" i="1"/>
  <c r="AY17" i="1"/>
  <c r="AZ17" i="1" s="1"/>
  <c r="AX16" i="1"/>
  <c r="AX15" i="1"/>
  <c r="AX14" i="1"/>
  <c r="AX12" i="1"/>
  <c r="AX11" i="1"/>
  <c r="AX9" i="1"/>
  <c r="AZ8" i="1"/>
  <c r="AZ68" i="1"/>
  <c r="AZ69" i="1"/>
  <c r="AZ70" i="1"/>
  <c r="AZ71" i="1"/>
  <c r="AZ72" i="1"/>
  <c r="AZ73" i="1"/>
  <c r="BA73" i="1" s="1"/>
  <c r="AZ74" i="1"/>
  <c r="AZ75" i="1"/>
  <c r="AZ76" i="1"/>
  <c r="AZ77" i="1"/>
  <c r="AZ78" i="1"/>
  <c r="AZ79" i="1"/>
  <c r="AZ80" i="1"/>
  <c r="AZ81" i="1"/>
  <c r="AZ82" i="1"/>
  <c r="AZ83" i="1"/>
  <c r="AZ84" i="1"/>
  <c r="AX7" i="1"/>
  <c r="AY6" i="1"/>
  <c r="AX6" i="1"/>
  <c r="BM163" i="6" l="1"/>
  <c r="BM166" i="6" s="1"/>
  <c r="C356" i="8"/>
  <c r="F4" i="117" s="1"/>
  <c r="CO2" i="6"/>
  <c r="CY2" i="6"/>
  <c r="DB2" i="6" s="1"/>
  <c r="CV112" i="6"/>
  <c r="CV113" i="6"/>
  <c r="CV110" i="6"/>
  <c r="CV111" i="6"/>
  <c r="CV108" i="6"/>
  <c r="CV109" i="6"/>
  <c r="CV106" i="6"/>
  <c r="CV107" i="6"/>
  <c r="CV104" i="6"/>
  <c r="CV105" i="6"/>
  <c r="CS153" i="6"/>
  <c r="CV102" i="6"/>
  <c r="CV103" i="6"/>
  <c r="CV100" i="6"/>
  <c r="CV101" i="6"/>
  <c r="CV98" i="6"/>
  <c r="CV99" i="6"/>
  <c r="CV96" i="6"/>
  <c r="EB131" i="6" s="1"/>
  <c r="CV97" i="6"/>
  <c r="CV94" i="6"/>
  <c r="CV95" i="6"/>
  <c r="CV92" i="6"/>
  <c r="CV93" i="6"/>
  <c r="CV90" i="6"/>
  <c r="CV91" i="6"/>
  <c r="EB91" i="6" s="1"/>
  <c r="CV28" i="6"/>
  <c r="CR2" i="6"/>
  <c r="CQ28" i="6"/>
  <c r="CR28" i="6"/>
  <c r="CV86" i="6"/>
  <c r="CV89" i="6"/>
  <c r="CV87" i="6"/>
  <c r="CV88" i="6"/>
  <c r="CV84" i="6"/>
  <c r="CV85" i="6"/>
  <c r="CV83" i="6"/>
  <c r="CV82" i="6"/>
  <c r="EB82" i="6" s="1"/>
  <c r="CW7" i="6"/>
  <c r="CW153" i="6" s="1"/>
  <c r="CX2" i="6" s="1"/>
  <c r="CO7" i="6"/>
  <c r="CO23" i="6"/>
  <c r="CO33" i="6"/>
  <c r="CO18" i="6"/>
  <c r="CO27" i="6"/>
  <c r="CO52" i="6"/>
  <c r="CO29" i="6"/>
  <c r="CO30" i="6"/>
  <c r="CO8" i="6"/>
  <c r="CO4" i="6"/>
  <c r="CO31" i="6"/>
  <c r="CO24" i="6"/>
  <c r="CO12" i="6"/>
  <c r="CO49" i="6"/>
  <c r="CO10" i="6"/>
  <c r="CO25" i="6"/>
  <c r="CO55" i="6"/>
  <c r="CO16" i="6"/>
  <c r="CO6" i="6"/>
  <c r="CO44" i="6"/>
  <c r="CO56" i="6"/>
  <c r="CO21" i="6"/>
  <c r="CO53" i="6"/>
  <c r="CO61" i="6"/>
  <c r="CO48" i="6"/>
  <c r="CO47" i="6"/>
  <c r="CO34" i="6"/>
  <c r="CO45" i="6"/>
  <c r="CO59" i="6"/>
  <c r="CO58" i="6"/>
  <c r="CO17" i="6"/>
  <c r="CO50" i="6"/>
  <c r="CO51" i="6"/>
  <c r="CO13" i="6"/>
  <c r="CO35" i="6"/>
  <c r="CO41" i="6"/>
  <c r="CO57" i="6"/>
  <c r="CO15" i="6"/>
  <c r="CO54" i="6"/>
  <c r="CO22" i="6"/>
  <c r="CO36" i="6"/>
  <c r="CO37" i="6"/>
  <c r="CO32" i="6"/>
  <c r="CO20" i="6"/>
  <c r="CO5" i="6"/>
  <c r="CO11" i="6"/>
  <c r="CO60" i="6"/>
  <c r="CO46" i="6"/>
  <c r="CO38" i="6"/>
  <c r="CO39" i="6"/>
  <c r="CO3" i="6"/>
  <c r="CO42" i="6"/>
  <c r="CO9" i="6"/>
  <c r="CO43" i="6"/>
  <c r="CO14" i="6"/>
  <c r="CO40" i="6"/>
  <c r="CO19" i="6"/>
  <c r="CO26" i="6"/>
  <c r="H94" i="7"/>
  <c r="H95" i="7" s="1"/>
  <c r="H97" i="7" s="1"/>
  <c r="J27" i="7"/>
  <c r="L27" i="7" s="1"/>
  <c r="G27" i="7"/>
  <c r="O27" i="7"/>
  <c r="K27" i="7"/>
  <c r="K12" i="7"/>
  <c r="J24" i="7"/>
  <c r="L24" i="7" s="1"/>
  <c r="G24" i="7"/>
  <c r="O24" i="7"/>
  <c r="J35" i="2"/>
  <c r="L35" i="2" s="1"/>
  <c r="O35" i="2"/>
  <c r="G35" i="2"/>
  <c r="K35" i="2"/>
  <c r="H35" i="4"/>
  <c r="J16" i="2"/>
  <c r="L16" i="2" s="1"/>
  <c r="K16" i="2"/>
  <c r="H16" i="4"/>
  <c r="G16" i="2"/>
  <c r="O16" i="2"/>
  <c r="G18" i="2"/>
  <c r="H18" i="4"/>
  <c r="AX88" i="1"/>
  <c r="AY88" i="1"/>
  <c r="A65" i="2"/>
  <c r="A66" i="2" s="1"/>
  <c r="J18" i="2"/>
  <c r="L18" i="2" s="1"/>
  <c r="K18" i="2"/>
  <c r="O18" i="2"/>
  <c r="AZ6" i="1"/>
  <c r="BA6" i="1" s="1"/>
  <c r="BA80" i="1"/>
  <c r="AZ57" i="1"/>
  <c r="BA57" i="1" s="1"/>
  <c r="BA68" i="1"/>
  <c r="AZ13" i="1"/>
  <c r="BA13" i="1" s="1"/>
  <c r="BA76" i="1"/>
  <c r="AZ37" i="1"/>
  <c r="BA37" i="1" s="1"/>
  <c r="AZ41" i="1"/>
  <c r="BA41" i="1" s="1"/>
  <c r="AZ46" i="1"/>
  <c r="BA46" i="1" s="1"/>
  <c r="BA54" i="1"/>
  <c r="AZ50" i="1"/>
  <c r="BA50" i="1" s="1"/>
  <c r="AZ55" i="1"/>
  <c r="BA55" i="1" s="1"/>
  <c r="BA81" i="1"/>
  <c r="AZ52" i="1"/>
  <c r="BA44" i="1"/>
  <c r="AZ7" i="1"/>
  <c r="BA7" i="1" s="1"/>
  <c r="BA72" i="1"/>
  <c r="BA83" i="1"/>
  <c r="BA75" i="1"/>
  <c r="BA33" i="1"/>
  <c r="BA84" i="1"/>
  <c r="BA74" i="1"/>
  <c r="BA56" i="1"/>
  <c r="BA25" i="1"/>
  <c r="BA82" i="1"/>
  <c r="BA79" i="1"/>
  <c r="BA71" i="1"/>
  <c r="AZ12" i="1"/>
  <c r="BA12" i="1" s="1"/>
  <c r="AZ47" i="1"/>
  <c r="BA47" i="1" s="1"/>
  <c r="AZ40" i="1"/>
  <c r="BA40" i="1" s="1"/>
  <c r="BA53" i="1"/>
  <c r="BA78" i="1"/>
  <c r="BA70" i="1"/>
  <c r="BA77" i="1"/>
  <c r="BA69" i="1"/>
  <c r="AZ20" i="1"/>
  <c r="AZ24" i="1"/>
  <c r="BA24" i="1" s="1"/>
  <c r="AZ29" i="1"/>
  <c r="BA29" i="1" s="1"/>
  <c r="BA8" i="1"/>
  <c r="BA17" i="1"/>
  <c r="BA26" i="1"/>
  <c r="BA39" i="1"/>
  <c r="AZ51" i="1"/>
  <c r="BA51" i="1" s="1"/>
  <c r="AZ49" i="1"/>
  <c r="BA49" i="1" s="1"/>
  <c r="AZ48" i="1"/>
  <c r="BA48" i="1" s="1"/>
  <c r="AZ45" i="1"/>
  <c r="BA45" i="1" s="1"/>
  <c r="AZ43" i="1"/>
  <c r="BA43" i="1" s="1"/>
  <c r="AZ42" i="1"/>
  <c r="BA42" i="1" s="1"/>
  <c r="AZ38" i="1"/>
  <c r="BA38" i="1" s="1"/>
  <c r="AZ36" i="1"/>
  <c r="BA36" i="1" s="1"/>
  <c r="AZ35" i="1"/>
  <c r="AZ34" i="1"/>
  <c r="H11" i="2" s="1"/>
  <c r="AZ32" i="1"/>
  <c r="BA32" i="1" s="1"/>
  <c r="AZ31" i="1"/>
  <c r="BA31" i="1" s="1"/>
  <c r="AZ30" i="1"/>
  <c r="BA30" i="1" s="1"/>
  <c r="AZ28" i="1"/>
  <c r="BA28" i="1" s="1"/>
  <c r="AZ27" i="1"/>
  <c r="BA27" i="1" s="1"/>
  <c r="AZ23" i="1"/>
  <c r="BA23" i="1" s="1"/>
  <c r="AZ22" i="1"/>
  <c r="BA22" i="1" s="1"/>
  <c r="AZ21" i="1"/>
  <c r="BA21" i="1" s="1"/>
  <c r="AZ19" i="1"/>
  <c r="BA19" i="1" s="1"/>
  <c r="AZ18" i="1"/>
  <c r="BA18" i="1" s="1"/>
  <c r="AZ16" i="1"/>
  <c r="BA16" i="1" s="1"/>
  <c r="AZ15" i="1"/>
  <c r="BA15" i="1" s="1"/>
  <c r="AZ14" i="1"/>
  <c r="BA14" i="1" s="1"/>
  <c r="AZ11" i="1"/>
  <c r="AZ9" i="1"/>
  <c r="BA9" i="1" s="1"/>
  <c r="C218" i="8" l="1"/>
  <c r="C9" i="117" s="1"/>
  <c r="DS171" i="6"/>
  <c r="DS181" i="6" s="1"/>
  <c r="CO28" i="6"/>
  <c r="CO153" i="6" s="1"/>
  <c r="EB134" i="6"/>
  <c r="EB147" i="6"/>
  <c r="DZ103" i="6"/>
  <c r="DZ116" i="6"/>
  <c r="EB94" i="6"/>
  <c r="EB135" i="6"/>
  <c r="DZ135" i="6"/>
  <c r="DZ90" i="6"/>
  <c r="DZ133" i="6"/>
  <c r="EB133" i="6"/>
  <c r="EB85" i="6"/>
  <c r="EB93" i="6"/>
  <c r="EB100" i="6"/>
  <c r="EB87" i="6"/>
  <c r="EB104" i="6"/>
  <c r="EB110" i="6"/>
  <c r="EB105" i="6"/>
  <c r="EB89" i="6"/>
  <c r="EB108" i="6"/>
  <c r="EB106" i="6"/>
  <c r="EB101" i="6"/>
  <c r="EB113" i="6"/>
  <c r="EB92" i="6"/>
  <c r="EB88" i="6"/>
  <c r="EB109" i="6"/>
  <c r="DE2" i="6"/>
  <c r="CX112" i="6"/>
  <c r="CX113" i="6"/>
  <c r="CX110" i="6"/>
  <c r="CX111" i="6"/>
  <c r="CX108" i="6"/>
  <c r="CX109" i="6"/>
  <c r="CX106" i="6"/>
  <c r="CX107" i="6"/>
  <c r="CX104" i="6"/>
  <c r="CX105" i="6"/>
  <c r="CX103" i="6"/>
  <c r="CY7" i="6"/>
  <c r="CY153" i="6" s="1"/>
  <c r="DA2" i="6" s="1"/>
  <c r="CV80" i="6"/>
  <c r="CV81" i="6"/>
  <c r="CV79" i="6"/>
  <c r="CV62" i="6"/>
  <c r="CV77" i="6"/>
  <c r="EB95" i="6" s="1"/>
  <c r="CV30" i="6"/>
  <c r="CV10" i="6"/>
  <c r="CV42" i="6"/>
  <c r="CV18" i="6"/>
  <c r="CV73" i="6"/>
  <c r="CV50" i="6"/>
  <c r="CV40" i="6"/>
  <c r="CV45" i="6"/>
  <c r="CV14" i="6"/>
  <c r="CV61" i="6"/>
  <c r="CV59" i="6"/>
  <c r="CV35" i="6"/>
  <c r="CV70" i="6"/>
  <c r="CV58" i="6"/>
  <c r="CV24" i="6"/>
  <c r="CV7" i="6"/>
  <c r="CV26" i="6"/>
  <c r="CV60" i="6"/>
  <c r="CV47" i="6"/>
  <c r="CV16" i="6"/>
  <c r="CV72" i="6"/>
  <c r="CV55" i="6"/>
  <c r="CV49" i="6"/>
  <c r="CV71" i="6"/>
  <c r="CV38" i="6"/>
  <c r="CV8" i="6"/>
  <c r="CV23" i="6"/>
  <c r="CV11" i="6"/>
  <c r="CV2" i="6"/>
  <c r="CV5" i="6"/>
  <c r="CV34" i="6"/>
  <c r="CV54" i="6"/>
  <c r="CV3" i="6"/>
  <c r="CV78" i="6"/>
  <c r="CV65" i="6"/>
  <c r="CV64" i="6"/>
  <c r="CV67" i="6"/>
  <c r="CV36" i="6"/>
  <c r="CV19" i="6"/>
  <c r="CV51" i="6"/>
  <c r="CV48" i="6"/>
  <c r="CV9" i="6"/>
  <c r="CV12" i="6"/>
  <c r="CV13" i="6"/>
  <c r="CV31" i="6"/>
  <c r="CV66" i="6"/>
  <c r="CV37" i="6"/>
  <c r="EB116" i="6" s="1"/>
  <c r="CV33" i="6"/>
  <c r="CV25" i="6"/>
  <c r="CV43" i="6"/>
  <c r="CV4" i="6"/>
  <c r="CV39" i="6"/>
  <c r="CV41" i="6"/>
  <c r="CV56" i="6"/>
  <c r="CV6" i="6"/>
  <c r="CV63" i="6"/>
  <c r="EB97" i="6" s="1"/>
  <c r="CV17" i="6"/>
  <c r="CV22" i="6"/>
  <c r="CV52" i="6"/>
  <c r="CV21" i="6"/>
  <c r="CV74" i="6"/>
  <c r="CV75" i="6"/>
  <c r="EB117" i="6" s="1"/>
  <c r="CV57" i="6"/>
  <c r="CV20" i="6"/>
  <c r="CV29" i="6"/>
  <c r="CV27" i="6"/>
  <c r="CV46" i="6"/>
  <c r="CV32" i="6"/>
  <c r="CV44" i="6"/>
  <c r="CV53" i="6"/>
  <c r="CV15" i="6"/>
  <c r="CV69" i="6"/>
  <c r="CV76" i="6"/>
  <c r="CV68" i="6"/>
  <c r="EB111" i="6" s="1"/>
  <c r="CR61" i="6"/>
  <c r="CQ42" i="6"/>
  <c r="CR27" i="6"/>
  <c r="CR18" i="6"/>
  <c r="CR33" i="6"/>
  <c r="CR23" i="6"/>
  <c r="CR55" i="6"/>
  <c r="CR16" i="6"/>
  <c r="CR31" i="6"/>
  <c r="CR48" i="6"/>
  <c r="CR49" i="6"/>
  <c r="CR8" i="6"/>
  <c r="CR53" i="6"/>
  <c r="CR52" i="6"/>
  <c r="CR6" i="6"/>
  <c r="CR4" i="6"/>
  <c r="CR25" i="6"/>
  <c r="CR10" i="6"/>
  <c r="CR30" i="6"/>
  <c r="CR47" i="6"/>
  <c r="CR24" i="6"/>
  <c r="CR29" i="6"/>
  <c r="CR44" i="6"/>
  <c r="CR12" i="6"/>
  <c r="CR21" i="6"/>
  <c r="CR56" i="6"/>
  <c r="CR22" i="6"/>
  <c r="CR41" i="6"/>
  <c r="CR59" i="6"/>
  <c r="CR9" i="6"/>
  <c r="CR13" i="6"/>
  <c r="CR3" i="6"/>
  <c r="CR37" i="6"/>
  <c r="CR17" i="6"/>
  <c r="CR32" i="6"/>
  <c r="CR45" i="6"/>
  <c r="CR15" i="6"/>
  <c r="CR26" i="6"/>
  <c r="CR11" i="6"/>
  <c r="CR40" i="6"/>
  <c r="CR46" i="6"/>
  <c r="CR20" i="6"/>
  <c r="CR50" i="6"/>
  <c r="CR38" i="6"/>
  <c r="CR57" i="6"/>
  <c r="CR43" i="6"/>
  <c r="CR60" i="6"/>
  <c r="DZ102" i="6" s="1"/>
  <c r="CR39" i="6"/>
  <c r="CR36" i="6"/>
  <c r="CR14" i="6"/>
  <c r="CR58" i="6"/>
  <c r="CR5" i="6"/>
  <c r="CR35" i="6"/>
  <c r="CR42" i="6"/>
  <c r="CR34" i="6"/>
  <c r="CR51" i="6"/>
  <c r="CR54" i="6"/>
  <c r="CR19" i="6"/>
  <c r="CR7" i="6"/>
  <c r="CQ3" i="6"/>
  <c r="CQ11" i="6"/>
  <c r="CQ55" i="6"/>
  <c r="DZ120" i="6" s="1"/>
  <c r="CQ29" i="6"/>
  <c r="CQ31" i="6"/>
  <c r="CQ19" i="6"/>
  <c r="CQ10" i="6"/>
  <c r="EB127" i="6" s="1"/>
  <c r="CQ13" i="6"/>
  <c r="CQ44" i="6"/>
  <c r="CQ20" i="6"/>
  <c r="CQ25" i="6"/>
  <c r="CQ26" i="6"/>
  <c r="EB124" i="6" s="1"/>
  <c r="CQ24" i="6"/>
  <c r="CQ46" i="6"/>
  <c r="CQ60" i="6"/>
  <c r="CQ22" i="6"/>
  <c r="CQ17" i="6"/>
  <c r="CQ51" i="6"/>
  <c r="CQ16" i="6"/>
  <c r="DZ69" i="6" s="1"/>
  <c r="CQ35" i="6"/>
  <c r="DZ126" i="6" s="1"/>
  <c r="CQ34" i="6"/>
  <c r="DZ98" i="6" s="1"/>
  <c r="CQ33" i="6"/>
  <c r="CQ43" i="6"/>
  <c r="CQ21" i="6"/>
  <c r="CQ27" i="6"/>
  <c r="CQ50" i="6"/>
  <c r="CQ53" i="6"/>
  <c r="CQ18" i="6"/>
  <c r="CQ40" i="6"/>
  <c r="EB128" i="6" s="1"/>
  <c r="CQ41" i="6"/>
  <c r="CQ57" i="6"/>
  <c r="EB122" i="6" s="1"/>
  <c r="CQ48" i="6"/>
  <c r="CQ52" i="6"/>
  <c r="EB145" i="6" s="1"/>
  <c r="CQ54" i="6"/>
  <c r="DZ113" i="6" s="1"/>
  <c r="CQ15" i="6"/>
  <c r="EB103" i="6" s="1"/>
  <c r="CQ9" i="6"/>
  <c r="CQ47" i="6"/>
  <c r="CQ49" i="6"/>
  <c r="CQ36" i="6"/>
  <c r="CQ38" i="6"/>
  <c r="CQ59" i="6"/>
  <c r="CQ56" i="6"/>
  <c r="DZ72" i="6" s="1"/>
  <c r="CQ4" i="6"/>
  <c r="CQ37" i="6"/>
  <c r="CQ7" i="6"/>
  <c r="CQ32" i="6"/>
  <c r="CQ30" i="6"/>
  <c r="CQ12" i="6"/>
  <c r="CQ39" i="6"/>
  <c r="CQ14" i="6"/>
  <c r="CQ58" i="6"/>
  <c r="CQ8" i="6"/>
  <c r="CQ61" i="6"/>
  <c r="CQ45" i="6"/>
  <c r="CQ5" i="6"/>
  <c r="DZ64" i="6" s="1"/>
  <c r="CQ6" i="6"/>
  <c r="CQ23" i="6"/>
  <c r="DZ79" i="6" s="1"/>
  <c r="G12" i="7"/>
  <c r="G91" i="7" s="1"/>
  <c r="J12" i="7"/>
  <c r="L12" i="7" s="1"/>
  <c r="O12" i="7"/>
  <c r="BA11" i="1"/>
  <c r="BA52" i="1"/>
  <c r="Q35" i="4"/>
  <c r="G35" i="4"/>
  <c r="Q16" i="4"/>
  <c r="G16" i="4"/>
  <c r="H10" i="2"/>
  <c r="G10" i="2" s="1"/>
  <c r="H9" i="2"/>
  <c r="G9" i="2" s="1"/>
  <c r="Q18" i="4"/>
  <c r="G18" i="4"/>
  <c r="A72" i="2"/>
  <c r="A73" i="2" s="1"/>
  <c r="A74" i="2" s="1"/>
  <c r="A75" i="2" s="1"/>
  <c r="A76" i="2" s="1"/>
  <c r="A77" i="2" s="1"/>
  <c r="A78" i="2" s="1"/>
  <c r="A79" i="2" s="1"/>
  <c r="A80" i="2" s="1"/>
  <c r="A81" i="2" s="1"/>
  <c r="A82" i="2" s="1"/>
  <c r="A83" i="2" s="1"/>
  <c r="A84" i="2" s="1"/>
  <c r="A85" i="2" s="1"/>
  <c r="A86" i="2" s="1"/>
  <c r="A87" i="2" s="1"/>
  <c r="A67" i="2"/>
  <c r="BA20" i="1"/>
  <c r="AZ88" i="1"/>
  <c r="BA35" i="1"/>
  <c r="BA34" i="1"/>
  <c r="EB79" i="6" l="1"/>
  <c r="DZ127" i="6"/>
  <c r="EB102" i="6"/>
  <c r="DZ124" i="6"/>
  <c r="DZ122" i="6"/>
  <c r="EB98" i="6"/>
  <c r="DZ128" i="6"/>
  <c r="EB126" i="6"/>
  <c r="EB99" i="6"/>
  <c r="EB120" i="6"/>
  <c r="DZ145" i="6"/>
  <c r="DZ99" i="6"/>
  <c r="EB76" i="6"/>
  <c r="EB74" i="6"/>
  <c r="EB68" i="6"/>
  <c r="EB71" i="6"/>
  <c r="EB62" i="6"/>
  <c r="EB66" i="6"/>
  <c r="EB73" i="6"/>
  <c r="EB81" i="6"/>
  <c r="EB69" i="6"/>
  <c r="EB75" i="6"/>
  <c r="EB64" i="6"/>
  <c r="EB72" i="6"/>
  <c r="EB63" i="6"/>
  <c r="EB80" i="6"/>
  <c r="CV153" i="6"/>
  <c r="CZ113" i="6"/>
  <c r="DA113" i="6"/>
  <c r="DA112" i="6"/>
  <c r="CZ112" i="6"/>
  <c r="DA111" i="6"/>
  <c r="CZ111" i="6"/>
  <c r="CZ110" i="6"/>
  <c r="DA110" i="6"/>
  <c r="DA109" i="6"/>
  <c r="CZ109" i="6"/>
  <c r="CZ108" i="6"/>
  <c r="DA108" i="6"/>
  <c r="CZ107" i="6"/>
  <c r="DA107" i="6"/>
  <c r="CZ106" i="6"/>
  <c r="DA106" i="6"/>
  <c r="CZ105" i="6"/>
  <c r="DA105" i="6"/>
  <c r="CR153" i="6"/>
  <c r="BO184" i="6" s="1"/>
  <c r="CZ104" i="6"/>
  <c r="DA104" i="6"/>
  <c r="CQ153" i="6"/>
  <c r="CX101" i="6"/>
  <c r="CX102" i="6"/>
  <c r="CX48" i="6"/>
  <c r="CX100" i="6"/>
  <c r="CX98" i="6"/>
  <c r="CX99" i="6"/>
  <c r="CX96" i="6"/>
  <c r="CX97" i="6"/>
  <c r="CX94" i="6"/>
  <c r="CX95" i="6"/>
  <c r="CX92" i="6"/>
  <c r="CX93" i="6"/>
  <c r="CX24" i="6"/>
  <c r="CX27" i="6"/>
  <c r="CX11" i="6"/>
  <c r="CX18" i="6"/>
  <c r="CX17" i="6"/>
  <c r="CX64" i="6"/>
  <c r="CX32" i="6"/>
  <c r="CX72" i="6"/>
  <c r="CX39" i="6"/>
  <c r="CX84" i="6"/>
  <c r="CX40" i="6"/>
  <c r="CX86" i="6"/>
  <c r="CX60" i="6"/>
  <c r="CX55" i="6"/>
  <c r="CX21" i="6"/>
  <c r="CX8" i="6"/>
  <c r="CX28" i="6"/>
  <c r="CX56" i="6"/>
  <c r="CX75" i="6"/>
  <c r="CX87" i="6"/>
  <c r="CX22" i="6"/>
  <c r="CX31" i="6"/>
  <c r="CX71" i="6"/>
  <c r="CX7" i="6"/>
  <c r="CX74" i="6"/>
  <c r="CX88" i="6"/>
  <c r="CX46" i="6"/>
  <c r="CX6" i="6"/>
  <c r="CX69" i="6"/>
  <c r="CX89" i="6"/>
  <c r="DB7" i="6"/>
  <c r="DB153" i="6" s="1"/>
  <c r="CX51" i="6"/>
  <c r="CX53" i="6"/>
  <c r="CX78" i="6"/>
  <c r="CX50" i="6"/>
  <c r="CX49" i="6"/>
  <c r="CX82" i="6"/>
  <c r="CX15" i="6"/>
  <c r="CX33" i="6"/>
  <c r="CX85" i="6"/>
  <c r="CX90" i="6"/>
  <c r="CX83" i="6"/>
  <c r="CX91" i="6"/>
  <c r="CX68" i="6"/>
  <c r="J6" i="89" s="1"/>
  <c r="CX76" i="6"/>
  <c r="CX10" i="6"/>
  <c r="CX19" i="6"/>
  <c r="CX67" i="6"/>
  <c r="CX9" i="6"/>
  <c r="CX20" i="6"/>
  <c r="CX42" i="6"/>
  <c r="CX47" i="6"/>
  <c r="CX65" i="6"/>
  <c r="CX34" i="6"/>
  <c r="CX13" i="6"/>
  <c r="CX66" i="6"/>
  <c r="CX38" i="6"/>
  <c r="CX59" i="6"/>
  <c r="CX3" i="6"/>
  <c r="CX30" i="6"/>
  <c r="CX29" i="6"/>
  <c r="CX62" i="6"/>
  <c r="CX52" i="6"/>
  <c r="CX26" i="6"/>
  <c r="CX45" i="6"/>
  <c r="CX57" i="6"/>
  <c r="CX61" i="6"/>
  <c r="CX63" i="6"/>
  <c r="CX79" i="6"/>
  <c r="CX77" i="6"/>
  <c r="CX36" i="6"/>
  <c r="CX41" i="6"/>
  <c r="CX12" i="6"/>
  <c r="CX44" i="6"/>
  <c r="CX73" i="6"/>
  <c r="CX14" i="6"/>
  <c r="CX37" i="6"/>
  <c r="CX4" i="6"/>
  <c r="CX16" i="6"/>
  <c r="CX70" i="6"/>
  <c r="CX58" i="6"/>
  <c r="CX5" i="6"/>
  <c r="CX35" i="6"/>
  <c r="CX54" i="6"/>
  <c r="CX43" i="6"/>
  <c r="CX25" i="6"/>
  <c r="CX23" i="6"/>
  <c r="CX80" i="6"/>
  <c r="CX81" i="6"/>
  <c r="O9" i="2"/>
  <c r="K11" i="7"/>
  <c r="O11" i="7"/>
  <c r="G11" i="7"/>
  <c r="J11" i="7"/>
  <c r="L11" i="7" s="1"/>
  <c r="H10" i="4"/>
  <c r="G9" i="7"/>
  <c r="J9" i="7"/>
  <c r="L9" i="7" s="1"/>
  <c r="K9" i="7"/>
  <c r="O9" i="7"/>
  <c r="K9" i="2"/>
  <c r="K10" i="2"/>
  <c r="J10" i="2"/>
  <c r="L10" i="2" s="1"/>
  <c r="J9" i="2"/>
  <c r="L9" i="2" s="1"/>
  <c r="H9" i="4"/>
  <c r="Q9" i="4" s="1"/>
  <c r="G11" i="2"/>
  <c r="H11" i="4"/>
  <c r="Q10" i="4"/>
  <c r="G10" i="4"/>
  <c r="K11" i="2"/>
  <c r="J11" i="2"/>
  <c r="L11" i="2" s="1"/>
  <c r="O11" i="2"/>
  <c r="H89" i="2"/>
  <c r="H93" i="2" s="1"/>
  <c r="H94" i="2" s="1"/>
  <c r="O10" i="2"/>
  <c r="BA88" i="1"/>
  <c r="AZ90" i="1"/>
  <c r="E89" i="2"/>
  <c r="CX153" i="6" l="1"/>
  <c r="DE7" i="6"/>
  <c r="DA103" i="6"/>
  <c r="CZ103" i="6"/>
  <c r="CZ102" i="6"/>
  <c r="DA102" i="6"/>
  <c r="CZ101" i="6"/>
  <c r="DA101" i="6"/>
  <c r="CZ100" i="6"/>
  <c r="DA100" i="6"/>
  <c r="CZ99" i="6"/>
  <c r="DA99" i="6"/>
  <c r="DA98" i="6"/>
  <c r="CZ98" i="6"/>
  <c r="CZ97" i="6"/>
  <c r="DA97" i="6"/>
  <c r="DA96" i="6"/>
  <c r="CZ96" i="6"/>
  <c r="CZ95" i="6"/>
  <c r="DA95" i="6"/>
  <c r="CZ94" i="6"/>
  <c r="DA94" i="6"/>
  <c r="DA87" i="6"/>
  <c r="CZ93" i="6"/>
  <c r="DA93" i="6"/>
  <c r="CZ91" i="6"/>
  <c r="CZ87" i="6"/>
  <c r="CZ88" i="6"/>
  <c r="DA88" i="6"/>
  <c r="DA91" i="6"/>
  <c r="DA28" i="6"/>
  <c r="DA92" i="6"/>
  <c r="CZ92" i="6"/>
  <c r="DA89" i="6"/>
  <c r="CZ89" i="6"/>
  <c r="CZ28" i="6"/>
  <c r="DA90" i="6"/>
  <c r="CZ90" i="6"/>
  <c r="CZ86" i="6"/>
  <c r="DA86" i="6"/>
  <c r="DA85" i="6"/>
  <c r="CZ85" i="6"/>
  <c r="CZ84" i="6"/>
  <c r="DA84" i="6"/>
  <c r="CZ82" i="6"/>
  <c r="DA82" i="6"/>
  <c r="DA83" i="6"/>
  <c r="CZ83" i="6"/>
  <c r="DA7" i="6"/>
  <c r="CZ81" i="6"/>
  <c r="CZ75" i="6"/>
  <c r="CZ77" i="6"/>
  <c r="CZ76" i="6"/>
  <c r="DA75" i="6"/>
  <c r="DA80" i="6"/>
  <c r="DA81" i="6"/>
  <c r="DA73" i="6"/>
  <c r="CZ79" i="6"/>
  <c r="CZ70" i="6"/>
  <c r="CZ73" i="6"/>
  <c r="CZ80" i="6"/>
  <c r="DA79" i="6"/>
  <c r="CZ78" i="6"/>
  <c r="DA70" i="6"/>
  <c r="DA74" i="6"/>
  <c r="DA76" i="6"/>
  <c r="CZ71" i="6"/>
  <c r="CZ74" i="6"/>
  <c r="DA77" i="6"/>
  <c r="DA78" i="6"/>
  <c r="DA71" i="6"/>
  <c r="DA72" i="6"/>
  <c r="CZ72" i="6"/>
  <c r="CZ69" i="6"/>
  <c r="DA69" i="6"/>
  <c r="DA67" i="6"/>
  <c r="CZ67" i="6"/>
  <c r="CZ68" i="6"/>
  <c r="DA68" i="6"/>
  <c r="J8" i="89" s="1"/>
  <c r="DA65" i="6"/>
  <c r="DA66" i="6"/>
  <c r="CZ66" i="6"/>
  <c r="DA64" i="6"/>
  <c r="CZ64" i="6"/>
  <c r="CZ65" i="6"/>
  <c r="CZ62" i="6"/>
  <c r="DA62" i="6"/>
  <c r="DA63" i="6"/>
  <c r="CZ63" i="6"/>
  <c r="DA27" i="6"/>
  <c r="DA23" i="6"/>
  <c r="CZ27" i="6"/>
  <c r="CZ33" i="6"/>
  <c r="DA33" i="6"/>
  <c r="DA18" i="6"/>
  <c r="CZ18" i="6"/>
  <c r="CZ23" i="6"/>
  <c r="CZ52" i="6"/>
  <c r="DA49" i="6"/>
  <c r="DA12" i="6"/>
  <c r="DA16" i="6"/>
  <c r="DA52" i="6"/>
  <c r="CZ49" i="6"/>
  <c r="CZ12" i="6"/>
  <c r="CZ16" i="6"/>
  <c r="CZ30" i="6"/>
  <c r="CZ56" i="6"/>
  <c r="CZ44" i="6"/>
  <c r="DA8" i="6"/>
  <c r="DA21" i="6"/>
  <c r="DA53" i="6"/>
  <c r="DA4" i="6"/>
  <c r="DA31" i="6"/>
  <c r="CZ31" i="6"/>
  <c r="DA56" i="6"/>
  <c r="CZ21" i="6"/>
  <c r="CZ8" i="6"/>
  <c r="DA29" i="6"/>
  <c r="CZ29" i="6"/>
  <c r="DA47" i="6"/>
  <c r="DA24" i="6"/>
  <c r="CZ6" i="6"/>
  <c r="DA10" i="6"/>
  <c r="CZ47" i="6"/>
  <c r="CZ24" i="6"/>
  <c r="DA6" i="6"/>
  <c r="CZ10" i="6"/>
  <c r="DA44" i="6"/>
  <c r="CZ55" i="6"/>
  <c r="DA30" i="6"/>
  <c r="DA55" i="6"/>
  <c r="CZ48" i="6"/>
  <c r="DA25" i="6"/>
  <c r="DA48" i="6"/>
  <c r="CZ25" i="6"/>
  <c r="CZ4" i="6"/>
  <c r="CZ53" i="6"/>
  <c r="CZ2" i="6"/>
  <c r="DA61" i="6"/>
  <c r="CZ61" i="6"/>
  <c r="CZ3" i="6"/>
  <c r="DA17" i="6"/>
  <c r="DA20" i="6"/>
  <c r="DA40" i="6"/>
  <c r="DA39" i="6"/>
  <c r="CZ32" i="6"/>
  <c r="DA3" i="6"/>
  <c r="CZ17" i="6"/>
  <c r="CZ20" i="6"/>
  <c r="CZ40" i="6"/>
  <c r="CZ46" i="6"/>
  <c r="DA38" i="6"/>
  <c r="DA60" i="6"/>
  <c r="CZ57" i="6"/>
  <c r="CZ37" i="6"/>
  <c r="DA14" i="6"/>
  <c r="DA46" i="6"/>
  <c r="CZ38" i="6"/>
  <c r="CZ60" i="6"/>
  <c r="DA57" i="6"/>
  <c r="DA37" i="6"/>
  <c r="CZ14" i="6"/>
  <c r="CZ50" i="6"/>
  <c r="DA42" i="6"/>
  <c r="DA59" i="6"/>
  <c r="CZ54" i="6"/>
  <c r="DA22" i="6"/>
  <c r="DA50" i="6"/>
  <c r="CZ42" i="6"/>
  <c r="CZ59" i="6"/>
  <c r="DA54" i="6"/>
  <c r="CZ22" i="6"/>
  <c r="DA45" i="6"/>
  <c r="DA15" i="6"/>
  <c r="DA13" i="6"/>
  <c r="DA34" i="6"/>
  <c r="CZ26" i="6"/>
  <c r="CZ45" i="6"/>
  <c r="CZ15" i="6"/>
  <c r="CZ13" i="6"/>
  <c r="CZ34" i="6"/>
  <c r="DA26" i="6"/>
  <c r="DA58" i="6"/>
  <c r="CZ35" i="6"/>
  <c r="CZ19" i="6"/>
  <c r="DA9" i="6"/>
  <c r="CZ58" i="6"/>
  <c r="DA35" i="6"/>
  <c r="DA19" i="6"/>
  <c r="CZ9" i="6"/>
  <c r="CZ5" i="6"/>
  <c r="DA36" i="6"/>
  <c r="DA41" i="6"/>
  <c r="CZ43" i="6"/>
  <c r="CZ11" i="6"/>
  <c r="DA51" i="6"/>
  <c r="DA5" i="6"/>
  <c r="CZ36" i="6"/>
  <c r="CZ41" i="6"/>
  <c r="DA43" i="6"/>
  <c r="DA11" i="6"/>
  <c r="CZ51" i="6"/>
  <c r="CZ39" i="6"/>
  <c r="DA32" i="6"/>
  <c r="CZ7" i="6"/>
  <c r="K91" i="7"/>
  <c r="O91" i="7"/>
  <c r="H89" i="4"/>
  <c r="G9" i="4"/>
  <c r="Q11" i="4"/>
  <c r="Q89" i="4" s="1"/>
  <c r="G11" i="4"/>
  <c r="F89" i="2"/>
  <c r="O13" i="2"/>
  <c r="K89" i="2"/>
  <c r="J7" i="89" l="1"/>
  <c r="DE153" i="6"/>
  <c r="CZ153" i="6"/>
  <c r="DA153" i="6"/>
  <c r="G89" i="4"/>
  <c r="O89" i="2"/>
  <c r="G89" i="2"/>
  <c r="A72" i="7" l="1"/>
  <c r="A73" i="7" s="1"/>
  <c r="A74" i="7" s="1"/>
  <c r="A75" i="7" s="1"/>
  <c r="A76" i="7" s="1"/>
  <c r="A77" i="7" s="1"/>
  <c r="A78" i="7" s="1"/>
  <c r="A79" i="7" s="1"/>
  <c r="A80" i="7" s="1"/>
  <c r="A81" i="7" s="1"/>
  <c r="A82" i="7" s="1"/>
  <c r="A83" i="7" s="1"/>
  <c r="A84" i="7" s="1"/>
  <c r="A85" i="7" s="1"/>
  <c r="A86" i="7" s="1"/>
  <c r="A87" i="7" s="1"/>
  <c r="A10" i="7"/>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H175" i="8" l="1"/>
  <c r="AK18" i="8" l="1"/>
  <c r="C11" i="117" l="1"/>
  <c r="AK15" i="8"/>
  <c r="AJ55" i="8" l="1"/>
  <c r="AJ56" i="8" s="1"/>
  <c r="D34" i="14" l="1"/>
  <c r="F33" i="14" s="1"/>
  <c r="D37" i="14"/>
  <c r="G37" i="14" s="1"/>
  <c r="J17" i="17"/>
  <c r="J15" i="15"/>
  <c r="J16" i="15"/>
  <c r="J17" i="15"/>
  <c r="J16" i="18"/>
  <c r="J15" i="20"/>
  <c r="J16" i="20"/>
  <c r="J18" i="21"/>
  <c r="J15" i="22"/>
  <c r="J15" i="26"/>
  <c r="J16" i="26"/>
  <c r="J14" i="45"/>
  <c r="J15" i="45"/>
  <c r="J15" i="48"/>
  <c r="J15" i="66"/>
  <c r="J15" i="63"/>
  <c r="J10" i="78"/>
  <c r="J9" i="91"/>
  <c r="J8" i="92"/>
  <c r="J9" i="98"/>
  <c r="J9" i="103"/>
  <c r="J11" i="107"/>
  <c r="DS163" i="6"/>
  <c r="EB90" i="6"/>
  <c r="DL152" i="6"/>
  <c r="DL129" i="6"/>
  <c r="J7" i="157" s="1"/>
  <c r="DL150" i="6"/>
  <c r="DL111" i="6"/>
  <c r="J7" i="139" s="1"/>
  <c r="J25" i="139" s="1"/>
  <c r="D27" i="139" s="1"/>
  <c r="D112" i="111" s="1"/>
  <c r="I112" i="111" s="1"/>
  <c r="J112" i="111" s="1"/>
  <c r="DL98" i="6"/>
  <c r="J7" i="125" s="1"/>
  <c r="J25" i="125" s="1"/>
  <c r="D27" i="125" s="1"/>
  <c r="D99" i="111" s="1"/>
  <c r="DL115" i="6"/>
  <c r="J7" i="143" s="1"/>
  <c r="DL28" i="6"/>
  <c r="J18" i="42" s="1"/>
  <c r="J35" i="42" s="1"/>
  <c r="DL86" i="6"/>
  <c r="J12" i="104" s="1"/>
  <c r="J25" i="104" s="1"/>
  <c r="DL93" i="6"/>
  <c r="J7" i="119" s="1"/>
  <c r="DL137" i="6"/>
  <c r="J7" i="165" s="1"/>
  <c r="DL114" i="6"/>
  <c r="J7" i="142" s="1"/>
  <c r="DL138" i="6"/>
  <c r="J7" i="166" s="1"/>
  <c r="J25" i="166" s="1"/>
  <c r="DL9" i="6"/>
  <c r="DL62" i="6"/>
  <c r="J13" i="78" s="1"/>
  <c r="DL101" i="6"/>
  <c r="DL144" i="6"/>
  <c r="J7" i="128"/>
  <c r="DL105" i="6"/>
  <c r="J7" i="133" s="1"/>
  <c r="DL83" i="6"/>
  <c r="J12" i="100" s="1"/>
  <c r="DL58" i="6"/>
  <c r="J18" i="73" s="1"/>
  <c r="J7" i="173"/>
  <c r="J25" i="173" s="1"/>
  <c r="DL40" i="6"/>
  <c r="J18" i="53" s="1"/>
  <c r="DL110" i="6"/>
  <c r="J7" i="138" s="1"/>
  <c r="DL109" i="6"/>
  <c r="J7" i="137" s="1"/>
  <c r="J25" i="137" s="1"/>
  <c r="D27" i="137" s="1"/>
  <c r="DL88" i="6"/>
  <c r="J12" i="106" s="1"/>
  <c r="DL57" i="6"/>
  <c r="J18" i="74" s="1"/>
  <c r="DL74" i="6"/>
  <c r="J12" i="91" s="1"/>
  <c r="DL85" i="6"/>
  <c r="J12" i="103" s="1"/>
  <c r="J25" i="103" s="1"/>
  <c r="DL73" i="6"/>
  <c r="J13" i="90" s="1"/>
  <c r="J25" i="90" s="1"/>
  <c r="D25" i="90" s="1"/>
  <c r="DL16" i="6"/>
  <c r="DL132" i="6"/>
  <c r="J7" i="160"/>
  <c r="DL37" i="6"/>
  <c r="J18" i="50" s="1"/>
  <c r="J35" i="50" s="1"/>
  <c r="DL11" i="6"/>
  <c r="J18" i="23" s="1"/>
  <c r="DL5" i="6"/>
  <c r="J19" i="18" s="1"/>
  <c r="DL91" i="6"/>
  <c r="J10" i="114" s="1"/>
  <c r="DL131" i="6"/>
  <c r="J7" i="159" s="1"/>
  <c r="J25" i="159" s="1"/>
  <c r="DL52" i="6"/>
  <c r="DL51" i="6"/>
  <c r="J18" i="69" s="1"/>
  <c r="J35" i="69" s="1"/>
  <c r="DL33" i="6"/>
  <c r="J18" i="46" s="1"/>
  <c r="J35" i="46" s="1"/>
  <c r="DL77" i="6"/>
  <c r="J12" i="94" s="1"/>
  <c r="DL94" i="6"/>
  <c r="J7" i="121" s="1"/>
  <c r="DL100" i="6"/>
  <c r="J7" i="127" s="1"/>
  <c r="DL47" i="6"/>
  <c r="J18" i="66" s="1"/>
  <c r="DL146" i="6"/>
  <c r="J7" i="175" s="1"/>
  <c r="DL139" i="6"/>
  <c r="J7" i="167" s="1"/>
  <c r="DL18" i="6"/>
  <c r="J18" i="31" s="1"/>
  <c r="DL8" i="6"/>
  <c r="DL148" i="6"/>
  <c r="DL49" i="6"/>
  <c r="J18" i="68" s="1"/>
  <c r="DL36" i="6"/>
  <c r="J18" i="49" s="1"/>
  <c r="DL104" i="6"/>
  <c r="DL43" i="6"/>
  <c r="J18" i="56" s="1"/>
  <c r="DL90" i="6"/>
  <c r="J12" i="51" s="1"/>
  <c r="J25" i="51" s="1"/>
  <c r="DL121" i="6"/>
  <c r="J7" i="149" s="1"/>
  <c r="DL133" i="6"/>
  <c r="J7" i="161" s="1"/>
  <c r="J25" i="161" s="1"/>
  <c r="DL125" i="6"/>
  <c r="J7" i="153" s="1"/>
  <c r="DL124" i="6"/>
  <c r="J7" i="152" s="1"/>
  <c r="DL102" i="6"/>
  <c r="J7" i="129" s="1"/>
  <c r="DL87" i="6"/>
  <c r="J12" i="105" s="1"/>
  <c r="DL4" i="6"/>
  <c r="J18" i="15" s="1"/>
  <c r="DL126" i="6"/>
  <c r="J7" i="154"/>
  <c r="DL140" i="6"/>
  <c r="DL41" i="6"/>
  <c r="J18" i="54" s="1"/>
  <c r="J35" i="54" s="1"/>
  <c r="DK67" i="6"/>
  <c r="DK139" i="6"/>
  <c r="DK136" i="6"/>
  <c r="DK21" i="6"/>
  <c r="DK14" i="6"/>
  <c r="DK86" i="6"/>
  <c r="DK99" i="6"/>
  <c r="DK71" i="6"/>
  <c r="DK144" i="6"/>
  <c r="DK60" i="6"/>
  <c r="DK114" i="6"/>
  <c r="DK12" i="6"/>
  <c r="DS12" i="6" s="1"/>
  <c r="DW12" i="6" s="1"/>
  <c r="DK18" i="6"/>
  <c r="DK48" i="6"/>
  <c r="DK105" i="6"/>
  <c r="DS105" i="6" s="1"/>
  <c r="C87" i="8" s="1"/>
  <c r="AE87" i="8" s="1"/>
  <c r="DK70" i="6"/>
  <c r="DS70" i="6" s="1"/>
  <c r="DK150" i="6"/>
  <c r="DK34" i="6"/>
  <c r="DK88" i="6"/>
  <c r="DK128" i="6"/>
  <c r="DK112" i="6"/>
  <c r="DK43" i="6"/>
  <c r="DK149" i="6"/>
  <c r="DK106" i="6"/>
  <c r="DK137" i="6"/>
  <c r="DS137" i="6" s="1"/>
  <c r="C138" i="111" s="1"/>
  <c r="H138" i="111" s="1"/>
  <c r="DK49" i="6"/>
  <c r="DK82" i="6"/>
  <c r="DK124" i="6"/>
  <c r="DK140" i="6"/>
  <c r="DK11" i="6"/>
  <c r="DK72" i="6"/>
  <c r="DK30" i="6"/>
  <c r="DK55" i="6"/>
  <c r="DK94" i="6"/>
  <c r="DK142" i="6"/>
  <c r="DK74" i="6"/>
  <c r="DK146" i="6"/>
  <c r="DK29" i="6"/>
  <c r="DK96" i="6"/>
  <c r="DS96" i="6" s="1"/>
  <c r="C97" i="111" s="1"/>
  <c r="DK132" i="6"/>
  <c r="DK2" i="6"/>
  <c r="DK73" i="6"/>
  <c r="DK145" i="6"/>
  <c r="DK3" i="6"/>
  <c r="DK148" i="6"/>
  <c r="DK5" i="6"/>
  <c r="DK33" i="6"/>
  <c r="DK16" i="6"/>
  <c r="DK17" i="6"/>
  <c r="DK20" i="6"/>
  <c r="DK92" i="6"/>
  <c r="DK111" i="6"/>
  <c r="DK89" i="6"/>
  <c r="DK6" i="6"/>
  <c r="DK138" i="6"/>
  <c r="DK103" i="6"/>
  <c r="DK50" i="6"/>
  <c r="DK9" i="6"/>
  <c r="DK52" i="6"/>
  <c r="DK27" i="6"/>
  <c r="DK68" i="6"/>
  <c r="DK7" i="6"/>
  <c r="DK79" i="6"/>
  <c r="DK151" i="6"/>
  <c r="DK39" i="6"/>
  <c r="DK35" i="6"/>
  <c r="DK45" i="6"/>
  <c r="DK22" i="6"/>
  <c r="DK23" i="6"/>
  <c r="DK26" i="6"/>
  <c r="DK98" i="6"/>
  <c r="DK129" i="6"/>
  <c r="DK4" i="6"/>
  <c r="DK101" i="6"/>
  <c r="DK42" i="6"/>
  <c r="DS42" i="6" s="1"/>
  <c r="DK54" i="6"/>
  <c r="DK31" i="6"/>
  <c r="DK122" i="6"/>
  <c r="DK117" i="6"/>
  <c r="DK119" i="6"/>
  <c r="DK134" i="6"/>
  <c r="DK84" i="6"/>
  <c r="DK147" i="6"/>
  <c r="DK51" i="6"/>
  <c r="DS51" i="6" s="1"/>
  <c r="DK108" i="6"/>
  <c r="DK127" i="6"/>
  <c r="DK69" i="6"/>
  <c r="DK13" i="6"/>
  <c r="DK85" i="6"/>
  <c r="DK57" i="6"/>
  <c r="DK53" i="6"/>
  <c r="DK63" i="6"/>
  <c r="DK28" i="6"/>
  <c r="DK41" i="6"/>
  <c r="DK32" i="6"/>
  <c r="DK104" i="6"/>
  <c r="DK141" i="6"/>
  <c r="DK40" i="6"/>
  <c r="DK113" i="6"/>
  <c r="DK36" i="6"/>
  <c r="DK78" i="6"/>
  <c r="DK109" i="6"/>
  <c r="DK135" i="6"/>
  <c r="DK130" i="6"/>
  <c r="DK19" i="6"/>
  <c r="DK91" i="6"/>
  <c r="DK75" i="6"/>
  <c r="DK65" i="6"/>
  <c r="DK93" i="6"/>
  <c r="DK59" i="6"/>
  <c r="DK38" i="6"/>
  <c r="DK110" i="6"/>
  <c r="DK58" i="6"/>
  <c r="DK131" i="6"/>
  <c r="DK102" i="6"/>
  <c r="DS102" i="6" s="1"/>
  <c r="DK25" i="6"/>
  <c r="DK97" i="6"/>
  <c r="DK87" i="6"/>
  <c r="DK83" i="6"/>
  <c r="DK123" i="6"/>
  <c r="DK64" i="6"/>
  <c r="DK77" i="6"/>
  <c r="DK44" i="6"/>
  <c r="DK116" i="6"/>
  <c r="DK76" i="6"/>
  <c r="DK143" i="6"/>
  <c r="DK126" i="6"/>
  <c r="DK10" i="6"/>
  <c r="DK107" i="6"/>
  <c r="DK95" i="6"/>
  <c r="DK100" i="6"/>
  <c r="DK37" i="6"/>
  <c r="DK125" i="6"/>
  <c r="DK56" i="6"/>
  <c r="DK115" i="6"/>
  <c r="DK62" i="6"/>
  <c r="DK121" i="6"/>
  <c r="DK118" i="6"/>
  <c r="DK81" i="6"/>
  <c r="DK47" i="6"/>
  <c r="DK66" i="6"/>
  <c r="DK15" i="6"/>
  <c r="DK120" i="6"/>
  <c r="DK61" i="6"/>
  <c r="DK133" i="6"/>
  <c r="DK8" i="6"/>
  <c r="DK24" i="6"/>
  <c r="DK80" i="6"/>
  <c r="DK152" i="6"/>
  <c r="DK46" i="6"/>
  <c r="DK90" i="6"/>
  <c r="DL113" i="6"/>
  <c r="J7" i="141" s="1"/>
  <c r="DL69" i="6"/>
  <c r="J13" i="84" s="1"/>
  <c r="DL71" i="6"/>
  <c r="J13" i="86" s="1"/>
  <c r="DL99" i="6"/>
  <c r="J7" i="126" s="1"/>
  <c r="DL116" i="6"/>
  <c r="J7" i="144" s="1"/>
  <c r="DL68" i="6"/>
  <c r="J13" i="89" s="1"/>
  <c r="DL82" i="6"/>
  <c r="J11" i="99" s="1"/>
  <c r="DL61" i="6"/>
  <c r="J18" i="77" s="1"/>
  <c r="DL78" i="6"/>
  <c r="J12" i="95" s="1"/>
  <c r="DL75" i="6"/>
  <c r="J12" i="92" s="1"/>
  <c r="DL117" i="6"/>
  <c r="J7" i="145" s="1"/>
  <c r="DL95" i="6"/>
  <c r="J7" i="122" s="1"/>
  <c r="DL103" i="6"/>
  <c r="J7" i="130" s="1"/>
  <c r="DL149" i="6"/>
  <c r="DL14" i="6"/>
  <c r="J18" i="27" s="1"/>
  <c r="DL24" i="6"/>
  <c r="J18" i="37" s="1"/>
  <c r="DL44" i="6"/>
  <c r="J18" i="57" s="1"/>
  <c r="DL130" i="6"/>
  <c r="J7" i="158" s="1"/>
  <c r="DL143" i="6"/>
  <c r="J7" i="172" s="1"/>
  <c r="DL19" i="6"/>
  <c r="J18" i="32" s="1"/>
  <c r="DL3" i="6"/>
  <c r="J18" i="17" s="1"/>
  <c r="DL64" i="6"/>
  <c r="J13" i="82" s="1"/>
  <c r="DL20" i="6"/>
  <c r="DL7" i="6"/>
  <c r="J18" i="20" s="1"/>
  <c r="DL25" i="6"/>
  <c r="J18" i="38" s="1"/>
  <c r="DL122" i="6"/>
  <c r="J7" i="150" s="1"/>
  <c r="DL79" i="6"/>
  <c r="J12" i="96" s="1"/>
  <c r="DL55" i="6"/>
  <c r="J18" i="62" s="1"/>
  <c r="DL120" i="6"/>
  <c r="J7" i="148" s="1"/>
  <c r="J25" i="148" s="1"/>
  <c r="DL32" i="6"/>
  <c r="J18" i="45" s="1"/>
  <c r="DL63" i="6"/>
  <c r="DL97" i="6"/>
  <c r="J7" i="124" s="1"/>
  <c r="J25" i="124" s="1"/>
  <c r="D27" i="124" s="1"/>
  <c r="D29" i="124" s="1"/>
  <c r="E29" i="124" s="1"/>
  <c r="DL142" i="6"/>
  <c r="DL151" i="6"/>
  <c r="DL80" i="6"/>
  <c r="J12" i="97" s="1"/>
  <c r="DL50" i="6"/>
  <c r="J18" i="72" s="1"/>
  <c r="DL81" i="6"/>
  <c r="J12" i="98" s="1"/>
  <c r="J25" i="98" s="1"/>
  <c r="DL38" i="6"/>
  <c r="J18" i="11" s="1"/>
  <c r="DL34" i="6"/>
  <c r="J18" i="47" s="1"/>
  <c r="DL26" i="6"/>
  <c r="J18" i="39" s="1"/>
  <c r="J7" i="169"/>
  <c r="J25" i="169" s="1"/>
  <c r="D25" i="169" s="1"/>
  <c r="DL108" i="6"/>
  <c r="DL66" i="6"/>
  <c r="J13" i="87" s="1"/>
  <c r="DL35" i="6"/>
  <c r="J18" i="48" s="1"/>
  <c r="J7" i="171"/>
  <c r="DL21" i="6"/>
  <c r="J18" i="34" s="1"/>
  <c r="DL30" i="6"/>
  <c r="J18" i="43" s="1"/>
  <c r="DL67" i="6"/>
  <c r="J13" i="88" s="1"/>
  <c r="DL31" i="6"/>
  <c r="J18" i="44" s="1"/>
  <c r="DL56" i="6"/>
  <c r="J18" i="63" s="1"/>
  <c r="J35" i="63" s="1"/>
  <c r="D35" i="63" s="1"/>
  <c r="DL106" i="6"/>
  <c r="J7" i="134" s="1"/>
  <c r="DL2" i="6"/>
  <c r="DL17" i="6"/>
  <c r="J18" i="30" s="1"/>
  <c r="J35" i="30" s="1"/>
  <c r="D35" i="30" s="1"/>
  <c r="J18" i="29"/>
  <c r="DL135" i="6"/>
  <c r="J7" i="163" s="1"/>
  <c r="DL136" i="6"/>
  <c r="J7" i="164" s="1"/>
  <c r="DL6" i="6"/>
  <c r="J18" i="19" s="1"/>
  <c r="DL48" i="6"/>
  <c r="J18" i="67" s="1"/>
  <c r="J35" i="67" s="1"/>
  <c r="D37" i="67" s="1"/>
  <c r="DL59" i="6"/>
  <c r="J18" i="75" s="1"/>
  <c r="DL12" i="6"/>
  <c r="J17" i="25" s="1"/>
  <c r="DL89" i="6"/>
  <c r="J12" i="107" s="1"/>
  <c r="DL84" i="6"/>
  <c r="J12" i="102" s="1"/>
  <c r="J25" i="102" s="1"/>
  <c r="DL39" i="6"/>
  <c r="J18" i="52" s="1"/>
  <c r="DL13" i="6"/>
  <c r="J18" i="26" s="1"/>
  <c r="J45" i="26" s="1"/>
  <c r="DL22" i="6"/>
  <c r="J18" i="35" s="1"/>
  <c r="DL123" i="6"/>
  <c r="DL145" i="6"/>
  <c r="J7" i="174" s="1"/>
  <c r="DL141" i="6"/>
  <c r="J7" i="170" s="1"/>
  <c r="DL60" i="6"/>
  <c r="J18" i="76" s="1"/>
  <c r="DL118" i="6"/>
  <c r="J7" i="146" s="1"/>
  <c r="DL15" i="6"/>
  <c r="J18" i="28" s="1"/>
  <c r="DL119" i="6"/>
  <c r="DL27" i="6"/>
  <c r="J18" i="40" s="1"/>
  <c r="DL54" i="6"/>
  <c r="J18" i="71" s="1"/>
  <c r="DL107" i="6"/>
  <c r="DS107" i="6" s="1"/>
  <c r="C67" i="8" s="1"/>
  <c r="AE67" i="8" s="1"/>
  <c r="DL10" i="6"/>
  <c r="J18" i="22" s="1"/>
  <c r="DL92" i="6"/>
  <c r="J10" i="116" s="1"/>
  <c r="J25" i="116" s="1"/>
  <c r="DL65" i="6"/>
  <c r="J13" i="83" s="1"/>
  <c r="DL72" i="6"/>
  <c r="J13" i="80" s="1"/>
  <c r="DL96" i="6"/>
  <c r="J7" i="123" s="1"/>
  <c r="J25" i="123" s="1"/>
  <c r="D27" i="123" s="1"/>
  <c r="D97" i="111" s="1"/>
  <c r="I97" i="111" s="1"/>
  <c r="J97" i="111" s="1"/>
  <c r="DL147" i="6"/>
  <c r="J7" i="176" s="1"/>
  <c r="DL112" i="6"/>
  <c r="J7" i="140" s="1"/>
  <c r="DL134" i="6"/>
  <c r="J7" i="162" s="1"/>
  <c r="J7" i="132"/>
  <c r="DL29" i="6"/>
  <c r="J18" i="41" s="1"/>
  <c r="DL53" i="6"/>
  <c r="J18" i="61" s="1"/>
  <c r="J35" i="61" s="1"/>
  <c r="D35" i="61" s="1"/>
  <c r="J7" i="135"/>
  <c r="J25" i="135" s="1"/>
  <c r="DL45" i="6"/>
  <c r="J18" i="58" s="1"/>
  <c r="DL23" i="6"/>
  <c r="J18" i="36" s="1"/>
  <c r="DL70" i="6"/>
  <c r="J13" i="85" s="1"/>
  <c r="DL128" i="6"/>
  <c r="J7" i="156" s="1"/>
  <c r="DL127" i="6"/>
  <c r="J7" i="155" s="1"/>
  <c r="DL76" i="6"/>
  <c r="J12" i="93" s="1"/>
  <c r="DL46" i="6"/>
  <c r="J18" i="59" s="1"/>
  <c r="DL42" i="6"/>
  <c r="J18" i="55" s="1"/>
  <c r="J35" i="55" s="1"/>
  <c r="C4" i="117"/>
  <c r="C155" i="8"/>
  <c r="DC85" i="6"/>
  <c r="J8" i="103" s="1"/>
  <c r="DS179" i="6"/>
  <c r="CT9" i="6"/>
  <c r="DF104" i="6"/>
  <c r="EB115" i="6"/>
  <c r="DZ115" i="6"/>
  <c r="DZ139" i="6"/>
  <c r="EB139" i="6"/>
  <c r="EB130" i="6"/>
  <c r="DZ130" i="6"/>
  <c r="EB83" i="6"/>
  <c r="DZ83" i="6"/>
  <c r="DZ129" i="6"/>
  <c r="EB129" i="6"/>
  <c r="DZ86" i="6"/>
  <c r="EB86" i="6"/>
  <c r="DZ84" i="6"/>
  <c r="EB84" i="6"/>
  <c r="EB107" i="6"/>
  <c r="DZ107" i="6"/>
  <c r="EB152" i="6"/>
  <c r="DZ152" i="6"/>
  <c r="EB77" i="6"/>
  <c r="DZ77" i="6"/>
  <c r="DZ25" i="6"/>
  <c r="DZ39" i="6"/>
  <c r="EB22" i="6"/>
  <c r="EB67" i="6"/>
  <c r="DZ67" i="6"/>
  <c r="DZ132" i="6"/>
  <c r="EB132" i="6"/>
  <c r="EB119" i="6"/>
  <c r="DZ119" i="6"/>
  <c r="DZ65" i="6"/>
  <c r="EB78" i="6"/>
  <c r="DZ78" i="6"/>
  <c r="DZ140" i="6"/>
  <c r="EB140" i="6"/>
  <c r="DZ70" i="6"/>
  <c r="EB70" i="6"/>
  <c r="EB96" i="6"/>
  <c r="DZ96" i="6"/>
  <c r="EB65" i="6"/>
  <c r="DZ46" i="6"/>
  <c r="EB46" i="6"/>
  <c r="EB123" i="6"/>
  <c r="DZ123" i="6"/>
  <c r="EB142" i="6"/>
  <c r="DZ142" i="6"/>
  <c r="DZ17" i="6"/>
  <c r="DZ143" i="6"/>
  <c r="EB143" i="6"/>
  <c r="DZ138" i="6"/>
  <c r="DZ118" i="6"/>
  <c r="EB118" i="6"/>
  <c r="DZ136" i="6"/>
  <c r="EB136" i="6"/>
  <c r="DZ112" i="6"/>
  <c r="EB112" i="6"/>
  <c r="DZ114" i="6"/>
  <c r="EB114" i="6"/>
  <c r="DZ60" i="6"/>
  <c r="DZ55" i="6"/>
  <c r="DZ144" i="6"/>
  <c r="EB144" i="6"/>
  <c r="DZ23" i="6"/>
  <c r="DD22" i="6"/>
  <c r="DD63" i="6"/>
  <c r="J10" i="79" s="1"/>
  <c r="DD15" i="6"/>
  <c r="J15" i="28" s="1"/>
  <c r="DD87" i="6"/>
  <c r="J9" i="105" s="1"/>
  <c r="DD64" i="6"/>
  <c r="DD18" i="6"/>
  <c r="DD10" i="6"/>
  <c r="DD44" i="6"/>
  <c r="J15" i="57" s="1"/>
  <c r="DD54" i="6"/>
  <c r="DD60" i="6"/>
  <c r="DD70" i="6"/>
  <c r="J10" i="85" s="1"/>
  <c r="J15" i="35"/>
  <c r="DD13" i="6"/>
  <c r="DD34" i="6"/>
  <c r="J15" i="47" s="1"/>
  <c r="DD80" i="6"/>
  <c r="J9" i="97" s="1"/>
  <c r="J15" i="72"/>
  <c r="DD77" i="6"/>
  <c r="J9" i="94"/>
  <c r="DD5" i="6"/>
  <c r="DD20" i="6"/>
  <c r="J15" i="33" s="1"/>
  <c r="DD85" i="6"/>
  <c r="J15" i="37"/>
  <c r="DD3" i="6"/>
  <c r="J15" i="17" s="1"/>
  <c r="DD28" i="6"/>
  <c r="DD12" i="6"/>
  <c r="J14" i="25" s="1"/>
  <c r="J15" i="42"/>
  <c r="DD30" i="6"/>
  <c r="J15" i="43" s="1"/>
  <c r="DD21" i="6"/>
  <c r="DD35" i="6"/>
  <c r="DD57" i="6"/>
  <c r="J15" i="74" s="1"/>
  <c r="DD36" i="6"/>
  <c r="DD71" i="6"/>
  <c r="J10" i="86" s="1"/>
  <c r="J15" i="49"/>
  <c r="DD86" i="6"/>
  <c r="J9" i="104"/>
  <c r="DD56" i="6"/>
  <c r="DD33" i="6"/>
  <c r="DD25" i="6"/>
  <c r="J15" i="38" s="1"/>
  <c r="DD7" i="6"/>
  <c r="DD58" i="6"/>
  <c r="J15" i="73"/>
  <c r="DD82" i="6"/>
  <c r="J8" i="99" s="1"/>
  <c r="DD23" i="6"/>
  <c r="J15" i="36" s="1"/>
  <c r="DD40" i="6"/>
  <c r="J15" i="53" s="1"/>
  <c r="DD9" i="6"/>
  <c r="J15" i="24" s="1"/>
  <c r="DD53" i="6"/>
  <c r="DD83" i="6"/>
  <c r="J9" i="100" s="1"/>
  <c r="DD16" i="6"/>
  <c r="J15" i="29" s="1"/>
  <c r="DD73" i="6"/>
  <c r="DD27" i="6"/>
  <c r="DD55" i="6"/>
  <c r="DD32" i="6"/>
  <c r="DD91" i="6"/>
  <c r="J7" i="114"/>
  <c r="DD19" i="6"/>
  <c r="J15" i="32"/>
  <c r="DD52" i="6"/>
  <c r="DD26" i="6"/>
  <c r="DD24" i="6"/>
  <c r="J15" i="39"/>
  <c r="DD92" i="6"/>
  <c r="J7" i="116" s="1"/>
  <c r="DD81" i="6"/>
  <c r="DD75" i="6"/>
  <c r="J9" i="92" s="1"/>
  <c r="DD29" i="6"/>
  <c r="J15" i="41"/>
  <c r="DD89" i="6"/>
  <c r="J9" i="107" s="1"/>
  <c r="DD37" i="6"/>
  <c r="J15" i="50" s="1"/>
  <c r="DD68" i="6"/>
  <c r="J10" i="89" s="1"/>
  <c r="DD88" i="6"/>
  <c r="J9" i="106" s="1"/>
  <c r="DD76" i="6"/>
  <c r="J9" i="93" s="1"/>
  <c r="DD48" i="6"/>
  <c r="J15" i="67" s="1"/>
  <c r="DD6" i="6"/>
  <c r="J15" i="19" s="1"/>
  <c r="DD74" i="6"/>
  <c r="DD49" i="6"/>
  <c r="J15" i="68" s="1"/>
  <c r="DC34" i="6"/>
  <c r="DC52" i="6"/>
  <c r="DC58" i="6"/>
  <c r="DC15" i="6"/>
  <c r="J14" i="28" s="1"/>
  <c r="DC44" i="6"/>
  <c r="J14" i="57" s="1"/>
  <c r="DC49" i="6"/>
  <c r="J14" i="68" s="1"/>
  <c r="DC37" i="6"/>
  <c r="J14" i="50" s="1"/>
  <c r="DC54" i="6"/>
  <c r="DC36" i="6"/>
  <c r="DC10" i="6"/>
  <c r="J14" i="22" s="1"/>
  <c r="DC57" i="6"/>
  <c r="J14" i="74" s="1"/>
  <c r="DC33" i="6"/>
  <c r="DC25" i="6"/>
  <c r="DC28" i="6"/>
  <c r="DC40" i="6"/>
  <c r="J14" i="53" s="1"/>
  <c r="DC27" i="6"/>
  <c r="DC18" i="6"/>
  <c r="DC26" i="6"/>
  <c r="J14" i="39" s="1"/>
  <c r="DC60" i="6"/>
  <c r="DC32" i="6"/>
  <c r="DC53" i="6"/>
  <c r="DC23" i="6"/>
  <c r="DC29" i="6"/>
  <c r="DC9" i="6"/>
  <c r="DC55" i="6"/>
  <c r="DC30" i="6"/>
  <c r="DC48" i="6"/>
  <c r="DC35" i="6"/>
  <c r="J14" i="48" s="1"/>
  <c r="DG55" i="6"/>
  <c r="J17" i="62" s="1"/>
  <c r="DG83" i="6"/>
  <c r="J11" i="100" s="1"/>
  <c r="DG59" i="6"/>
  <c r="DG36" i="6"/>
  <c r="J17" i="49"/>
  <c r="DG71" i="6"/>
  <c r="J12" i="86" s="1"/>
  <c r="DG152" i="6"/>
  <c r="J6" i="134"/>
  <c r="DG92" i="6"/>
  <c r="J9" i="116" s="1"/>
  <c r="DG86" i="6"/>
  <c r="DG137" i="6"/>
  <c r="J6" i="165" s="1"/>
  <c r="DG114" i="6"/>
  <c r="DG17" i="6"/>
  <c r="DG9" i="6"/>
  <c r="J17" i="24"/>
  <c r="DG62" i="6"/>
  <c r="J12" i="78" s="1"/>
  <c r="DG129" i="6"/>
  <c r="J6" i="157"/>
  <c r="DG54" i="6"/>
  <c r="J17" i="71" s="1"/>
  <c r="DG146" i="6"/>
  <c r="DG104" i="6"/>
  <c r="DG58" i="6"/>
  <c r="DG10" i="6"/>
  <c r="J17" i="22" s="1"/>
  <c r="DG151" i="6"/>
  <c r="DG85" i="6"/>
  <c r="DG80" i="6"/>
  <c r="DG125" i="6"/>
  <c r="DG124" i="6"/>
  <c r="J6" i="152" s="1"/>
  <c r="J6" i="153"/>
  <c r="DG33" i="6"/>
  <c r="J17" i="46" s="1"/>
  <c r="DG15" i="6"/>
  <c r="J17" i="28" s="1"/>
  <c r="J6" i="147"/>
  <c r="DG16" i="6"/>
  <c r="J17" i="29" s="1"/>
  <c r="DG32" i="6"/>
  <c r="DG126" i="6"/>
  <c r="J6" i="154" s="1"/>
  <c r="DG115" i="6"/>
  <c r="J6" i="143" s="1"/>
  <c r="DG150" i="6"/>
  <c r="DG109" i="6"/>
  <c r="DG136" i="6"/>
  <c r="J6" i="164" s="1"/>
  <c r="J6" i="137"/>
  <c r="DG18" i="6"/>
  <c r="J17" i="31" s="1"/>
  <c r="J6" i="151"/>
  <c r="DG52" i="6"/>
  <c r="J17" i="60" s="1"/>
  <c r="DG148" i="6"/>
  <c r="DG101" i="6"/>
  <c r="DG4" i="6"/>
  <c r="J17" i="23"/>
  <c r="DG132" i="6"/>
  <c r="J6" i="160" s="1"/>
  <c r="J25" i="160" s="1"/>
  <c r="DG37" i="6"/>
  <c r="DG73" i="6"/>
  <c r="J12" i="90" s="1"/>
  <c r="J6" i="138"/>
  <c r="DG74" i="6"/>
  <c r="J11" i="91" s="1"/>
  <c r="DG141" i="6"/>
  <c r="DG110" i="6"/>
  <c r="DD41" i="6"/>
  <c r="J10" i="83"/>
  <c r="DF33" i="6"/>
  <c r="J16" i="46" s="1"/>
  <c r="DF66" i="6"/>
  <c r="DF89" i="6"/>
  <c r="J10" i="107" s="1"/>
  <c r="DF67" i="6"/>
  <c r="DF4" i="6"/>
  <c r="DF85" i="6"/>
  <c r="J10" i="103" s="1"/>
  <c r="DF74" i="6"/>
  <c r="DF47" i="6"/>
  <c r="DF90" i="6"/>
  <c r="DF9" i="6"/>
  <c r="J16" i="24" s="1"/>
  <c r="DF21" i="6"/>
  <c r="DF36" i="6"/>
  <c r="DF52" i="6"/>
  <c r="DF58" i="6"/>
  <c r="DF82" i="6"/>
  <c r="J9" i="99" s="1"/>
  <c r="J16" i="73"/>
  <c r="J16" i="29"/>
  <c r="DF17" i="6"/>
  <c r="DF11" i="6"/>
  <c r="J16" i="23" s="1"/>
  <c r="J16" i="34"/>
  <c r="J10" i="102"/>
  <c r="DF50" i="6"/>
  <c r="J16" i="72" s="1"/>
  <c r="DF19" i="6"/>
  <c r="J16" i="32" s="1"/>
  <c r="DF80" i="6"/>
  <c r="DF2" i="6"/>
  <c r="J16" i="30"/>
  <c r="DF86" i="6"/>
  <c r="J10" i="104" s="1"/>
  <c r="DD72" i="6"/>
  <c r="J10" i="80" s="1"/>
  <c r="J9" i="96"/>
  <c r="DD79" i="6"/>
  <c r="J9" i="51"/>
  <c r="DD78" i="6"/>
  <c r="J9" i="95" s="1"/>
  <c r="DD69" i="6"/>
  <c r="J10" i="84" s="1"/>
  <c r="J15" i="40"/>
  <c r="DD42" i="6"/>
  <c r="J10" i="88"/>
  <c r="DD67" i="6"/>
  <c r="J15" i="44"/>
  <c r="DD51" i="6"/>
  <c r="J15" i="69" s="1"/>
  <c r="DD38" i="6"/>
  <c r="J15" i="11" s="1"/>
  <c r="DD4" i="6"/>
  <c r="J15" i="23"/>
  <c r="DD11" i="6"/>
  <c r="J15" i="34"/>
  <c r="DD62" i="6"/>
  <c r="DD31" i="6"/>
  <c r="J15" i="58"/>
  <c r="DD45" i="6"/>
  <c r="DD90" i="6"/>
  <c r="DD61" i="6"/>
  <c r="J15" i="77" s="1"/>
  <c r="DD65" i="6"/>
  <c r="DD47" i="6"/>
  <c r="J15" i="76"/>
  <c r="DD59" i="6"/>
  <c r="J15" i="75" s="1"/>
  <c r="DD66" i="6"/>
  <c r="J10" i="87" s="1"/>
  <c r="J15" i="46"/>
  <c r="DD2" i="6"/>
  <c r="DD17" i="6"/>
  <c r="J15" i="30" s="1"/>
  <c r="DD50" i="6"/>
  <c r="J9" i="102"/>
  <c r="DD84" i="6"/>
  <c r="DD8" i="6"/>
  <c r="J15" i="21" s="1"/>
  <c r="J15" i="31"/>
  <c r="DD43" i="6"/>
  <c r="J15" i="56" s="1"/>
  <c r="J15" i="54"/>
  <c r="DD14" i="6"/>
  <c r="J15" i="27" s="1"/>
  <c r="J15" i="52"/>
  <c r="DD46" i="6"/>
  <c r="J15" i="59" s="1"/>
  <c r="DD39" i="6"/>
  <c r="DG70" i="6"/>
  <c r="DG128" i="6"/>
  <c r="J6" i="156" s="1"/>
  <c r="J11" i="103"/>
  <c r="DG112" i="6"/>
  <c r="J6" i="140" s="1"/>
  <c r="DG134" i="6"/>
  <c r="J6" i="162" s="1"/>
  <c r="J6" i="132"/>
  <c r="DF61" i="6"/>
  <c r="J16" i="77" s="1"/>
  <c r="J10" i="95"/>
  <c r="DF78" i="6"/>
  <c r="DG30" i="6"/>
  <c r="DG2" i="6"/>
  <c r="J17" i="30"/>
  <c r="DF126" i="6"/>
  <c r="DG35" i="6"/>
  <c r="J17" i="48" s="1"/>
  <c r="J6" i="171"/>
  <c r="DG8" i="6"/>
  <c r="J17" i="21" s="1"/>
  <c r="DG140" i="6"/>
  <c r="DG89" i="6"/>
  <c r="J17" i="41"/>
  <c r="DG29" i="6"/>
  <c r="DF146" i="6"/>
  <c r="DG79" i="6"/>
  <c r="J11" i="96" s="1"/>
  <c r="J11" i="51"/>
  <c r="DF79" i="6"/>
  <c r="J10" i="51"/>
  <c r="DF84" i="6"/>
  <c r="J16" i="33"/>
  <c r="DF20" i="6"/>
  <c r="J16" i="69"/>
  <c r="DG144" i="6"/>
  <c r="J6" i="173" s="1"/>
  <c r="DG20" i="6"/>
  <c r="DG51" i="6"/>
  <c r="J17" i="69" s="1"/>
  <c r="J17" i="11"/>
  <c r="DG121" i="6"/>
  <c r="J6" i="149" s="1"/>
  <c r="J6" i="161"/>
  <c r="DG123" i="6"/>
  <c r="J11" i="105"/>
  <c r="DG87" i="6"/>
  <c r="J6" i="129"/>
  <c r="DG138" i="6"/>
  <c r="DG78" i="6"/>
  <c r="J11" i="95" s="1"/>
  <c r="J17" i="75"/>
  <c r="DG113" i="6"/>
  <c r="DF115" i="6"/>
  <c r="DF16" i="6"/>
  <c r="DF6" i="6"/>
  <c r="J16" i="19" s="1"/>
  <c r="DF137" i="6"/>
  <c r="DG12" i="6"/>
  <c r="J16" i="25" s="1"/>
  <c r="J17" i="42"/>
  <c r="DG28" i="6"/>
  <c r="DG139" i="6"/>
  <c r="J6" i="167" s="1"/>
  <c r="J6" i="175"/>
  <c r="DF13" i="6"/>
  <c r="J16" i="35"/>
  <c r="DF22" i="6"/>
  <c r="DF64" i="6"/>
  <c r="J11" i="86"/>
  <c r="DF71" i="6"/>
  <c r="J16" i="49"/>
  <c r="DG66" i="6"/>
  <c r="J12" i="87" s="1"/>
  <c r="DF31" i="6"/>
  <c r="J16" i="44" s="1"/>
  <c r="J16" i="58"/>
  <c r="DF45" i="6"/>
  <c r="DG14" i="6"/>
  <c r="J17" i="27" s="1"/>
  <c r="DG39" i="6"/>
  <c r="J17" i="52" s="1"/>
  <c r="J12" i="85"/>
  <c r="DG77" i="6"/>
  <c r="J11" i="94" s="1"/>
  <c r="DG95" i="6"/>
  <c r="J6" i="122" s="1"/>
  <c r="DF5" i="6"/>
  <c r="J17" i="18" s="1"/>
  <c r="DF51" i="6"/>
  <c r="J16" i="11"/>
  <c r="DF38" i="6"/>
  <c r="DG90" i="6"/>
  <c r="DG61" i="6"/>
  <c r="J17" i="77" s="1"/>
  <c r="DG108" i="6"/>
  <c r="J6" i="136" s="1"/>
  <c r="DG119" i="6"/>
  <c r="J6" i="125"/>
  <c r="DG98" i="6"/>
  <c r="DG65" i="6"/>
  <c r="J12" i="83" s="1"/>
  <c r="J12" i="80"/>
  <c r="DG72" i="6"/>
  <c r="EB138" i="6"/>
  <c r="CT46" i="6"/>
  <c r="DG106" i="6"/>
  <c r="J17" i="53"/>
  <c r="DG40" i="6"/>
  <c r="DF65" i="6"/>
  <c r="J11" i="83" s="1"/>
  <c r="J11" i="80"/>
  <c r="DG96" i="6"/>
  <c r="DF72" i="6"/>
  <c r="J10" i="96"/>
  <c r="DG53" i="6"/>
  <c r="J17" i="61" s="1"/>
  <c r="DG107" i="6"/>
  <c r="J6" i="135" s="1"/>
  <c r="J17" i="74"/>
  <c r="DF14" i="6"/>
  <c r="J16" i="27" s="1"/>
  <c r="J16" i="52"/>
  <c r="DG118" i="6"/>
  <c r="J12" i="82"/>
  <c r="DG64" i="6"/>
  <c r="DF39" i="6"/>
  <c r="DF56" i="6"/>
  <c r="DG57" i="6"/>
  <c r="J6" i="166"/>
  <c r="CT52" i="6"/>
  <c r="DG145" i="6"/>
  <c r="J6" i="170"/>
  <c r="DG49" i="6"/>
  <c r="J17" i="68" s="1"/>
  <c r="J6" i="179"/>
  <c r="DG99" i="6"/>
  <c r="J6" i="126" s="1"/>
  <c r="DG11" i="6"/>
  <c r="J17" i="34"/>
  <c r="DG21" i="6"/>
  <c r="J17" i="43"/>
  <c r="DG88" i="6"/>
  <c r="J11" i="106" s="1"/>
  <c r="J6" i="141"/>
  <c r="DF41" i="6"/>
  <c r="DC74" i="6"/>
  <c r="J8" i="91" s="1"/>
  <c r="DG26" i="6"/>
  <c r="J17" i="39" s="1"/>
  <c r="J6" i="169"/>
  <c r="DF59" i="6"/>
  <c r="J16" i="75" s="1"/>
  <c r="J15" i="25"/>
  <c r="DF12" i="6"/>
  <c r="DF91" i="6"/>
  <c r="J8" i="114" s="1"/>
  <c r="DG120" i="6"/>
  <c r="J6" i="148" s="1"/>
  <c r="J17" i="45"/>
  <c r="DF62" i="6"/>
  <c r="DG149" i="6"/>
  <c r="DF129" i="6"/>
  <c r="DG117" i="6"/>
  <c r="J6" i="145" s="1"/>
  <c r="DG122" i="6"/>
  <c r="J6" i="150" s="1"/>
  <c r="J17" i="56"/>
  <c r="DC86" i="6"/>
  <c r="DF132" i="6"/>
  <c r="DG13" i="6"/>
  <c r="J17" i="26" s="1"/>
  <c r="J17" i="35"/>
  <c r="DF24" i="6"/>
  <c r="J16" i="37" s="1"/>
  <c r="J16" i="39"/>
  <c r="DG48" i="6"/>
  <c r="J17" i="67" s="1"/>
  <c r="DG5" i="6"/>
  <c r="J18" i="18" s="1"/>
  <c r="DG7" i="6"/>
  <c r="J17" i="20" s="1"/>
  <c r="J17" i="38"/>
  <c r="DG25" i="6"/>
  <c r="DG103" i="6"/>
  <c r="J6" i="130" s="1"/>
  <c r="J11" i="97"/>
  <c r="DG34" i="6"/>
  <c r="J17" i="47" s="1"/>
  <c r="J6" i="142"/>
  <c r="DG135" i="6"/>
  <c r="J6" i="163" s="1"/>
  <c r="DF69" i="6"/>
  <c r="J16" i="40"/>
  <c r="DG67" i="6"/>
  <c r="J12" i="88" s="1"/>
  <c r="DG111" i="6"/>
  <c r="DG116" i="6"/>
  <c r="J6" i="144" s="1"/>
  <c r="J11" i="93"/>
  <c r="DG76" i="6"/>
  <c r="J17" i="55"/>
  <c r="DG23" i="6"/>
  <c r="J17" i="36" s="1"/>
  <c r="J6" i="123"/>
  <c r="DG19" i="6"/>
  <c r="J17" i="32" s="1"/>
  <c r="DF8" i="6"/>
  <c r="J16" i="21" s="1"/>
  <c r="DG38" i="6"/>
  <c r="DF81" i="6"/>
  <c r="DG142" i="6"/>
  <c r="DG94" i="6"/>
  <c r="DG22" i="6"/>
  <c r="DG130" i="6"/>
  <c r="J6" i="158" s="1"/>
  <c r="J6" i="174"/>
  <c r="DG43" i="6"/>
  <c r="J17" i="54"/>
  <c r="DF43" i="6"/>
  <c r="J16" i="56" s="1"/>
  <c r="J16" i="54"/>
  <c r="DG31" i="6"/>
  <c r="J17" i="44" s="1"/>
  <c r="DG3" i="6"/>
  <c r="J17" i="37"/>
  <c r="DG24" i="6"/>
  <c r="DG6" i="6"/>
  <c r="J17" i="19" s="1"/>
  <c r="DF3" i="6"/>
  <c r="DG68" i="6"/>
  <c r="J12" i="89" s="1"/>
  <c r="J6" i="139"/>
  <c r="DG82" i="6"/>
  <c r="J10" i="99" s="1"/>
  <c r="J17" i="73"/>
  <c r="DG91" i="6"/>
  <c r="J9" i="114" s="1"/>
  <c r="DG42" i="6"/>
  <c r="DG50" i="6"/>
  <c r="J17" i="72" s="1"/>
  <c r="J11" i="102"/>
  <c r="DG84" i="6"/>
  <c r="J17" i="33"/>
  <c r="DG97" i="6"/>
  <c r="J6" i="124" s="1"/>
  <c r="DG147" i="6"/>
  <c r="J6" i="176" s="1"/>
  <c r="J17" i="63"/>
  <c r="DG45" i="6"/>
  <c r="J17" i="58" s="1"/>
  <c r="DF7" i="6"/>
  <c r="DG93" i="6"/>
  <c r="J6" i="119" s="1"/>
  <c r="DG75" i="6"/>
  <c r="J11" i="92" s="1"/>
  <c r="DG56" i="6"/>
  <c r="J11" i="104"/>
  <c r="DG41" i="6"/>
  <c r="DF42" i="6"/>
  <c r="J11" i="88"/>
  <c r="DG133" i="6"/>
  <c r="DG105" i="6"/>
  <c r="J6" i="133" s="1"/>
  <c r="J6" i="128"/>
  <c r="DF109" i="6"/>
  <c r="DG47" i="6"/>
  <c r="J17" i="66" s="1"/>
  <c r="DG60" i="6"/>
  <c r="J17" i="76" s="1"/>
  <c r="J6" i="146"/>
  <c r="DG102" i="6"/>
  <c r="J12" i="79"/>
  <c r="DG63" i="6"/>
  <c r="DG69" i="6"/>
  <c r="J12" i="84" s="1"/>
  <c r="J17" i="40"/>
  <c r="DG27" i="6"/>
  <c r="DG143" i="6"/>
  <c r="J6" i="172" s="1"/>
  <c r="DG127" i="6"/>
  <c r="J6" i="155" s="1"/>
  <c r="J17" i="50"/>
  <c r="DG81" i="6"/>
  <c r="J11" i="98" s="1"/>
  <c r="DG44" i="6"/>
  <c r="J17" i="57" s="1"/>
  <c r="DG100" i="6"/>
  <c r="J6" i="127" s="1"/>
  <c r="DG46" i="6"/>
  <c r="J17" i="59" s="1"/>
  <c r="DG131" i="6"/>
  <c r="J6" i="159" s="1"/>
  <c r="J6" i="121"/>
  <c r="CT33" i="6"/>
  <c r="D25" i="139"/>
  <c r="CT37" i="6"/>
  <c r="DF148" i="6"/>
  <c r="J5" i="179" s="1"/>
  <c r="CT56" i="6"/>
  <c r="CT8" i="6"/>
  <c r="CT10" i="6"/>
  <c r="CT44" i="6"/>
  <c r="CT14" i="6"/>
  <c r="CT36" i="6"/>
  <c r="CT16" i="6"/>
  <c r="DC92" i="6"/>
  <c r="J6" i="116" s="1"/>
  <c r="CT59" i="6"/>
  <c r="CT40" i="6"/>
  <c r="CT42" i="6"/>
  <c r="CT3" i="6"/>
  <c r="CT39" i="6"/>
  <c r="CT7" i="6"/>
  <c r="CT54" i="6"/>
  <c r="DF150" i="6"/>
  <c r="CT19" i="6"/>
  <c r="EB19" i="6" s="1"/>
  <c r="CT22" i="6"/>
  <c r="CT50" i="6"/>
  <c r="CT26" i="6"/>
  <c r="CT57" i="6"/>
  <c r="CT6" i="6"/>
  <c r="CT58" i="6"/>
  <c r="CT17" i="6"/>
  <c r="EB17" i="6" s="1"/>
  <c r="CT23" i="6"/>
  <c r="EB23" i="6" s="1"/>
  <c r="CT34" i="6"/>
  <c r="CT35" i="6"/>
  <c r="CT18" i="6"/>
  <c r="CT12" i="6"/>
  <c r="CT21" i="6"/>
  <c r="DS95" i="6"/>
  <c r="C89" i="8" s="1"/>
  <c r="CT60" i="6"/>
  <c r="EB60" i="6" s="1"/>
  <c r="CT47" i="6"/>
  <c r="CT51" i="6"/>
  <c r="CT13" i="6"/>
  <c r="CT20" i="6"/>
  <c r="CT38" i="6"/>
  <c r="CT41" i="6"/>
  <c r="DC73" i="6"/>
  <c r="DC83" i="6"/>
  <c r="CT15" i="6"/>
  <c r="CT48" i="6"/>
  <c r="DC88" i="6"/>
  <c r="J8" i="106" s="1"/>
  <c r="CT30" i="6"/>
  <c r="DS30" i="6"/>
  <c r="CT43" i="6"/>
  <c r="DC75" i="6"/>
  <c r="DC70" i="6"/>
  <c r="CT5" i="6"/>
  <c r="CT61" i="6"/>
  <c r="DC68" i="6"/>
  <c r="J9" i="89" s="1"/>
  <c r="CT55" i="6"/>
  <c r="EB55" i="6" s="1"/>
  <c r="DC77" i="6"/>
  <c r="J8" i="94" s="1"/>
  <c r="CT31" i="6"/>
  <c r="DF97" i="6"/>
  <c r="CT2" i="6"/>
  <c r="CT28" i="6"/>
  <c r="CT4" i="6"/>
  <c r="CT27" i="6"/>
  <c r="CT32" i="6"/>
  <c r="CT25" i="6"/>
  <c r="EB25" i="6" s="1"/>
  <c r="DC76" i="6"/>
  <c r="J8" i="93" s="1"/>
  <c r="DC87" i="6"/>
  <c r="J8" i="105" s="1"/>
  <c r="CT11" i="6"/>
  <c r="CT29" i="6"/>
  <c r="CT24" i="6"/>
  <c r="DZ24" i="6" s="1"/>
  <c r="DC63" i="6"/>
  <c r="J9" i="79" s="1"/>
  <c r="DS63" i="6"/>
  <c r="C64" i="111" s="1"/>
  <c r="CT49" i="6"/>
  <c r="CT45" i="6"/>
  <c r="DF152" i="6"/>
  <c r="CT53" i="6"/>
  <c r="DF125" i="6"/>
  <c r="J5" i="153" s="1"/>
  <c r="C156" i="8"/>
  <c r="DF49" i="6"/>
  <c r="J16" i="68" s="1"/>
  <c r="DF96" i="6"/>
  <c r="DF139" i="6"/>
  <c r="J5" i="175"/>
  <c r="DF130" i="6"/>
  <c r="J5" i="174"/>
  <c r="DF40" i="6"/>
  <c r="J16" i="53" s="1"/>
  <c r="J5" i="173"/>
  <c r="DF10" i="6"/>
  <c r="J16" i="22" s="1"/>
  <c r="DF35" i="6"/>
  <c r="J16" i="48" s="1"/>
  <c r="DF145" i="6"/>
  <c r="DF26" i="6"/>
  <c r="J5" i="169"/>
  <c r="DF48" i="6"/>
  <c r="J16" i="67" s="1"/>
  <c r="DF57" i="6"/>
  <c r="J16" i="74" s="1"/>
  <c r="J5" i="166"/>
  <c r="DF114" i="6"/>
  <c r="J5" i="165"/>
  <c r="J25" i="165" s="1"/>
  <c r="D25" i="165" s="1"/>
  <c r="DF55" i="6"/>
  <c r="J16" i="62" s="1"/>
  <c r="J5" i="164"/>
  <c r="J25" i="164"/>
  <c r="DF135" i="6"/>
  <c r="J5" i="163"/>
  <c r="DF112" i="6"/>
  <c r="J5" i="140" s="1"/>
  <c r="DF121" i="6"/>
  <c r="J5" i="149" s="1"/>
  <c r="J5" i="161"/>
  <c r="DF37" i="6"/>
  <c r="J5" i="160"/>
  <c r="DF100" i="6"/>
  <c r="J5" i="127" s="1"/>
  <c r="J25" i="127" s="1"/>
  <c r="J5" i="159"/>
  <c r="DF44" i="6"/>
  <c r="J16" i="57" s="1"/>
  <c r="DF54" i="6"/>
  <c r="J16" i="71" s="1"/>
  <c r="J5" i="157"/>
  <c r="DF70" i="6"/>
  <c r="J11" i="85" s="1"/>
  <c r="DF143" i="6"/>
  <c r="J5" i="155"/>
  <c r="DF140" i="6"/>
  <c r="J5" i="154"/>
  <c r="J25" i="154"/>
  <c r="DF124" i="6"/>
  <c r="DF98" i="6"/>
  <c r="DS98" i="6" s="1"/>
  <c r="J5" i="152"/>
  <c r="J25" i="152" s="1"/>
  <c r="D25" i="152" s="1"/>
  <c r="DF18" i="6"/>
  <c r="J16" i="31" s="1"/>
  <c r="J5" i="151"/>
  <c r="J25" i="151" s="1"/>
  <c r="DF117" i="6"/>
  <c r="DF138" i="6"/>
  <c r="DF94" i="6"/>
  <c r="J5" i="121" s="1"/>
  <c r="J5" i="148"/>
  <c r="DF15" i="6"/>
  <c r="J16" i="28" s="1"/>
  <c r="J5" i="147"/>
  <c r="DF60" i="6"/>
  <c r="J16" i="76" s="1"/>
  <c r="DF75" i="6"/>
  <c r="J5" i="145"/>
  <c r="DF99" i="6"/>
  <c r="DF28" i="6"/>
  <c r="J16" i="42" s="1"/>
  <c r="J5" i="143"/>
  <c r="DF34" i="6"/>
  <c r="J16" i="47" s="1"/>
  <c r="J5" i="142"/>
  <c r="DF88" i="6"/>
  <c r="J10" i="106" s="1"/>
  <c r="J5" i="141"/>
  <c r="DF32" i="6"/>
  <c r="J16" i="45" s="1"/>
  <c r="J25" i="140"/>
  <c r="D25" i="140" s="1"/>
  <c r="D27" i="140"/>
  <c r="D113" i="111" s="1"/>
  <c r="I113" i="111" s="1"/>
  <c r="J113" i="111" s="1"/>
  <c r="DF68" i="6"/>
  <c r="J11" i="89" s="1"/>
  <c r="J5" i="139"/>
  <c r="DF73" i="6"/>
  <c r="J5" i="138"/>
  <c r="DF136" i="6"/>
  <c r="J5" i="137"/>
  <c r="DF111" i="6"/>
  <c r="DF53" i="6"/>
  <c r="J5" i="135"/>
  <c r="DF92" i="6"/>
  <c r="J8" i="116" s="1"/>
  <c r="DF133" i="6"/>
  <c r="J5" i="133"/>
  <c r="J25" i="133"/>
  <c r="D25" i="133" s="1"/>
  <c r="D27" i="133"/>
  <c r="DF134" i="6"/>
  <c r="DS134" i="6" s="1"/>
  <c r="J5" i="132"/>
  <c r="J25" i="132" s="1"/>
  <c r="D25" i="132" s="1"/>
  <c r="DF95" i="6"/>
  <c r="DF87" i="6"/>
  <c r="J5" i="129"/>
  <c r="DF105" i="6"/>
  <c r="J5" i="128"/>
  <c r="DF151" i="6"/>
  <c r="DF144" i="6"/>
  <c r="DF119" i="6"/>
  <c r="J5" i="125"/>
  <c r="DF63" i="6"/>
  <c r="J11" i="79" s="1"/>
  <c r="J5" i="124"/>
  <c r="DF23" i="6"/>
  <c r="J16" i="36" s="1"/>
  <c r="J5" i="123"/>
  <c r="DF77" i="6"/>
  <c r="J10" i="94" s="1"/>
  <c r="J5" i="122"/>
  <c r="DF131" i="6"/>
  <c r="DF142" i="6"/>
  <c r="DC81" i="6"/>
  <c r="J8" i="98" s="1"/>
  <c r="DC91" i="6"/>
  <c r="J6" i="114"/>
  <c r="DC79" i="6"/>
  <c r="J8" i="51"/>
  <c r="DF123" i="6"/>
  <c r="J10" i="105"/>
  <c r="DC56" i="6"/>
  <c r="J14" i="63" s="1"/>
  <c r="J8" i="104"/>
  <c r="DF128" i="6"/>
  <c r="DC50" i="6"/>
  <c r="J8" i="102"/>
  <c r="DC16" i="6"/>
  <c r="J14" i="29" s="1"/>
  <c r="DF149" i="6"/>
  <c r="DS149" i="6" s="1"/>
  <c r="J10" i="98"/>
  <c r="DF103" i="6"/>
  <c r="J10" i="97"/>
  <c r="DC72" i="6"/>
  <c r="J8" i="96"/>
  <c r="DC61" i="6"/>
  <c r="J8" i="95"/>
  <c r="DC5" i="6"/>
  <c r="J15" i="18" s="1"/>
  <c r="DF116" i="6"/>
  <c r="DF93" i="6"/>
  <c r="J10" i="92"/>
  <c r="DF141" i="6"/>
  <c r="J10" i="91"/>
  <c r="DF83" i="6"/>
  <c r="J10" i="100" s="1"/>
  <c r="J11" i="90"/>
  <c r="DC65" i="6"/>
  <c r="DC64" i="6"/>
  <c r="DC39" i="6"/>
  <c r="J9" i="85"/>
  <c r="DF113" i="6"/>
  <c r="J11" i="84"/>
  <c r="DC42" i="6"/>
  <c r="DF108" i="6"/>
  <c r="J5" i="136" s="1"/>
  <c r="J11" i="87"/>
  <c r="DC41" i="6"/>
  <c r="DF118" i="6"/>
  <c r="J5" i="146" s="1"/>
  <c r="J11" i="82"/>
  <c r="J25" i="82"/>
  <c r="D25" i="82" s="1"/>
  <c r="D27" i="82"/>
  <c r="D65" i="111" s="1"/>
  <c r="I65" i="111" s="1"/>
  <c r="J65" i="111" s="1"/>
  <c r="DF102" i="6"/>
  <c r="DF110" i="6"/>
  <c r="J11" i="78"/>
  <c r="DC90" i="6"/>
  <c r="J14" i="77"/>
  <c r="DC47" i="6"/>
  <c r="J14" i="66" s="1"/>
  <c r="J14" i="76"/>
  <c r="DC78" i="6"/>
  <c r="DC82" i="6"/>
  <c r="J14" i="73"/>
  <c r="DF107" i="6"/>
  <c r="DF147" i="6"/>
  <c r="J16" i="63"/>
  <c r="DF25" i="6"/>
  <c r="J16" i="38" s="1"/>
  <c r="DF27" i="6"/>
  <c r="DF29" i="6"/>
  <c r="J16" i="41" s="1"/>
  <c r="J16" i="61"/>
  <c r="DF30" i="6"/>
  <c r="J16" i="43" s="1"/>
  <c r="J16" i="60"/>
  <c r="DC20" i="6"/>
  <c r="J14" i="69"/>
  <c r="DC80" i="6"/>
  <c r="J14" i="72"/>
  <c r="DC6" i="6"/>
  <c r="J14" i="19" s="1"/>
  <c r="J14" i="67"/>
  <c r="DF101" i="6"/>
  <c r="J16" i="66"/>
  <c r="DC22" i="6"/>
  <c r="DC31" i="6"/>
  <c r="J14" i="44" s="1"/>
  <c r="J14" i="58"/>
  <c r="DF122" i="6"/>
  <c r="J5" i="150" s="1"/>
  <c r="DF76" i="6"/>
  <c r="J16" i="55"/>
  <c r="DC43" i="6"/>
  <c r="J14" i="56" s="1"/>
  <c r="J14" i="54"/>
  <c r="DF106" i="6"/>
  <c r="J5" i="134" s="1"/>
  <c r="DC14" i="6"/>
  <c r="J14" i="27" s="1"/>
  <c r="J14" i="52"/>
  <c r="DC51" i="6"/>
  <c r="DF127" i="6"/>
  <c r="J16" i="50"/>
  <c r="DC71" i="6"/>
  <c r="J14" i="49"/>
  <c r="J35" i="49" s="1"/>
  <c r="DC38" i="6"/>
  <c r="J14" i="47"/>
  <c r="DC66" i="6"/>
  <c r="J14" i="46"/>
  <c r="DF46" i="6"/>
  <c r="J16" i="59" s="1"/>
  <c r="DF120" i="6"/>
  <c r="DC67" i="6"/>
  <c r="J9" i="88" s="1"/>
  <c r="DC21" i="6"/>
  <c r="J14" i="43"/>
  <c r="DC89" i="6"/>
  <c r="J14" i="41"/>
  <c r="DC12" i="6"/>
  <c r="J14" i="42"/>
  <c r="DC69" i="6"/>
  <c r="DC24" i="6"/>
  <c r="DC7" i="6"/>
  <c r="J14" i="38"/>
  <c r="DC3" i="6"/>
  <c r="J14" i="17" s="1"/>
  <c r="J14" i="37"/>
  <c r="DC45" i="6"/>
  <c r="J14" i="36"/>
  <c r="DC13" i="6"/>
  <c r="J14" i="26" s="1"/>
  <c r="J14" i="35"/>
  <c r="J35" i="35" s="1"/>
  <c r="D35" i="35" s="1"/>
  <c r="DC11" i="6"/>
  <c r="J14" i="23" s="1"/>
  <c r="J14" i="34"/>
  <c r="DC84" i="6"/>
  <c r="J14" i="33"/>
  <c r="DC8" i="6"/>
  <c r="J14" i="21" s="1"/>
  <c r="J14" i="31"/>
  <c r="DC2" i="6"/>
  <c r="J14" i="30"/>
  <c r="DC17" i="6"/>
  <c r="DC59" i="6"/>
  <c r="J14" i="75" s="1"/>
  <c r="J13" i="25"/>
  <c r="DC4" i="6"/>
  <c r="J14" i="15" s="1"/>
  <c r="J71" i="15" s="1"/>
  <c r="DC62" i="6"/>
  <c r="J14" i="24"/>
  <c r="DC46" i="6"/>
  <c r="J14" i="59" s="1"/>
  <c r="DC19" i="6"/>
  <c r="J14" i="32"/>
  <c r="J35" i="36" l="1"/>
  <c r="J35" i="29"/>
  <c r="D37" i="29" s="1"/>
  <c r="DS135" i="6"/>
  <c r="C136" i="111" s="1"/>
  <c r="DS125" i="6"/>
  <c r="DS123" i="6"/>
  <c r="E25" i="151" s="1"/>
  <c r="DS16" i="6"/>
  <c r="DW16" i="6" s="1"/>
  <c r="DS19" i="6"/>
  <c r="E35" i="32" s="1"/>
  <c r="DS52" i="6"/>
  <c r="DT52" i="6" s="1"/>
  <c r="J18" i="60"/>
  <c r="J35" i="60" s="1"/>
  <c r="DS9" i="6"/>
  <c r="E35" i="24" s="1"/>
  <c r="DS64" i="6"/>
  <c r="E25" i="82" s="1"/>
  <c r="F25" i="82" s="1"/>
  <c r="DS131" i="6"/>
  <c r="DT131" i="6" s="1"/>
  <c r="DS35" i="6"/>
  <c r="J35" i="73"/>
  <c r="D27" i="132"/>
  <c r="D105" i="111" s="1"/>
  <c r="I105" i="111" s="1"/>
  <c r="J105" i="111" s="1"/>
  <c r="DS140" i="6"/>
  <c r="C111" i="8" s="1"/>
  <c r="AE111" i="8" s="1"/>
  <c r="DV107" i="6"/>
  <c r="DS5" i="6"/>
  <c r="E36" i="18" s="1"/>
  <c r="J35" i="19"/>
  <c r="DS38" i="6"/>
  <c r="C39" i="111" s="1"/>
  <c r="DS90" i="6"/>
  <c r="DW90" i="6" s="1"/>
  <c r="DS53" i="6"/>
  <c r="C54" i="111" s="1"/>
  <c r="H54" i="111" s="1"/>
  <c r="DS138" i="6"/>
  <c r="E25" i="166" s="1"/>
  <c r="DS145" i="6"/>
  <c r="C146" i="111" s="1"/>
  <c r="H146" i="111" s="1"/>
  <c r="DS88" i="6"/>
  <c r="J35" i="23"/>
  <c r="DS113" i="6"/>
  <c r="C114" i="111" s="1"/>
  <c r="J25" i="174"/>
  <c r="DS118" i="6"/>
  <c r="C119" i="111" s="1"/>
  <c r="H119" i="111" s="1"/>
  <c r="DS109" i="6"/>
  <c r="DS122" i="6"/>
  <c r="E25" i="150" s="1"/>
  <c r="DS34" i="6"/>
  <c r="DW34" i="6" s="1"/>
  <c r="DV19" i="6"/>
  <c r="J35" i="66"/>
  <c r="D37" i="66" s="1"/>
  <c r="DS17" i="6"/>
  <c r="C18" i="111" s="1"/>
  <c r="H18" i="111" s="1"/>
  <c r="J25" i="85"/>
  <c r="D25" i="85" s="1"/>
  <c r="J25" i="122"/>
  <c r="J25" i="128"/>
  <c r="C106" i="111"/>
  <c r="DS152" i="6"/>
  <c r="DT152" i="6" s="1"/>
  <c r="DS2" i="6"/>
  <c r="DV2" i="6" s="1"/>
  <c r="D37" i="30"/>
  <c r="E37" i="30" s="1"/>
  <c r="J18" i="24"/>
  <c r="J35" i="24" s="1"/>
  <c r="D37" i="24" s="1"/>
  <c r="DS146" i="6"/>
  <c r="C143" i="8" s="1"/>
  <c r="AF147" i="8" s="1"/>
  <c r="DS101" i="6"/>
  <c r="C35" i="8" s="1"/>
  <c r="DW107" i="6"/>
  <c r="J25" i="157"/>
  <c r="D25" i="157" s="1"/>
  <c r="J35" i="77"/>
  <c r="D35" i="77" s="1"/>
  <c r="J13" i="79"/>
  <c r="J25" i="79" s="1"/>
  <c r="D27" i="79" s="1"/>
  <c r="DS100" i="6"/>
  <c r="DS114" i="6"/>
  <c r="J35" i="71"/>
  <c r="D35" i="71" s="1"/>
  <c r="J25" i="153"/>
  <c r="DS104" i="6"/>
  <c r="D27" i="152"/>
  <c r="D125" i="111" s="1"/>
  <c r="I125" i="111" s="1"/>
  <c r="J125" i="111" s="1"/>
  <c r="J35" i="57"/>
  <c r="D35" i="57" s="1"/>
  <c r="C108" i="111"/>
  <c r="H108" i="111" s="1"/>
  <c r="DS61" i="6"/>
  <c r="DV61" i="6" s="1"/>
  <c r="E25" i="147"/>
  <c r="DV118" i="6"/>
  <c r="D25" i="102"/>
  <c r="D27" i="102"/>
  <c r="D29" i="137"/>
  <c r="E29" i="137" s="1"/>
  <c r="D110" i="111"/>
  <c r="I110" i="111" s="1"/>
  <c r="J110" i="111" s="1"/>
  <c r="D35" i="46"/>
  <c r="D37" i="46"/>
  <c r="D39" i="46" s="1"/>
  <c r="E39" i="46" s="1"/>
  <c r="C103" i="111"/>
  <c r="H103" i="111" s="1"/>
  <c r="DT102" i="6"/>
  <c r="J7" i="179"/>
  <c r="J25" i="179" s="1"/>
  <c r="DS148" i="6"/>
  <c r="E25" i="179" s="1"/>
  <c r="DS73" i="6"/>
  <c r="C96" i="8" s="1"/>
  <c r="AE96" i="8" s="1"/>
  <c r="C99" i="111"/>
  <c r="H99" i="111" s="1"/>
  <c r="DT98" i="6"/>
  <c r="DS111" i="6"/>
  <c r="DT111" i="6" s="1"/>
  <c r="DT140" i="6"/>
  <c r="DS136" i="6"/>
  <c r="C147" i="8"/>
  <c r="C105" i="111"/>
  <c r="H105" i="111" s="1"/>
  <c r="DS8" i="6"/>
  <c r="DW8" i="6" s="1"/>
  <c r="D37" i="54"/>
  <c r="D42" i="111" s="1"/>
  <c r="I42" i="111" s="1"/>
  <c r="J42" i="111" s="1"/>
  <c r="D35" i="54"/>
  <c r="J25" i="141"/>
  <c r="D25" i="141" s="1"/>
  <c r="E25" i="175"/>
  <c r="D35" i="42"/>
  <c r="D37" i="42"/>
  <c r="D29" i="111" s="1"/>
  <c r="I29" i="111" s="1"/>
  <c r="J29" i="111" s="1"/>
  <c r="DS25" i="6"/>
  <c r="DW25" i="6" s="1"/>
  <c r="J18" i="33"/>
  <c r="J35" i="33" s="1"/>
  <c r="DS20" i="6"/>
  <c r="DT20" i="6" s="1"/>
  <c r="C27" i="8"/>
  <c r="DT51" i="6"/>
  <c r="D25" i="51"/>
  <c r="D27" i="51"/>
  <c r="D91" i="111" s="1"/>
  <c r="I91" i="111" s="1"/>
  <c r="J91" i="111" s="1"/>
  <c r="D35" i="50"/>
  <c r="D37" i="50"/>
  <c r="D25" i="79"/>
  <c r="J7" i="136"/>
  <c r="J25" i="136" s="1"/>
  <c r="D27" i="136" s="1"/>
  <c r="DS108" i="6"/>
  <c r="C109" i="111" s="1"/>
  <c r="H109" i="111" s="1"/>
  <c r="C55" i="8"/>
  <c r="J35" i="44"/>
  <c r="D37" i="44" s="1"/>
  <c r="DV30" i="6"/>
  <c r="C39" i="8"/>
  <c r="AE39" i="8" s="1"/>
  <c r="DS116" i="6"/>
  <c r="E25" i="145" s="1"/>
  <c r="DV134" i="6"/>
  <c r="DW134" i="6"/>
  <c r="DT134" i="6"/>
  <c r="J7" i="147"/>
  <c r="J25" i="147" s="1"/>
  <c r="D25" i="147" s="1"/>
  <c r="DS119" i="6"/>
  <c r="DT119" i="6" s="1"/>
  <c r="D25" i="104"/>
  <c r="D27" i="104"/>
  <c r="D29" i="104" s="1"/>
  <c r="E29" i="104" s="1"/>
  <c r="J35" i="37"/>
  <c r="D37" i="37" s="1"/>
  <c r="DS78" i="6"/>
  <c r="C79" i="111" s="1"/>
  <c r="H79" i="111" s="1"/>
  <c r="J35" i="45"/>
  <c r="D37" i="45" s="1"/>
  <c r="J40" i="38"/>
  <c r="J25" i="96"/>
  <c r="J25" i="121"/>
  <c r="D27" i="121" s="1"/>
  <c r="DS150" i="6"/>
  <c r="C137" i="8" s="1"/>
  <c r="DS120" i="6"/>
  <c r="DT120" i="6" s="1"/>
  <c r="J25" i="129"/>
  <c r="D25" i="129" s="1"/>
  <c r="J25" i="91"/>
  <c r="D25" i="91" s="1"/>
  <c r="D27" i="91" s="1"/>
  <c r="J25" i="149"/>
  <c r="D25" i="149" s="1"/>
  <c r="DS37" i="6"/>
  <c r="AJ334" i="8" s="1"/>
  <c r="DS106" i="6"/>
  <c r="DT106" i="6" s="1"/>
  <c r="J25" i="138"/>
  <c r="D25" i="138" s="1"/>
  <c r="DS124" i="6"/>
  <c r="E25" i="152" s="1"/>
  <c r="F25" i="152" s="1"/>
  <c r="J35" i="76"/>
  <c r="D35" i="76" s="1"/>
  <c r="J25" i="145"/>
  <c r="D27" i="145" s="1"/>
  <c r="J35" i="72"/>
  <c r="D37" i="72" s="1"/>
  <c r="DS79" i="6"/>
  <c r="DT79" i="6" s="1"/>
  <c r="J35" i="47"/>
  <c r="D35" i="47" s="1"/>
  <c r="DS11" i="6"/>
  <c r="DT11" i="6" s="1"/>
  <c r="J43" i="25"/>
  <c r="D45" i="25" s="1"/>
  <c r="DS84" i="6"/>
  <c r="E25" i="102" s="1"/>
  <c r="G25" i="102" s="1"/>
  <c r="D37" i="63"/>
  <c r="D39" i="63" s="1"/>
  <c r="E39" i="63" s="1"/>
  <c r="DS143" i="6"/>
  <c r="DT143" i="6" s="1"/>
  <c r="J25" i="175"/>
  <c r="D27" i="175" s="1"/>
  <c r="J35" i="39"/>
  <c r="D37" i="39" s="1"/>
  <c r="J35" i="68"/>
  <c r="D35" i="68" s="1"/>
  <c r="DS144" i="6"/>
  <c r="DW144" i="6" s="1"/>
  <c r="J35" i="59"/>
  <c r="J35" i="43"/>
  <c r="D37" i="43" s="1"/>
  <c r="DS151" i="6"/>
  <c r="DV151" i="6" s="1"/>
  <c r="J25" i="146"/>
  <c r="D27" i="146" s="1"/>
  <c r="D29" i="146" s="1"/>
  <c r="E29" i="146" s="1"/>
  <c r="DS97" i="6"/>
  <c r="DT97" i="6" s="1"/>
  <c r="DS126" i="6"/>
  <c r="DV126" i="6" s="1"/>
  <c r="J25" i="88"/>
  <c r="J25" i="142"/>
  <c r="DS129" i="6"/>
  <c r="E25" i="157" s="1"/>
  <c r="J25" i="150"/>
  <c r="D27" i="150" s="1"/>
  <c r="J35" i="58"/>
  <c r="DS110" i="6"/>
  <c r="DW110" i="6" s="1"/>
  <c r="J25" i="163"/>
  <c r="D25" i="163" s="1"/>
  <c r="DS47" i="6"/>
  <c r="C46" i="8" s="1"/>
  <c r="DW19" i="6"/>
  <c r="J25" i="92"/>
  <c r="D25" i="92" s="1"/>
  <c r="D27" i="92" s="1"/>
  <c r="DS99" i="6"/>
  <c r="J5" i="126"/>
  <c r="J25" i="126" s="1"/>
  <c r="DS178" i="6"/>
  <c r="DS165" i="6"/>
  <c r="DS166" i="6" s="1"/>
  <c r="BX169" i="6"/>
  <c r="BX171" i="6" s="1"/>
  <c r="D35" i="49"/>
  <c r="D37" i="49"/>
  <c r="D25" i="116"/>
  <c r="D27" i="116"/>
  <c r="DS71" i="6"/>
  <c r="J9" i="86"/>
  <c r="J25" i="86" s="1"/>
  <c r="D35" i="73"/>
  <c r="D37" i="73"/>
  <c r="E99" i="111"/>
  <c r="I99" i="111"/>
  <c r="J99" i="111" s="1"/>
  <c r="DS83" i="6"/>
  <c r="J8" i="100"/>
  <c r="J25" i="100" s="1"/>
  <c r="J7" i="99"/>
  <c r="J25" i="99" s="1"/>
  <c r="DS82" i="6"/>
  <c r="D25" i="151"/>
  <c r="D27" i="151"/>
  <c r="J14" i="20"/>
  <c r="J45" i="20" s="1"/>
  <c r="DS7" i="6"/>
  <c r="D74" i="111"/>
  <c r="I74" i="111" s="1"/>
  <c r="J74" i="111" s="1"/>
  <c r="D27" i="90"/>
  <c r="D27" i="173"/>
  <c r="D25" i="173"/>
  <c r="D37" i="71"/>
  <c r="D35" i="24"/>
  <c r="D35" i="55"/>
  <c r="D37" i="55"/>
  <c r="D27" i="161"/>
  <c r="D25" i="161"/>
  <c r="DZ59" i="6"/>
  <c r="EB59" i="6"/>
  <c r="DS59" i="6"/>
  <c r="D25" i="103"/>
  <c r="D27" i="103"/>
  <c r="D35" i="69"/>
  <c r="D37" i="69"/>
  <c r="D57" i="111"/>
  <c r="I57" i="111" s="1"/>
  <c r="J57" i="111" s="1"/>
  <c r="C310" i="8"/>
  <c r="AJ310" i="8" s="1"/>
  <c r="AJ311" i="8" s="1"/>
  <c r="D175" i="8"/>
  <c r="AD330" i="8"/>
  <c r="AD331" i="8" s="1"/>
  <c r="DS77" i="6"/>
  <c r="H114" i="111"/>
  <c r="D25" i="127"/>
  <c r="D27" i="127"/>
  <c r="J25" i="94"/>
  <c r="D25" i="94" s="1"/>
  <c r="DW114" i="6"/>
  <c r="DT114" i="6"/>
  <c r="C121" i="8"/>
  <c r="DV114" i="6"/>
  <c r="C115" i="111"/>
  <c r="E25" i="142"/>
  <c r="D25" i="166"/>
  <c r="D27" i="166"/>
  <c r="D27" i="153"/>
  <c r="D25" i="153"/>
  <c r="D39" i="24"/>
  <c r="E39" i="24" s="1"/>
  <c r="D10" i="111"/>
  <c r="E37" i="24"/>
  <c r="D43" i="25"/>
  <c r="D35" i="45"/>
  <c r="C24" i="8"/>
  <c r="DW38" i="6"/>
  <c r="D25" i="98"/>
  <c r="D27" i="98"/>
  <c r="D25" i="121"/>
  <c r="DZ47" i="6"/>
  <c r="EB47" i="6"/>
  <c r="D25" i="128"/>
  <c r="D27" i="128"/>
  <c r="E27" i="132"/>
  <c r="D29" i="132"/>
  <c r="E29" i="132" s="1"/>
  <c r="D25" i="164"/>
  <c r="D27" i="164"/>
  <c r="J35" i="41"/>
  <c r="DS76" i="6"/>
  <c r="J10" i="93"/>
  <c r="J25" i="93" s="1"/>
  <c r="D25" i="93" s="1"/>
  <c r="D29" i="133"/>
  <c r="E29" i="133" s="1"/>
  <c r="D106" i="111"/>
  <c r="I106" i="111" s="1"/>
  <c r="J106" i="111" s="1"/>
  <c r="E27" i="133"/>
  <c r="DS67" i="6"/>
  <c r="DS4" i="6"/>
  <c r="D25" i="137"/>
  <c r="E35" i="47"/>
  <c r="D27" i="160"/>
  <c r="D25" i="160"/>
  <c r="J35" i="48"/>
  <c r="J14" i="40"/>
  <c r="J35" i="40" s="1"/>
  <c r="DS27" i="6"/>
  <c r="J35" i="28"/>
  <c r="J35" i="74"/>
  <c r="J35" i="31"/>
  <c r="C111" i="111"/>
  <c r="C48" i="8"/>
  <c r="D85" i="111"/>
  <c r="I85" i="111" s="1"/>
  <c r="J85" i="111" s="1"/>
  <c r="D27" i="169"/>
  <c r="DZ4" i="6"/>
  <c r="EB4" i="6"/>
  <c r="DZ31" i="6"/>
  <c r="EB31" i="6"/>
  <c r="DS31" i="6"/>
  <c r="DS55" i="6"/>
  <c r="DV90" i="6"/>
  <c r="DZ15" i="6"/>
  <c r="EB15" i="6"/>
  <c r="H136" i="111"/>
  <c r="EB18" i="6"/>
  <c r="DS18" i="6"/>
  <c r="DZ18" i="6"/>
  <c r="J35" i="52"/>
  <c r="D29" i="82"/>
  <c r="E29" i="82" s="1"/>
  <c r="E27" i="82"/>
  <c r="C63" i="8"/>
  <c r="DW116" i="6"/>
  <c r="DT116" i="6"/>
  <c r="E25" i="144"/>
  <c r="E27" i="125"/>
  <c r="D29" i="125"/>
  <c r="E29" i="125" s="1"/>
  <c r="E27" i="139"/>
  <c r="D29" i="139"/>
  <c r="E29" i="139" s="1"/>
  <c r="DW125" i="6"/>
  <c r="DV125" i="6"/>
  <c r="C126" i="111"/>
  <c r="E25" i="153"/>
  <c r="C140" i="8"/>
  <c r="EB45" i="6"/>
  <c r="DZ45" i="6"/>
  <c r="DS45" i="6"/>
  <c r="DV88" i="6"/>
  <c r="E25" i="106"/>
  <c r="C89" i="111"/>
  <c r="C99" i="8"/>
  <c r="DT88" i="6"/>
  <c r="DW88" i="6"/>
  <c r="DW35" i="6"/>
  <c r="DV35" i="6"/>
  <c r="C36" i="111"/>
  <c r="E35" i="48"/>
  <c r="C126" i="8"/>
  <c r="DT35" i="6"/>
  <c r="DV109" i="6"/>
  <c r="DW109" i="6"/>
  <c r="C148" i="8"/>
  <c r="E25" i="137"/>
  <c r="DT109" i="6"/>
  <c r="D37" i="36"/>
  <c r="D35" i="36"/>
  <c r="D39" i="67"/>
  <c r="E39" i="67" s="1"/>
  <c r="E37" i="67"/>
  <c r="D49" i="111"/>
  <c r="I49" i="111" s="1"/>
  <c r="J49" i="111" s="1"/>
  <c r="DW149" i="6"/>
  <c r="DV149" i="6"/>
  <c r="C69" i="8"/>
  <c r="DT149" i="6"/>
  <c r="C150" i="111"/>
  <c r="D29" i="51"/>
  <c r="E29" i="51" s="1"/>
  <c r="E27" i="51"/>
  <c r="J5" i="171"/>
  <c r="J25" i="171" s="1"/>
  <c r="DS142" i="6"/>
  <c r="DW2" i="6"/>
  <c r="C3" i="111"/>
  <c r="DS75" i="6"/>
  <c r="DV73" i="6"/>
  <c r="DS81" i="6"/>
  <c r="DS91" i="6"/>
  <c r="DV111" i="6"/>
  <c r="DW111" i="6"/>
  <c r="E25" i="139"/>
  <c r="G25" i="139" s="1"/>
  <c r="C94" i="8"/>
  <c r="C112" i="111"/>
  <c r="DW42" i="6"/>
  <c r="DV42" i="6"/>
  <c r="C43" i="111"/>
  <c r="DT42" i="6"/>
  <c r="DZ16" i="6"/>
  <c r="EB16" i="6"/>
  <c r="D73" i="15"/>
  <c r="D71" i="15"/>
  <c r="J9" i="87"/>
  <c r="J25" i="87" s="1"/>
  <c r="DS66" i="6"/>
  <c r="DS147" i="6"/>
  <c r="J5" i="176"/>
  <c r="J25" i="176" s="1"/>
  <c r="CT153" i="6"/>
  <c r="BO183" i="6" s="1"/>
  <c r="BO186" i="6" s="1"/>
  <c r="EB2" i="6"/>
  <c r="DZ2" i="6"/>
  <c r="DW30" i="6"/>
  <c r="DT30" i="6"/>
  <c r="C31" i="111"/>
  <c r="H97" i="111"/>
  <c r="E97" i="111"/>
  <c r="DV100" i="6"/>
  <c r="E25" i="127"/>
  <c r="C115" i="8"/>
  <c r="DW100" i="6"/>
  <c r="C101" i="111"/>
  <c r="DZ42" i="6"/>
  <c r="EB42" i="6"/>
  <c r="C53" i="8"/>
  <c r="DW123" i="6"/>
  <c r="DV123" i="6"/>
  <c r="DT123" i="6"/>
  <c r="C124" i="111"/>
  <c r="C74" i="8"/>
  <c r="EB33" i="6"/>
  <c r="DZ33" i="6"/>
  <c r="DS33" i="6"/>
  <c r="D29" i="123"/>
  <c r="E29" i="123" s="1"/>
  <c r="E27" i="123"/>
  <c r="J25" i="155"/>
  <c r="C123" i="111"/>
  <c r="DV122" i="6"/>
  <c r="DZ30" i="6"/>
  <c r="EB30" i="6"/>
  <c r="DW20" i="6"/>
  <c r="DV20" i="6"/>
  <c r="DZ21" i="6"/>
  <c r="DS21" i="6"/>
  <c r="AE89" i="8"/>
  <c r="DT125" i="6"/>
  <c r="J35" i="34"/>
  <c r="DS127" i="6"/>
  <c r="DS141" i="6"/>
  <c r="J5" i="170"/>
  <c r="J25" i="170" s="1"/>
  <c r="E25" i="162"/>
  <c r="C90" i="8"/>
  <c r="D25" i="135"/>
  <c r="D27" i="135"/>
  <c r="E27" i="140"/>
  <c r="D29" i="140"/>
  <c r="E29" i="140" s="1"/>
  <c r="J35" i="62"/>
  <c r="DS29" i="6"/>
  <c r="DT96" i="6"/>
  <c r="DV96" i="6"/>
  <c r="DW96" i="6"/>
  <c r="EB48" i="6"/>
  <c r="DZ48" i="6"/>
  <c r="DS48" i="6"/>
  <c r="DS121" i="6"/>
  <c r="E25" i="123"/>
  <c r="J35" i="56"/>
  <c r="EB21" i="6"/>
  <c r="D35" i="23"/>
  <c r="D37" i="23"/>
  <c r="J8" i="107"/>
  <c r="J26" i="107" s="1"/>
  <c r="DS89" i="6"/>
  <c r="J25" i="134"/>
  <c r="D25" i="159"/>
  <c r="D27" i="159"/>
  <c r="DS49" i="6"/>
  <c r="DV25" i="6"/>
  <c r="E40" i="38"/>
  <c r="DV5" i="6"/>
  <c r="DS15" i="6"/>
  <c r="H106" i="111"/>
  <c r="EB58" i="6"/>
  <c r="DZ58" i="6"/>
  <c r="DS58" i="6"/>
  <c r="D39" i="30"/>
  <c r="E39" i="30" s="1"/>
  <c r="J9" i="84"/>
  <c r="J25" i="84" s="1"/>
  <c r="DS69" i="6"/>
  <c r="J14" i="11"/>
  <c r="J35" i="11" s="1"/>
  <c r="DS103" i="6"/>
  <c r="J5" i="130"/>
  <c r="J25" i="130" s="1"/>
  <c r="E27" i="124"/>
  <c r="D98" i="111"/>
  <c r="I98" i="111" s="1"/>
  <c r="J98" i="111" s="1"/>
  <c r="J5" i="162"/>
  <c r="J25" i="162" s="1"/>
  <c r="H64" i="111"/>
  <c r="D35" i="67"/>
  <c r="C131" i="8"/>
  <c r="EB3" i="6"/>
  <c r="DZ3" i="6"/>
  <c r="DS3" i="6"/>
  <c r="E27" i="137"/>
  <c r="E35" i="43"/>
  <c r="J35" i="75"/>
  <c r="J8" i="97"/>
  <c r="J25" i="97" s="1"/>
  <c r="DS80" i="6"/>
  <c r="J25" i="95"/>
  <c r="J25" i="105"/>
  <c r="J5" i="172"/>
  <c r="J25" i="172" s="1"/>
  <c r="DS139" i="6"/>
  <c r="J5" i="167"/>
  <c r="J25" i="167" s="1"/>
  <c r="DT63" i="6"/>
  <c r="E25" i="79"/>
  <c r="DV63" i="6"/>
  <c r="DW63" i="6"/>
  <c r="C83" i="8"/>
  <c r="D25" i="123"/>
  <c r="DT70" i="6"/>
  <c r="DW70" i="6"/>
  <c r="C113" i="8"/>
  <c r="DV70" i="6"/>
  <c r="E25" i="85"/>
  <c r="DS43" i="6"/>
  <c r="DV12" i="6"/>
  <c r="DT12" i="6"/>
  <c r="E43" i="25"/>
  <c r="C18" i="8"/>
  <c r="DZ6" i="6"/>
  <c r="EB6" i="6"/>
  <c r="DS6" i="6"/>
  <c r="C71" i="111"/>
  <c r="E27" i="146"/>
  <c r="DS40" i="6"/>
  <c r="D25" i="125"/>
  <c r="E35" i="55"/>
  <c r="DS46" i="6"/>
  <c r="D37" i="35"/>
  <c r="D37" i="61"/>
  <c r="DT113" i="6"/>
  <c r="E25" i="141"/>
  <c r="DV113" i="6"/>
  <c r="DW113" i="6"/>
  <c r="DW105" i="6"/>
  <c r="E25" i="133"/>
  <c r="G25" i="133" s="1"/>
  <c r="DT105" i="6"/>
  <c r="DV105" i="6"/>
  <c r="EB12" i="6"/>
  <c r="DZ12" i="6"/>
  <c r="DZ22" i="6"/>
  <c r="DS22" i="6"/>
  <c r="C13" i="111"/>
  <c r="DS92" i="6"/>
  <c r="DT107" i="6"/>
  <c r="E25" i="135"/>
  <c r="C135" i="111"/>
  <c r="D25" i="124"/>
  <c r="DT100" i="6"/>
  <c r="DW52" i="6"/>
  <c r="DV52" i="6"/>
  <c r="E35" i="60"/>
  <c r="C53" i="111"/>
  <c r="DS128" i="6"/>
  <c r="J5" i="156"/>
  <c r="J25" i="156" s="1"/>
  <c r="DV140" i="6"/>
  <c r="C141" i="111"/>
  <c r="J9" i="78"/>
  <c r="J35" i="78" s="1"/>
  <c r="DS62" i="6"/>
  <c r="D47" i="26"/>
  <c r="D45" i="26"/>
  <c r="DC153" i="6"/>
  <c r="J14" i="110"/>
  <c r="D35" i="29"/>
  <c r="J35" i="32"/>
  <c r="J25" i="114"/>
  <c r="AJ335" i="8"/>
  <c r="DW95" i="6"/>
  <c r="DV95" i="6"/>
  <c r="DT95" i="6"/>
  <c r="E25" i="122"/>
  <c r="DS65" i="6"/>
  <c r="J9" i="83"/>
  <c r="J25" i="83" s="1"/>
  <c r="E25" i="128"/>
  <c r="DV101" i="6"/>
  <c r="J5" i="119"/>
  <c r="J25" i="119" s="1"/>
  <c r="DS93" i="6"/>
  <c r="D25" i="122"/>
  <c r="D27" i="122"/>
  <c r="J5" i="144"/>
  <c r="J25" i="144" s="1"/>
  <c r="D27" i="163"/>
  <c r="EB11" i="6"/>
  <c r="DZ11" i="6"/>
  <c r="DS94" i="6"/>
  <c r="C96" i="111"/>
  <c r="EB41" i="6"/>
  <c r="DZ41" i="6"/>
  <c r="DS41" i="6"/>
  <c r="C117" i="111"/>
  <c r="C125" i="111"/>
  <c r="C110" i="111"/>
  <c r="DS112" i="6"/>
  <c r="D39" i="50"/>
  <c r="E39" i="50" s="1"/>
  <c r="DT37" i="6"/>
  <c r="E25" i="169"/>
  <c r="F25" i="169" s="1"/>
  <c r="J35" i="17"/>
  <c r="DS72" i="6"/>
  <c r="J9" i="80"/>
  <c r="J25" i="80" s="1"/>
  <c r="D25" i="80" s="1"/>
  <c r="J25" i="143"/>
  <c r="DS32" i="6"/>
  <c r="EB56" i="6"/>
  <c r="DZ56" i="6"/>
  <c r="DS56" i="6"/>
  <c r="C151" i="8"/>
  <c r="DW137" i="6"/>
  <c r="DT137" i="6"/>
  <c r="DV137" i="6"/>
  <c r="E25" i="165"/>
  <c r="F25" i="165" s="1"/>
  <c r="C127" i="111"/>
  <c r="DS132" i="6"/>
  <c r="D25" i="154"/>
  <c r="D27" i="154"/>
  <c r="DS130" i="6"/>
  <c r="J5" i="158"/>
  <c r="J25" i="158" s="1"/>
  <c r="DW102" i="6"/>
  <c r="E25" i="129"/>
  <c r="DV102" i="6"/>
  <c r="C49" i="8"/>
  <c r="EB5" i="6"/>
  <c r="DZ5" i="6"/>
  <c r="DW51" i="6"/>
  <c r="DV51" i="6"/>
  <c r="E35" i="69"/>
  <c r="C52" i="111"/>
  <c r="EB34" i="6"/>
  <c r="DZ34" i="6"/>
  <c r="EB24" i="6"/>
  <c r="C45" i="8"/>
  <c r="E25" i="95"/>
  <c r="DW78" i="6"/>
  <c r="DT78" i="6"/>
  <c r="DV78" i="6"/>
  <c r="D25" i="148"/>
  <c r="D27" i="148"/>
  <c r="D27" i="165"/>
  <c r="DS24" i="6"/>
  <c r="DS87" i="6"/>
  <c r="EB27" i="6"/>
  <c r="DZ27" i="6"/>
  <c r="DZ51" i="6"/>
  <c r="EB51" i="6"/>
  <c r="DZ7" i="6"/>
  <c r="EB7" i="6"/>
  <c r="EB36" i="6"/>
  <c r="DZ36" i="6"/>
  <c r="DS36" i="6"/>
  <c r="EB8" i="6"/>
  <c r="DZ8" i="6"/>
  <c r="DS60" i="6"/>
  <c r="DK153" i="6"/>
  <c r="J35" i="27"/>
  <c r="DS133" i="6"/>
  <c r="DS117" i="6"/>
  <c r="C62" i="8"/>
  <c r="DV98" i="6"/>
  <c r="DW98" i="6"/>
  <c r="E25" i="125"/>
  <c r="DT135" i="6"/>
  <c r="DV135" i="6"/>
  <c r="DW135" i="6"/>
  <c r="E25" i="163"/>
  <c r="C119" i="8"/>
  <c r="DZ26" i="6"/>
  <c r="EB26" i="6"/>
  <c r="DS26" i="6"/>
  <c r="EB44" i="6"/>
  <c r="DZ44" i="6"/>
  <c r="DS44" i="6"/>
  <c r="DZ37" i="6"/>
  <c r="EB37" i="6"/>
  <c r="DS115" i="6"/>
  <c r="DS85" i="6"/>
  <c r="J35" i="53"/>
  <c r="J40" i="21"/>
  <c r="EB53" i="6"/>
  <c r="DZ53" i="6"/>
  <c r="DZ29" i="6"/>
  <c r="EB29" i="6"/>
  <c r="DS28" i="6"/>
  <c r="DZ43" i="6"/>
  <c r="EB43" i="6"/>
  <c r="J25" i="106"/>
  <c r="EB13" i="6"/>
  <c r="DZ13" i="6"/>
  <c r="DS13" i="6"/>
  <c r="DS57" i="6"/>
  <c r="C9" i="8"/>
  <c r="DS86" i="6"/>
  <c r="DS50" i="6"/>
  <c r="EB40" i="6"/>
  <c r="DZ40" i="6"/>
  <c r="J36" i="18"/>
  <c r="DS68" i="6"/>
  <c r="DZ38" i="6"/>
  <c r="EB38" i="6"/>
  <c r="DZ20" i="6"/>
  <c r="EB20" i="6"/>
  <c r="DZ35" i="6"/>
  <c r="EB35" i="6"/>
  <c r="DS23" i="6"/>
  <c r="EB39" i="6"/>
  <c r="DS39" i="6"/>
  <c r="DZ19" i="6"/>
  <c r="EB49" i="6"/>
  <c r="DZ49" i="6"/>
  <c r="DZ32" i="6"/>
  <c r="EB32" i="6"/>
  <c r="DZ28" i="6"/>
  <c r="EB28" i="6"/>
  <c r="J25" i="89"/>
  <c r="DZ61" i="6"/>
  <c r="EB61" i="6"/>
  <c r="E25" i="146"/>
  <c r="DW118" i="6"/>
  <c r="C50" i="8"/>
  <c r="DZ57" i="6"/>
  <c r="EB57" i="6"/>
  <c r="DZ50" i="6"/>
  <c r="EB50" i="6"/>
  <c r="EB10" i="6"/>
  <c r="DZ10" i="6"/>
  <c r="DS10" i="6"/>
  <c r="DV146" i="6"/>
  <c r="DW146" i="6"/>
  <c r="DV104" i="6"/>
  <c r="DW104" i="6"/>
  <c r="EB54" i="6"/>
  <c r="DZ54" i="6"/>
  <c r="DS54" i="6"/>
  <c r="EB14" i="6"/>
  <c r="DZ14" i="6"/>
  <c r="DS14" i="6"/>
  <c r="EB9" i="6"/>
  <c r="DZ9" i="6"/>
  <c r="DF153" i="6"/>
  <c r="J16" i="17" s="1"/>
  <c r="J16" i="110"/>
  <c r="J35" i="22"/>
  <c r="DL153" i="6"/>
  <c r="J18" i="110"/>
  <c r="EB52" i="6"/>
  <c r="DZ52" i="6"/>
  <c r="DD153" i="6"/>
  <c r="J15" i="110"/>
  <c r="J17" i="110"/>
  <c r="DG153" i="6"/>
  <c r="DS74" i="6"/>
  <c r="AF96" i="8" l="1"/>
  <c r="DW37" i="6"/>
  <c r="E37" i="63"/>
  <c r="DV97" i="6"/>
  <c r="C65" i="8"/>
  <c r="AE65" i="8" s="1"/>
  <c r="DT73" i="6"/>
  <c r="D35" i="60"/>
  <c r="F35" i="60" s="1"/>
  <c r="D37" i="60"/>
  <c r="E35" i="61"/>
  <c r="F35" i="61" s="1"/>
  <c r="C54" i="8"/>
  <c r="AF98" i="8" s="1"/>
  <c r="E25" i="90"/>
  <c r="F25" i="90" s="1"/>
  <c r="D35" i="37"/>
  <c r="DW126" i="6"/>
  <c r="DW101" i="6"/>
  <c r="C145" i="8"/>
  <c r="C86" i="13" s="1"/>
  <c r="E86" i="13" s="1"/>
  <c r="F86" i="13" s="1"/>
  <c r="C80" i="8"/>
  <c r="DW143" i="6"/>
  <c r="DV9" i="6"/>
  <c r="DT19" i="6"/>
  <c r="C8" i="8"/>
  <c r="C132" i="111"/>
  <c r="E25" i="172"/>
  <c r="C6" i="111"/>
  <c r="H6" i="111" s="1"/>
  <c r="C65" i="111"/>
  <c r="D37" i="57"/>
  <c r="C100" i="8"/>
  <c r="E35" i="11"/>
  <c r="C12" i="111"/>
  <c r="H12" i="111" s="1"/>
  <c r="E25" i="159"/>
  <c r="F25" i="159" s="1"/>
  <c r="C112" i="8"/>
  <c r="C42" i="8"/>
  <c r="AE42" i="8" s="1"/>
  <c r="DW5" i="6"/>
  <c r="DW64" i="6"/>
  <c r="DV34" i="6"/>
  <c r="DT2" i="6"/>
  <c r="C70" i="8"/>
  <c r="AJ332" i="8"/>
  <c r="C107" i="111"/>
  <c r="D27" i="157"/>
  <c r="D29" i="157" s="1"/>
  <c r="E29" i="157" s="1"/>
  <c r="DW131" i="6"/>
  <c r="DW140" i="6"/>
  <c r="AE143" i="8"/>
  <c r="C47" i="8"/>
  <c r="AE47" i="8" s="1"/>
  <c r="C107" i="8"/>
  <c r="AF139" i="8" s="1"/>
  <c r="DT5" i="6"/>
  <c r="DT64" i="6"/>
  <c r="DT34" i="6"/>
  <c r="E47" i="110"/>
  <c r="DT16" i="6"/>
  <c r="DV38" i="6"/>
  <c r="DV106" i="6"/>
  <c r="DW73" i="6"/>
  <c r="C142" i="8"/>
  <c r="AJ333" i="8"/>
  <c r="DT126" i="6"/>
  <c r="D27" i="141"/>
  <c r="C35" i="111"/>
  <c r="C152" i="8"/>
  <c r="C11" i="13" s="1"/>
  <c r="E11" i="13" s="1"/>
  <c r="F11" i="13" s="1"/>
  <c r="DT38" i="6"/>
  <c r="DT122" i="6"/>
  <c r="C57" i="8"/>
  <c r="DW122" i="6"/>
  <c r="DW9" i="6"/>
  <c r="DT9" i="6"/>
  <c r="D27" i="85"/>
  <c r="D29" i="152"/>
  <c r="E29" i="152" s="1"/>
  <c r="DV131" i="6"/>
  <c r="C64" i="8"/>
  <c r="AE64" i="8" s="1"/>
  <c r="D75" i="111"/>
  <c r="I75" i="111" s="1"/>
  <c r="J75" i="111" s="1"/>
  <c r="C7" i="8"/>
  <c r="AE7" i="8" s="1"/>
  <c r="C20" i="111"/>
  <c r="H20" i="111" s="1"/>
  <c r="C147" i="111"/>
  <c r="H147" i="111" s="1"/>
  <c r="D37" i="77"/>
  <c r="C6" i="8"/>
  <c r="C74" i="111"/>
  <c r="E25" i="154"/>
  <c r="C52" i="8"/>
  <c r="C54" i="13" s="1"/>
  <c r="E54" i="13" s="1"/>
  <c r="F54" i="13" s="1"/>
  <c r="E35" i="77"/>
  <c r="G35" i="77" s="1"/>
  <c r="E25" i="51"/>
  <c r="F25" i="51" s="1"/>
  <c r="DW97" i="6"/>
  <c r="DV64" i="6"/>
  <c r="DT90" i="6"/>
  <c r="C32" i="8"/>
  <c r="AF123" i="8" s="1"/>
  <c r="E27" i="152"/>
  <c r="DV16" i="6"/>
  <c r="C10" i="111"/>
  <c r="H10" i="111" s="1"/>
  <c r="E25" i="174"/>
  <c r="C17" i="111"/>
  <c r="H17" i="111" s="1"/>
  <c r="D18" i="111"/>
  <c r="E35" i="29"/>
  <c r="DT146" i="6"/>
  <c r="DT118" i="6"/>
  <c r="D29" i="79"/>
  <c r="E29" i="79" s="1"/>
  <c r="E27" i="79"/>
  <c r="D64" i="111"/>
  <c r="I64" i="111" s="1"/>
  <c r="J64" i="111" s="1"/>
  <c r="D27" i="179"/>
  <c r="D25" i="179"/>
  <c r="G25" i="179" s="1"/>
  <c r="C38" i="8"/>
  <c r="DV110" i="6"/>
  <c r="DW53" i="6"/>
  <c r="D25" i="136"/>
  <c r="DT138" i="6"/>
  <c r="D35" i="66"/>
  <c r="F35" i="66" s="1"/>
  <c r="DT47" i="6"/>
  <c r="D37" i="47"/>
  <c r="D35" i="111" s="1"/>
  <c r="I35" i="111" s="1"/>
  <c r="J35" i="111" s="1"/>
  <c r="DV47" i="6"/>
  <c r="C22" i="8"/>
  <c r="AF121" i="8" s="1"/>
  <c r="C149" i="111"/>
  <c r="DW145" i="6"/>
  <c r="C152" i="111"/>
  <c r="DW61" i="6"/>
  <c r="C139" i="111"/>
  <c r="H139" i="111" s="1"/>
  <c r="C145" i="111"/>
  <c r="DV11" i="6"/>
  <c r="C48" i="111"/>
  <c r="H48" i="111" s="1"/>
  <c r="D35" i="43"/>
  <c r="D25" i="174"/>
  <c r="G25" i="174" s="1"/>
  <c r="D27" i="174"/>
  <c r="E37" i="54"/>
  <c r="DT145" i="6"/>
  <c r="DW151" i="6"/>
  <c r="DV138" i="6"/>
  <c r="DV108" i="6"/>
  <c r="C84" i="8"/>
  <c r="AE84" i="8" s="1"/>
  <c r="DW138" i="6"/>
  <c r="DW11" i="6"/>
  <c r="AJ329" i="8"/>
  <c r="F25" i="102"/>
  <c r="DV145" i="6"/>
  <c r="C86" i="8"/>
  <c r="AE86" i="8" s="1"/>
  <c r="DW108" i="6"/>
  <c r="DW119" i="6"/>
  <c r="DT61" i="6"/>
  <c r="C91" i="111"/>
  <c r="F25" i="133"/>
  <c r="E35" i="23"/>
  <c r="G35" i="23" s="1"/>
  <c r="E35" i="66"/>
  <c r="DT17" i="6"/>
  <c r="C21" i="111"/>
  <c r="C125" i="8"/>
  <c r="DT151" i="6"/>
  <c r="E25" i="136"/>
  <c r="G25" i="136" s="1"/>
  <c r="C62" i="111"/>
  <c r="H62" i="111" s="1"/>
  <c r="E35" i="33"/>
  <c r="D27" i="129"/>
  <c r="C11" i="8"/>
  <c r="AE11" i="8" s="1"/>
  <c r="DW47" i="6"/>
  <c r="C134" i="8"/>
  <c r="AF149" i="8" s="1"/>
  <c r="D39" i="54"/>
  <c r="E39" i="54" s="1"/>
  <c r="DV148" i="6"/>
  <c r="C102" i="111"/>
  <c r="H102" i="111" s="1"/>
  <c r="DT101" i="6"/>
  <c r="F25" i="129"/>
  <c r="C93" i="8"/>
  <c r="AE93" i="8" s="1"/>
  <c r="E35" i="30"/>
  <c r="F35" i="30" s="1"/>
  <c r="DT110" i="6"/>
  <c r="C29" i="8"/>
  <c r="D27" i="138"/>
  <c r="D111" i="111" s="1"/>
  <c r="I111" i="111" s="1"/>
  <c r="J111" i="111" s="1"/>
  <c r="DT148" i="6"/>
  <c r="DT108" i="6"/>
  <c r="DT53" i="6"/>
  <c r="DW120" i="6"/>
  <c r="DV17" i="6"/>
  <c r="DV53" i="6"/>
  <c r="DW17" i="6"/>
  <c r="AF52" i="8"/>
  <c r="E25" i="138"/>
  <c r="D27" i="149"/>
  <c r="E27" i="149" s="1"/>
  <c r="E25" i="134"/>
  <c r="D35" i="44"/>
  <c r="DW148" i="6"/>
  <c r="G25" i="79"/>
  <c r="D37" i="19"/>
  <c r="D35" i="19"/>
  <c r="AE27" i="8"/>
  <c r="DW106" i="6"/>
  <c r="E25" i="132"/>
  <c r="DT104" i="6"/>
  <c r="D35" i="33"/>
  <c r="D37" i="33"/>
  <c r="D35" i="58"/>
  <c r="D37" i="58"/>
  <c r="DV79" i="6"/>
  <c r="AF151" i="8"/>
  <c r="AE137" i="8"/>
  <c r="E40" i="21"/>
  <c r="DT144" i="6"/>
  <c r="DT8" i="6"/>
  <c r="C95" i="8"/>
  <c r="C137" i="111"/>
  <c r="H137" i="111" s="1"/>
  <c r="DT136" i="6"/>
  <c r="DV136" i="6"/>
  <c r="DV144" i="6"/>
  <c r="DV129" i="6"/>
  <c r="DV124" i="6"/>
  <c r="D25" i="150"/>
  <c r="G25" i="150" s="1"/>
  <c r="D35" i="72"/>
  <c r="I18" i="111"/>
  <c r="J18" i="111" s="1"/>
  <c r="E18" i="111"/>
  <c r="D38" i="111"/>
  <c r="I38" i="111" s="1"/>
  <c r="J38" i="111" s="1"/>
  <c r="E37" i="50"/>
  <c r="E105" i="111"/>
  <c r="E37" i="42"/>
  <c r="D29" i="102"/>
  <c r="E29" i="102" s="1"/>
  <c r="E27" i="102"/>
  <c r="DT129" i="6"/>
  <c r="D37" i="68"/>
  <c r="E37" i="68" s="1"/>
  <c r="E35" i="50"/>
  <c r="F35" i="50" s="1"/>
  <c r="C141" i="8"/>
  <c r="D25" i="175"/>
  <c r="G25" i="175" s="1"/>
  <c r="D25" i="145"/>
  <c r="G25" i="145" s="1"/>
  <c r="F25" i="139"/>
  <c r="C10" i="8"/>
  <c r="AF10" i="8" s="1"/>
  <c r="DW84" i="6"/>
  <c r="E27" i="104"/>
  <c r="D87" i="111"/>
  <c r="I87" i="111" s="1"/>
  <c r="J87" i="111" s="1"/>
  <c r="C85" i="111"/>
  <c r="E25" i="164"/>
  <c r="F25" i="164" s="1"/>
  <c r="DW150" i="6"/>
  <c r="DT25" i="6"/>
  <c r="C75" i="8"/>
  <c r="C10" i="13" s="1"/>
  <c r="E10" i="13" s="1"/>
  <c r="F10" i="13" s="1"/>
  <c r="D119" i="111"/>
  <c r="E119" i="111" s="1"/>
  <c r="G25" i="82"/>
  <c r="C110" i="8"/>
  <c r="D76" i="111"/>
  <c r="I76" i="111" s="1"/>
  <c r="J76" i="111" s="1"/>
  <c r="D35" i="39"/>
  <c r="AE55" i="8"/>
  <c r="AF74" i="8"/>
  <c r="C27" i="13"/>
  <c r="E27" i="13" s="1"/>
  <c r="F27" i="13" s="1"/>
  <c r="DV8" i="6"/>
  <c r="AF105" i="8"/>
  <c r="AE147" i="8"/>
  <c r="DW129" i="6"/>
  <c r="D25" i="142"/>
  <c r="F25" i="142" s="1"/>
  <c r="D27" i="142"/>
  <c r="D27" i="88"/>
  <c r="D25" i="88"/>
  <c r="D42" i="38"/>
  <c r="D40" i="38"/>
  <c r="F35" i="33"/>
  <c r="D39" i="42"/>
  <c r="E39" i="42" s="1"/>
  <c r="D37" i="76"/>
  <c r="E37" i="76" s="1"/>
  <c r="DV116" i="6"/>
  <c r="D34" i="111"/>
  <c r="I34" i="111" s="1"/>
  <c r="J34" i="111" s="1"/>
  <c r="C144" i="111"/>
  <c r="H144" i="111" s="1"/>
  <c r="DV143" i="6"/>
  <c r="DT150" i="6"/>
  <c r="E37" i="46"/>
  <c r="C98" i="111"/>
  <c r="E25" i="124"/>
  <c r="F25" i="124" s="1"/>
  <c r="C9" i="111"/>
  <c r="C26" i="111"/>
  <c r="D25" i="146"/>
  <c r="F25" i="146" s="1"/>
  <c r="C80" i="111"/>
  <c r="H80" i="111" s="1"/>
  <c r="C25" i="13"/>
  <c r="E25" i="13" s="1"/>
  <c r="F25" i="13" s="1"/>
  <c r="DT124" i="6"/>
  <c r="C85" i="8"/>
  <c r="AE85" i="8" s="1"/>
  <c r="D27" i="147"/>
  <c r="E27" i="147" s="1"/>
  <c r="DV119" i="6"/>
  <c r="C120" i="111"/>
  <c r="H120" i="111" s="1"/>
  <c r="E25" i="173"/>
  <c r="G25" i="173" s="1"/>
  <c r="D25" i="96"/>
  <c r="D27" i="96"/>
  <c r="C130" i="111"/>
  <c r="F25" i="79"/>
  <c r="DW79" i="6"/>
  <c r="C116" i="8"/>
  <c r="C38" i="111"/>
  <c r="DW136" i="6"/>
  <c r="DV150" i="6"/>
  <c r="E25" i="96"/>
  <c r="DW124" i="6"/>
  <c r="DT84" i="6"/>
  <c r="DV37" i="6"/>
  <c r="DV84" i="6"/>
  <c r="C151" i="111"/>
  <c r="H151" i="111" s="1"/>
  <c r="G25" i="51"/>
  <c r="D35" i="59"/>
  <c r="D37" i="59"/>
  <c r="DV120" i="6"/>
  <c r="E25" i="148"/>
  <c r="F25" i="148" s="1"/>
  <c r="C121" i="111"/>
  <c r="H121" i="111" s="1"/>
  <c r="C118" i="111"/>
  <c r="DT117" i="6"/>
  <c r="DW117" i="6"/>
  <c r="C108" i="8"/>
  <c r="AF108" i="8" s="1"/>
  <c r="DV117" i="6"/>
  <c r="E35" i="19"/>
  <c r="C36" i="8"/>
  <c r="C7" i="111"/>
  <c r="DT6" i="6"/>
  <c r="DW6" i="6"/>
  <c r="DV6" i="6"/>
  <c r="D27" i="93"/>
  <c r="D77" i="111"/>
  <c r="I77" i="111" s="1"/>
  <c r="J77" i="111" s="1"/>
  <c r="D25" i="99"/>
  <c r="D27" i="99"/>
  <c r="C28" i="8"/>
  <c r="DV14" i="6"/>
  <c r="C15" i="111"/>
  <c r="DW14" i="6"/>
  <c r="E35" i="27"/>
  <c r="DT14" i="6"/>
  <c r="DV32" i="6"/>
  <c r="DW32" i="6"/>
  <c r="C98" i="8"/>
  <c r="E35" i="45"/>
  <c r="DT32" i="6"/>
  <c r="C33" i="111"/>
  <c r="H53" i="111"/>
  <c r="G25" i="169"/>
  <c r="D25" i="100"/>
  <c r="D27" i="100"/>
  <c r="E125" i="111"/>
  <c r="H125" i="111"/>
  <c r="H132" i="111"/>
  <c r="G25" i="125"/>
  <c r="F25" i="125"/>
  <c r="AE90" i="8"/>
  <c r="AF135" i="8"/>
  <c r="DT55" i="6"/>
  <c r="DV55" i="6"/>
  <c r="C120" i="8"/>
  <c r="DW55" i="6"/>
  <c r="E35" i="62"/>
  <c r="C56" i="111"/>
  <c r="H117" i="111"/>
  <c r="H13" i="111"/>
  <c r="AE18" i="8"/>
  <c r="AF35" i="8"/>
  <c r="AE100" i="8"/>
  <c r="C62" i="13"/>
  <c r="E62" i="13" s="1"/>
  <c r="F62" i="13" s="1"/>
  <c r="DS153" i="6"/>
  <c r="D29" i="129"/>
  <c r="E29" i="129" s="1"/>
  <c r="E27" i="129"/>
  <c r="D103" i="111"/>
  <c r="E37" i="47"/>
  <c r="D39" i="47"/>
  <c r="E39" i="47" s="1"/>
  <c r="DW60" i="6"/>
  <c r="E35" i="76"/>
  <c r="G35" i="76" s="1"/>
  <c r="C61" i="111"/>
  <c r="C104" i="8"/>
  <c r="DT60" i="6"/>
  <c r="DV60" i="6"/>
  <c r="AF120" i="8"/>
  <c r="D29" i="116"/>
  <c r="E29" i="116" s="1"/>
  <c r="E27" i="116"/>
  <c r="D93" i="111"/>
  <c r="I93" i="111" s="1"/>
  <c r="J93" i="111" s="1"/>
  <c r="AF119" i="8"/>
  <c r="AE50" i="8"/>
  <c r="DT24" i="6"/>
  <c r="DW24" i="6"/>
  <c r="E35" i="37"/>
  <c r="F35" i="37" s="1"/>
  <c r="DV24" i="6"/>
  <c r="C16" i="8"/>
  <c r="C25" i="111"/>
  <c r="D35" i="17"/>
  <c r="D37" i="17"/>
  <c r="E27" i="150"/>
  <c r="D29" i="150"/>
  <c r="E29" i="150" s="1"/>
  <c r="D123" i="111"/>
  <c r="I123" i="111" s="1"/>
  <c r="J123" i="111" s="1"/>
  <c r="H31" i="111"/>
  <c r="G25" i="164"/>
  <c r="D15" i="117"/>
  <c r="F12" i="117" s="1"/>
  <c r="C321" i="8"/>
  <c r="E27" i="103"/>
  <c r="D29" i="103"/>
  <c r="E29" i="103" s="1"/>
  <c r="D86" i="111"/>
  <c r="I86" i="111" s="1"/>
  <c r="J86" i="111" s="1"/>
  <c r="D43" i="111"/>
  <c r="I43" i="111" s="1"/>
  <c r="J43" i="111" s="1"/>
  <c r="E37" i="55"/>
  <c r="D39" i="55"/>
  <c r="E39" i="55" s="1"/>
  <c r="DV99" i="6"/>
  <c r="DT99" i="6"/>
  <c r="DW99" i="6"/>
  <c r="C102" i="8"/>
  <c r="AF102" i="8" s="1"/>
  <c r="E25" i="126"/>
  <c r="C100" i="111"/>
  <c r="DT39" i="6"/>
  <c r="DV39" i="6"/>
  <c r="E35" i="52"/>
  <c r="C56" i="8"/>
  <c r="C40" i="111"/>
  <c r="DW39" i="6"/>
  <c r="DV28" i="6"/>
  <c r="C29" i="111"/>
  <c r="DW28" i="6"/>
  <c r="E35" i="42"/>
  <c r="DT28" i="6"/>
  <c r="C101" i="8"/>
  <c r="AF101" i="8" s="1"/>
  <c r="DV44" i="6"/>
  <c r="DT44" i="6"/>
  <c r="C114" i="8"/>
  <c r="AF114" i="8" s="1"/>
  <c r="E35" i="57"/>
  <c r="F35" i="57" s="1"/>
  <c r="C45" i="111"/>
  <c r="DW44" i="6"/>
  <c r="AJ330" i="8"/>
  <c r="G25" i="165"/>
  <c r="D138" i="111"/>
  <c r="D29" i="165"/>
  <c r="E29" i="165" s="1"/>
  <c r="E27" i="165"/>
  <c r="DW130" i="6"/>
  <c r="C131" i="111"/>
  <c r="E25" i="158"/>
  <c r="C129" i="8"/>
  <c r="DT130" i="6"/>
  <c r="DV130" i="6"/>
  <c r="H85" i="111"/>
  <c r="E85" i="111"/>
  <c r="F25" i="122"/>
  <c r="G25" i="122"/>
  <c r="D35" i="78"/>
  <c r="D37" i="78"/>
  <c r="E27" i="136"/>
  <c r="D29" i="136"/>
  <c r="E29" i="136" s="1"/>
  <c r="D109" i="111"/>
  <c r="F25" i="150"/>
  <c r="AE131" i="8"/>
  <c r="D25" i="130"/>
  <c r="D27" i="130"/>
  <c r="D27" i="134"/>
  <c r="D25" i="134"/>
  <c r="E106" i="111"/>
  <c r="D37" i="62"/>
  <c r="D35" i="62"/>
  <c r="H101" i="111"/>
  <c r="C148" i="111"/>
  <c r="DV147" i="6"/>
  <c r="DT147" i="6"/>
  <c r="E25" i="176"/>
  <c r="C43" i="8"/>
  <c r="DW147" i="6"/>
  <c r="H112" i="111"/>
  <c r="E112" i="111"/>
  <c r="H89" i="111"/>
  <c r="D35" i="52"/>
  <c r="D37" i="52"/>
  <c r="G35" i="33"/>
  <c r="E35" i="75"/>
  <c r="DW59" i="6"/>
  <c r="C60" i="111"/>
  <c r="C5" i="8"/>
  <c r="DV59" i="6"/>
  <c r="DT59" i="6"/>
  <c r="G35" i="55"/>
  <c r="F35" i="55"/>
  <c r="E27" i="157"/>
  <c r="D130" i="111"/>
  <c r="I130" i="111" s="1"/>
  <c r="J130" i="111" s="1"/>
  <c r="E37" i="73"/>
  <c r="D59" i="111"/>
  <c r="I59" i="111" s="1"/>
  <c r="J59" i="111" s="1"/>
  <c r="D39" i="73"/>
  <c r="E39" i="73" s="1"/>
  <c r="F25" i="85"/>
  <c r="G25" i="85"/>
  <c r="D40" i="21"/>
  <c r="D42" i="21"/>
  <c r="AF127" i="8"/>
  <c r="AE142" i="8"/>
  <c r="H110" i="111"/>
  <c r="E110" i="111"/>
  <c r="DT128" i="6"/>
  <c r="DV128" i="6"/>
  <c r="C72" i="8"/>
  <c r="DW128" i="6"/>
  <c r="C129" i="111"/>
  <c r="E25" i="156"/>
  <c r="E37" i="61"/>
  <c r="D54" i="111"/>
  <c r="D39" i="61"/>
  <c r="E39" i="61" s="1"/>
  <c r="E27" i="175"/>
  <c r="D147" i="111"/>
  <c r="D29" i="175"/>
  <c r="E29" i="175" s="1"/>
  <c r="G25" i="159"/>
  <c r="E27" i="135"/>
  <c r="D29" i="135"/>
  <c r="E29" i="135" s="1"/>
  <c r="D108" i="111"/>
  <c r="E27" i="91"/>
  <c r="D29" i="91"/>
  <c r="E29" i="91" s="1"/>
  <c r="DT91" i="6"/>
  <c r="C77" i="8"/>
  <c r="C92" i="111"/>
  <c r="DV91" i="6"/>
  <c r="E25" i="114"/>
  <c r="DW91" i="6"/>
  <c r="D37" i="48"/>
  <c r="D35" i="48"/>
  <c r="D29" i="98"/>
  <c r="E29" i="98" s="1"/>
  <c r="D82" i="111"/>
  <c r="I82" i="111" s="1"/>
  <c r="J82" i="111" s="1"/>
  <c r="E27" i="98"/>
  <c r="G43" i="25"/>
  <c r="F43" i="25"/>
  <c r="D139" i="111"/>
  <c r="I139" i="111" s="1"/>
  <c r="J139" i="111" s="1"/>
  <c r="D29" i="166"/>
  <c r="E29" i="166" s="1"/>
  <c r="E27" i="166"/>
  <c r="D39" i="69"/>
  <c r="E39" i="69" s="1"/>
  <c r="D52" i="111"/>
  <c r="I52" i="111" s="1"/>
  <c r="J52" i="111" s="1"/>
  <c r="E37" i="69"/>
  <c r="D29" i="173"/>
  <c r="E29" i="173" s="1"/>
  <c r="D145" i="111"/>
  <c r="I145" i="111" s="1"/>
  <c r="J145" i="111" s="1"/>
  <c r="E27" i="173"/>
  <c r="D37" i="53"/>
  <c r="D35" i="53"/>
  <c r="E25" i="161"/>
  <c r="G25" i="161" s="1"/>
  <c r="DW133" i="6"/>
  <c r="C134" i="111"/>
  <c r="DT133" i="6"/>
  <c r="DV133" i="6"/>
  <c r="C91" i="8"/>
  <c r="AF91" i="8" s="1"/>
  <c r="D27" i="80"/>
  <c r="D73" i="111"/>
  <c r="I73" i="111" s="1"/>
  <c r="J73" i="111" s="1"/>
  <c r="E27" i="163"/>
  <c r="D29" i="163"/>
  <c r="E29" i="163" s="1"/>
  <c r="D136" i="111"/>
  <c r="AE80" i="8"/>
  <c r="H35" i="111"/>
  <c r="D27" i="95"/>
  <c r="D25" i="95"/>
  <c r="AE107" i="8"/>
  <c r="AK38" i="8"/>
  <c r="AF6" i="8"/>
  <c r="C2" i="13"/>
  <c r="E2" i="13" s="1"/>
  <c r="F2" i="13" s="1"/>
  <c r="D37" i="56"/>
  <c r="D35" i="56"/>
  <c r="DT127" i="6"/>
  <c r="DV127" i="6"/>
  <c r="C26" i="8"/>
  <c r="C128" i="111"/>
  <c r="E25" i="155"/>
  <c r="DW127" i="6"/>
  <c r="DV81" i="6"/>
  <c r="C78" i="8"/>
  <c r="E25" i="98"/>
  <c r="G25" i="98" s="1"/>
  <c r="DW81" i="6"/>
  <c r="C82" i="111"/>
  <c r="DT81" i="6"/>
  <c r="AE148" i="8"/>
  <c r="H36" i="111"/>
  <c r="AE140" i="8"/>
  <c r="AF126" i="8"/>
  <c r="AE63" i="8"/>
  <c r="DT76" i="6"/>
  <c r="C77" i="111"/>
  <c r="C31" i="8"/>
  <c r="AF31" i="8" s="1"/>
  <c r="E25" i="93"/>
  <c r="F25" i="93" s="1"/>
  <c r="DW76" i="6"/>
  <c r="DV76" i="6"/>
  <c r="D29" i="149"/>
  <c r="E29" i="149" s="1"/>
  <c r="G25" i="166"/>
  <c r="F25" i="166"/>
  <c r="G35" i="69"/>
  <c r="F35" i="69"/>
  <c r="AF136" i="8"/>
  <c r="AE119" i="8"/>
  <c r="D37" i="27"/>
  <c r="D35" i="27"/>
  <c r="AE49" i="8"/>
  <c r="DW72" i="6"/>
  <c r="DT72" i="6"/>
  <c r="C73" i="111"/>
  <c r="DV72" i="6"/>
  <c r="E25" i="80"/>
  <c r="F25" i="80" s="1"/>
  <c r="C66" i="8"/>
  <c r="D35" i="32"/>
  <c r="D37" i="32"/>
  <c r="D14" i="111"/>
  <c r="I14" i="111" s="1"/>
  <c r="J14" i="111" s="1"/>
  <c r="E47" i="26"/>
  <c r="D49" i="26"/>
  <c r="E49" i="26" s="1"/>
  <c r="AE57" i="8"/>
  <c r="D37" i="34"/>
  <c r="D35" i="34"/>
  <c r="AE53" i="8"/>
  <c r="C40" i="13"/>
  <c r="E40" i="13" s="1"/>
  <c r="F40" i="13" s="1"/>
  <c r="AF43" i="8"/>
  <c r="AF3" i="8"/>
  <c r="H145" i="111"/>
  <c r="E27" i="160"/>
  <c r="D133" i="111"/>
  <c r="I133" i="111" s="1"/>
  <c r="J133" i="111" s="1"/>
  <c r="D29" i="160"/>
  <c r="E29" i="160" s="1"/>
  <c r="D37" i="41"/>
  <c r="D35" i="41"/>
  <c r="H107" i="111"/>
  <c r="D27" i="94"/>
  <c r="D78" i="111"/>
  <c r="I78" i="111" s="1"/>
  <c r="J78" i="111" s="1"/>
  <c r="AE46" i="8"/>
  <c r="AF48" i="8"/>
  <c r="C15" i="13"/>
  <c r="E15" i="13" s="1"/>
  <c r="F15" i="13" s="1"/>
  <c r="AI48" i="8"/>
  <c r="DT85" i="6"/>
  <c r="DV85" i="6"/>
  <c r="E25" i="103"/>
  <c r="G25" i="103" s="1"/>
  <c r="C86" i="111"/>
  <c r="C139" i="8"/>
  <c r="DW85" i="6"/>
  <c r="D25" i="144"/>
  <c r="D27" i="144"/>
  <c r="E37" i="35"/>
  <c r="D39" i="35"/>
  <c r="E39" i="35" s="1"/>
  <c r="D23" i="111"/>
  <c r="I23" i="111" s="1"/>
  <c r="J23" i="111" s="1"/>
  <c r="C20" i="13"/>
  <c r="E20" i="13" s="1"/>
  <c r="F20" i="13" s="1"/>
  <c r="F25" i="123"/>
  <c r="G25" i="123"/>
  <c r="D25" i="162"/>
  <c r="D27" i="162"/>
  <c r="H65" i="111"/>
  <c r="E65" i="111"/>
  <c r="H43" i="111"/>
  <c r="E43" i="111"/>
  <c r="H126" i="111"/>
  <c r="E35" i="31"/>
  <c r="DT18" i="6"/>
  <c r="DV18" i="6"/>
  <c r="DW18" i="6"/>
  <c r="C19" i="111"/>
  <c r="C109" i="8"/>
  <c r="AF109" i="8" s="1"/>
  <c r="DW31" i="6"/>
  <c r="C33" i="8"/>
  <c r="C32" i="111"/>
  <c r="E35" i="44"/>
  <c r="DV31" i="6"/>
  <c r="DT31" i="6"/>
  <c r="C23" i="13"/>
  <c r="E23" i="13" s="1"/>
  <c r="F23" i="13" s="1"/>
  <c r="AF39" i="8"/>
  <c r="AE24" i="8"/>
  <c r="D29" i="127"/>
  <c r="E29" i="127" s="1"/>
  <c r="E27" i="127"/>
  <c r="D101" i="111"/>
  <c r="I101" i="111" s="1"/>
  <c r="J101" i="111" s="1"/>
  <c r="D118" i="111"/>
  <c r="I118" i="111" s="1"/>
  <c r="J118" i="111" s="1"/>
  <c r="E27" i="145"/>
  <c r="D29" i="145"/>
  <c r="E29" i="145" s="1"/>
  <c r="DV7" i="6"/>
  <c r="DW7" i="6"/>
  <c r="DT7" i="6"/>
  <c r="E45" i="20"/>
  <c r="C8" i="111"/>
  <c r="C15" i="8"/>
  <c r="DT54" i="6"/>
  <c r="DV54" i="6"/>
  <c r="DW54" i="6"/>
  <c r="C55" i="111"/>
  <c r="E35" i="71"/>
  <c r="F35" i="71" s="1"/>
  <c r="C76" i="8"/>
  <c r="DW68" i="6"/>
  <c r="C69" i="111"/>
  <c r="DV68" i="6"/>
  <c r="C97" i="8"/>
  <c r="AF97" i="8" s="1"/>
  <c r="DT68" i="6"/>
  <c r="E25" i="89"/>
  <c r="E25" i="143"/>
  <c r="DV115" i="6"/>
  <c r="DT115" i="6"/>
  <c r="C149" i="8"/>
  <c r="DW115" i="6"/>
  <c r="C116" i="111"/>
  <c r="AE45" i="8"/>
  <c r="E27" i="141"/>
  <c r="D114" i="111"/>
  <c r="D29" i="141"/>
  <c r="E29" i="141" s="1"/>
  <c r="AE6" i="8"/>
  <c r="AF18" i="8"/>
  <c r="C21" i="13"/>
  <c r="E21" i="13" s="1"/>
  <c r="F21" i="13" s="1"/>
  <c r="DT22" i="6"/>
  <c r="DW22" i="6"/>
  <c r="C23" i="111"/>
  <c r="E35" i="35"/>
  <c r="DV22" i="6"/>
  <c r="C34" i="8"/>
  <c r="DW46" i="6"/>
  <c r="DV46" i="6"/>
  <c r="E35" i="59"/>
  <c r="C47" i="111"/>
  <c r="DT46" i="6"/>
  <c r="C138" i="8"/>
  <c r="AE83" i="8"/>
  <c r="DW80" i="6"/>
  <c r="DV80" i="6"/>
  <c r="E25" i="97"/>
  <c r="C81" i="111"/>
  <c r="C37" i="8"/>
  <c r="DT80" i="6"/>
  <c r="C14" i="8"/>
  <c r="DW3" i="6"/>
  <c r="C4" i="111"/>
  <c r="DV3" i="6"/>
  <c r="E35" i="17"/>
  <c r="DT3" i="6"/>
  <c r="E25" i="149"/>
  <c r="F25" i="149" s="1"/>
  <c r="DV121" i="6"/>
  <c r="DW121" i="6"/>
  <c r="C117" i="8"/>
  <c r="AF117" i="8" s="1"/>
  <c r="C122" i="111"/>
  <c r="DT121" i="6"/>
  <c r="AF62" i="8"/>
  <c r="C35" i="13"/>
  <c r="E35" i="13" s="1"/>
  <c r="F35" i="13" s="1"/>
  <c r="DV21" i="6"/>
  <c r="C20" i="8"/>
  <c r="C29" i="13" s="1"/>
  <c r="E29" i="13" s="1"/>
  <c r="F29" i="13" s="1"/>
  <c r="DW21" i="6"/>
  <c r="E35" i="34"/>
  <c r="C22" i="111"/>
  <c r="DT21" i="6"/>
  <c r="H123" i="111"/>
  <c r="H74" i="111"/>
  <c r="E74" i="111"/>
  <c r="G25" i="137"/>
  <c r="F25" i="137"/>
  <c r="I10" i="111"/>
  <c r="J10" i="111" s="1"/>
  <c r="E10" i="111"/>
  <c r="AE29" i="8"/>
  <c r="G25" i="127"/>
  <c r="F25" i="127"/>
  <c r="DV77" i="6"/>
  <c r="DW77" i="6"/>
  <c r="E25" i="94"/>
  <c r="F25" i="94" s="1"/>
  <c r="C81" i="8"/>
  <c r="DT77" i="6"/>
  <c r="C78" i="111"/>
  <c r="D29" i="147"/>
  <c r="E29" i="147" s="1"/>
  <c r="D120" i="111"/>
  <c r="D45" i="20"/>
  <c r="D47" i="20"/>
  <c r="F35" i="77"/>
  <c r="D36" i="18"/>
  <c r="D38" i="18"/>
  <c r="F25" i="141"/>
  <c r="G25" i="141"/>
  <c r="D25" i="97"/>
  <c r="D27" i="97"/>
  <c r="DV33" i="6"/>
  <c r="DW33" i="6"/>
  <c r="E35" i="46"/>
  <c r="DT33" i="6"/>
  <c r="C34" i="111"/>
  <c r="C136" i="8"/>
  <c r="DT142" i="6"/>
  <c r="DV142" i="6"/>
  <c r="DW142" i="6"/>
  <c r="E25" i="171"/>
  <c r="C79" i="8"/>
  <c r="AF79" i="8" s="1"/>
  <c r="C143" i="111"/>
  <c r="AE48" i="8"/>
  <c r="AF111" i="8"/>
  <c r="C5" i="111"/>
  <c r="DV4" i="6"/>
  <c r="C4" i="8"/>
  <c r="E71" i="15"/>
  <c r="G71" i="15" s="1"/>
  <c r="DW4" i="6"/>
  <c r="DT4" i="6"/>
  <c r="E27" i="164"/>
  <c r="D29" i="164"/>
  <c r="E29" i="164" s="1"/>
  <c r="D137" i="111"/>
  <c r="D29" i="92"/>
  <c r="E29" i="92" s="1"/>
  <c r="E27" i="92"/>
  <c r="H39" i="111"/>
  <c r="D29" i="138"/>
  <c r="E29" i="138" s="1"/>
  <c r="E27" i="138"/>
  <c r="F25" i="147"/>
  <c r="G25" i="147"/>
  <c r="D29" i="161"/>
  <c r="E29" i="161" s="1"/>
  <c r="D134" i="111"/>
  <c r="I134" i="111" s="1"/>
  <c r="J134" i="111" s="1"/>
  <c r="E27" i="161"/>
  <c r="E37" i="77"/>
  <c r="D39" i="77"/>
  <c r="E39" i="77" s="1"/>
  <c r="D62" i="111"/>
  <c r="I62" i="111" s="1"/>
  <c r="J62" i="111" s="1"/>
  <c r="D25" i="126"/>
  <c r="D27" i="126"/>
  <c r="D25" i="158"/>
  <c r="D27" i="158"/>
  <c r="D96" i="111"/>
  <c r="I96" i="111" s="1"/>
  <c r="J96" i="111" s="1"/>
  <c r="E27" i="122"/>
  <c r="D29" i="122"/>
  <c r="E29" i="122" s="1"/>
  <c r="DV62" i="6"/>
  <c r="DW62" i="6"/>
  <c r="E35" i="78"/>
  <c r="C63" i="111"/>
  <c r="DT62" i="6"/>
  <c r="N36" i="12"/>
  <c r="C3" i="8"/>
  <c r="D25" i="155"/>
  <c r="D27" i="155"/>
  <c r="D27" i="176"/>
  <c r="D25" i="176"/>
  <c r="D25" i="171"/>
  <c r="D27" i="171"/>
  <c r="AE99" i="8"/>
  <c r="AF89" i="8"/>
  <c r="C85" i="13"/>
  <c r="E85" i="13" s="1"/>
  <c r="F85" i="13" s="1"/>
  <c r="C21" i="8"/>
  <c r="E25" i="88"/>
  <c r="C68" i="111"/>
  <c r="DV67" i="6"/>
  <c r="DW67" i="6"/>
  <c r="DT67" i="6"/>
  <c r="G25" i="138"/>
  <c r="F25" i="138"/>
  <c r="D35" i="22"/>
  <c r="D37" i="22"/>
  <c r="DT36" i="6"/>
  <c r="DV36" i="6"/>
  <c r="DW36" i="6"/>
  <c r="E35" i="49"/>
  <c r="F35" i="49" s="1"/>
  <c r="C37" i="111"/>
  <c r="C135" i="8"/>
  <c r="G25" i="152"/>
  <c r="H9" i="111"/>
  <c r="E27" i="154"/>
  <c r="D29" i="154"/>
  <c r="E29" i="154" s="1"/>
  <c r="D127" i="111"/>
  <c r="I127" i="111" s="1"/>
  <c r="J127" i="111" s="1"/>
  <c r="D25" i="143"/>
  <c r="D27" i="143"/>
  <c r="DW93" i="6"/>
  <c r="DV93" i="6"/>
  <c r="C61" i="8"/>
  <c r="E25" i="119"/>
  <c r="D94" i="111" s="1"/>
  <c r="I94" i="111" s="1"/>
  <c r="J94" i="111" s="1"/>
  <c r="C94" i="111"/>
  <c r="DT93" i="6"/>
  <c r="D39" i="29"/>
  <c r="E39" i="29" s="1"/>
  <c r="D17" i="111"/>
  <c r="I17" i="111" s="1"/>
  <c r="J17" i="111" s="1"/>
  <c r="E37" i="29"/>
  <c r="H141" i="111"/>
  <c r="H71" i="111"/>
  <c r="DV43" i="6"/>
  <c r="DW43" i="6"/>
  <c r="DT43" i="6"/>
  <c r="C30" i="8"/>
  <c r="C44" i="111"/>
  <c r="E35" i="56"/>
  <c r="D37" i="75"/>
  <c r="D35" i="75"/>
  <c r="C104" i="111"/>
  <c r="DW103" i="6"/>
  <c r="E25" i="130"/>
  <c r="C68" i="8"/>
  <c r="DV103" i="6"/>
  <c r="DT103" i="6"/>
  <c r="C105" i="8"/>
  <c r="DW15" i="6"/>
  <c r="DT15" i="6"/>
  <c r="C16" i="111"/>
  <c r="E35" i="28"/>
  <c r="DV15" i="6"/>
  <c r="DV49" i="6"/>
  <c r="C132" i="8"/>
  <c r="E35" i="68"/>
  <c r="F35" i="68" s="1"/>
  <c r="DT49" i="6"/>
  <c r="C50" i="111"/>
  <c r="DW49" i="6"/>
  <c r="E26" i="107"/>
  <c r="DV89" i="6"/>
  <c r="C19" i="8"/>
  <c r="DT89" i="6"/>
  <c r="DW89" i="6"/>
  <c r="C90" i="111"/>
  <c r="DV48" i="6"/>
  <c r="DT48" i="6"/>
  <c r="DW48" i="6"/>
  <c r="C123" i="8"/>
  <c r="E35" i="67"/>
  <c r="F35" i="67" s="1"/>
  <c r="C49" i="111"/>
  <c r="E37" i="57"/>
  <c r="D45" i="111"/>
  <c r="I45" i="111" s="1"/>
  <c r="J45" i="111" s="1"/>
  <c r="D39" i="57"/>
  <c r="E39" i="57" s="1"/>
  <c r="AE74" i="8"/>
  <c r="DW66" i="6"/>
  <c r="C23" i="8"/>
  <c r="E25" i="87"/>
  <c r="DV66" i="6"/>
  <c r="DT66" i="6"/>
  <c r="C67" i="111"/>
  <c r="AE94" i="8"/>
  <c r="D29" i="169"/>
  <c r="E29" i="169" s="1"/>
  <c r="D141" i="111"/>
  <c r="I141" i="111" s="1"/>
  <c r="J141" i="111" s="1"/>
  <c r="E27" i="169"/>
  <c r="D35" i="74"/>
  <c r="D37" i="74"/>
  <c r="E27" i="121"/>
  <c r="D95" i="111"/>
  <c r="I95" i="111" s="1"/>
  <c r="J95" i="111" s="1"/>
  <c r="D29" i="121"/>
  <c r="E29" i="121" s="1"/>
  <c r="D27" i="111"/>
  <c r="I27" i="111" s="1"/>
  <c r="J27" i="111" s="1"/>
  <c r="D39" i="39"/>
  <c r="F35" i="24"/>
  <c r="G35" i="24"/>
  <c r="G25" i="157"/>
  <c r="F25" i="157"/>
  <c r="D29" i="85"/>
  <c r="E29" i="85" s="1"/>
  <c r="E27" i="85"/>
  <c r="D71" i="111"/>
  <c r="I71" i="111" s="1"/>
  <c r="J71" i="111" s="1"/>
  <c r="AJ331" i="8"/>
  <c r="DV23" i="6"/>
  <c r="DT23" i="6"/>
  <c r="DW23" i="6"/>
  <c r="E35" i="36"/>
  <c r="G35" i="36" s="1"/>
  <c r="C24" i="111"/>
  <c r="C82" i="8"/>
  <c r="DT86" i="6"/>
  <c r="DV86" i="6"/>
  <c r="C87" i="111"/>
  <c r="C146" i="8"/>
  <c r="E25" i="104"/>
  <c r="DW86" i="6"/>
  <c r="G25" i="154"/>
  <c r="F25" i="154"/>
  <c r="AE151" i="8"/>
  <c r="AF138" i="8"/>
  <c r="H152" i="111"/>
  <c r="E152" i="111"/>
  <c r="H96" i="111"/>
  <c r="D27" i="119"/>
  <c r="D25" i="119"/>
  <c r="D25" i="83"/>
  <c r="D27" i="83"/>
  <c r="G35" i="29"/>
  <c r="F35" i="29"/>
  <c r="G25" i="124"/>
  <c r="D25" i="167"/>
  <c r="D27" i="167"/>
  <c r="D35" i="11"/>
  <c r="D37" i="11"/>
  <c r="F25" i="174"/>
  <c r="D28" i="107"/>
  <c r="D26" i="107"/>
  <c r="D25" i="170"/>
  <c r="D27" i="170"/>
  <c r="H21" i="111"/>
  <c r="H124" i="111"/>
  <c r="AE115" i="8"/>
  <c r="DZ153" i="6"/>
  <c r="D27" i="87"/>
  <c r="D25" i="87"/>
  <c r="E25" i="92"/>
  <c r="DW75" i="6"/>
  <c r="DT75" i="6"/>
  <c r="DV75" i="6"/>
  <c r="C76" i="111"/>
  <c r="C103" i="8"/>
  <c r="AF103" i="8" s="1"/>
  <c r="E150" i="111"/>
  <c r="H150" i="111"/>
  <c r="E37" i="36"/>
  <c r="D39" i="36"/>
  <c r="E39" i="36" s="1"/>
  <c r="D24" i="111"/>
  <c r="I24" i="111" s="1"/>
  <c r="J24" i="111" s="1"/>
  <c r="H91" i="111"/>
  <c r="E91" i="111"/>
  <c r="D37" i="28"/>
  <c r="D35" i="28"/>
  <c r="G35" i="30"/>
  <c r="G25" i="121"/>
  <c r="F25" i="121"/>
  <c r="E37" i="45"/>
  <c r="D39" i="45"/>
  <c r="E39" i="45" s="1"/>
  <c r="D33" i="111"/>
  <c r="I33" i="111" s="1"/>
  <c r="J33" i="111" s="1"/>
  <c r="H115" i="111"/>
  <c r="E37" i="71"/>
  <c r="D39" i="71"/>
  <c r="E39" i="71" s="1"/>
  <c r="D55" i="111"/>
  <c r="I55" i="111" s="1"/>
  <c r="J55" i="111" s="1"/>
  <c r="D39" i="66"/>
  <c r="D48" i="111"/>
  <c r="I48" i="111" s="1"/>
  <c r="J48" i="111" s="1"/>
  <c r="H149" i="111"/>
  <c r="E27" i="151"/>
  <c r="D29" i="151"/>
  <c r="E29" i="151" s="1"/>
  <c r="D124" i="111"/>
  <c r="I124" i="111" s="1"/>
  <c r="J124" i="111" s="1"/>
  <c r="D25" i="86"/>
  <c r="D27" i="86"/>
  <c r="D39" i="49"/>
  <c r="E39" i="49" s="1"/>
  <c r="E37" i="49"/>
  <c r="D37" i="111"/>
  <c r="I37" i="111" s="1"/>
  <c r="J37" i="111" s="1"/>
  <c r="AE9" i="8"/>
  <c r="D121" i="111"/>
  <c r="D29" i="148"/>
  <c r="E29" i="148" s="1"/>
  <c r="E27" i="148"/>
  <c r="C3" i="13"/>
  <c r="E3" i="13" s="1"/>
  <c r="F3" i="13" s="1"/>
  <c r="AE8" i="8"/>
  <c r="AK19" i="8"/>
  <c r="AF9" i="8"/>
  <c r="DT132" i="6"/>
  <c r="C133" i="111"/>
  <c r="C150" i="8"/>
  <c r="DW132" i="6"/>
  <c r="DV132" i="6"/>
  <c r="E25" i="160"/>
  <c r="F25" i="160" s="1"/>
  <c r="DV56" i="6"/>
  <c r="DW56" i="6"/>
  <c r="E35" i="63"/>
  <c r="DT56" i="6"/>
  <c r="C73" i="8"/>
  <c r="C57" i="111"/>
  <c r="DT94" i="6"/>
  <c r="E25" i="121"/>
  <c r="C106" i="8"/>
  <c r="AF106" i="8" s="1"/>
  <c r="DV94" i="6"/>
  <c r="DW94" i="6"/>
  <c r="C95" i="111"/>
  <c r="AE35" i="8"/>
  <c r="DT65" i="6"/>
  <c r="DV65" i="6"/>
  <c r="C58" i="8"/>
  <c r="DW65" i="6"/>
  <c r="E25" i="83"/>
  <c r="C66" i="111"/>
  <c r="E25" i="167"/>
  <c r="C130" i="8"/>
  <c r="DW139" i="6"/>
  <c r="DV139" i="6"/>
  <c r="DT139" i="6"/>
  <c r="C140" i="111"/>
  <c r="DT69" i="6"/>
  <c r="E25" i="84"/>
  <c r="C70" i="111"/>
  <c r="DV69" i="6"/>
  <c r="C17" i="8"/>
  <c r="DW69" i="6"/>
  <c r="D39" i="23"/>
  <c r="E39" i="23" s="1"/>
  <c r="E37" i="23"/>
  <c r="D12" i="111"/>
  <c r="I12" i="111" s="1"/>
  <c r="J12" i="111" s="1"/>
  <c r="DT141" i="6"/>
  <c r="DV141" i="6"/>
  <c r="E25" i="170"/>
  <c r="DW141" i="6"/>
  <c r="C60" i="8"/>
  <c r="C142" i="111"/>
  <c r="AE38" i="8"/>
  <c r="AF21" i="8"/>
  <c r="C79" i="13"/>
  <c r="E79" i="13" s="1"/>
  <c r="F79" i="13" s="1"/>
  <c r="EB153" i="6"/>
  <c r="F71" i="15"/>
  <c r="H3" i="111"/>
  <c r="DW45" i="6"/>
  <c r="E35" i="58"/>
  <c r="DT45" i="6"/>
  <c r="C13" i="8"/>
  <c r="AF13" i="8" s="1"/>
  <c r="C46" i="111"/>
  <c r="DV45" i="6"/>
  <c r="DW27" i="6"/>
  <c r="DT27" i="6"/>
  <c r="DV27" i="6"/>
  <c r="C41" i="8"/>
  <c r="C28" i="111"/>
  <c r="E35" i="40"/>
  <c r="E27" i="128"/>
  <c r="D29" i="128"/>
  <c r="E29" i="128" s="1"/>
  <c r="D102" i="111"/>
  <c r="G35" i="45"/>
  <c r="F35" i="45"/>
  <c r="F25" i="153"/>
  <c r="G25" i="153"/>
  <c r="E37" i="44"/>
  <c r="D39" i="44"/>
  <c r="E39" i="44" s="1"/>
  <c r="D32" i="111"/>
  <c r="I32" i="111" s="1"/>
  <c r="J32" i="111" s="1"/>
  <c r="D39" i="72"/>
  <c r="E39" i="72" s="1"/>
  <c r="D51" i="111"/>
  <c r="I51" i="111" s="1"/>
  <c r="J51" i="111" s="1"/>
  <c r="E37" i="72"/>
  <c r="E27" i="90"/>
  <c r="D29" i="90"/>
  <c r="E29" i="90" s="1"/>
  <c r="F25" i="179"/>
  <c r="G25" i="151"/>
  <c r="F25" i="151"/>
  <c r="DW71" i="6"/>
  <c r="DT71" i="6"/>
  <c r="DV71" i="6"/>
  <c r="E25" i="86"/>
  <c r="C72" i="111"/>
  <c r="C25" i="8"/>
  <c r="G35" i="43"/>
  <c r="F35" i="43"/>
  <c r="D27" i="105"/>
  <c r="D25" i="105"/>
  <c r="E37" i="37"/>
  <c r="D25" i="111"/>
  <c r="I25" i="111" s="1"/>
  <c r="J25" i="111" s="1"/>
  <c r="D39" i="37"/>
  <c r="E39" i="37" s="1"/>
  <c r="E45" i="26"/>
  <c r="G45" i="26" s="1"/>
  <c r="DT13" i="6"/>
  <c r="C12" i="8"/>
  <c r="DW13" i="6"/>
  <c r="C14" i="111"/>
  <c r="DV13" i="6"/>
  <c r="D25" i="114"/>
  <c r="D27" i="114"/>
  <c r="DV58" i="6"/>
  <c r="DW58" i="6"/>
  <c r="DT58" i="6"/>
  <c r="C133" i="8"/>
  <c r="C59" i="111"/>
  <c r="E35" i="73"/>
  <c r="F35" i="73" s="1"/>
  <c r="F25" i="135"/>
  <c r="G25" i="135"/>
  <c r="G25" i="163"/>
  <c r="F25" i="163"/>
  <c r="E25" i="116"/>
  <c r="F25" i="116" s="1"/>
  <c r="DV92" i="6"/>
  <c r="DW92" i="6"/>
  <c r="C92" i="8"/>
  <c r="DT92" i="6"/>
  <c r="C93" i="111"/>
  <c r="DT83" i="6"/>
  <c r="DW83" i="6"/>
  <c r="DV83" i="6"/>
  <c r="C59" i="8"/>
  <c r="E25" i="100"/>
  <c r="C84" i="111"/>
  <c r="D27" i="106"/>
  <c r="D25" i="106"/>
  <c r="H52" i="111"/>
  <c r="DW41" i="6"/>
  <c r="DV41" i="6"/>
  <c r="C42" i="111"/>
  <c r="E35" i="54"/>
  <c r="DT41" i="6"/>
  <c r="C51" i="8"/>
  <c r="G25" i="129"/>
  <c r="D39" i="68"/>
  <c r="E39" i="68" s="1"/>
  <c r="G35" i="47"/>
  <c r="F35" i="47"/>
  <c r="E25" i="105"/>
  <c r="DV87" i="6"/>
  <c r="C88" i="111"/>
  <c r="DW87" i="6"/>
  <c r="C88" i="8"/>
  <c r="DT87" i="6"/>
  <c r="AE70" i="8"/>
  <c r="AF17" i="8"/>
  <c r="C7" i="13"/>
  <c r="E7" i="13" s="1"/>
  <c r="F7" i="13" s="1"/>
  <c r="AE112" i="8"/>
  <c r="DT40" i="6"/>
  <c r="DV40" i="6"/>
  <c r="DW40" i="6"/>
  <c r="E35" i="53"/>
  <c r="C41" i="111"/>
  <c r="C128" i="8"/>
  <c r="DV29" i="6"/>
  <c r="E35" i="41"/>
  <c r="DT29" i="6"/>
  <c r="C40" i="8"/>
  <c r="DW29" i="6"/>
  <c r="C30" i="111"/>
  <c r="H111" i="111"/>
  <c r="DT50" i="6"/>
  <c r="DV50" i="6"/>
  <c r="E35" i="72"/>
  <c r="C51" i="111"/>
  <c r="C71" i="8"/>
  <c r="C9" i="13" s="1"/>
  <c r="E9" i="13" s="1"/>
  <c r="F9" i="13" s="1"/>
  <c r="DW50" i="6"/>
  <c r="E25" i="91"/>
  <c r="C73" i="13"/>
  <c r="E73" i="13" s="1"/>
  <c r="F73" i="13" s="1"/>
  <c r="DT74" i="6"/>
  <c r="C144" i="8"/>
  <c r="DW74" i="6"/>
  <c r="DV74" i="6"/>
  <c r="C75" i="111"/>
  <c r="DW10" i="6"/>
  <c r="E35" i="22"/>
  <c r="DT10" i="6"/>
  <c r="C127" i="8"/>
  <c r="DV10" i="6"/>
  <c r="C11" i="111"/>
  <c r="D25" i="89"/>
  <c r="D27" i="89"/>
  <c r="DV57" i="6"/>
  <c r="E35" i="74"/>
  <c r="C58" i="111"/>
  <c r="DT57" i="6"/>
  <c r="C122" i="8"/>
  <c r="DW57" i="6"/>
  <c r="E35" i="39"/>
  <c r="DV26" i="6"/>
  <c r="DT26" i="6"/>
  <c r="DW26" i="6"/>
  <c r="C27" i="111"/>
  <c r="C124" i="8"/>
  <c r="AF124" i="8" s="1"/>
  <c r="AF99" i="8"/>
  <c r="AE62" i="8"/>
  <c r="AE125" i="8"/>
  <c r="AF146" i="8"/>
  <c r="H127" i="111"/>
  <c r="DT112" i="6"/>
  <c r="E25" i="140"/>
  <c r="DW112" i="6"/>
  <c r="C118" i="8"/>
  <c r="C113" i="111"/>
  <c r="DV112" i="6"/>
  <c r="J47" i="110"/>
  <c r="D27" i="156"/>
  <c r="D25" i="156"/>
  <c r="H135" i="111"/>
  <c r="AE52" i="8"/>
  <c r="AF71" i="8"/>
  <c r="AE113" i="8"/>
  <c r="D27" i="172"/>
  <c r="D25" i="172"/>
  <c r="D25" i="84"/>
  <c r="D27" i="84"/>
  <c r="D29" i="159"/>
  <c r="E29" i="159" s="1"/>
  <c r="D132" i="111"/>
  <c r="I132" i="111" s="1"/>
  <c r="J132" i="111" s="1"/>
  <c r="E27" i="159"/>
  <c r="F35" i="23"/>
  <c r="E73" i="15"/>
  <c r="D75" i="15"/>
  <c r="E75" i="15" s="1"/>
  <c r="D5" i="111"/>
  <c r="I5" i="111" s="1"/>
  <c r="J5" i="111" s="1"/>
  <c r="AE69" i="8"/>
  <c r="AF150" i="8"/>
  <c r="C49" i="13"/>
  <c r="E49" i="13" s="1"/>
  <c r="F49" i="13" s="1"/>
  <c r="AF36" i="8"/>
  <c r="AE126" i="8"/>
  <c r="D35" i="31"/>
  <c r="D37" i="31"/>
  <c r="D35" i="40"/>
  <c r="D37" i="40"/>
  <c r="G25" i="128"/>
  <c r="F25" i="128"/>
  <c r="D47" i="25"/>
  <c r="E47" i="25" s="1"/>
  <c r="E45" i="25"/>
  <c r="D13" i="111"/>
  <c r="I13" i="111" s="1"/>
  <c r="J13" i="111" s="1"/>
  <c r="E27" i="153"/>
  <c r="D29" i="153"/>
  <c r="E29" i="153" s="1"/>
  <c r="D126" i="111"/>
  <c r="I126" i="111" s="1"/>
  <c r="J126" i="111" s="1"/>
  <c r="AE121" i="8"/>
  <c r="AF115" i="8"/>
  <c r="D149" i="111"/>
  <c r="I149" i="111" s="1"/>
  <c r="J149" i="111" s="1"/>
  <c r="E27" i="179"/>
  <c r="D29" i="179"/>
  <c r="DV82" i="6"/>
  <c r="C83" i="111"/>
  <c r="E25" i="99"/>
  <c r="DW82" i="6"/>
  <c r="C44" i="8"/>
  <c r="DT82" i="6"/>
  <c r="D39" i="43"/>
  <c r="E39" i="43" s="1"/>
  <c r="D31" i="111"/>
  <c r="I31" i="111" s="1"/>
  <c r="J31" i="111" s="1"/>
  <c r="E37" i="43"/>
  <c r="C67" i="13" l="1"/>
  <c r="E67" i="13" s="1"/>
  <c r="F67" i="13" s="1"/>
  <c r="AF125" i="8"/>
  <c r="C26" i="13"/>
  <c r="E26" i="13" s="1"/>
  <c r="F26" i="13" s="1"/>
  <c r="C66" i="13"/>
  <c r="E66" i="13" s="1"/>
  <c r="F66" i="13" s="1"/>
  <c r="AE32" i="8"/>
  <c r="AF64" i="8"/>
  <c r="AF110" i="8"/>
  <c r="AF132" i="8"/>
  <c r="C57" i="13"/>
  <c r="E57" i="13" s="1"/>
  <c r="F57" i="13" s="1"/>
  <c r="AF20" i="8"/>
  <c r="AE134" i="8"/>
  <c r="AE54" i="8"/>
  <c r="AF65" i="8"/>
  <c r="C68" i="13"/>
  <c r="E68" i="13" s="1"/>
  <c r="F68" i="13" s="1"/>
  <c r="AE152" i="8"/>
  <c r="AF144" i="8"/>
  <c r="AF54" i="8"/>
  <c r="AF107" i="8"/>
  <c r="AF130" i="8"/>
  <c r="AF141" i="8"/>
  <c r="AF152" i="8"/>
  <c r="AF112" i="8"/>
  <c r="AE22" i="8"/>
  <c r="E64" i="111"/>
  <c r="G35" i="66"/>
  <c r="D39" i="76"/>
  <c r="E39" i="76" s="1"/>
  <c r="F25" i="136"/>
  <c r="AF26" i="8"/>
  <c r="G25" i="80"/>
  <c r="F35" i="44"/>
  <c r="AF53" i="8"/>
  <c r="AF12" i="8"/>
  <c r="E145" i="111"/>
  <c r="G35" i="61"/>
  <c r="D53" i="111"/>
  <c r="E37" i="60"/>
  <c r="D39" i="60"/>
  <c r="E39" i="60" s="1"/>
  <c r="G35" i="37"/>
  <c r="G35" i="60"/>
  <c r="AI1" i="8"/>
  <c r="G25" i="90"/>
  <c r="AE145" i="8"/>
  <c r="D7" i="111"/>
  <c r="I7" i="111" s="1"/>
  <c r="J7" i="111" s="1"/>
  <c r="D39" i="19"/>
  <c r="E39" i="19" s="1"/>
  <c r="E37" i="19"/>
  <c r="E130" i="111"/>
  <c r="C12" i="13"/>
  <c r="E12" i="13" s="1"/>
  <c r="F12" i="13" s="1"/>
  <c r="E139" i="111"/>
  <c r="AK43" i="8"/>
  <c r="G25" i="116"/>
  <c r="F25" i="96"/>
  <c r="D122" i="111"/>
  <c r="I122" i="111" s="1"/>
  <c r="J122" i="111" s="1"/>
  <c r="E35" i="111"/>
  <c r="G25" i="132"/>
  <c r="F25" i="132"/>
  <c r="G35" i="39"/>
  <c r="E27" i="174"/>
  <c r="D146" i="111"/>
  <c r="D29" i="174"/>
  <c r="E29" i="174" s="1"/>
  <c r="AF137" i="8"/>
  <c r="AE95" i="8"/>
  <c r="DW153" i="6"/>
  <c r="C363" i="8" s="1"/>
  <c r="C364" i="8" s="1"/>
  <c r="AF145" i="8"/>
  <c r="G25" i="160"/>
  <c r="H38" i="111"/>
  <c r="E38" i="111"/>
  <c r="D29" i="142"/>
  <c r="E29" i="142" s="1"/>
  <c r="D115" i="111"/>
  <c r="E27" i="142"/>
  <c r="AE141" i="8"/>
  <c r="AJ336" i="8"/>
  <c r="AF80" i="8"/>
  <c r="D80" i="111"/>
  <c r="I80" i="111" s="1"/>
  <c r="J80" i="111" s="1"/>
  <c r="D29" i="96"/>
  <c r="E29" i="96" s="1"/>
  <c r="E27" i="96"/>
  <c r="F25" i="175"/>
  <c r="D50" i="111"/>
  <c r="I50" i="111" s="1"/>
  <c r="J50" i="111" s="1"/>
  <c r="AE75" i="8"/>
  <c r="G25" i="94"/>
  <c r="G25" i="148"/>
  <c r="H26" i="111"/>
  <c r="I119" i="111"/>
  <c r="J119" i="111" s="1"/>
  <c r="H130" i="111"/>
  <c r="G25" i="142"/>
  <c r="G40" i="38"/>
  <c r="F40" i="38"/>
  <c r="E37" i="58"/>
  <c r="D46" i="111"/>
  <c r="I46" i="111" s="1"/>
  <c r="J46" i="111" s="1"/>
  <c r="D39" i="58"/>
  <c r="E39" i="58" s="1"/>
  <c r="E111" i="111"/>
  <c r="E71" i="111"/>
  <c r="G25" i="146"/>
  <c r="D44" i="38"/>
  <c r="E44" i="38" s="1"/>
  <c r="E42" i="38"/>
  <c r="D26" i="111"/>
  <c r="I26" i="111" s="1"/>
  <c r="J26" i="111" s="1"/>
  <c r="AE110" i="8"/>
  <c r="D47" i="111"/>
  <c r="I47" i="111" s="1"/>
  <c r="J47" i="111" s="1"/>
  <c r="E37" i="59"/>
  <c r="D39" i="59"/>
  <c r="E39" i="59" s="1"/>
  <c r="AF38" i="8"/>
  <c r="C38" i="13"/>
  <c r="E38" i="13" s="1"/>
  <c r="F38" i="13" s="1"/>
  <c r="AE116" i="8"/>
  <c r="E52" i="111"/>
  <c r="F25" i="145"/>
  <c r="F45" i="26"/>
  <c r="F25" i="173"/>
  <c r="G35" i="73"/>
  <c r="G25" i="149"/>
  <c r="D61" i="111"/>
  <c r="I61" i="111" s="1"/>
  <c r="J61" i="111" s="1"/>
  <c r="G35" i="50"/>
  <c r="G25" i="96"/>
  <c r="H98" i="111"/>
  <c r="E98" i="111"/>
  <c r="E37" i="33"/>
  <c r="D39" i="33"/>
  <c r="E39" i="33" s="1"/>
  <c r="D21" i="111"/>
  <c r="E127" i="111"/>
  <c r="F35" i="72"/>
  <c r="E62" i="111"/>
  <c r="F25" i="161"/>
  <c r="E141" i="111"/>
  <c r="DV153" i="6"/>
  <c r="DW155" i="6" s="1"/>
  <c r="G25" i="93"/>
  <c r="D68" i="111"/>
  <c r="I68" i="111" s="1"/>
  <c r="J68" i="111" s="1"/>
  <c r="E27" i="88"/>
  <c r="D29" i="88"/>
  <c r="E29" i="88" s="1"/>
  <c r="AF85" i="8"/>
  <c r="AE10" i="8"/>
  <c r="C59" i="13"/>
  <c r="E59" i="13" s="1"/>
  <c r="F59" i="13" s="1"/>
  <c r="E76" i="111"/>
  <c r="H76" i="111"/>
  <c r="H5" i="111"/>
  <c r="E5" i="111"/>
  <c r="AF104" i="8"/>
  <c r="AE68" i="8"/>
  <c r="D8" i="111"/>
  <c r="I8" i="111" s="1"/>
  <c r="J8" i="111" s="1"/>
  <c r="D49" i="20"/>
  <c r="E49" i="20" s="1"/>
  <c r="E47" i="20"/>
  <c r="H116" i="111"/>
  <c r="F25" i="156"/>
  <c r="G25" i="156"/>
  <c r="E51" i="111"/>
  <c r="H51" i="111"/>
  <c r="AE92" i="8"/>
  <c r="C56" i="13"/>
  <c r="E56" i="13" s="1"/>
  <c r="F56" i="13" s="1"/>
  <c r="AF93" i="8"/>
  <c r="G35" i="44"/>
  <c r="AE82" i="8"/>
  <c r="AI25" i="8"/>
  <c r="AF24" i="8"/>
  <c r="C65" i="13"/>
  <c r="E65" i="13" s="1"/>
  <c r="F65" i="13" s="1"/>
  <c r="H4" i="111"/>
  <c r="AF32" i="8"/>
  <c r="C28" i="13"/>
  <c r="E28" i="13" s="1"/>
  <c r="F28" i="13" s="1"/>
  <c r="AE33" i="8"/>
  <c r="G25" i="105"/>
  <c r="F25" i="105"/>
  <c r="F35" i="63"/>
  <c r="G35" i="63"/>
  <c r="F25" i="86"/>
  <c r="G25" i="86"/>
  <c r="AE122" i="8"/>
  <c r="C72" i="13"/>
  <c r="E72" i="13" s="1"/>
  <c r="F72" i="13" s="1"/>
  <c r="AF58" i="8"/>
  <c r="G35" i="57"/>
  <c r="G35" i="74"/>
  <c r="F35" i="74"/>
  <c r="H104" i="111"/>
  <c r="I137" i="111"/>
  <c r="J137" i="111" s="1"/>
  <c r="E137" i="111"/>
  <c r="D39" i="32"/>
  <c r="E39" i="32" s="1"/>
  <c r="D20" i="111"/>
  <c r="E37" i="32"/>
  <c r="F25" i="98"/>
  <c r="G25" i="143"/>
  <c r="F25" i="143"/>
  <c r="H113" i="111"/>
  <c r="E113" i="111"/>
  <c r="E121" i="111"/>
  <c r="I121" i="111"/>
  <c r="J121" i="111" s="1"/>
  <c r="F35" i="39"/>
  <c r="D29" i="87"/>
  <c r="E29" i="87" s="1"/>
  <c r="E27" i="87"/>
  <c r="D67" i="111"/>
  <c r="I67" i="111" s="1"/>
  <c r="J67" i="111" s="1"/>
  <c r="G26" i="107"/>
  <c r="F26" i="107"/>
  <c r="D29" i="83"/>
  <c r="E29" i="83" s="1"/>
  <c r="E27" i="83"/>
  <c r="D66" i="111"/>
  <c r="I66" i="111" s="1"/>
  <c r="J66" i="111" s="1"/>
  <c r="G35" i="67"/>
  <c r="E37" i="22"/>
  <c r="D39" i="22"/>
  <c r="E39" i="22" s="1"/>
  <c r="D11" i="111"/>
  <c r="I11" i="111" s="1"/>
  <c r="J11" i="111" s="1"/>
  <c r="D29" i="158"/>
  <c r="E29" i="158" s="1"/>
  <c r="E27" i="158"/>
  <c r="D131" i="111"/>
  <c r="I131" i="111" s="1"/>
  <c r="J131" i="111" s="1"/>
  <c r="AE37" i="8"/>
  <c r="AF81" i="8"/>
  <c r="C50" i="13"/>
  <c r="E50" i="13" s="1"/>
  <c r="F50" i="13" s="1"/>
  <c r="G25" i="144"/>
  <c r="F25" i="144"/>
  <c r="AE66" i="8"/>
  <c r="AF73" i="8"/>
  <c r="C48" i="13"/>
  <c r="E48" i="13" s="1"/>
  <c r="F48" i="13" s="1"/>
  <c r="I136" i="111"/>
  <c r="J136" i="111" s="1"/>
  <c r="E136" i="111"/>
  <c r="H92" i="111"/>
  <c r="E37" i="52"/>
  <c r="D39" i="52"/>
  <c r="E39" i="52" s="1"/>
  <c r="D40" i="111"/>
  <c r="I40" i="111" s="1"/>
  <c r="J40" i="111" s="1"/>
  <c r="F25" i="130"/>
  <c r="G25" i="130"/>
  <c r="D39" i="78"/>
  <c r="E39" i="78" s="1"/>
  <c r="E37" i="78"/>
  <c r="D63" i="111"/>
  <c r="I63" i="111" s="1"/>
  <c r="J63" i="111" s="1"/>
  <c r="D39" i="17"/>
  <c r="E39" i="17" s="1"/>
  <c r="E37" i="17"/>
  <c r="D4" i="111"/>
  <c r="I4" i="111" s="1"/>
  <c r="J4" i="111" s="1"/>
  <c r="AE28" i="8"/>
  <c r="C24" i="13"/>
  <c r="E24" i="13" s="1"/>
  <c r="F24" i="13" s="1"/>
  <c r="AF15" i="8"/>
  <c r="BO15" i="8" s="1"/>
  <c r="F35" i="19"/>
  <c r="G35" i="19"/>
  <c r="C84" i="13"/>
  <c r="E84" i="13" s="1"/>
  <c r="F84" i="13" s="1"/>
  <c r="AE44" i="8"/>
  <c r="AF83" i="8"/>
  <c r="D311" i="8"/>
  <c r="D39" i="31"/>
  <c r="E39" i="31" s="1"/>
  <c r="E37" i="31"/>
  <c r="D19" i="111"/>
  <c r="I19" i="111" s="1"/>
  <c r="J19" i="111" s="1"/>
  <c r="AE118" i="8"/>
  <c r="AF113" i="8"/>
  <c r="AE88" i="8"/>
  <c r="AF88" i="8"/>
  <c r="C80" i="13"/>
  <c r="E80" i="13" s="1"/>
  <c r="F80" i="13" s="1"/>
  <c r="H14" i="111"/>
  <c r="E14" i="111"/>
  <c r="G35" i="49"/>
  <c r="E149" i="111"/>
  <c r="D90" i="111"/>
  <c r="I90" i="111" s="1"/>
  <c r="J90" i="111" s="1"/>
  <c r="E28" i="107"/>
  <c r="D30" i="107"/>
  <c r="E30" i="107" s="1"/>
  <c r="G25" i="83"/>
  <c r="F25" i="83"/>
  <c r="H16" i="111"/>
  <c r="G35" i="75"/>
  <c r="F35" i="75"/>
  <c r="F35" i="22"/>
  <c r="G35" i="22"/>
  <c r="D29" i="171"/>
  <c r="E29" i="171" s="1"/>
  <c r="D143" i="111"/>
  <c r="I143" i="111" s="1"/>
  <c r="J143" i="111" s="1"/>
  <c r="E27" i="171"/>
  <c r="G25" i="158"/>
  <c r="F25" i="158"/>
  <c r="E38" i="18"/>
  <c r="D40" i="18"/>
  <c r="E40" i="18" s="1"/>
  <c r="D6" i="111"/>
  <c r="H22" i="111"/>
  <c r="H81" i="111"/>
  <c r="AF8" i="8"/>
  <c r="AE15" i="8"/>
  <c r="C8" i="13"/>
  <c r="E8" i="13" s="1"/>
  <c r="F8" i="13" s="1"/>
  <c r="E27" i="162"/>
  <c r="D29" i="162"/>
  <c r="E29" i="162" s="1"/>
  <c r="D135" i="111"/>
  <c r="F35" i="76"/>
  <c r="F35" i="41"/>
  <c r="G35" i="41"/>
  <c r="F35" i="53"/>
  <c r="G35" i="53"/>
  <c r="AF92" i="8"/>
  <c r="AE77" i="8"/>
  <c r="C55" i="13"/>
  <c r="E55" i="13" s="1"/>
  <c r="F55" i="13" s="1"/>
  <c r="F35" i="52"/>
  <c r="G35" i="52"/>
  <c r="H148" i="111"/>
  <c r="G35" i="78"/>
  <c r="F35" i="78"/>
  <c r="G35" i="42"/>
  <c r="F35" i="42"/>
  <c r="AF100" i="8"/>
  <c r="AE102" i="8"/>
  <c r="G35" i="17"/>
  <c r="F35" i="17"/>
  <c r="E33" i="111"/>
  <c r="H33" i="111"/>
  <c r="D83" i="111"/>
  <c r="I83" i="111" s="1"/>
  <c r="J83" i="111" s="1"/>
  <c r="D29" i="99"/>
  <c r="E29" i="99" s="1"/>
  <c r="E27" i="99"/>
  <c r="D151" i="111"/>
  <c r="E29" i="179"/>
  <c r="E93" i="111"/>
  <c r="H93" i="111"/>
  <c r="AE133" i="8"/>
  <c r="AF59" i="8"/>
  <c r="C78" i="13"/>
  <c r="E78" i="13" s="1"/>
  <c r="F78" i="13" s="1"/>
  <c r="D29" i="167"/>
  <c r="E29" i="167" s="1"/>
  <c r="E27" i="167"/>
  <c r="D140" i="111"/>
  <c r="I140" i="111" s="1"/>
  <c r="J140" i="111" s="1"/>
  <c r="H67" i="111"/>
  <c r="H50" i="111"/>
  <c r="E50" i="111"/>
  <c r="F25" i="155"/>
  <c r="G25" i="155"/>
  <c r="D29" i="94"/>
  <c r="E29" i="94" s="1"/>
  <c r="E27" i="94"/>
  <c r="D39" i="48"/>
  <c r="E39" i="48" s="1"/>
  <c r="E37" i="48"/>
  <c r="D36" i="111"/>
  <c r="H60" i="111"/>
  <c r="G35" i="62"/>
  <c r="F35" i="62"/>
  <c r="H45" i="111"/>
  <c r="E45" i="111"/>
  <c r="H40" i="111"/>
  <c r="H56" i="111"/>
  <c r="D70" i="111"/>
  <c r="I70" i="111" s="1"/>
  <c r="J70" i="111" s="1"/>
  <c r="D29" i="84"/>
  <c r="E29" i="84" s="1"/>
  <c r="E27" i="84"/>
  <c r="AE127" i="8"/>
  <c r="AF11" i="8"/>
  <c r="C13" i="13"/>
  <c r="E13" i="13" s="1"/>
  <c r="F13" i="13" s="1"/>
  <c r="C154" i="111"/>
  <c r="AF66" i="8"/>
  <c r="AE58" i="8"/>
  <c r="C74" i="13"/>
  <c r="E74" i="13" s="1"/>
  <c r="F74" i="13" s="1"/>
  <c r="C33" i="13"/>
  <c r="E33" i="13" s="1"/>
  <c r="F33" i="13" s="1"/>
  <c r="AE73" i="8"/>
  <c r="AF57" i="8"/>
  <c r="G25" i="167"/>
  <c r="F25" i="167"/>
  <c r="C90" i="13"/>
  <c r="E90" i="13" s="1"/>
  <c r="F90" i="13" s="1"/>
  <c r="AF49" i="8"/>
  <c r="AE123" i="8"/>
  <c r="AE61" i="8"/>
  <c r="AD332" i="8"/>
  <c r="AD329" i="8"/>
  <c r="AF94" i="8"/>
  <c r="H37" i="111"/>
  <c r="E37" i="111"/>
  <c r="AF55" i="8"/>
  <c r="AE76" i="8"/>
  <c r="C32" i="13"/>
  <c r="E32" i="13" s="1"/>
  <c r="F32" i="13" s="1"/>
  <c r="E32" i="111"/>
  <c r="H32" i="111"/>
  <c r="AE91" i="8"/>
  <c r="AF134" i="8"/>
  <c r="AE72" i="8"/>
  <c r="AF129" i="8"/>
  <c r="D39" i="62"/>
  <c r="E39" i="62" s="1"/>
  <c r="E37" i="62"/>
  <c r="D56" i="111"/>
  <c r="I56" i="111" s="1"/>
  <c r="J56" i="111" s="1"/>
  <c r="C63" i="13"/>
  <c r="E63" i="13" s="1"/>
  <c r="F63" i="13" s="1"/>
  <c r="AE56" i="8"/>
  <c r="AF40" i="8"/>
  <c r="BY162" i="6"/>
  <c r="BY161" i="6"/>
  <c r="DT153" i="6"/>
  <c r="AE311" i="8"/>
  <c r="C332" i="8"/>
  <c r="C330" i="8"/>
  <c r="F25" i="84"/>
  <c r="G25" i="84"/>
  <c r="F25" i="106"/>
  <c r="G25" i="106"/>
  <c r="D29" i="86"/>
  <c r="E29" i="86" s="1"/>
  <c r="D72" i="111"/>
  <c r="I72" i="111" s="1"/>
  <c r="J72" i="111" s="1"/>
  <c r="E27" i="86"/>
  <c r="D142" i="111"/>
  <c r="I142" i="111" s="1"/>
  <c r="J142" i="111" s="1"/>
  <c r="D29" i="170"/>
  <c r="E29" i="170" s="1"/>
  <c r="E27" i="170"/>
  <c r="G25" i="88"/>
  <c r="F25" i="88"/>
  <c r="G45" i="20"/>
  <c r="F45" i="20"/>
  <c r="G35" i="27"/>
  <c r="F35" i="27"/>
  <c r="F35" i="56"/>
  <c r="G35" i="56"/>
  <c r="AF131" i="8"/>
  <c r="AE129" i="8"/>
  <c r="AI46" i="8"/>
  <c r="AF45" i="8"/>
  <c r="AE114" i="8"/>
  <c r="C82" i="13"/>
  <c r="E82" i="13" s="1"/>
  <c r="F82" i="13" s="1"/>
  <c r="E31" i="111"/>
  <c r="E27" i="156"/>
  <c r="D129" i="111"/>
  <c r="I129" i="111" s="1"/>
  <c r="J129" i="111" s="1"/>
  <c r="D29" i="156"/>
  <c r="E29" i="156" s="1"/>
  <c r="H41" i="111"/>
  <c r="D89" i="111"/>
  <c r="D29" i="106"/>
  <c r="E29" i="106" s="1"/>
  <c r="E27" i="106"/>
  <c r="AF28" i="8"/>
  <c r="C64" i="13"/>
  <c r="E64" i="13" s="1"/>
  <c r="F64" i="13" s="1"/>
  <c r="AE41" i="8"/>
  <c r="F25" i="170"/>
  <c r="G25" i="170"/>
  <c r="E24" i="111"/>
  <c r="H24" i="111"/>
  <c r="C36" i="13"/>
  <c r="E36" i="13" s="1"/>
  <c r="F36" i="13" s="1"/>
  <c r="AE132" i="8"/>
  <c r="AF50" i="8"/>
  <c r="C76" i="13"/>
  <c r="E76" i="13" s="1"/>
  <c r="F76" i="13" s="1"/>
  <c r="AE21" i="8"/>
  <c r="AF68" i="8"/>
  <c r="E12" i="111"/>
  <c r="D29" i="97"/>
  <c r="E29" i="97" s="1"/>
  <c r="D81" i="111"/>
  <c r="I81" i="111" s="1"/>
  <c r="J81" i="111" s="1"/>
  <c r="E27" i="97"/>
  <c r="AF116" i="8"/>
  <c r="AE149" i="8"/>
  <c r="E55" i="111"/>
  <c r="H55" i="111"/>
  <c r="G35" i="68"/>
  <c r="D39" i="27"/>
  <c r="E39" i="27" s="1"/>
  <c r="E37" i="27"/>
  <c r="D15" i="111"/>
  <c r="I15" i="111" s="1"/>
  <c r="J15" i="111" s="1"/>
  <c r="E37" i="56"/>
  <c r="D39" i="56"/>
  <c r="E39" i="56" s="1"/>
  <c r="D44" i="111"/>
  <c r="I44" i="111" s="1"/>
  <c r="J44" i="111" s="1"/>
  <c r="F25" i="103"/>
  <c r="AF148" i="8"/>
  <c r="AE43" i="8"/>
  <c r="F25" i="134"/>
  <c r="G25" i="134"/>
  <c r="E109" i="111"/>
  <c r="I109" i="111"/>
  <c r="J109" i="111" s="1"/>
  <c r="AF61" i="8"/>
  <c r="C46" i="13"/>
  <c r="E46" i="13" s="1"/>
  <c r="F46" i="13" s="1"/>
  <c r="AE104" i="8"/>
  <c r="AF56" i="8"/>
  <c r="AK37" i="8"/>
  <c r="AK39" i="8" s="1"/>
  <c r="C45" i="13"/>
  <c r="E45" i="13" s="1"/>
  <c r="F45" i="13" s="1"/>
  <c r="AE120" i="8"/>
  <c r="D49" i="110"/>
  <c r="D47" i="110"/>
  <c r="D92" i="111"/>
  <c r="I92" i="111" s="1"/>
  <c r="J92" i="111" s="1"/>
  <c r="E27" i="114"/>
  <c r="D29" i="114"/>
  <c r="E29" i="114" s="1"/>
  <c r="E27" i="105"/>
  <c r="D29" i="105"/>
  <c r="E29" i="105" s="1"/>
  <c r="D88" i="111"/>
  <c r="I88" i="111" s="1"/>
  <c r="J88" i="111" s="1"/>
  <c r="G25" i="92"/>
  <c r="F25" i="92"/>
  <c r="AE23" i="8"/>
  <c r="C31" i="13"/>
  <c r="E31" i="13" s="1"/>
  <c r="F31" i="13" s="1"/>
  <c r="AF67" i="8"/>
  <c r="D116" i="111"/>
  <c r="I116" i="111" s="1"/>
  <c r="J116" i="111" s="1"/>
  <c r="E27" i="143"/>
  <c r="D29" i="143"/>
  <c r="E29" i="143" s="1"/>
  <c r="AE79" i="8"/>
  <c r="AF143" i="8"/>
  <c r="E123" i="111"/>
  <c r="E122" i="111"/>
  <c r="H122" i="111"/>
  <c r="E47" i="111"/>
  <c r="H47" i="111"/>
  <c r="AE109" i="8"/>
  <c r="C44" i="13"/>
  <c r="E44" i="13" s="1"/>
  <c r="F44" i="13" s="1"/>
  <c r="AF19" i="8"/>
  <c r="E134" i="111"/>
  <c r="H134" i="111"/>
  <c r="E27" i="134"/>
  <c r="D29" i="134"/>
  <c r="E29" i="134" s="1"/>
  <c r="D107" i="111"/>
  <c r="H131" i="111"/>
  <c r="E61" i="111"/>
  <c r="H61" i="111"/>
  <c r="H7" i="111"/>
  <c r="E7" i="111"/>
  <c r="G35" i="72"/>
  <c r="D39" i="40"/>
  <c r="E39" i="40" s="1"/>
  <c r="D28" i="111"/>
  <c r="I28" i="111" s="1"/>
  <c r="J28" i="111" s="1"/>
  <c r="E37" i="40"/>
  <c r="G25" i="172"/>
  <c r="F25" i="172"/>
  <c r="E75" i="111"/>
  <c r="H75" i="111"/>
  <c r="G25" i="114"/>
  <c r="F25" i="114"/>
  <c r="G25" i="87"/>
  <c r="F25" i="87"/>
  <c r="H90" i="111"/>
  <c r="AF122" i="8"/>
  <c r="AE117" i="8"/>
  <c r="G35" i="59"/>
  <c r="F35" i="59"/>
  <c r="E27" i="144"/>
  <c r="D117" i="111"/>
  <c r="D29" i="144"/>
  <c r="E29" i="144" s="1"/>
  <c r="G35" i="32"/>
  <c r="F35" i="32"/>
  <c r="I147" i="111"/>
  <c r="J147" i="111" s="1"/>
  <c r="E147" i="111"/>
  <c r="D29" i="130"/>
  <c r="E29" i="130" s="1"/>
  <c r="D104" i="111"/>
  <c r="I104" i="111" s="1"/>
  <c r="J104" i="111" s="1"/>
  <c r="E27" i="130"/>
  <c r="AE101" i="8"/>
  <c r="AH29" i="8"/>
  <c r="C22" i="13"/>
  <c r="E22" i="13" s="1"/>
  <c r="F22" i="13" s="1"/>
  <c r="AF29" i="8"/>
  <c r="H100" i="111"/>
  <c r="AF7" i="8"/>
  <c r="C17" i="13"/>
  <c r="E17" i="13" s="1"/>
  <c r="F17" i="13" s="1"/>
  <c r="AE36" i="8"/>
  <c r="G35" i="40"/>
  <c r="F35" i="40"/>
  <c r="H58" i="111"/>
  <c r="AE51" i="8"/>
  <c r="AF42" i="8"/>
  <c r="C16" i="13"/>
  <c r="E16" i="13" s="1"/>
  <c r="F16" i="13" s="1"/>
  <c r="AF140" i="8"/>
  <c r="AE130" i="8"/>
  <c r="H95" i="111"/>
  <c r="E95" i="111"/>
  <c r="F35" i="31"/>
  <c r="G35" i="31"/>
  <c r="AF75" i="8"/>
  <c r="C34" i="13"/>
  <c r="E34" i="13" s="1"/>
  <c r="F34" i="13" s="1"/>
  <c r="AE144" i="8"/>
  <c r="G35" i="54"/>
  <c r="F35" i="54"/>
  <c r="C53" i="13"/>
  <c r="E53" i="13" s="1"/>
  <c r="F53" i="13" s="1"/>
  <c r="AF84" i="8"/>
  <c r="AE59" i="8"/>
  <c r="H46" i="111"/>
  <c r="F25" i="119"/>
  <c r="G25" i="119"/>
  <c r="F35" i="36"/>
  <c r="AE19" i="8"/>
  <c r="AF90" i="8"/>
  <c r="C58" i="13"/>
  <c r="E58" i="13" s="1"/>
  <c r="F58" i="13" s="1"/>
  <c r="AE3" i="8"/>
  <c r="C71" i="13"/>
  <c r="E71" i="13" s="1"/>
  <c r="F71" i="13" s="1"/>
  <c r="AF63" i="8"/>
  <c r="AK44" i="8"/>
  <c r="AK45" i="8" s="1"/>
  <c r="E27" i="126"/>
  <c r="D100" i="111"/>
  <c r="I100" i="111" s="1"/>
  <c r="J100" i="111" s="1"/>
  <c r="D29" i="126"/>
  <c r="E29" i="126" s="1"/>
  <c r="AF23" i="8"/>
  <c r="C75" i="13"/>
  <c r="E75" i="13" s="1"/>
  <c r="F75" i="13" s="1"/>
  <c r="AK22" i="8"/>
  <c r="AE34" i="8"/>
  <c r="I114" i="111"/>
  <c r="J114" i="111" s="1"/>
  <c r="E114" i="111"/>
  <c r="F25" i="162"/>
  <c r="G25" i="162"/>
  <c r="D30" i="111"/>
  <c r="I30" i="111" s="1"/>
  <c r="J30" i="111" s="1"/>
  <c r="E37" i="41"/>
  <c r="D39" i="41"/>
  <c r="E39" i="41" s="1"/>
  <c r="G35" i="34"/>
  <c r="F35" i="34"/>
  <c r="D39" i="53"/>
  <c r="E39" i="53" s="1"/>
  <c r="D41" i="111"/>
  <c r="I41" i="111" s="1"/>
  <c r="J41" i="111" s="1"/>
  <c r="E37" i="53"/>
  <c r="D44" i="21"/>
  <c r="E44" i="21" s="1"/>
  <c r="E42" i="21"/>
  <c r="D9" i="111"/>
  <c r="I138" i="111"/>
  <c r="J138" i="111" s="1"/>
  <c r="E138" i="111"/>
  <c r="H25" i="111"/>
  <c r="E25" i="111"/>
  <c r="F25" i="99"/>
  <c r="G25" i="99"/>
  <c r="G25" i="140"/>
  <c r="F25" i="140"/>
  <c r="AE124" i="8"/>
  <c r="AF27" i="8"/>
  <c r="C81" i="13"/>
  <c r="E81" i="13" s="1"/>
  <c r="F81" i="13" s="1"/>
  <c r="H88" i="111"/>
  <c r="E42" i="111"/>
  <c r="H42" i="111"/>
  <c r="AE12" i="8"/>
  <c r="C42" i="13"/>
  <c r="E42" i="13" s="1"/>
  <c r="F42" i="13" s="1"/>
  <c r="AF14" i="8"/>
  <c r="C41" i="13"/>
  <c r="E41" i="13" s="1"/>
  <c r="F41" i="13" s="1"/>
  <c r="AE25" i="8"/>
  <c r="AF72" i="8"/>
  <c r="E142" i="111"/>
  <c r="H142" i="111"/>
  <c r="AF70" i="8"/>
  <c r="AE17" i="8"/>
  <c r="C43" i="13"/>
  <c r="E43" i="13" s="1"/>
  <c r="F43" i="13" s="1"/>
  <c r="AF133" i="8"/>
  <c r="AE150" i="8"/>
  <c r="E37" i="11"/>
  <c r="D39" i="11"/>
  <c r="E39" i="11" s="1"/>
  <c r="D39" i="111"/>
  <c r="D29" i="119"/>
  <c r="E29" i="119" s="1"/>
  <c r="E27" i="119"/>
  <c r="G25" i="104"/>
  <c r="F25" i="104"/>
  <c r="G25" i="176"/>
  <c r="F25" i="176"/>
  <c r="G25" i="126"/>
  <c r="F25" i="126"/>
  <c r="E48" i="111"/>
  <c r="I120" i="111"/>
  <c r="J120" i="111" s="1"/>
  <c r="E120" i="111"/>
  <c r="AE97" i="8"/>
  <c r="C87" i="13"/>
  <c r="E87" i="13" s="1"/>
  <c r="F87" i="13" s="1"/>
  <c r="AF69" i="8"/>
  <c r="E37" i="34"/>
  <c r="D22" i="111"/>
  <c r="I22" i="111" s="1"/>
  <c r="J22" i="111" s="1"/>
  <c r="D39" i="34"/>
  <c r="E39" i="34" s="1"/>
  <c r="E73" i="111"/>
  <c r="H73" i="111"/>
  <c r="AF77" i="8"/>
  <c r="C39" i="13"/>
  <c r="E39" i="13" s="1"/>
  <c r="F39" i="13" s="1"/>
  <c r="AE31" i="8"/>
  <c r="F40" i="21"/>
  <c r="G40" i="21"/>
  <c r="E29" i="111"/>
  <c r="H29" i="111"/>
  <c r="AE16" i="8"/>
  <c r="AK23" i="8"/>
  <c r="AF25" i="8"/>
  <c r="C30" i="13"/>
  <c r="E30" i="13" s="1"/>
  <c r="F30" i="13" s="1"/>
  <c r="E13" i="111"/>
  <c r="H83" i="111"/>
  <c r="H27" i="111"/>
  <c r="E27" i="111"/>
  <c r="G25" i="89"/>
  <c r="F25" i="89"/>
  <c r="AF30" i="8"/>
  <c r="C69" i="13"/>
  <c r="E69" i="13" s="1"/>
  <c r="F69" i="13" s="1"/>
  <c r="AE40" i="8"/>
  <c r="H72" i="111"/>
  <c r="G35" i="71"/>
  <c r="E102" i="111"/>
  <c r="I102" i="111"/>
  <c r="J102" i="111" s="1"/>
  <c r="AF142" i="8"/>
  <c r="AE60" i="8"/>
  <c r="H66" i="111"/>
  <c r="E133" i="111"/>
  <c r="H133" i="111"/>
  <c r="E124" i="111"/>
  <c r="F35" i="11"/>
  <c r="G35" i="11"/>
  <c r="AE146" i="8"/>
  <c r="AF87" i="8"/>
  <c r="C47" i="13"/>
  <c r="E47" i="13" s="1"/>
  <c r="F47" i="13" s="1"/>
  <c r="AF16" i="8"/>
  <c r="C19" i="13"/>
  <c r="E19" i="13" s="1"/>
  <c r="F19" i="13" s="1"/>
  <c r="AE105" i="8"/>
  <c r="H44" i="111"/>
  <c r="D29" i="176"/>
  <c r="E29" i="176" s="1"/>
  <c r="E27" i="176"/>
  <c r="D148" i="111"/>
  <c r="I148" i="111" s="1"/>
  <c r="J148" i="111" s="1"/>
  <c r="C60" i="13"/>
  <c r="E60" i="13" s="1"/>
  <c r="F60" i="13" s="1"/>
  <c r="AK17" i="8"/>
  <c r="AK24" i="8" s="1"/>
  <c r="AE4" i="8"/>
  <c r="AF5" i="8"/>
  <c r="H34" i="111"/>
  <c r="E34" i="111"/>
  <c r="C6" i="13"/>
  <c r="E6" i="13" s="1"/>
  <c r="F6" i="13" s="1"/>
  <c r="AE20" i="8"/>
  <c r="AF22" i="8"/>
  <c r="F35" i="35"/>
  <c r="G35" i="35"/>
  <c r="E126" i="111"/>
  <c r="C77" i="13"/>
  <c r="E77" i="13" s="1"/>
  <c r="F77" i="13" s="1"/>
  <c r="AE139" i="8"/>
  <c r="AF86" i="8"/>
  <c r="E77" i="111"/>
  <c r="H77" i="111"/>
  <c r="H128" i="111"/>
  <c r="F25" i="95"/>
  <c r="G25" i="95"/>
  <c r="E17" i="111"/>
  <c r="G9" i="117"/>
  <c r="G5" i="117"/>
  <c r="G4" i="117"/>
  <c r="G8" i="117"/>
  <c r="D26" i="117"/>
  <c r="G6" i="117"/>
  <c r="G10" i="117"/>
  <c r="G7" i="117"/>
  <c r="C10" i="117"/>
  <c r="I103" i="111"/>
  <c r="J103" i="111" s="1"/>
  <c r="E103" i="111"/>
  <c r="AE98" i="8"/>
  <c r="AF33" i="8"/>
  <c r="BO33" i="8" s="1"/>
  <c r="C37" i="13"/>
  <c r="E37" i="13" s="1"/>
  <c r="F37" i="13" s="1"/>
  <c r="H57" i="111"/>
  <c r="E57" i="111"/>
  <c r="AF37" i="8"/>
  <c r="AE135" i="8"/>
  <c r="C70" i="13"/>
  <c r="E70" i="13" s="1"/>
  <c r="F70" i="13" s="1"/>
  <c r="F35" i="46"/>
  <c r="G35" i="46"/>
  <c r="H78" i="111"/>
  <c r="E78" i="111"/>
  <c r="AF51" i="8"/>
  <c r="C18" i="13"/>
  <c r="E18" i="13" s="1"/>
  <c r="F18" i="13" s="1"/>
  <c r="AE71" i="8"/>
  <c r="E68" i="111"/>
  <c r="H68" i="111"/>
  <c r="AF41" i="8"/>
  <c r="AE128" i="8"/>
  <c r="C5" i="13"/>
  <c r="E5" i="13" s="1"/>
  <c r="F5" i="13" s="1"/>
  <c r="H28" i="111"/>
  <c r="H140" i="111"/>
  <c r="F35" i="28"/>
  <c r="G35" i="28"/>
  <c r="AF78" i="8"/>
  <c r="AE81" i="8"/>
  <c r="C52" i="13"/>
  <c r="E52" i="13" s="1"/>
  <c r="F52" i="13" s="1"/>
  <c r="AF47" i="8"/>
  <c r="AE138" i="8"/>
  <c r="C88" i="13"/>
  <c r="E88" i="13" s="1"/>
  <c r="F88" i="13" s="1"/>
  <c r="C51" i="13"/>
  <c r="E51" i="13" s="1"/>
  <c r="F51" i="13" s="1"/>
  <c r="AF82" i="8"/>
  <c r="AE78" i="8"/>
  <c r="E27" i="100"/>
  <c r="D29" i="100"/>
  <c r="E29" i="100" s="1"/>
  <c r="D84" i="111"/>
  <c r="I84" i="111" s="1"/>
  <c r="J84" i="111" s="1"/>
  <c r="D16" i="111"/>
  <c r="I16" i="111" s="1"/>
  <c r="J16" i="111" s="1"/>
  <c r="E37" i="28"/>
  <c r="D39" i="28"/>
  <c r="E39" i="28" s="1"/>
  <c r="E37" i="74"/>
  <c r="D39" i="74"/>
  <c r="E39" i="74" s="1"/>
  <c r="D58" i="111"/>
  <c r="I58" i="111" s="1"/>
  <c r="J58" i="111" s="1"/>
  <c r="H143" i="111"/>
  <c r="F25" i="100"/>
  <c r="G25" i="100"/>
  <c r="F25" i="97"/>
  <c r="G25" i="97"/>
  <c r="AE14" i="8"/>
  <c r="AF4" i="8"/>
  <c r="AK27" i="8"/>
  <c r="AK33" i="8" s="1"/>
  <c r="C4" i="13"/>
  <c r="E4" i="13" s="1"/>
  <c r="F4" i="13" s="1"/>
  <c r="H15" i="111"/>
  <c r="H19" i="111"/>
  <c r="E27" i="172"/>
  <c r="D29" i="172"/>
  <c r="E29" i="172" s="1"/>
  <c r="D144" i="111"/>
  <c r="H84" i="111"/>
  <c r="H30" i="111"/>
  <c r="E37" i="75"/>
  <c r="D39" i="75"/>
  <c r="E39" i="75" s="1"/>
  <c r="D60" i="111"/>
  <c r="I60" i="111" s="1"/>
  <c r="J60" i="111" s="1"/>
  <c r="F25" i="171"/>
  <c r="G25" i="171"/>
  <c r="G36" i="18"/>
  <c r="F36" i="18"/>
  <c r="H8" i="111"/>
  <c r="E54" i="111"/>
  <c r="I54" i="111"/>
  <c r="J54" i="111" s="1"/>
  <c r="E101" i="111"/>
  <c r="AF118" i="8"/>
  <c r="AE108" i="8"/>
  <c r="D69" i="111"/>
  <c r="I69" i="111" s="1"/>
  <c r="J69" i="111" s="1"/>
  <c r="D29" i="89"/>
  <c r="E29" i="89" s="1"/>
  <c r="E27" i="89"/>
  <c r="C61" i="13"/>
  <c r="E61" i="13" s="1"/>
  <c r="F61" i="13" s="1"/>
  <c r="AF46" i="8"/>
  <c r="BR46" i="8"/>
  <c r="AE13" i="8"/>
  <c r="AE106" i="8"/>
  <c r="AF95" i="8"/>
  <c r="AE136" i="8"/>
  <c r="AF34" i="8"/>
  <c r="C14" i="13"/>
  <c r="E14" i="13" s="1"/>
  <c r="F14" i="13" s="1"/>
  <c r="H11" i="111"/>
  <c r="F25" i="91"/>
  <c r="G25" i="91"/>
  <c r="H59" i="111"/>
  <c r="E59" i="111"/>
  <c r="G35" i="58"/>
  <c r="F35" i="58"/>
  <c r="H70" i="111"/>
  <c r="AF76" i="8"/>
  <c r="AE103" i="8"/>
  <c r="E96" i="111"/>
  <c r="H87" i="111"/>
  <c r="E87" i="111"/>
  <c r="H49" i="111"/>
  <c r="E49" i="111"/>
  <c r="AF44" i="8"/>
  <c r="AE30" i="8"/>
  <c r="C83" i="13"/>
  <c r="E83" i="13" s="1"/>
  <c r="F83" i="13" s="1"/>
  <c r="E94" i="111"/>
  <c r="H94" i="111"/>
  <c r="D128" i="111"/>
  <c r="I128" i="111" s="1"/>
  <c r="J128" i="111" s="1"/>
  <c r="D29" i="155"/>
  <c r="E29" i="155" s="1"/>
  <c r="E27" i="155"/>
  <c r="H63" i="111"/>
  <c r="E23" i="111"/>
  <c r="H23" i="111"/>
  <c r="H69" i="111"/>
  <c r="H86" i="111"/>
  <c r="E86" i="111"/>
  <c r="E82" i="111"/>
  <c r="H82" i="111"/>
  <c r="AF128" i="8"/>
  <c r="AE26" i="8"/>
  <c r="D79" i="111"/>
  <c r="E27" i="95"/>
  <c r="D29" i="95"/>
  <c r="E29" i="95" s="1"/>
  <c r="G35" i="48"/>
  <c r="F35" i="48"/>
  <c r="I108" i="111"/>
  <c r="J108" i="111" s="1"/>
  <c r="E108" i="111"/>
  <c r="H129" i="111"/>
  <c r="AE5" i="8"/>
  <c r="AF60" i="8"/>
  <c r="C89" i="13"/>
  <c r="E89" i="13" s="1"/>
  <c r="F89" i="13" s="1"/>
  <c r="E132" i="111"/>
  <c r="E27" i="93"/>
  <c r="D29" i="93"/>
  <c r="E29" i="93" s="1"/>
  <c r="H118" i="111"/>
  <c r="E118" i="111"/>
  <c r="E92" i="111" l="1"/>
  <c r="E131" i="111"/>
  <c r="E100" i="111"/>
  <c r="E104" i="111"/>
  <c r="E88" i="111"/>
  <c r="E58" i="111"/>
  <c r="I53" i="111"/>
  <c r="J53" i="111" s="1"/>
  <c r="E53" i="111"/>
  <c r="AI50" i="8"/>
  <c r="E72" i="111"/>
  <c r="I146" i="111"/>
  <c r="J146" i="111" s="1"/>
  <c r="E146" i="111"/>
  <c r="E40" i="111"/>
  <c r="C328" i="8"/>
  <c r="I21" i="111"/>
  <c r="J21" i="111" s="1"/>
  <c r="E21" i="111"/>
  <c r="I115" i="111"/>
  <c r="J115" i="111" s="1"/>
  <c r="E115" i="111"/>
  <c r="E67" i="111"/>
  <c r="E30" i="111"/>
  <c r="E70" i="111"/>
  <c r="E140" i="111"/>
  <c r="E80" i="111"/>
  <c r="E8" i="111"/>
  <c r="E83" i="111"/>
  <c r="G11" i="117"/>
  <c r="E84" i="111"/>
  <c r="E128" i="111"/>
  <c r="E69" i="111"/>
  <c r="E46" i="111"/>
  <c r="E26" i="111"/>
  <c r="H154" i="111"/>
  <c r="I9" i="111"/>
  <c r="J9" i="111" s="1"/>
  <c r="E9" i="111"/>
  <c r="I144" i="111"/>
  <c r="J144" i="111" s="1"/>
  <c r="E144" i="111"/>
  <c r="AE329" i="8"/>
  <c r="D155" i="111"/>
  <c r="I79" i="111"/>
  <c r="J79" i="111" s="1"/>
  <c r="E79" i="111"/>
  <c r="E11" i="111"/>
  <c r="E143" i="111"/>
  <c r="E28" i="111"/>
  <c r="E66" i="111"/>
  <c r="I39" i="111"/>
  <c r="J39" i="111" s="1"/>
  <c r="E39" i="111"/>
  <c r="I151" i="111"/>
  <c r="J151" i="111" s="1"/>
  <c r="E151" i="111"/>
  <c r="E22" i="111"/>
  <c r="I117" i="111"/>
  <c r="J117" i="111" s="1"/>
  <c r="E117" i="111"/>
  <c r="E15" i="111"/>
  <c r="I89" i="111"/>
  <c r="J89" i="111" s="1"/>
  <c r="E89" i="111"/>
  <c r="I6" i="111"/>
  <c r="J6" i="111" s="1"/>
  <c r="E6" i="111"/>
  <c r="E90" i="111"/>
  <c r="E41" i="111"/>
  <c r="G47" i="110"/>
  <c r="F47" i="110"/>
  <c r="I135" i="111"/>
  <c r="J135" i="111" s="1"/>
  <c r="E135" i="111"/>
  <c r="E56" i="111"/>
  <c r="E44" i="111"/>
  <c r="I107" i="111"/>
  <c r="J107" i="111" s="1"/>
  <c r="E107" i="111"/>
  <c r="E81" i="111"/>
  <c r="E63" i="111"/>
  <c r="E19" i="111"/>
  <c r="E16" i="111"/>
  <c r="E60" i="111"/>
  <c r="E4" i="111"/>
  <c r="E129" i="111"/>
  <c r="E30" i="117"/>
  <c r="E29" i="117"/>
  <c r="D54" i="110"/>
  <c r="D3" i="111"/>
  <c r="E49" i="110"/>
  <c r="D51" i="110"/>
  <c r="E51" i="110" s="1"/>
  <c r="I36" i="111"/>
  <c r="J36" i="111" s="1"/>
  <c r="E36" i="111"/>
  <c r="E148" i="111"/>
  <c r="I20" i="111"/>
  <c r="E20" i="111"/>
  <c r="E116" i="111"/>
  <c r="I3" i="111" l="1"/>
  <c r="E3" i="111"/>
  <c r="C155" i="111" l="1"/>
  <c r="E154" i="111"/>
  <c r="J3" i="111"/>
  <c r="J154" i="111" s="1"/>
  <c r="I154" i="1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tc={5CEB7491-41F3-4AAD-B73B-2E6C94E66FBD}</author>
    <author>tc={17D745E9-98FB-4890-929E-CBD0BA252ECF}</author>
    <author>tc={FC5E8BB9-1611-4B6C-AC68-0F563DB4068F}</author>
    <author>tc={569B232B-ED69-4A2D-9FBD-2CA9BF2464DF}</author>
    <author>tc={834E8054-1EB8-4FDB-A237-65BD58179CB3}</author>
    <author>tc={15FA9B5B-7818-4426-A6F9-3CD6CF88F175}</author>
    <author>tc={B0E7BD59-B6E7-42D4-87DC-A752E020BA1F}</author>
    <author>tc={CCA4ED11-E566-4BC8-832C-E04DDC89054F}</author>
    <author>tc={6CCBB777-D239-4D5D-846C-57B3E42761A7}</author>
    <author>tc={3AC67E14-EEB1-4191-B46B-16A1736F2F30}</author>
    <author>tc={5177F5E6-188B-4BF3-B030-35B7280690D8}</author>
    <author>tc={5347EBD1-9134-4AC4-8FE2-5AD79B962BF6}</author>
    <author>tc={752684CD-DB4D-4DEA-A683-64FC7D18DA73}</author>
    <author>tc={F80FF2DF-7FD6-40AE-BF22-BD8E80F8CD2B}</author>
    <author>tc={D7DC1540-06FE-4032-BAEB-192A838A8DCD}</author>
    <author>tc={28B7FB3C-B3BD-4421-97B0-2FFB4241DB52}</author>
    <author>tc={3E78CE00-DF3B-42AE-B4D5-260A7BC6096C}</author>
    <author>tc={A9247C0D-B9BE-49FF-8F14-37F04D3553C9}</author>
    <author>tc={56D0612F-7071-422E-938C-6206EE6005BB}</author>
    <author>tc={BE4FC0BB-F9AF-453B-B21C-ACF5D1A66B87}</author>
    <author>tc={64A41435-FAD9-4CA9-B6EA-76F14AD1F792}</author>
  </authors>
  <commentList>
    <comment ref="BT2" authorId="0" shapeId="0" xr:uid="{5CEB7491-41F3-4AAD-B73B-2E6C94E66FBD}">
      <text>
        <t>[Threaded comment]
Your version of Excel allows you to read this threaded comment; however, any edits to it will get removed if the file is opened in a newer version of Excel. Learn more: https://go.microsoft.com/fwlink/?linkid=870924
Comment:
    23 Dec 25, contribution from Werema, 100,000</t>
      </text>
    </comment>
    <comment ref="BZ2" authorId="1" shapeId="0" xr:uid="{17D745E9-98FB-4890-929E-CBD0BA252ECF}">
      <text>
        <t>[Threaded comment]
Your version of Excel allows you to read this threaded comment; however, any edits to it will get removed if the file is opened in a newer version of Excel. Learn more: https://go.microsoft.com/fwlink/?linkid=870924
Comment:
    Gawio la faida 125,000 kutoka kwa Werema</t>
      </text>
    </comment>
    <comment ref="CB2" authorId="2" shapeId="0" xr:uid="{FC5E8BB9-1611-4B6C-AC68-0F563DB4068F}">
      <text>
        <t>[Threaded comment]
Your version of Excel allows you to read this threaded comment; however, any edits to it will get removed if the file is opened in a newer version of Excel. Learn more: https://go.microsoft.com/fwlink/?linkid=870924
Comment:
    3000000 by Metta</t>
      </text>
    </comment>
    <comment ref="BT4" authorId="3" shapeId="0" xr:uid="{569B232B-ED69-4A2D-9FBD-2CA9BF2464DF}">
      <text>
        <t>[Threaded comment]
Your version of Excel allows you to read this threaded comment; however, any edits to it will get removed if the file is opened in a newer version of Excel. Learn more: https://go.microsoft.com/fwlink/?linkid=870924
Comment:
    23 Dec 25, contribution from Werema, 100,000</t>
      </text>
    </comment>
    <comment ref="BZ15" authorId="4" shapeId="0" xr:uid="{834E8054-1EB8-4FDB-A237-65BD58179CB3}">
      <text>
        <t>[Threaded comment]
Your version of Excel allows you to read this threaded comment; however, any edits to it will get removed if the file is opened in a newer version of Excel. Learn more: https://go.microsoft.com/fwlink/?linkid=870924
Comment:
    Gawio la Faida 125,000 kutoka kwa Werema</t>
      </text>
    </comment>
    <comment ref="BT16" authorId="5" shapeId="0" xr:uid="{15FA9B5B-7818-4426-A6F9-3CD6CF88F175}">
      <text>
        <t>[Threaded comment]
Your version of Excel allows you to read this threaded comment; however, any edits to it will get removed if the file is opened in a newer version of Excel. Learn more: https://go.microsoft.com/fwlink/?linkid=870924
Comment:
    23 Dec 25, contribution from Werema, 100,000</t>
      </text>
    </comment>
    <comment ref="BZ16" authorId="6" shapeId="0" xr:uid="{B0E7BD59-B6E7-42D4-87DC-A752E020BA1F}">
      <text>
        <t>[Threaded comment]
Your version of Excel allows you to read this threaded comment; however, any edits to it will get removed if the file is opened in a newer version of Excel. Learn more: https://go.microsoft.com/fwlink/?linkid=870924
Comment:
    Gawio la Faida 125,000 kutoka kwa Werema</t>
      </text>
    </comment>
    <comment ref="CH40" authorId="7" shapeId="0" xr:uid="{CCA4ED11-E566-4BC8-832C-E04DDC89054F}">
      <text>
        <t>[Threaded comment]
Your version of Excel allows you to read this threaded comment; however, any edits to it will get removed if the file is opened in a newer version of Excel. Learn more: https://go.microsoft.com/fwlink/?linkid=870924
Comment:
    1,000,000 internal loan switch</t>
      </text>
    </comment>
    <comment ref="BZ48" authorId="8" shapeId="0" xr:uid="{6CCBB777-D239-4D5D-846C-57B3E42761A7}">
      <text>
        <t>[Threaded comment]
Your version of Excel allows you to read this threaded comment; however, any edits to it will get removed if the file is opened in a newer version of Excel. Learn more: https://go.microsoft.com/fwlink/?linkid=870924
Comment:
    Deposited through Norbert account Yas</t>
      </text>
    </comment>
    <comment ref="CH48" authorId="9" shapeId="0" xr:uid="{3AC67E14-EEB1-4191-B46B-16A1736F2F30}">
      <text>
        <t>[Threaded comment]
Your version of Excel allows you to read this threaded comment; however, any edits to it will get removed if the file is opened in a newer version of Excel. Learn more: https://go.microsoft.com/fwlink/?linkid=870924
Comment:
    Internal loan switch of 2,500,000</t>
      </text>
    </comment>
    <comment ref="CB62" authorId="10" shapeId="0" xr:uid="{5177F5E6-188B-4BF3-B030-35B7280690D8}">
      <text>
        <t xml:space="preserve">[Threaded comment]
Your version of Excel allows you to read this threaded comment; however, any edits to it will get removed if the file is opened in a newer version of Excel. Learn more: https://go.microsoft.com/fwlink/?linkid=870924
Comment:
    1,000,000 deposited by Nsanyiwa to Meta
Reply:
    2500000 by Nsanyiwa </t>
      </text>
    </comment>
    <comment ref="CF63" authorId="11" shapeId="0" xr:uid="{5347EBD1-9134-4AC4-8FE2-5AD79B962BF6}">
      <text>
        <t>[Threaded comment]
Your version of Excel allows you to read this threaded comment; however, any edits to it will get removed if the file is opened in a newer version of Excel. Learn more: https://go.microsoft.com/fwlink/?linkid=870924
Comment:
    Deposited by Everest Exavery</t>
      </text>
    </comment>
    <comment ref="DJ73" authorId="12" shapeId="0" xr:uid="{752684CD-DB4D-4DEA-A683-64FC7D18DA73}">
      <text>
        <t xml:space="preserve">[Threaded comment]
Your version of Excel allows you to read this threaded comment; however, any edits to it will get removed if the file is opened in a newer version of Excel. Learn more: https://go.microsoft.com/fwlink/?linkid=870924
Comment:
    Deposited twice </t>
      </text>
    </comment>
    <comment ref="CF102" authorId="13" shapeId="0" xr:uid="{F80FF2DF-7FD6-40AE-BF22-BD8E80F8CD2B}">
      <text>
        <t xml:space="preserve">[Threaded comment]
Your version of Excel allows you to read this threaded comment; however, any edits to it will get removed if the file is opened in a newer version of Excel. Learn more: https://go.microsoft.com/fwlink/?linkid=870924
Comment:
    Deposited by Wasia </t>
      </text>
    </comment>
    <comment ref="CF103" authorId="14" shapeId="0" xr:uid="{D7DC1540-06FE-4032-BAEB-192A838A8DCD}">
      <text>
        <t xml:space="preserve">[Threaded comment]
Your version of Excel allows you to read this threaded comment; however, any edits to it will get removed if the file is opened in a newer version of Excel. Learn more: https://go.microsoft.com/fwlink/?linkid=870924
Comment:
    2000,000 deposited by Godfrey Juvenile Mbone </t>
      </text>
    </comment>
    <comment ref="DI107" authorId="15" shapeId="0" xr:uid="{28B7FB3C-B3BD-4421-97B0-2FFB4241DB52}">
      <text>
        <t xml:space="preserve">[Threaded comment]
Your version of Excel allows you to read this threaded comment; however, any edits to it will get removed if the file is opened in a newer version of Excel. Learn more: https://go.microsoft.com/fwlink/?linkid=870924
Comment:
    500000+5000000 were deposited in the account. Excel but was not right, only amount supppsed was 1,700,000
Which was deposited in the portal </t>
      </text>
    </comment>
    <comment ref="CF115" authorId="16" shapeId="0" xr:uid="{3E78CE00-DF3B-42AE-B4D5-260A7BC6096C}">
      <text>
        <t>[Threaded comment]
Your version of Excel allows you to read this threaded comment; however, any edits to it will get removed if the file is opened in a newer version of Excel. Learn more: https://go.microsoft.com/fwlink/?linkid=870924
Comment:
    1800,000 comes from internal loan</t>
      </text>
    </comment>
    <comment ref="CF121" authorId="17" shapeId="0" xr:uid="{A9247C0D-B9BE-49FF-8F14-37F04D3553C9}">
      <text>
        <t>[Threaded comment]
Your version of Excel allows you to read this threaded comment; however, any edits to it will get removed if the file is opened in a newer version of Excel. Learn more: https://go.microsoft.com/fwlink/?linkid=870924
Comment:
    2,600,000 comes from internal loan swith</t>
      </text>
    </comment>
    <comment ref="DJ131" authorId="18" shapeId="0" xr:uid="{56D0612F-7071-422E-938C-6206EE6005BB}">
      <text>
        <t xml:space="preserve">[Threaded comment]
Your version of Excel allows you to read this threaded comment; however, any edits to it will get removed if the file is opened in a newer version of Excel. Learn more: https://go.microsoft.com/fwlink/?linkid=870924
Comment:
    1 mil is for August 1st, so its okay already posted for August </t>
      </text>
    </comment>
    <comment ref="B141" authorId="19" shapeId="0" xr:uid="{BE4FC0BB-F9AF-453B-B21C-ACF5D1A66B87}">
      <text>
        <t>[Threaded comment]
Your version of Excel allows you to read this threaded comment; however, any edits to it will get removed if the file is opened in a newer version of Excel. Learn more: https://go.microsoft.com/fwlink/?linkid=870924
Comment:
    FASTECH</t>
      </text>
    </comment>
    <comment ref="DJ141" authorId="20" shapeId="0" xr:uid="{64A41435-FAD9-4CA9-B6EA-76F14AD1F792}">
      <text>
        <t xml:space="preserve">[Threaded comment]
Your version of Excel allows you to read this threaded comment; however, any edits to it will get removed if the file is opened in a newer version of Excel. Learn more: https://go.microsoft.com/fwlink/?linkid=870924
Comment:
    2,000,000 and 500,000 wewe deposited twice in July, need to be reversed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tc={04C0C76E-98BF-4756-8A38-6F5558685D98}</author>
  </authors>
  <commentList>
    <comment ref="B142" authorId="0" shapeId="0" xr:uid="{04C0C76E-98BF-4756-8A38-6F5558685D98}">
      <text>
        <t>[Threaded comment]
Your version of Excel allows you to read this threaded comment; however, any edits to it will get removed if the file is opened in a newer version of Excel. Learn more: https://go.microsoft.com/fwlink/?linkid=870924
Comment:
    FASTECH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tc={EC4DF9FF-39D9-4950-ABE0-17A4ECF0CC79}</author>
  </authors>
  <commentList>
    <comment ref="B65" authorId="0" shapeId="0" xr:uid="{EC4DF9FF-39D9-4950-ABE0-17A4ECF0CC79}">
      <text>
        <t>[Threaded comment]
Your version of Excel allows you to read this threaded comment; however, any edits to it will get removed if the file is opened in a newer version of Excel. Learn more: https://go.microsoft.com/fwlink/?linkid=870924
Comment:
    REFUNDED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tc={E53E8ED3-D75B-44F5-B1E4-AEA8EEA3052B}</author>
  </authors>
  <commentList>
    <comment ref="B133" authorId="0" shapeId="0" xr:uid="{E53E8ED3-D75B-44F5-B1E4-AEA8EEA3052B}">
      <text>
        <t>[Threaded comment]
Your version of Excel allows you to read this threaded comment; however, any edits to it will get removed if the file is opened in a newer version of Excel. Learn more: https://go.microsoft.com/fwlink/?linkid=870924
Comment:
    FASTECH</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tc={D04B11F6-F61C-4CD3-8B6D-21F06C30D963}</author>
  </authors>
  <commentList>
    <comment ref="L10" authorId="0" shapeId="0" xr:uid="{D04B11F6-F61C-4CD3-8B6D-21F06C30D963}">
      <text>
        <t>[Threaded comment]
Your version of Excel allows you to read this threaded comment; however, any edits to it will get removed if the file is opened in a newer version of Excel. Learn more: https://go.microsoft.com/fwlink/?linkid=870924
Comment:
    1,500,000 was waived by the group members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tc={EF38AFAE-452C-44FB-AD77-7B945904E9A9}</author>
    <author>tc={1FE7E9B9-5B2E-45D5-9B31-9337B7D0F041}</author>
  </authors>
  <commentList>
    <comment ref="C18" authorId="0" shapeId="0" xr:uid="{EF38AFAE-452C-44FB-AD77-7B945904E9A9}">
      <text>
        <t>[Threaded comment]
Your version of Excel allows you to read this threaded comment; however, any edits to it will get removed if the file is opened in a newer version of Excel. Learn more: https://go.microsoft.com/fwlink/?linkid=870924
Comment:
    100k contribution from Werema loan to guarantors</t>
      </text>
    </comment>
    <comment ref="C32" authorId="1" shapeId="0" xr:uid="{1FE7E9B9-5B2E-45D5-9B31-9337B7D0F041}">
      <text>
        <t>[Threaded comment]
Your version of Excel allows you to read this threaded comment; however, any edits to it will get removed if the file is opened in a newer version of Excel. Learn more: https://go.microsoft.com/fwlink/?linkid=870924
Comment:
    Deposited by Emmanuel Metta 31st March 2026</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tc={517C2869-ABFE-418F-9E73-C640E51D2F07}</author>
  </authors>
  <commentList>
    <comment ref="C22" authorId="0" shapeId="0" xr:uid="{517C2869-ABFE-418F-9E73-C640E51D2F07}">
      <text>
        <t>[Threaded comment]
Your version of Excel allows you to read this threaded comment; however, any edits to it will get removed if the file is opened in a newer version of Excel. Learn more: https://go.microsoft.com/fwlink/?linkid=870924
Comment:
    Contribution from Werema loan 100k</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tc={D1E26311-0D86-4834-AB09-A1BF13D6BC14}</author>
  </authors>
  <commentList>
    <comment ref="C14" authorId="0" shapeId="0" xr:uid="{D1E26311-0D86-4834-AB09-A1BF13D6BC14}">
      <text>
        <t>[Threaded comment]
Your version of Excel allows you to read this threaded comment; however, any edits to it will get removed if the file is opened in a newer version of Excel. Learn more: https://go.microsoft.com/fwlink/?linkid=870924
Comment:
    Gawio la Faida 125,000 kutoka kwa Werema</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tc={1E0EF7ED-C79A-4DBA-95EC-F6BAB15D4F11}</author>
    <author>tc={6BBC525C-BE56-4352-815B-167A6DF83DFF}</author>
  </authors>
  <commentList>
    <comment ref="C14" authorId="0" shapeId="0" xr:uid="{1E0EF7ED-C79A-4DBA-95EC-F6BAB15D4F11}">
      <text>
        <t>[Threaded comment]
Your version of Excel allows you to read this threaded comment; however, any edits to it will get removed if the file is opened in a newer version of Excel. Learn more: https://go.microsoft.com/fwlink/?linkid=870924
Comment:
    23 Dec 25, contribution from Werema, 100,000</t>
      </text>
    </comment>
    <comment ref="C18" authorId="1" shapeId="0" xr:uid="{6BBC525C-BE56-4352-815B-167A6DF83DFF}">
      <text>
        <t>[Threaded comment]
Your version of Excel allows you to read this threaded comment; however, any edits to it will get removed if the file is opened in a newer version of Excel. Learn more: https://go.microsoft.com/fwlink/?linkid=870924
Comment:
    Gawio la Faida 125,000 kutoka kwa Werema</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tc={2782FB06-2785-4FA3-AC52-0DE53C36F8A2}</author>
  </authors>
  <commentList>
    <comment ref="C12" authorId="0" shapeId="0" xr:uid="{2782FB06-2785-4FA3-AC52-0DE53C36F8A2}">
      <text>
        <t xml:space="preserve">[Threaded comment]
Your version of Excel allows you to read this threaded comment; however, any edits to it will get removed if the file is opened in a newer version of Excel. Learn more: https://go.microsoft.com/fwlink/?linkid=870924
Comment:
    LOAN from SACCOS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tc={CA73C5AE-7983-4229-B1A1-CAD4180E9938}</author>
    <author>tc={E23386F5-E9BE-4EDE-9210-A966317003E2}</author>
  </authors>
  <commentList>
    <comment ref="C11" authorId="0" shapeId="0" xr:uid="{CA73C5AE-7983-4229-B1A1-CAD4180E9938}">
      <text>
        <t>[Threaded comment]
Your version of Excel allows you to read this threaded comment; however, any edits to it will get removed if the file is opened in a newer version of Excel. Learn more: https://go.microsoft.com/fwlink/?linkid=870924
Comment:
    Deposited through Norbert account Yas</t>
      </text>
    </comment>
    <comment ref="C12" authorId="1" shapeId="0" xr:uid="{E23386F5-E9BE-4EDE-9210-A966317003E2}">
      <text>
        <t>[Threaded comment]
Your version of Excel allows you to read this threaded comment; however, any edits to it will get removed if the file is opened in a newer version of Excel. Learn more: https://go.microsoft.com/fwlink/?linkid=870924
Comment:
    Deposited by Norbert Selcom</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tc={016528B7-44BF-452D-8CB7-98FF40B5A588}</author>
  </authors>
  <commentList>
    <comment ref="C19" authorId="0" shapeId="0" xr:uid="{016528B7-44BF-452D-8CB7-98FF40B5A588}">
      <text>
        <t>[Threaded comment]
Your version of Excel allows you to read this threaded comment; however, any edits to it will get removed if the file is opened in a newer version of Excel. Learn more: https://go.microsoft.com/fwlink/?linkid=870924
Comment:
    Deposited by Emmanuel Metta</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tc={21DCFC26-8AC5-40CC-BA95-B67101D550E2}</author>
  </authors>
  <commentList>
    <comment ref="C9" authorId="0" shapeId="0" xr:uid="{21DCFC26-8AC5-40CC-BA95-B67101D550E2}">
      <text>
        <t>[Threaded comment]
Your version of Excel allows you to read this threaded comment; however, any edits to it will get removed if the file is opened in a newer version of Excel. Learn more: https://go.microsoft.com/fwlink/?linkid=870924
Comment:
    Deposited by Everest Exavery</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tc={87DBAD20-32C0-4D8E-9E10-8CF9DADCB699}</author>
  </authors>
  <commentList>
    <comment ref="C7" authorId="0" shapeId="0" xr:uid="{87DBAD20-32C0-4D8E-9E10-8CF9DADCB699}">
      <text>
        <t>[Threaded comment]
Your version of Excel allows you to read this threaded comment; however, any edits to it will get removed if the file is opened in a newer version of Excel. Learn more: https://go.microsoft.com/fwlink/?linkid=870924
Comment:
    From internal loan switch to meet criteria</t>
      </text>
    </comment>
  </commentList>
</comments>
</file>

<file path=xl/sharedStrings.xml><?xml version="1.0" encoding="utf-8"?>
<sst xmlns="http://schemas.openxmlformats.org/spreadsheetml/2006/main" count="9548" uniqueCount="1413">
  <si>
    <t>Member Name</t>
  </si>
  <si>
    <t>Phone number</t>
  </si>
  <si>
    <t xml:space="preserve">Date </t>
  </si>
  <si>
    <t>Amount 1</t>
  </si>
  <si>
    <t>Type</t>
  </si>
  <si>
    <t>Amount 2</t>
  </si>
  <si>
    <t>Amount 3</t>
  </si>
  <si>
    <t xml:space="preserve">Type </t>
  </si>
  <si>
    <t>Amount 4</t>
  </si>
  <si>
    <t>Amount 5</t>
  </si>
  <si>
    <t>Amount 6</t>
  </si>
  <si>
    <t>Amount 7</t>
  </si>
  <si>
    <t>Amount 8</t>
  </si>
  <si>
    <t>Amount 9</t>
  </si>
  <si>
    <t>Amount 10</t>
  </si>
  <si>
    <t>Amount 11</t>
  </si>
  <si>
    <t>Amount 12</t>
  </si>
  <si>
    <t>Amount 13</t>
  </si>
  <si>
    <t>Amount 14</t>
  </si>
  <si>
    <t>Amount 15</t>
  </si>
  <si>
    <t xml:space="preserve">Grand Total </t>
  </si>
  <si>
    <t>Total Socio</t>
  </si>
  <si>
    <t xml:space="preserve">Total Shares </t>
  </si>
  <si>
    <t>Felix Daniel</t>
  </si>
  <si>
    <t xml:space="preserve">Opening </t>
  </si>
  <si>
    <t>Social</t>
  </si>
  <si>
    <t xml:space="preserve">Shares </t>
  </si>
  <si>
    <t>Shares</t>
  </si>
  <si>
    <t>Norbert Massay</t>
  </si>
  <si>
    <t xml:space="preserve">Social </t>
  </si>
  <si>
    <t>NMB</t>
  </si>
  <si>
    <t>Mohamed Mohamed</t>
  </si>
  <si>
    <t xml:space="preserve">Evarist Francisco </t>
  </si>
  <si>
    <t>Emmanuel Matee</t>
  </si>
  <si>
    <t>Innocent Kweka</t>
  </si>
  <si>
    <t xml:space="preserve">Kanuti Simba </t>
  </si>
  <si>
    <t xml:space="preserve">Evance Mori </t>
  </si>
  <si>
    <t>Elianshisaria Munisi</t>
  </si>
  <si>
    <t>Stephen Nkurlu</t>
  </si>
  <si>
    <t>Mosses Makoko</t>
  </si>
  <si>
    <t>Aaron Mtui</t>
  </si>
  <si>
    <t xml:space="preserve">Jacob Mangu </t>
  </si>
  <si>
    <t xml:space="preserve">Nsanyiwa Kiloba </t>
  </si>
  <si>
    <t xml:space="preserve">Ahmad Yahya </t>
  </si>
  <si>
    <t xml:space="preserve">Paul Metili </t>
  </si>
  <si>
    <t>Patiens Rweyemamu</t>
  </si>
  <si>
    <t>Elibariki Mkumbo</t>
  </si>
  <si>
    <t>David Koillah</t>
  </si>
  <si>
    <t xml:space="preserve">Innocent Kasigwa </t>
  </si>
  <si>
    <t xml:space="preserve">Omary Mwasema </t>
  </si>
  <si>
    <t xml:space="preserve">Erick Kitali </t>
  </si>
  <si>
    <t xml:space="preserve">Emmanuel Matechi </t>
  </si>
  <si>
    <t>Khalifa Sushy</t>
  </si>
  <si>
    <t xml:space="preserve">Liggyle Vumilia </t>
  </si>
  <si>
    <t xml:space="preserve">Ernest Shirima </t>
  </si>
  <si>
    <t xml:space="preserve">Walter Salema </t>
  </si>
  <si>
    <t>Stanslaus Nyembea</t>
  </si>
  <si>
    <t>Abraham Assenga</t>
  </si>
  <si>
    <t>Abduel Kitururu</t>
  </si>
  <si>
    <t xml:space="preserve">Masale Masale </t>
  </si>
  <si>
    <t xml:space="preserve">Bakari Hemedi </t>
  </si>
  <si>
    <t>Athumani Mwasha</t>
  </si>
  <si>
    <t xml:space="preserve">Nalogwa Kiula </t>
  </si>
  <si>
    <t xml:space="preserve">Best Magoma </t>
  </si>
  <si>
    <t>Gideon Gabriel</t>
  </si>
  <si>
    <t xml:space="preserve">Amos Nungu </t>
  </si>
  <si>
    <t>Mlindwa Kashindye</t>
  </si>
  <si>
    <t xml:space="preserve">Emmanuel Msaki </t>
  </si>
  <si>
    <t xml:space="preserve">John Massawe </t>
  </si>
  <si>
    <t xml:space="preserve">Werema Msongo </t>
  </si>
  <si>
    <t xml:space="preserve">Nixon Matowo </t>
  </si>
  <si>
    <t>Abdillahi Moshi</t>
  </si>
  <si>
    <t xml:space="preserve">Laurian Gidoyi </t>
  </si>
  <si>
    <t xml:space="preserve">Albani Kimario </t>
  </si>
  <si>
    <t xml:space="preserve">Fredrick Ndosi </t>
  </si>
  <si>
    <t>Charles Jangu</t>
  </si>
  <si>
    <t xml:space="preserve">Hassan Matata </t>
  </si>
  <si>
    <t xml:space="preserve">Salum Ndolanga </t>
  </si>
  <si>
    <t xml:space="preserve">Shumbi Mkumbo </t>
  </si>
  <si>
    <t xml:space="preserve">Adamu Urassa </t>
  </si>
  <si>
    <t xml:space="preserve">Robert Masegese </t>
  </si>
  <si>
    <t>0754848616</t>
  </si>
  <si>
    <t>Emmanuel Mmari</t>
  </si>
  <si>
    <t>0754740047</t>
  </si>
  <si>
    <t>Emanuel Moshi</t>
  </si>
  <si>
    <t>0754679533</t>
  </si>
  <si>
    <t>Innocent Mosha</t>
  </si>
  <si>
    <t>Shabani Salim</t>
  </si>
  <si>
    <t>Adolph Ndyeabura</t>
  </si>
  <si>
    <t>0764812183</t>
  </si>
  <si>
    <t>Saidi Ramadhani Mdee</t>
  </si>
  <si>
    <t xml:space="preserve">Patrick K. Kiani </t>
  </si>
  <si>
    <t>0757800235</t>
  </si>
  <si>
    <t>Edgar Rwezaura</t>
  </si>
  <si>
    <t>0767077952</t>
  </si>
  <si>
    <t xml:space="preserve">Manase Mushi </t>
  </si>
  <si>
    <t>0756636044</t>
  </si>
  <si>
    <t xml:space="preserve">Paul Mikongoti </t>
  </si>
  <si>
    <t>0754674809</t>
  </si>
  <si>
    <t xml:space="preserve">Moses Luguru </t>
  </si>
  <si>
    <t>0715573195</t>
  </si>
  <si>
    <t xml:space="preserve">Emili Mkwawi </t>
  </si>
  <si>
    <t>0767449265</t>
  </si>
  <si>
    <t xml:space="preserve">Salum Hassani </t>
  </si>
  <si>
    <t>0758252442</t>
  </si>
  <si>
    <t xml:space="preserve">Richard Makala </t>
  </si>
  <si>
    <t>0754636961</t>
  </si>
  <si>
    <t>0754470291</t>
  </si>
  <si>
    <t>Fabian Sedoyeka</t>
  </si>
  <si>
    <t>0754238113</t>
  </si>
  <si>
    <t xml:space="preserve">Piniel Seth </t>
  </si>
  <si>
    <t>0764510328</t>
  </si>
  <si>
    <t xml:space="preserve">Beatus Chikoti </t>
  </si>
  <si>
    <t>0752161634</t>
  </si>
  <si>
    <t xml:space="preserve">Nyangusi Laizer </t>
  </si>
  <si>
    <t>076763680</t>
  </si>
  <si>
    <t xml:space="preserve">Anase Minja </t>
  </si>
  <si>
    <t>0755774236</t>
  </si>
  <si>
    <t xml:space="preserve">Robert Kitundu </t>
  </si>
  <si>
    <t>0765520057</t>
  </si>
  <si>
    <t>Msafiri Mwapinga</t>
  </si>
  <si>
    <t>0654575128</t>
  </si>
  <si>
    <t>Amounts in the NMB BANK</t>
  </si>
  <si>
    <t xml:space="preserve">Name </t>
  </si>
  <si>
    <t xml:space="preserve">Amount </t>
  </si>
  <si>
    <t>ILBORU ALUMNI SACCOS LIMITED</t>
  </si>
  <si>
    <t>MICHANGO YA WANACHAMA</t>
  </si>
  <si>
    <t>S/N</t>
  </si>
  <si>
    <t>MICHANGO</t>
  </si>
  <si>
    <t xml:space="preserve">KIWANGO KINACHOHITAJIKA </t>
  </si>
  <si>
    <t xml:space="preserve">KIWANGO CHA  KUKAMILISHA  </t>
  </si>
  <si>
    <t>STATUS</t>
  </si>
  <si>
    <r>
      <t xml:space="preserve">GAHRAMA ZA MIKUTANO </t>
    </r>
    <r>
      <rPr>
        <b/>
        <i/>
        <sz val="14"/>
        <color theme="1"/>
        <rFont val="Aptos Narrow"/>
        <family val="2"/>
        <scheme val="minor"/>
      </rPr>
      <t>[allocated already]</t>
    </r>
  </si>
  <si>
    <t>KIINGILIO</t>
  </si>
  <si>
    <t>AKIBA</t>
  </si>
  <si>
    <t>HISA</t>
  </si>
  <si>
    <t>JUMLA</t>
  </si>
  <si>
    <t xml:space="preserve">ACTUAL </t>
  </si>
  <si>
    <t>OCTOBER, 2024</t>
  </si>
  <si>
    <t>NOV, 2024</t>
  </si>
  <si>
    <t>DEC, 2024</t>
  </si>
  <si>
    <t>JAN, 2025</t>
  </si>
  <si>
    <t>FEB, 2025</t>
  </si>
  <si>
    <t>ALLOCATED FROM M-KOBA</t>
  </si>
  <si>
    <t>MKOBA</t>
  </si>
  <si>
    <t>BADO</t>
  </si>
  <si>
    <t>Aaron J. Mtui</t>
  </si>
  <si>
    <t xml:space="preserve"> WAMESHASAINI MAKABRASHA YA USAJILI. LAKINI WENGI  HAWAJAMALIZIA  MICHANGO  YAO</t>
  </si>
  <si>
    <t>Abduel G. Kitururu</t>
  </si>
  <si>
    <t>Abraham A. Assenga</t>
  </si>
  <si>
    <t xml:space="preserve">Adam I. Urassa </t>
  </si>
  <si>
    <t xml:space="preserve">Amos M. Nungu </t>
  </si>
  <si>
    <t>Athumani Jerry Mwasha</t>
  </si>
  <si>
    <t>Elianshisaria Invocavith Munisi</t>
  </si>
  <si>
    <t xml:space="preserve">Ernest Felician Shirima </t>
  </si>
  <si>
    <t xml:space="preserve">Evarist Exavery Francisco </t>
  </si>
  <si>
    <t>Fredrick Peter Ndossi</t>
  </si>
  <si>
    <t xml:space="preserve">Kanuti S. Simba </t>
  </si>
  <si>
    <t>Mlindwa S. Kashindye</t>
  </si>
  <si>
    <t>Mohamed K. Mohamed</t>
  </si>
  <si>
    <t>WAMELIPA SEHEMU YA MICHANGO ILA HAWAJASAINI MAKABRASHA YA USAJILI</t>
  </si>
  <si>
    <t>Moses Lazaro Molel</t>
  </si>
  <si>
    <t>WAMEJISAJILI M-KOPA TU. HAWAJALIPA MCHANGO WOWOTE</t>
  </si>
  <si>
    <t>TOTAL</t>
  </si>
  <si>
    <t>MKOBA MAIN BALANCE</t>
  </si>
  <si>
    <t xml:space="preserve">MKOBA B  BALANCE </t>
  </si>
  <si>
    <t>Bank - NMB</t>
  </si>
  <si>
    <t xml:space="preserve">TOTAL BALANCE </t>
  </si>
  <si>
    <t>Mwenyekiti alitoa ufafanuzi wa gharama zilizochangiwa na wanachama waanzilishi kama ifuatavyo:</t>
  </si>
  <si>
    <t>Allocated accordingly to contributions</t>
  </si>
  <si>
    <r>
      <t>a)</t>
    </r>
    <r>
      <rPr>
        <sz val="7"/>
        <color rgb="FF000000"/>
        <rFont val="Times New Roman"/>
        <family val="1"/>
      </rPr>
      <t xml:space="preserve">     </t>
    </r>
    <r>
      <rPr>
        <i/>
        <sz val="12"/>
        <color rgb="FF000000"/>
        <rFont val="Times New Roman"/>
        <family val="1"/>
      </rPr>
      <t>Gharama za Ukumbi:</t>
    </r>
    <r>
      <rPr>
        <sz val="12"/>
        <color rgb="FF000000"/>
        <rFont val="Times New Roman"/>
        <family val="1"/>
      </rPr>
      <t xml:space="preserve"> TZS 75,000. Gharama hizi zilichangiwa na:</t>
    </r>
  </si>
  <si>
    <r>
      <t>(i)</t>
    </r>
    <r>
      <rPr>
        <sz val="7"/>
        <color rgb="FF000000"/>
        <rFont val="Times New Roman"/>
        <family val="1"/>
      </rPr>
      <t xml:space="preserve">    </t>
    </r>
    <r>
      <rPr>
        <sz val="12"/>
        <color rgb="FF000000"/>
        <rFont val="Times New Roman"/>
        <family val="1"/>
      </rPr>
      <t xml:space="preserve"> Mwenyekiti Ndugu Donald Nsanyiwa – TZS 75,000</t>
    </r>
  </si>
  <si>
    <r>
      <t>b)</t>
    </r>
    <r>
      <rPr>
        <sz val="7"/>
        <color rgb="FF000000"/>
        <rFont val="Times New Roman"/>
        <family val="1"/>
      </rPr>
      <t xml:space="preserve">    </t>
    </r>
    <r>
      <rPr>
        <i/>
        <sz val="12"/>
        <color rgb="FF000000"/>
        <rFont val="Times New Roman"/>
        <family val="1"/>
      </rPr>
      <t>Gharama ya Usafiri kwa Afisa Ushirika:</t>
    </r>
    <r>
      <rPr>
        <sz val="12"/>
        <color rgb="FF000000"/>
        <rFont val="Times New Roman"/>
        <family val="1"/>
      </rPr>
      <t xml:space="preserve"> TZS 50,000. Gharama hizi zilichangiwa na:</t>
    </r>
  </si>
  <si>
    <r>
      <t>(i)</t>
    </r>
    <r>
      <rPr>
        <sz val="7"/>
        <color rgb="FF000000"/>
        <rFont val="Times New Roman"/>
        <family val="1"/>
      </rPr>
      <t>   </t>
    </r>
    <r>
      <rPr>
        <sz val="12"/>
        <color rgb="FF000000"/>
        <rFont val="Times New Roman"/>
        <family val="1"/>
      </rPr>
      <t>Ndugu Donald Nsanyiwa – TZS 10,000</t>
    </r>
  </si>
  <si>
    <r>
      <t>(ii)</t>
    </r>
    <r>
      <rPr>
        <sz val="7"/>
        <color rgb="FF000000"/>
        <rFont val="Times New Roman"/>
        <family val="1"/>
      </rPr>
      <t xml:space="preserve">  </t>
    </r>
    <r>
      <rPr>
        <sz val="12"/>
        <color rgb="FF000000"/>
        <rFont val="Times New Roman"/>
        <family val="1"/>
      </rPr>
      <t>Salum Ndolanga – TZS 10,000</t>
    </r>
  </si>
  <si>
    <r>
      <t>(iii)</t>
    </r>
    <r>
      <rPr>
        <sz val="7"/>
        <color rgb="FF000000"/>
        <rFont val="Times New Roman"/>
        <family val="1"/>
      </rPr>
      <t>   </t>
    </r>
    <r>
      <rPr>
        <sz val="12"/>
        <color rgb="FF000000"/>
        <rFont val="Times New Roman"/>
        <family val="1"/>
      </rPr>
      <t>Eliashasaria Munisi – TZS 10,000</t>
    </r>
  </si>
  <si>
    <r>
      <t>(iv)</t>
    </r>
    <r>
      <rPr>
        <sz val="7"/>
        <color rgb="FF000000"/>
        <rFont val="Times New Roman"/>
        <family val="1"/>
      </rPr>
      <t xml:space="preserve"> </t>
    </r>
    <r>
      <rPr>
        <sz val="12"/>
        <color rgb="FF000000"/>
        <rFont val="Times New Roman"/>
        <family val="1"/>
      </rPr>
      <t>Nixon Matowo – TZS 10,000</t>
    </r>
  </si>
  <si>
    <r>
      <t>(v)</t>
    </r>
    <r>
      <rPr>
        <sz val="7"/>
        <color rgb="FF000000"/>
        <rFont val="Times New Roman"/>
        <family val="1"/>
      </rPr>
      <t xml:space="preserve">  </t>
    </r>
    <r>
      <rPr>
        <sz val="12"/>
        <color rgb="FF000000"/>
        <rFont val="Times New Roman"/>
        <family val="1"/>
      </rPr>
      <t>Fredrick Ndossi – TZS 10,000</t>
    </r>
  </si>
  <si>
    <t xml:space="preserve">Ilipendekezwa gharama hizi zitakuwa sehemu ya michango ya viingilio vya wanachama hawa. Endapo kiwango cha kingilio kitakuwa chini ya gharama walizozilipia basi SACCOS itawarudishia salio lao kutoka kwenye Akaunti Kuu ya VIINGILIO. </t>
  </si>
  <si>
    <r>
      <t>2.</t>
    </r>
    <r>
      <rPr>
        <b/>
        <sz val="7"/>
        <color rgb="FF000000"/>
        <rFont val="Times New Roman"/>
        <family val="1"/>
      </rPr>
      <t xml:space="preserve">     </t>
    </r>
    <r>
      <rPr>
        <b/>
        <sz val="12"/>
        <color rgb="FF000000"/>
        <rFont val="Times New Roman"/>
        <family val="1"/>
      </rPr>
      <t xml:space="preserve">Michango kutoka kwa Wanachama </t>
    </r>
  </si>
  <si>
    <t xml:space="preserve">Viwango vya michango ya Akiba, Hisa na Kiingilio vitajulikana baada ya kupendekezwa na Bodi ya Uanzilishi na kupigiwa kura na wanachama waanzilishi. </t>
  </si>
  <si>
    <t xml:space="preserve">Baada ya hapo utawekwa utaratibu rasmi wa kukusanya michango hii kutoka kwa wanachama. </t>
  </si>
  <si>
    <t>EXPENSES OF THE FORMATION MEETING OF 12th JULY 2024</t>
  </si>
  <si>
    <t>1. Malipo ya Ukumbi</t>
  </si>
  <si>
    <t>(i) Donald Nsanyiwa (Mwenyekiti)</t>
  </si>
  <si>
    <t xml:space="preserve">Patrick S. Kiani </t>
  </si>
  <si>
    <t>SHARES (50%)</t>
  </si>
  <si>
    <t xml:space="preserve">TOTAL </t>
  </si>
  <si>
    <t xml:space="preserve">STATUS </t>
  </si>
  <si>
    <t>BANK - NMB</t>
  </si>
  <si>
    <t>ID</t>
  </si>
  <si>
    <t>Amount 16</t>
  </si>
  <si>
    <t>Amount 17</t>
  </si>
  <si>
    <t>Amount 18</t>
  </si>
  <si>
    <t>Grand Total Y1</t>
  </si>
  <si>
    <t>OCT,  25</t>
  </si>
  <si>
    <t>Amount</t>
  </si>
  <si>
    <t>NOV,  25</t>
  </si>
  <si>
    <t>DEC,  25</t>
  </si>
  <si>
    <t>JAN,  26</t>
  </si>
  <si>
    <t>FEB,  26</t>
  </si>
  <si>
    <t>MAR,  26</t>
  </si>
  <si>
    <t>APR,  26</t>
  </si>
  <si>
    <t>MAY,  26</t>
  </si>
  <si>
    <t>JUN,  26</t>
  </si>
  <si>
    <t>JUL,  26</t>
  </si>
  <si>
    <t>AUG,  26</t>
  </si>
  <si>
    <t>SEP,  26</t>
  </si>
  <si>
    <t>Grand Total Y2</t>
  </si>
  <si>
    <t>TOTAL contributions only Y1+Y2</t>
  </si>
  <si>
    <t>DIVIDENT 1 UTT (Year 1)</t>
  </si>
  <si>
    <t>TOTAL UP TO 30 NOV. 25</t>
  </si>
  <si>
    <t>DIVIDENT 2 UTT (Nov. 25)</t>
  </si>
  <si>
    <t>DIVIDENT 3 (Loan 1)</t>
  </si>
  <si>
    <t>TOTAL UP TO JAN 26</t>
  </si>
  <si>
    <t>DIVIDENT 4 UTT (Jan 24)</t>
  </si>
  <si>
    <t>TOTAL UP TO FEB 26</t>
  </si>
  <si>
    <t>DIVIDENT 5 (Loan 2+3)</t>
  </si>
  <si>
    <t>TOTAL UP TO MAR 26</t>
  </si>
  <si>
    <t>DIVIDENT 6 UTT (15 Apr 26)</t>
  </si>
  <si>
    <t>CUMMULATIVE TOTAL</t>
  </si>
  <si>
    <t>MEMBER NAME</t>
  </si>
  <si>
    <t xml:space="preserve">TOTAL CONTRIBUTION </t>
  </si>
  <si>
    <t>PROFIT TODATE</t>
  </si>
  <si>
    <t>ILS24-F00001</t>
  </si>
  <si>
    <t>ILS24-F00002</t>
  </si>
  <si>
    <t>UTT</t>
  </si>
  <si>
    <t>ILS24-F00003</t>
  </si>
  <si>
    <t>ILS24-F00004</t>
  </si>
  <si>
    <t xml:space="preserve">Evarest Exavery Francisco </t>
  </si>
  <si>
    <t>ILS24-F00005</t>
  </si>
  <si>
    <t>Elianshasaria Munisi</t>
  </si>
  <si>
    <t>ILS24-F00006</t>
  </si>
  <si>
    <t>ILS24-F00007</t>
  </si>
  <si>
    <t>ILS24-F00008</t>
  </si>
  <si>
    <t>ILS24-F00009</t>
  </si>
  <si>
    <t>ILS24-F00010</t>
  </si>
  <si>
    <t>ILS24-F00011</t>
  </si>
  <si>
    <t xml:space="preserve">Jacob Shabani Mangu </t>
  </si>
  <si>
    <t>ILS24-F00012</t>
  </si>
  <si>
    <t>ILS24-F00013</t>
  </si>
  <si>
    <t>ILS24-F00014</t>
  </si>
  <si>
    <t>9/112/2025</t>
  </si>
  <si>
    <t>ILS24-F00015</t>
  </si>
  <si>
    <t>Mohamed Khalfan Mohamed</t>
  </si>
  <si>
    <t>ILS24-F00016</t>
  </si>
  <si>
    <t>ILS24-F00017</t>
  </si>
  <si>
    <t>ILS24-F00018</t>
  </si>
  <si>
    <t xml:space="preserve">Alban Robert Kimario </t>
  </si>
  <si>
    <t>ILS24-F00019</t>
  </si>
  <si>
    <t>ILS24-F00020</t>
  </si>
  <si>
    <t xml:space="preserve">John Arbogast Massawe </t>
  </si>
  <si>
    <t>ILS24-F00021</t>
  </si>
  <si>
    <t>ILS24-F00022</t>
  </si>
  <si>
    <t>ILS24-F00023</t>
  </si>
  <si>
    <t>ILS24-F00024</t>
  </si>
  <si>
    <t>ILS24-F00025</t>
  </si>
  <si>
    <t>ILS24-F00026</t>
  </si>
  <si>
    <t>ILS24-F00027</t>
  </si>
  <si>
    <t>ILS24-F00028</t>
  </si>
  <si>
    <t>ILS24-F00029</t>
  </si>
  <si>
    <t>ILS24-F00030</t>
  </si>
  <si>
    <t>ILS24-F00031</t>
  </si>
  <si>
    <t>ILS24-F00032</t>
  </si>
  <si>
    <t>ILS24-F00033</t>
  </si>
  <si>
    <t>ILS24-F00034</t>
  </si>
  <si>
    <t>ILS24-F00035</t>
  </si>
  <si>
    <t>ILS24-F00036</t>
  </si>
  <si>
    <t xml:space="preserve">Bakari Mchila Hemedi </t>
  </si>
  <si>
    <t>ILS24-F00037</t>
  </si>
  <si>
    <t>ILS24-F00038</t>
  </si>
  <si>
    <t>Charles Suka Jangu</t>
  </si>
  <si>
    <t>ILS24-F00039</t>
  </si>
  <si>
    <t>ILS24-F00040</t>
  </si>
  <si>
    <t>ILS24-F00041</t>
  </si>
  <si>
    <t>ILS24-F00042</t>
  </si>
  <si>
    <t>ILS24-F00043</t>
  </si>
  <si>
    <t>ILS24-F00044</t>
  </si>
  <si>
    <t>ILS24-F00045</t>
  </si>
  <si>
    <t xml:space="preserve">Ernest Phelician Shirima </t>
  </si>
  <si>
    <t>ILS24-F00046</t>
  </si>
  <si>
    <t>ILS24-F00047</t>
  </si>
  <si>
    <t>ILS24-F00048</t>
  </si>
  <si>
    <t>ILS24-F00049</t>
  </si>
  <si>
    <t>ILS24-F00050</t>
  </si>
  <si>
    <t>ILS24-F00051</t>
  </si>
  <si>
    <t>ILS24-F00052</t>
  </si>
  <si>
    <t>ILS24-F00053</t>
  </si>
  <si>
    <t>ILS24-F00054</t>
  </si>
  <si>
    <t>Stanslaus Senani Nyembea</t>
  </si>
  <si>
    <t>ILS24-F00055</t>
  </si>
  <si>
    <t>ILS24-F00056</t>
  </si>
  <si>
    <t>ILS24-F00057</t>
  </si>
  <si>
    <t>Patiens Buberwa Rweyemamu</t>
  </si>
  <si>
    <t>ILS24-F00058</t>
  </si>
  <si>
    <t>ILS24-F00059</t>
  </si>
  <si>
    <t>ILS24-F00060</t>
  </si>
  <si>
    <t>ILS24-F00061</t>
  </si>
  <si>
    <t xml:space="preserve">Emmanuel Metta </t>
  </si>
  <si>
    <t>ILS24-F00062</t>
  </si>
  <si>
    <t xml:space="preserve">Africa Silayo </t>
  </si>
  <si>
    <t>ILS24-F00063</t>
  </si>
  <si>
    <t>Ted Frank Silkiluwasha</t>
  </si>
  <si>
    <t>ILS24-F00064</t>
  </si>
  <si>
    <t>Deogratius Mathew Lashayo</t>
  </si>
  <si>
    <t>ILS24-F00065</t>
  </si>
  <si>
    <t>Aminiel Kabby Kabura</t>
  </si>
  <si>
    <t>ILS24-F00066</t>
  </si>
  <si>
    <t>Gilbert Z. Mrema</t>
  </si>
  <si>
    <t>ILS24-F00067</t>
  </si>
  <si>
    <t>Philemon Barabojick</t>
  </si>
  <si>
    <t>ILS24-F00068</t>
  </si>
  <si>
    <t>Wasia Issa Mushi</t>
  </si>
  <si>
    <t>ILS24-F00069</t>
  </si>
  <si>
    <t>Judica William Nassary</t>
  </si>
  <si>
    <t>ILS24-F00070</t>
  </si>
  <si>
    <t xml:space="preserve">Kusirye Boniface Ukio </t>
  </si>
  <si>
    <t>ILS24-F00071</t>
  </si>
  <si>
    <t>Eliud Hezron Massaga</t>
  </si>
  <si>
    <t>ILS24-F00072</t>
  </si>
  <si>
    <t xml:space="preserve">Ludovic Jacob Swai </t>
  </si>
  <si>
    <t>ILS24-F00073</t>
  </si>
  <si>
    <t xml:space="preserve">David Isack Mushi </t>
  </si>
  <si>
    <t>ILS24-F00074</t>
  </si>
  <si>
    <t xml:space="preserve">Boniface Joseph </t>
  </si>
  <si>
    <t>ILS24-F00075</t>
  </si>
  <si>
    <t>Paul Sifael Edwin Mikongoti</t>
  </si>
  <si>
    <t>Shililiandumi Naiman</t>
  </si>
  <si>
    <t>MKOBA 1</t>
  </si>
  <si>
    <t>BANK</t>
  </si>
  <si>
    <t>UTT 1</t>
  </si>
  <si>
    <t>16th August 2025</t>
  </si>
  <si>
    <t>UTT 2</t>
  </si>
  <si>
    <t>12th Sept. 2025</t>
  </si>
  <si>
    <t xml:space="preserve">UTT3 </t>
  </si>
  <si>
    <t>16th Sept 2025</t>
  </si>
  <si>
    <t>Timeframe</t>
  </si>
  <si>
    <t>%</t>
  </si>
  <si>
    <t>UTT4</t>
  </si>
  <si>
    <t>23rd Oct 2025</t>
  </si>
  <si>
    <t>This month</t>
  </si>
  <si>
    <t>UTT5</t>
  </si>
  <si>
    <t>19th Jan 2026</t>
  </si>
  <si>
    <t xml:space="preserve">Before </t>
  </si>
  <si>
    <t>5th Feb 2026</t>
  </si>
  <si>
    <t>TOTAL UTT</t>
  </si>
  <si>
    <t xml:space="preserve">TOTAL UTT INVESTED </t>
  </si>
  <si>
    <t xml:space="preserve">LOAN </t>
  </si>
  <si>
    <t>12th Dec 2025</t>
  </si>
  <si>
    <t>STATEMENT - 1</t>
  </si>
  <si>
    <t>TOTAL AMOUNT INVESTED</t>
  </si>
  <si>
    <t xml:space="preserve">GAIN 1 </t>
  </si>
  <si>
    <t xml:space="preserve">TOTAL CONTRITUBUTIONS </t>
  </si>
  <si>
    <t>STATEMENT 1 21st Oct 2025</t>
  </si>
  <si>
    <t>STATEMENT 2 -12th Dec. 2025</t>
  </si>
  <si>
    <t>STATEMENT 3 -24th Feb. 2026</t>
  </si>
  <si>
    <t>STATEMENT 4 -15th Apr. 2026</t>
  </si>
  <si>
    <t>DIVIDENT 1 UTT</t>
  </si>
  <si>
    <t>DIVIDENT 2 UTT</t>
  </si>
  <si>
    <t>DIVIDENT 1 LOAN</t>
  </si>
  <si>
    <t>DIVIDENT 3 UTT</t>
  </si>
  <si>
    <t>Divident 5 (Loan 2 + 3)</t>
  </si>
  <si>
    <t xml:space="preserve">DIVIDENT 6 UTT </t>
  </si>
  <si>
    <t>MAR, 2025</t>
  </si>
  <si>
    <t>APR, 2025</t>
  </si>
  <si>
    <t>MAY, 2025</t>
  </si>
  <si>
    <t>JUN, 2025</t>
  </si>
  <si>
    <t>JULY, 2025</t>
  </si>
  <si>
    <t>AUG, 2025</t>
  </si>
  <si>
    <t>SEPT, 2025</t>
  </si>
  <si>
    <t>OCT, 2025</t>
  </si>
  <si>
    <t>NOV, 2025</t>
  </si>
  <si>
    <t>DEC, 2025</t>
  </si>
  <si>
    <t>JAN, 2026</t>
  </si>
  <si>
    <t>FEB, 2026</t>
  </si>
  <si>
    <t>MAR, 2026</t>
  </si>
  <si>
    <t>APR, 2026</t>
  </si>
  <si>
    <t>MAY, 2026</t>
  </si>
  <si>
    <t>JUN, 2026</t>
  </si>
  <si>
    <t>JUL, 2026</t>
  </si>
  <si>
    <t>AUG, 2026</t>
  </si>
  <si>
    <t>SEP, 2026</t>
  </si>
  <si>
    <t>NEEDED</t>
  </si>
  <si>
    <t>UTT/YES/NO</t>
  </si>
  <si>
    <t>Plan by 31st March</t>
  </si>
  <si>
    <t>Name</t>
  </si>
  <si>
    <t>Mkopaji</t>
  </si>
  <si>
    <t>mdhamini 1</t>
  </si>
  <si>
    <t xml:space="preserve">Mdhamini 2 </t>
  </si>
  <si>
    <t>Mdhamini 3</t>
  </si>
  <si>
    <t>Mdhamini 4</t>
  </si>
  <si>
    <t>Mdhamini 5</t>
  </si>
  <si>
    <t>Mdhamini</t>
  </si>
  <si>
    <t>MKOPO</t>
  </si>
  <si>
    <t xml:space="preserve">Ili kuwa Member:  </t>
  </si>
  <si>
    <t xml:space="preserve">Kiingilio </t>
  </si>
  <si>
    <t>Kiasi cha Shares cha kuanzia</t>
  </si>
  <si>
    <t xml:space="preserve">Monthly contribution </t>
  </si>
  <si>
    <t>YES</t>
  </si>
  <si>
    <t xml:space="preserve"> </t>
  </si>
  <si>
    <t>UTT 1 - 16 Aug. 2025</t>
  </si>
  <si>
    <t>UTT 2 - 12 Sept 2025</t>
  </si>
  <si>
    <t>UTT 3 - 16 Sept 2025</t>
  </si>
  <si>
    <t>UTT 4 - 23 Oct 2025</t>
  </si>
  <si>
    <t>UTT 5 - 19 Jan 2026</t>
  </si>
  <si>
    <t>UTT 6 - 5 Feb 2026</t>
  </si>
  <si>
    <t>UTT 7 - 2 Mar 2026</t>
  </si>
  <si>
    <t>UTT 8 - 7 Mar 2025</t>
  </si>
  <si>
    <t>UTT 9 - 13 Mar 2026</t>
  </si>
  <si>
    <t>UTT 10 - 30 Mar 2026</t>
  </si>
  <si>
    <t>UTT INVESTED</t>
  </si>
  <si>
    <t>TOTAL INVESTED UTT</t>
  </si>
  <si>
    <t xml:space="preserve">TOTAL NOW </t>
  </si>
  <si>
    <t>LOAN 2: 5 Jan 2026</t>
  </si>
  <si>
    <t xml:space="preserve">PROFIT MADE </t>
  </si>
  <si>
    <t>LOAN 3: 3 Feb 2026</t>
  </si>
  <si>
    <t>PROFIT DIVIDED BEFORE</t>
  </si>
  <si>
    <t>PROFIT THIS PERIOD</t>
  </si>
  <si>
    <t xml:space="preserve">TOTAL LOANS </t>
  </si>
  <si>
    <t xml:space="preserve">INTEREST EXPECTED </t>
  </si>
  <si>
    <t xml:space="preserve">TOTAL UTT DIVIDENTS </t>
  </si>
  <si>
    <t>TOTAL LOANS DIVIDENTS</t>
  </si>
  <si>
    <t xml:space="preserve">Bank interest </t>
  </si>
  <si>
    <t>Loan app Werema 17 Mar 26</t>
  </si>
  <si>
    <t>Loan Adolf 26 Mar 26</t>
  </si>
  <si>
    <t>Loan Nyembea 10 Apr 26</t>
  </si>
  <si>
    <t>Loan -Elia 11 Apr 26</t>
  </si>
  <si>
    <t>Loan -Makoko 19 Apr 26</t>
  </si>
  <si>
    <t xml:space="preserve">Charges </t>
  </si>
  <si>
    <t xml:space="preserve">TOTAL AMOUNT AVAILABLE </t>
  </si>
  <si>
    <t>Milestone 1 Target</t>
  </si>
  <si>
    <t>30th November 2025</t>
  </si>
  <si>
    <t>Balance to Milistone 1</t>
  </si>
  <si>
    <t xml:space="preserve">Milestone 2 Target </t>
  </si>
  <si>
    <t>5th March 2025</t>
  </si>
  <si>
    <t>Balance to Milestone 2</t>
  </si>
  <si>
    <t>RED</t>
  </si>
  <si>
    <t xml:space="preserve">Milestone 3 Target </t>
  </si>
  <si>
    <t>30th June 2026</t>
  </si>
  <si>
    <t>Balance to Milestone 3</t>
  </si>
  <si>
    <t>NO</t>
  </si>
  <si>
    <t xml:space="preserve">Milestone 4 Target </t>
  </si>
  <si>
    <t>Balance to Milestone 4</t>
  </si>
  <si>
    <t>bank charges + loan app + interest</t>
  </si>
  <si>
    <t>Monthly contribution (minimum)</t>
  </si>
  <si>
    <t xml:space="preserve">DIVIDENT </t>
  </si>
  <si>
    <t>AMOUNT</t>
  </si>
  <si>
    <t>NMB ACCOUNT: ILBORU ALUMNI SACCOS 22610050162</t>
  </si>
  <si>
    <t xml:space="preserve">DATE </t>
  </si>
  <si>
    <t>NAME</t>
  </si>
  <si>
    <t xml:space="preserve">LOAN AMOUNT </t>
  </si>
  <si>
    <t>INTEREST 5%</t>
  </si>
  <si>
    <t xml:space="preserve">TOTAL + INTEREST </t>
  </si>
  <si>
    <t>DUE PAY</t>
  </si>
  <si>
    <t>REPAYMENT DATE</t>
  </si>
  <si>
    <t>BALANCE</t>
  </si>
  <si>
    <t>GUARANTORS</t>
  </si>
  <si>
    <t>COLLATERAL AMOUNT</t>
  </si>
  <si>
    <t>status</t>
  </si>
  <si>
    <t>12th Dec. 2025</t>
  </si>
  <si>
    <t>12th Jan. 2026</t>
  </si>
  <si>
    <t>Nsanyiwa, Norbert, Mohamed</t>
  </si>
  <si>
    <t xml:space="preserve">Paid </t>
  </si>
  <si>
    <t>20th Dec. 2025</t>
  </si>
  <si>
    <t>21st Dec. 2025</t>
  </si>
  <si>
    <t>22nd Dec. 2025</t>
  </si>
  <si>
    <t>23rd Dec. 2025</t>
  </si>
  <si>
    <t>5th Jan . 2026</t>
  </si>
  <si>
    <t>Werema Msongo</t>
  </si>
  <si>
    <t>5th Jan. 2026</t>
  </si>
  <si>
    <t>Nsanyiwa, Norbert, Kanuti, Mohamed</t>
  </si>
  <si>
    <t>2nd Mar. 2026</t>
  </si>
  <si>
    <t>3rd Feb. 2026</t>
  </si>
  <si>
    <t>3 Feb. 2026</t>
  </si>
  <si>
    <t xml:space="preserve">Nsanyiwa, Ndosi, Erick </t>
  </si>
  <si>
    <t>4 Mar. 2026</t>
  </si>
  <si>
    <t>5 Mar. 2026</t>
  </si>
  <si>
    <t>19th Mar 2026</t>
  </si>
  <si>
    <t>18th Apr 2026</t>
  </si>
  <si>
    <t>18th May 2026</t>
  </si>
  <si>
    <t>26th Mar 2026</t>
  </si>
  <si>
    <t>25th Apr 2026</t>
  </si>
  <si>
    <t>10th Apr 2026</t>
  </si>
  <si>
    <t>9th May 2026</t>
  </si>
  <si>
    <t>11th Apr 2026</t>
  </si>
  <si>
    <t>10th May 2026</t>
  </si>
  <si>
    <t>Emmanuel Metta, Norbert Massay</t>
  </si>
  <si>
    <t>Deposits</t>
  </si>
  <si>
    <t>CUMMULATIVE</t>
  </si>
  <si>
    <t>Savings type</t>
  </si>
  <si>
    <t>YEAR</t>
  </si>
  <si>
    <t xml:space="preserve">RED STATUS AMOUNT </t>
  </si>
  <si>
    <t>ILS24-F00076</t>
  </si>
  <si>
    <t xml:space="preserve">Daniel Michael Kisaka </t>
  </si>
  <si>
    <t>ILS24-F00077</t>
  </si>
  <si>
    <t>POSTION</t>
  </si>
  <si>
    <t xml:space="preserve"> -LOAN</t>
  </si>
  <si>
    <t>26th Apr 2026</t>
  </si>
  <si>
    <t>Max Period</t>
  </si>
  <si>
    <t>18th June 2026</t>
  </si>
  <si>
    <t>25th June 2026</t>
  </si>
  <si>
    <t>9th July 2026</t>
  </si>
  <si>
    <t>11th July 2026</t>
  </si>
  <si>
    <t>25th May 2026</t>
  </si>
  <si>
    <t>25th Oct 2026</t>
  </si>
  <si>
    <t>Norbert Massay, Emmanuel Metta</t>
  </si>
  <si>
    <t>Loan -Nsanyiwa 26 Apr 26</t>
  </si>
  <si>
    <t>ILS24-F00078</t>
  </si>
  <si>
    <t xml:space="preserve">Alcard Mumwi </t>
  </si>
  <si>
    <t>29th Apr 2026</t>
  </si>
  <si>
    <t xml:space="preserve">Evarest Exavery </t>
  </si>
  <si>
    <t>ILS24-F00079</t>
  </si>
  <si>
    <t>Emmanuel Simforian Massawe</t>
  </si>
  <si>
    <t>30th Apr 2026</t>
  </si>
  <si>
    <t>29th May 2026</t>
  </si>
  <si>
    <t>Loan -Nyembea 30 Apr 26</t>
  </si>
  <si>
    <t>Loan 9:  Nsanyiwa 26 Apr 2026</t>
  </si>
  <si>
    <t>Loan 10:  Nyembea 30 Apr 2026</t>
  </si>
  <si>
    <t>Loan 8: Makoko 26 Apr 2026</t>
  </si>
  <si>
    <t>Loan 7: Munisi  12 Apr 2025</t>
  </si>
  <si>
    <t>Loan 6: Nyembea 10 Apr 2026</t>
  </si>
  <si>
    <t>Loan 5: Adolf 26 Mar 2026</t>
  </si>
  <si>
    <t>Loan 4: Werema 19 Mar 2026</t>
  </si>
  <si>
    <t>2nd May 2026</t>
  </si>
  <si>
    <t>BALANCE CHARGES</t>
  </si>
  <si>
    <t>30th April 2026</t>
  </si>
  <si>
    <t>5th March 2026</t>
  </si>
  <si>
    <t>30th Nov 2025</t>
  </si>
  <si>
    <t xml:space="preserve">ACCOMPLISHED DATE </t>
  </si>
  <si>
    <t>UTT 11 - 8 Apr 2025</t>
  </si>
  <si>
    <t>UTT 12 - 4 May 2026</t>
  </si>
  <si>
    <t>4th May 2026</t>
  </si>
  <si>
    <t>ILS24-F0003</t>
  </si>
  <si>
    <t>10th June 2026</t>
  </si>
  <si>
    <t>Loan 11:  Norbert 4 May 2026</t>
  </si>
  <si>
    <t>Loan -Norbert 4 May 26</t>
  </si>
  <si>
    <t>TOTAL UP TO APR 26</t>
  </si>
  <si>
    <t>LOAN 6+7 Apr 26 (250+500k)</t>
  </si>
  <si>
    <t xml:space="preserve">Current Balance </t>
  </si>
  <si>
    <t xml:space="preserve">Total Invested </t>
  </si>
  <si>
    <t xml:space="preserve">Profit TOTAL </t>
  </si>
  <si>
    <t>Profit devided previously</t>
  </si>
  <si>
    <t xml:space="preserve">Curent Profit </t>
  </si>
  <si>
    <t>DIV. 7 UTT 5th May 26</t>
  </si>
  <si>
    <t>DIVIDENT 7 UTT</t>
  </si>
  <si>
    <t>ILS24-F00080</t>
  </si>
  <si>
    <t xml:space="preserve">Aisha Babu </t>
  </si>
  <si>
    <t xml:space="preserve">Milestone 4B Target </t>
  </si>
  <si>
    <t>Balance to Milestone 4B</t>
  </si>
  <si>
    <t xml:space="preserve">Milestone 4C Target </t>
  </si>
  <si>
    <t>Balance to Milestone 4C</t>
  </si>
  <si>
    <t xml:space="preserve">Milestone 4 D Target </t>
  </si>
  <si>
    <t>Balance to Milestone 4 D</t>
  </si>
  <si>
    <t>31st July 2026</t>
  </si>
  <si>
    <t>31st August 2026</t>
  </si>
  <si>
    <t>Month</t>
  </si>
  <si>
    <t>Opening Balance</t>
  </si>
  <si>
    <t>Interest (3%)</t>
  </si>
  <si>
    <t>Payment</t>
  </si>
  <si>
    <t>Closing Balance</t>
  </si>
  <si>
    <t>Loan -Mmari 10 May 26</t>
  </si>
  <si>
    <t>Wasia Issa</t>
  </si>
  <si>
    <t>4th Nov. 2026</t>
  </si>
  <si>
    <t xml:space="preserve">Emmanuel Mmari schedule of payment </t>
  </si>
  <si>
    <t>9th June 2026</t>
  </si>
  <si>
    <t>\</t>
  </si>
  <si>
    <t>ILS24-F00081</t>
  </si>
  <si>
    <t xml:space="preserve">LIQUID ACCOUNT </t>
  </si>
  <si>
    <t xml:space="preserve">AMOUNT </t>
  </si>
  <si>
    <t xml:space="preserve">DIVIDENTS </t>
  </si>
  <si>
    <t>DATE</t>
  </si>
  <si>
    <t>16th Aug. 2025</t>
  </si>
  <si>
    <t>16th Sept. 2025</t>
  </si>
  <si>
    <t>13th Oct. 2025</t>
  </si>
  <si>
    <t>19th Jan. 2026</t>
  </si>
  <si>
    <t>13th Mar. 2026</t>
  </si>
  <si>
    <t>5th Feb. 2026</t>
  </si>
  <si>
    <t>7th Mar. 2025</t>
  </si>
  <si>
    <t>30th Mar. 2026</t>
  </si>
  <si>
    <t>8th Apr. 2026</t>
  </si>
  <si>
    <t>4th May. 2026</t>
  </si>
  <si>
    <t>UTT1</t>
  </si>
  <si>
    <t>UTT2</t>
  </si>
  <si>
    <t>UTT3</t>
  </si>
  <si>
    <t>UTT6</t>
  </si>
  <si>
    <t>UTT7</t>
  </si>
  <si>
    <t>UTT8</t>
  </si>
  <si>
    <t>UTT9</t>
  </si>
  <si>
    <t>UTT10</t>
  </si>
  <si>
    <t>UTT11</t>
  </si>
  <si>
    <t>UTT12</t>
  </si>
  <si>
    <t>24th Feb 2026</t>
  </si>
  <si>
    <t>15th Apr. 2026</t>
  </si>
  <si>
    <t>7th May. 2026</t>
  </si>
  <si>
    <t>DIVIDENT UTT 1</t>
  </si>
  <si>
    <t>DIVIDENT UTT 2</t>
  </si>
  <si>
    <t>DIVIDENT UTT 3</t>
  </si>
  <si>
    <t>DIVIDENT UTT 4</t>
  </si>
  <si>
    <t>DIVIDENT UTT 5</t>
  </si>
  <si>
    <t>GRAND TOTAL UTT</t>
  </si>
  <si>
    <t xml:space="preserve">Edson Pascal Rwechungura </t>
  </si>
  <si>
    <t>Diocles Mlashani Ishengoma</t>
  </si>
  <si>
    <t>ILS24-F00082</t>
  </si>
  <si>
    <t>12th May 2026</t>
  </si>
  <si>
    <t>11th June 2026</t>
  </si>
  <si>
    <t>Loan -Kitururu 12 May 26</t>
  </si>
  <si>
    <t>Loan 13:  Kitururu 12 May 2026</t>
  </si>
  <si>
    <t>ILS24-F00083</t>
  </si>
  <si>
    <t>Mathew J. Mndeme</t>
  </si>
  <si>
    <t>ILS24-F00084</t>
  </si>
  <si>
    <t>Wariael Samile Ayo</t>
  </si>
  <si>
    <t>ILS24-F00085</t>
  </si>
  <si>
    <t xml:space="preserve">Shukuru Ndosi </t>
  </si>
  <si>
    <t>13th May 2026</t>
  </si>
  <si>
    <t>12th June 2026</t>
  </si>
  <si>
    <t>8th Aug. 2026</t>
  </si>
  <si>
    <t>9th Nov. 2026</t>
  </si>
  <si>
    <t xml:space="preserve">Innocent R. Kasigwa </t>
  </si>
  <si>
    <t>0713123540</t>
  </si>
  <si>
    <t>Loan 12:  Mmari 10 May 2026</t>
  </si>
  <si>
    <t>ILS24-F00086</t>
  </si>
  <si>
    <t>ILS24-F00087</t>
  </si>
  <si>
    <t>Joseph Placid Njuu</t>
  </si>
  <si>
    <t>Stephano Migire Lolloo</t>
  </si>
  <si>
    <t>UTT 13 - 19 May 2026</t>
  </si>
  <si>
    <t xml:space="preserve">INVESTMENT ALLOCATION </t>
  </si>
  <si>
    <t xml:space="preserve">LOANS </t>
  </si>
  <si>
    <t>CASH AT BANK</t>
  </si>
  <si>
    <t>ILS24-F00088</t>
  </si>
  <si>
    <t>CPA Emmanuel Wanjara Marero</t>
  </si>
  <si>
    <t>ILS24-F00089</t>
  </si>
  <si>
    <t>Emmanuel Jonas Mungure</t>
  </si>
  <si>
    <t>UTT 14 - 22 May 2026</t>
  </si>
  <si>
    <t>23rd May 2026</t>
  </si>
  <si>
    <t xml:space="preserve">Contribution to SACCOS system establishment </t>
  </si>
  <si>
    <t>24th May 2026</t>
  </si>
  <si>
    <t>Eliansaria Munisi</t>
  </si>
  <si>
    <t xml:space="preserve">Status </t>
  </si>
  <si>
    <t xml:space="preserve">Norbert Massay </t>
  </si>
  <si>
    <t xml:space="preserve">Annual Target </t>
  </si>
  <si>
    <t>TODATE REACH</t>
  </si>
  <si>
    <t xml:space="preserve">% Reach by 30 Sept 26 </t>
  </si>
  <si>
    <t>% Remaining by 30 Sept 26</t>
  </si>
  <si>
    <t>Date</t>
  </si>
  <si>
    <t>Grand total</t>
  </si>
  <si>
    <t>19th May. 2026</t>
  </si>
  <si>
    <t>22nd May. 2026</t>
  </si>
  <si>
    <t xml:space="preserve">UTT 13 </t>
  </si>
  <si>
    <t xml:space="preserve">UTT 14 </t>
  </si>
  <si>
    <t>26th May 2026</t>
  </si>
  <si>
    <t xml:space="preserve">Target </t>
  </si>
  <si>
    <t xml:space="preserve">Masale Rajabu Masale </t>
  </si>
  <si>
    <t>Reached</t>
  </si>
  <si>
    <t>Remaining</t>
  </si>
  <si>
    <t>Target</t>
  </si>
  <si>
    <t>ACTUAL from Individual forms</t>
  </si>
  <si>
    <t>TRUE/FALSE</t>
  </si>
  <si>
    <t xml:space="preserve">OPERATION ACCOUNT </t>
  </si>
  <si>
    <t>SACCOs system registration online - 27 May 2026</t>
  </si>
  <si>
    <t>Loan -Shabani 13 May 26</t>
  </si>
  <si>
    <t>Adam Lyson Mwaipungu</t>
  </si>
  <si>
    <t>ILS24-F00090</t>
  </si>
  <si>
    <t>ILS24-F00091</t>
  </si>
  <si>
    <t>Everest Thadei Sikilo</t>
  </si>
  <si>
    <t xml:space="preserve">Everest Thadeo Sikilo </t>
  </si>
  <si>
    <t>Loan -Alban 29 May 26</t>
  </si>
  <si>
    <t>Remaining Amount</t>
  </si>
  <si>
    <t>Alban Robert Kimario</t>
  </si>
  <si>
    <t>30th May 2026</t>
  </si>
  <si>
    <t>29th Nov. 2026</t>
  </si>
  <si>
    <t>Erick Kitali, Donald</t>
  </si>
  <si>
    <t>Mfumo contribution - Munisi 800k, Norbert 500K, Kitali 250k</t>
  </si>
  <si>
    <t>MARCH, 2026</t>
  </si>
  <si>
    <t>APRIL, 2026</t>
  </si>
  <si>
    <t>YEAR 1</t>
  </si>
  <si>
    <t>BEFORE OCT 25 - FEB, 26</t>
  </si>
  <si>
    <t xml:space="preserve">PROFIT </t>
  </si>
  <si>
    <t>PERIOD</t>
  </si>
  <si>
    <t>JUNE, 2026</t>
  </si>
  <si>
    <t>TOTAL UP TO MAY 26</t>
  </si>
  <si>
    <t>1st June 2026</t>
  </si>
  <si>
    <t>DIV (loan 8,10, 11,12,5) 1 June 26</t>
  </si>
  <si>
    <t xml:space="preserve">SHARES </t>
  </si>
  <si>
    <t>Loan 15:  Alban Robert Kimario  30 May 2026</t>
  </si>
  <si>
    <t>3rd Feb</t>
  </si>
  <si>
    <t>UTT interest</t>
  </si>
  <si>
    <t>DIVIDENT UTT 6</t>
  </si>
  <si>
    <t>2nd June 2026</t>
  </si>
  <si>
    <t>TOTAL UTT INVESTED</t>
  </si>
  <si>
    <t xml:space="preserve">CASH AT BANK </t>
  </si>
  <si>
    <t>TOTAL CONTRIBUTIONS</t>
  </si>
  <si>
    <t xml:space="preserve">REMAINING AMOUNT TO 1 BILLION </t>
  </si>
  <si>
    <t>ACTIVE LOANS</t>
  </si>
  <si>
    <t xml:space="preserve">LOAN INTERESTS </t>
  </si>
  <si>
    <t>MEMBERS</t>
  </si>
  <si>
    <t xml:space="preserve">INTEREST RATE </t>
  </si>
  <si>
    <t>DIV UTT 6: 2nd June 26</t>
  </si>
  <si>
    <t>TOTAL GAWIO FOR MAY 2026</t>
  </si>
  <si>
    <t>Adolph Ndeabura</t>
  </si>
  <si>
    <t>ILS24-F00092</t>
  </si>
  <si>
    <t xml:space="preserve">Kaanaeli Gabriel Nko </t>
  </si>
  <si>
    <t>Emmanuel Joram Metta</t>
  </si>
  <si>
    <t>8th July 2026</t>
  </si>
  <si>
    <t>Loan - Metta 9th June 26</t>
  </si>
  <si>
    <t xml:space="preserve">Donald, </t>
  </si>
  <si>
    <t>Loan 16: Metta 9 June 26</t>
  </si>
  <si>
    <t>Loan - Ernest Shirima 10 June 26</t>
  </si>
  <si>
    <t>Loan - Norbert top up 5 Jun 26</t>
  </si>
  <si>
    <t>Loan 17: Ernest Shirima  10 June 26</t>
  </si>
  <si>
    <t xml:space="preserve">Everest Exavery </t>
  </si>
  <si>
    <t>ILS24-F00093</t>
  </si>
  <si>
    <t>ACTUAL SAVINGS</t>
  </si>
  <si>
    <t xml:space="preserve">YEAR 1  Oct 24 -SEP 25 </t>
  </si>
  <si>
    <t>OCT 25 - FEB, 26</t>
  </si>
  <si>
    <t>ILS24-F00094</t>
  </si>
  <si>
    <t>Edwin Banyenza Mwombeki</t>
  </si>
  <si>
    <t>ILS24-F00095</t>
  </si>
  <si>
    <t>ILS24-F00096</t>
  </si>
  <si>
    <t>Paul Silas Masatu</t>
  </si>
  <si>
    <t>ILS24-F00097</t>
  </si>
  <si>
    <t>Jackson N. Mmary</t>
  </si>
  <si>
    <t>ILS24-F00098</t>
  </si>
  <si>
    <t xml:space="preserve">Daniel Mdachi </t>
  </si>
  <si>
    <t>ILS24-F00099</t>
  </si>
  <si>
    <t xml:space="preserve">Salum Miraji Mwegero </t>
  </si>
  <si>
    <t>ILS24-F00100</t>
  </si>
  <si>
    <t xml:space="preserve">Juma Selemani Nantubwi </t>
  </si>
  <si>
    <t>ILS24-F00101</t>
  </si>
  <si>
    <t>Juma Selemani Nantubwi</t>
  </si>
  <si>
    <t>Salum Miraji Mwegero</t>
  </si>
  <si>
    <t>Is-Haka Mkwawa</t>
  </si>
  <si>
    <t xml:space="preserve">Is-Haka Mkwawa </t>
  </si>
  <si>
    <t>14th June 2026</t>
  </si>
  <si>
    <t xml:space="preserve">Snacks </t>
  </si>
  <si>
    <t xml:space="preserve">Boat </t>
  </si>
  <si>
    <t xml:space="preserve">Entry </t>
  </si>
  <si>
    <t xml:space="preserve">Staff welfare </t>
  </si>
  <si>
    <t>5th June 2026</t>
  </si>
  <si>
    <t>10th July 2026</t>
  </si>
  <si>
    <t>ILS24-F00102</t>
  </si>
  <si>
    <t>James Ignas Koola</t>
  </si>
  <si>
    <t>16th June 2026</t>
  </si>
  <si>
    <t xml:space="preserve">Jonas Mgundulwa Mwano </t>
  </si>
  <si>
    <t>Jonas Mgundulwa Mwano</t>
  </si>
  <si>
    <t>Position</t>
  </si>
  <si>
    <t>UTT 15</t>
  </si>
  <si>
    <t>19th June 2026</t>
  </si>
  <si>
    <t>UTT 15 - 19 June 2026</t>
  </si>
  <si>
    <t>Loan - Stephen Nkurulu 19 June 26</t>
  </si>
  <si>
    <t>ILS24-F00103</t>
  </si>
  <si>
    <t xml:space="preserve">Fredrick Mjema </t>
  </si>
  <si>
    <t>Fredrick Mjema</t>
  </si>
  <si>
    <t>Loan -Nyembea top up 19 June 26</t>
  </si>
  <si>
    <t xml:space="preserve">Stephen Nkurlu </t>
  </si>
  <si>
    <t>9th Aug. 2026</t>
  </si>
  <si>
    <t>18th July 2026</t>
  </si>
  <si>
    <t>18th May. 2027</t>
  </si>
  <si>
    <t>ILS24-F00104</t>
  </si>
  <si>
    <t>Fulgence Thomas Massawe</t>
  </si>
  <si>
    <t>20th June 2026</t>
  </si>
  <si>
    <t xml:space="preserve">Stanslaus top up </t>
  </si>
  <si>
    <t>29th June 2026</t>
  </si>
  <si>
    <t>ILS24-F00105</t>
  </si>
  <si>
    <t>Baltazar Thomas Mrosso</t>
  </si>
  <si>
    <t xml:space="preserve">Baltazar Thomas Mrosso </t>
  </si>
  <si>
    <t>M</t>
  </si>
  <si>
    <t>L</t>
  </si>
  <si>
    <t>XL</t>
  </si>
  <si>
    <t xml:space="preserve">White </t>
  </si>
  <si>
    <t>ILS24-F00106</t>
  </si>
  <si>
    <t xml:space="preserve">Alex Gerald Heruka </t>
  </si>
  <si>
    <t>Alex Gerald Heruka</t>
  </si>
  <si>
    <t>ILS24-F00107</t>
  </si>
  <si>
    <t>Francis Mwasilu</t>
  </si>
  <si>
    <t>Loan 18: Stephen Nkurlu  20 June 26</t>
  </si>
  <si>
    <t>Loan 10:  Nyembea  top up 20 June 2026</t>
  </si>
  <si>
    <t>ILS24-F00108</t>
  </si>
  <si>
    <t>David J. Msechu</t>
  </si>
  <si>
    <t>David Josephat Msechu</t>
  </si>
  <si>
    <t>Adolph William Ndeabura</t>
  </si>
  <si>
    <t>Adolph William Ndyeabura</t>
  </si>
  <si>
    <t>3rd Dec. 2026</t>
  </si>
  <si>
    <t>Norbert top up 15th June 2026</t>
  </si>
  <si>
    <t>ILS24-F00109</t>
  </si>
  <si>
    <t>Salum Masudi Hassan</t>
  </si>
  <si>
    <t xml:space="preserve">% </t>
  </si>
  <si>
    <t xml:space="preserve">ILBORU ALUMNI SACCOS CONTRIBUTIONS </t>
  </si>
  <si>
    <t>SIZE</t>
  </si>
  <si>
    <t xml:space="preserve">Dark Blue </t>
  </si>
  <si>
    <t>4XL</t>
  </si>
  <si>
    <t>Evarest Exavery</t>
  </si>
  <si>
    <t>Patrick Kiani</t>
  </si>
  <si>
    <t>Salum Mwegero</t>
  </si>
  <si>
    <t>Bakari Simbeye</t>
  </si>
  <si>
    <t>2XL</t>
  </si>
  <si>
    <t>Goodwil Nambaya</t>
  </si>
  <si>
    <t>Kusirye Ukio</t>
  </si>
  <si>
    <t>Wasia Mushi</t>
  </si>
  <si>
    <t>Eliud Masaga</t>
  </si>
  <si>
    <t>Paul Masatu</t>
  </si>
  <si>
    <t>Daniel Kisaka</t>
  </si>
  <si>
    <t>Emmanuel Metta</t>
  </si>
  <si>
    <t>Donald Nsanyiwa</t>
  </si>
  <si>
    <t>Alban Kimario</t>
  </si>
  <si>
    <t>Moses Makoko</t>
  </si>
  <si>
    <t>Hassan Matata</t>
  </si>
  <si>
    <t>Innocent Kasigwa</t>
  </si>
  <si>
    <t>Walter Salema</t>
  </si>
  <si>
    <t>Fredrick Ndosi</t>
  </si>
  <si>
    <t>Nuhu Ngangaji</t>
  </si>
  <si>
    <t>Mathew Mndeme</t>
  </si>
  <si>
    <t>Amos Nungu</t>
  </si>
  <si>
    <t>Erick Kitali</t>
  </si>
  <si>
    <t>Jacob Mangu</t>
  </si>
  <si>
    <t>Robert Kitundu</t>
  </si>
  <si>
    <t>Jonas Mgundulwa</t>
  </si>
  <si>
    <t>Charles Suka</t>
  </si>
  <si>
    <t>Imnocent Mosha</t>
  </si>
  <si>
    <t>Steve Nkurlu</t>
  </si>
  <si>
    <t>Juma Selemani</t>
  </si>
  <si>
    <t>John Massawe</t>
  </si>
  <si>
    <t>Laurian Gidoyi</t>
  </si>
  <si>
    <t>Paul Mikongoti</t>
  </si>
  <si>
    <t>Salum Masudi</t>
  </si>
  <si>
    <t>Emmanuel Matechi</t>
  </si>
  <si>
    <t xml:space="preserve">Werema </t>
  </si>
  <si>
    <t>Elianshisaria</t>
  </si>
  <si>
    <t xml:space="preserve">Shabani Ndosi </t>
  </si>
  <si>
    <t>No</t>
  </si>
  <si>
    <t xml:space="preserve">Elibariki </t>
  </si>
  <si>
    <t xml:space="preserve">TSHIRTS </t>
  </si>
  <si>
    <t xml:space="preserve">Ahmad Yahaya </t>
  </si>
  <si>
    <t>3XL</t>
  </si>
  <si>
    <t>3xl</t>
  </si>
  <si>
    <t>COLOUR</t>
  </si>
  <si>
    <t xml:space="preserve">UNITS </t>
  </si>
  <si>
    <t xml:space="preserve">Evans Mori </t>
  </si>
  <si>
    <t xml:space="preserve">Emmanuel Mungure </t>
  </si>
  <si>
    <t>James Ignas</t>
  </si>
  <si>
    <t xml:space="preserve">Salum Masudi </t>
  </si>
  <si>
    <t>Daniel Mdachi</t>
  </si>
  <si>
    <t>Emmanuel Massawe</t>
  </si>
  <si>
    <t>Alcard Mumwi</t>
  </si>
  <si>
    <t>Adam L Mwaipungu</t>
  </si>
  <si>
    <t>Mohamed K Mohamed</t>
  </si>
  <si>
    <t>Boniface Joseph</t>
  </si>
  <si>
    <t xml:space="preserve">Aaron Mtui </t>
  </si>
  <si>
    <t xml:space="preserve">Aminiel Kabura </t>
  </si>
  <si>
    <t xml:space="preserve">Everest Sikilo </t>
  </si>
  <si>
    <t>Emmanuel Wanjara</t>
  </si>
  <si>
    <t>ILS24-F00110</t>
  </si>
  <si>
    <t xml:space="preserve">William Baraka </t>
  </si>
  <si>
    <t xml:space="preserve">William Baraka Tigahwa </t>
  </si>
  <si>
    <t>Loan - Kitururu 23 June 26</t>
  </si>
  <si>
    <t xml:space="preserve">Emmanuel Matee </t>
  </si>
  <si>
    <t xml:space="preserve">Active </t>
  </si>
  <si>
    <t>Income</t>
  </si>
  <si>
    <t>Entry fee - 100 active members</t>
  </si>
  <si>
    <t xml:space="preserve">Mfumo </t>
  </si>
  <si>
    <t>Costs of Operation</t>
  </si>
  <si>
    <t>Employee - 12 months @500k</t>
  </si>
  <si>
    <t>12th July 2026</t>
  </si>
  <si>
    <t>23rd June 2026</t>
  </si>
  <si>
    <t>22nd July 2026</t>
  </si>
  <si>
    <t>22nd Dec 2026</t>
  </si>
  <si>
    <t>Nsanyiwa top up 23 June 26</t>
  </si>
  <si>
    <t>Loan - Nsanyiwa top up 23 June 26</t>
  </si>
  <si>
    <t>Loan 19: Kitururu  23 June 26</t>
  </si>
  <si>
    <t>ILS24-F00111</t>
  </si>
  <si>
    <t xml:space="preserve">Joseph Albin Swai </t>
  </si>
  <si>
    <t>Joseph Albin Swai</t>
  </si>
  <si>
    <t>Bruno Sunguya</t>
  </si>
  <si>
    <t>ILS24-F00112</t>
  </si>
  <si>
    <t>25th July 2026</t>
  </si>
  <si>
    <t>Oct 24 - sept 25</t>
  </si>
  <si>
    <t>Period</t>
  </si>
  <si>
    <t>UTT 16 - 25 June 2026</t>
  </si>
  <si>
    <t xml:space="preserve">Aisha Suleiman Babu </t>
  </si>
  <si>
    <t xml:space="preserve">Nicholaus Abdon Killinga </t>
  </si>
  <si>
    <t>ILS24-F00113</t>
  </si>
  <si>
    <t>Edwin Francis Kordun</t>
  </si>
  <si>
    <t>ILS24-F00114</t>
  </si>
  <si>
    <t>ILS24-F00115</t>
  </si>
  <si>
    <t>ILS24-F00116</t>
  </si>
  <si>
    <t>Calvin Francis Masao</t>
  </si>
  <si>
    <t>Nyirabu Zablon Musira</t>
  </si>
  <si>
    <t>25th July 2025</t>
  </si>
  <si>
    <t>DIV (loans June 2026)</t>
  </si>
  <si>
    <t>TOTAL UP JUNE 2026</t>
  </si>
  <si>
    <t>DIV UTT 7 July 1, 26</t>
  </si>
  <si>
    <t>TOTAL UP TO JULY 2026</t>
  </si>
  <si>
    <t>DIV (Loans July 2026)</t>
  </si>
  <si>
    <t>TOTAL UP TO AUG 2026</t>
  </si>
  <si>
    <t>DIV (Loans Aug 2026)</t>
  </si>
  <si>
    <t>DIV UTT 8 -31 JULY2026</t>
  </si>
  <si>
    <t>DIV UTT 9 - 31 AUG 2026</t>
  </si>
  <si>
    <t>TOTAL UP TO SEPT 2026</t>
  </si>
  <si>
    <t>DIV (Loans Sep 2026)</t>
  </si>
  <si>
    <t>DIV UTT 9 - 30 SEP 2026</t>
  </si>
  <si>
    <t>9th Aug 2026</t>
  </si>
  <si>
    <t>5th July 2026</t>
  </si>
  <si>
    <t>ILS24-F00117</t>
  </si>
  <si>
    <t xml:space="preserve">Kajiru Gad Kilonzo </t>
  </si>
  <si>
    <t>27th June 2026</t>
  </si>
  <si>
    <t>29th July 2026</t>
  </si>
  <si>
    <t>Loan - Mndeme 27 June 2026</t>
  </si>
  <si>
    <t>Mathew J Mndeme</t>
  </si>
  <si>
    <t>26th July 2026</t>
  </si>
  <si>
    <t>26th Dec. 2026</t>
  </si>
  <si>
    <t>Loan 20: Mndeme  27 June 26</t>
  </si>
  <si>
    <t>ILS24-F00118</t>
  </si>
  <si>
    <t>Vicent Athumani Tango</t>
  </si>
  <si>
    <t>ILS24-F00119</t>
  </si>
  <si>
    <t>ILS24-F00120</t>
  </si>
  <si>
    <t>Prosper Gunze Nambaya</t>
  </si>
  <si>
    <t xml:space="preserve">Goodwil D. Nambaya </t>
  </si>
  <si>
    <t>ILS24-F00121</t>
  </si>
  <si>
    <t>Deodati Kaishe Donati</t>
  </si>
  <si>
    <t>Nuhu Manase Ngangaji</t>
  </si>
  <si>
    <t xml:space="preserve">Nuhu Manase Ngangaji </t>
  </si>
  <si>
    <t>ILS24-F00122</t>
  </si>
  <si>
    <t xml:space="preserve">Dismas Prosper Batiri </t>
  </si>
  <si>
    <t>Dismas Prosper Batiri</t>
  </si>
  <si>
    <t>ILS24-F00123</t>
  </si>
  <si>
    <t>Limbu Malongo Limbu</t>
  </si>
  <si>
    <t>Loan - Felix 29 June 2026</t>
  </si>
  <si>
    <t>ILS24-F00124</t>
  </si>
  <si>
    <t>ILS24-F00125</t>
  </si>
  <si>
    <t>Shabani Juma Ndosi</t>
  </si>
  <si>
    <t>Hamad Habeeb Mansoor</t>
  </si>
  <si>
    <t>ILS24-F00126</t>
  </si>
  <si>
    <t>Peter Anthon Sobe</t>
  </si>
  <si>
    <t xml:space="preserve">NEXT TARGET </t>
  </si>
  <si>
    <t>ILS24-F00127</t>
  </si>
  <si>
    <t>Ignas Nicodemus Chilewa</t>
  </si>
  <si>
    <t>ILS24-F00128</t>
  </si>
  <si>
    <t>Mohamed Abdallah Muanda</t>
  </si>
  <si>
    <t>Loan - Aisha 29 June 2026</t>
  </si>
  <si>
    <t xml:space="preserve">Felix Daniel </t>
  </si>
  <si>
    <t>28th July 2026</t>
  </si>
  <si>
    <t>Aisha Suleiman Babu</t>
  </si>
  <si>
    <t>Elinsaria Munisi</t>
  </si>
  <si>
    <t>ILS24-F0008</t>
  </si>
  <si>
    <t>Loan 21: Felix  29 June 26</t>
  </si>
  <si>
    <t>Milestone 5</t>
  </si>
  <si>
    <t>31st December 2026</t>
  </si>
  <si>
    <t>Balance to Milestone 5</t>
  </si>
  <si>
    <t>Loan 22: Aisha  29 June 26</t>
  </si>
  <si>
    <t>Africa Jumanne Bwamkuu</t>
  </si>
  <si>
    <t>ILS24-F00129</t>
  </si>
  <si>
    <t>ILS24-F00130</t>
  </si>
  <si>
    <t>Titus Moses Safari</t>
  </si>
  <si>
    <t>ILS24-F00131</t>
  </si>
  <si>
    <t>ILS24-F00132</t>
  </si>
  <si>
    <t>ILS24-F00133</t>
  </si>
  <si>
    <t>ILS24-F00134</t>
  </si>
  <si>
    <t>Martin Nasuzwa Kidili</t>
  </si>
  <si>
    <t>Tumwesige David Mujwauzi</t>
  </si>
  <si>
    <t xml:space="preserve">Innocent Mosha </t>
  </si>
  <si>
    <t xml:space="preserve">Elibariki Charles </t>
  </si>
  <si>
    <t xml:space="preserve">Bakari Mchila </t>
  </si>
  <si>
    <t xml:space="preserve">Edwin Mombeki </t>
  </si>
  <si>
    <t xml:space="preserve">Adolf Ndyeabura </t>
  </si>
  <si>
    <t xml:space="preserve">AMOUNT GUARANTEED </t>
  </si>
  <si>
    <t>ILS24-F00135</t>
  </si>
  <si>
    <t>ILS24-F00136</t>
  </si>
  <si>
    <t>ILS24-F00137</t>
  </si>
  <si>
    <t>ILS24-F00138</t>
  </si>
  <si>
    <t>Novat Adam Moshi</t>
  </si>
  <si>
    <t xml:space="preserve">Fortunatus Mhambe </t>
  </si>
  <si>
    <t xml:space="preserve">Marcel John Kisoka </t>
  </si>
  <si>
    <t xml:space="preserve">Daniel Mchegere </t>
  </si>
  <si>
    <t>ILS24-F00139</t>
  </si>
  <si>
    <t>ILS24-F00140</t>
  </si>
  <si>
    <t>Loan - Adolf Ndyeabura 30 June 2026</t>
  </si>
  <si>
    <t>Sifuni Mchome</t>
  </si>
  <si>
    <t>SIFUNI ERNEST MCHOME</t>
  </si>
  <si>
    <t>ILS24-F00141</t>
  </si>
  <si>
    <t>ILS24-F00142</t>
  </si>
  <si>
    <t>ILS24-F00143</t>
  </si>
  <si>
    <t xml:space="preserve">Patrick Mbosa </t>
  </si>
  <si>
    <t>Loan - Shabani Mangu 30 June 2026</t>
  </si>
  <si>
    <t xml:space="preserve">Claverfed Mhidze </t>
  </si>
  <si>
    <t>Mwombeki Florian Fabian</t>
  </si>
  <si>
    <t>Loan 23: Adolf Ndyabura  30 June 26</t>
  </si>
  <si>
    <t>Bavo Emanuel Mzee</t>
  </si>
  <si>
    <t>William Baraka Tigahwa</t>
  </si>
  <si>
    <t>Martin Nasuzwa Kidili Kitundu</t>
  </si>
  <si>
    <t xml:space="preserve">Alfred Stephen Kishe </t>
  </si>
  <si>
    <t>Selemani Pongolani Ahmadi</t>
  </si>
  <si>
    <t>MILESTONE 5</t>
  </si>
  <si>
    <t>Loan - Gideon Gabriel 30 June 2026</t>
  </si>
  <si>
    <t xml:space="preserve">Honest Tesha </t>
  </si>
  <si>
    <t xml:space="preserve">Shukuru Willson Ndosi </t>
  </si>
  <si>
    <t>Jocobs Casthom Mwambegele</t>
  </si>
  <si>
    <t>ILS24-F00144</t>
  </si>
  <si>
    <t xml:space="preserve">Steven Silvester Chihwallo </t>
  </si>
  <si>
    <t xml:space="preserve">TOTAL AMOUNT </t>
  </si>
  <si>
    <t>30th Oct 2025</t>
  </si>
  <si>
    <t>30th Dec 2025</t>
  </si>
  <si>
    <t>faida UTT</t>
  </si>
  <si>
    <t>Faida mikopo</t>
  </si>
  <si>
    <t xml:space="preserve">Members </t>
  </si>
  <si>
    <t>`NMB</t>
  </si>
  <si>
    <t>ILS24-F00145</t>
  </si>
  <si>
    <t>Jaha Kamugisha Mvuha</t>
  </si>
  <si>
    <t>ILS24-F00146</t>
  </si>
  <si>
    <t>Hussein Hussein Shamdas</t>
  </si>
  <si>
    <t>Abraham Alex Assenga</t>
  </si>
  <si>
    <t>Loan - Abdillah Moshi 1st July 2026</t>
  </si>
  <si>
    <t>1st July 2026</t>
  </si>
  <si>
    <t>9th August 2026</t>
  </si>
  <si>
    <t>UTT 17 - 1st July 2026</t>
  </si>
  <si>
    <t>Fortunatus Mhambe</t>
  </si>
  <si>
    <t xml:space="preserve">Claverfred Mhidze </t>
  </si>
  <si>
    <t xml:space="preserve">Cleverfred Mhidze </t>
  </si>
  <si>
    <t xml:space="preserve">changed from Paul Metili </t>
  </si>
  <si>
    <t>Loan 24: Gideon Gabriel  30 June 26</t>
  </si>
  <si>
    <t>Loan - Edwin Kurdun 30 June 2026</t>
  </si>
  <si>
    <t>ILS24-F00147</t>
  </si>
  <si>
    <t xml:space="preserve">Julius Chacha Mwita </t>
  </si>
  <si>
    <t>Loan 26: Edwin Kurdun 30 June 2026</t>
  </si>
  <si>
    <t>Loan 25: Abdillah Moshi 30 June 2026</t>
  </si>
  <si>
    <t>Loan 27: Jacob Mangu  2nd July 2026</t>
  </si>
  <si>
    <t>Adolf Ndyeabura</t>
  </si>
  <si>
    <t>29th Dec. 2026</t>
  </si>
  <si>
    <t xml:space="preserve">Gideon Gabariel </t>
  </si>
  <si>
    <t xml:space="preserve">Abdillahi Moshi </t>
  </si>
  <si>
    <t>Edwin Kordun</t>
  </si>
  <si>
    <t>Jacob Shabani Mangu</t>
  </si>
  <si>
    <t xml:space="preserve">Nixon Billiam Matowo </t>
  </si>
  <si>
    <t>Loan - Goodwill Nambaya 30 June 2026</t>
  </si>
  <si>
    <t>JULY, 2026</t>
  </si>
  <si>
    <t>Loan 28: Goodwill Nambaya  30 June 2026</t>
  </si>
  <si>
    <t>Beatus Adrian Rwegalulira</t>
  </si>
  <si>
    <t xml:space="preserve">Goodwill Nambaya </t>
  </si>
  <si>
    <t>Loan - David Koillah 3 July 2026</t>
  </si>
  <si>
    <t>3rd July 2026</t>
  </si>
  <si>
    <t>2nd Aug 2026</t>
  </si>
  <si>
    <t>2nd Nov. 2026</t>
  </si>
  <si>
    <t>Sifuni Ernest Mchome</t>
  </si>
  <si>
    <t>HIARI</t>
  </si>
  <si>
    <t>ILBORU ALUMNI SACCOS AS OF 30TH JUNE 2026</t>
  </si>
  <si>
    <t>Loan 29: David Koillah  3 July 2026</t>
  </si>
  <si>
    <t>Innocent Kasigwa, Innocent Mosha, Elibariki Charles, Bakari Mchila, Edwin Mombeki</t>
  </si>
  <si>
    <t xml:space="preserve">Timeline </t>
  </si>
  <si>
    <t>MILESTONE 6</t>
  </si>
  <si>
    <t>MILESTONE 7</t>
  </si>
  <si>
    <t>30th September 2026</t>
  </si>
  <si>
    <t>MILESTONE 8</t>
  </si>
  <si>
    <t>31st October 2026</t>
  </si>
  <si>
    <t xml:space="preserve">AVAILABLE AMOUNT </t>
  </si>
  <si>
    <t>Date Projected Date</t>
  </si>
  <si>
    <t>REMAINING</t>
  </si>
  <si>
    <t xml:space="preserve">MILESTONE </t>
  </si>
  <si>
    <t>Emmanuel Wanjara Marero</t>
  </si>
  <si>
    <t>4th Aug 2026</t>
  </si>
  <si>
    <t>4th Dec. 2026</t>
  </si>
  <si>
    <t>Loan 30: Emmanuel Wanjara  5 July 2026</t>
  </si>
  <si>
    <t>7th  July 2026</t>
  </si>
  <si>
    <t>Emanuel Ezekiah Moshi</t>
  </si>
  <si>
    <t>deposited 30th May 2026</t>
  </si>
  <si>
    <t>Plasduce Mkeli Mbossa</t>
  </si>
  <si>
    <t xml:space="preserve">Nsanyiwa Donald Kiloba </t>
  </si>
  <si>
    <t>OCT, 2026</t>
  </si>
  <si>
    <t>NOV, 2026</t>
  </si>
  <si>
    <t>DEC, 2026</t>
  </si>
  <si>
    <t>Bank Interest</t>
  </si>
  <si>
    <t>Mfumo contribution – Munisi</t>
  </si>
  <si>
    <t>Mfumo contribution – Norbert</t>
  </si>
  <si>
    <t>Mfumo contribution – Kitali</t>
  </si>
  <si>
    <t>Bank Charges</t>
  </si>
  <si>
    <t>UTT 18 - 9th July 2026</t>
  </si>
  <si>
    <t>8th Aug 2026</t>
  </si>
  <si>
    <t>8th Dec. 2026</t>
  </si>
  <si>
    <t>8th Nov. 2026</t>
  </si>
  <si>
    <t>Fredrick Ndosi, Charles Jangu</t>
  </si>
  <si>
    <t>Emmanuel Simphoria Massawe</t>
  </si>
  <si>
    <t>Loan -Robert Masegese 9 July 2026</t>
  </si>
  <si>
    <t>Loan - Emmanuel Wanjara 5 July 2026</t>
  </si>
  <si>
    <t>Loan - Emmanuel Simphoria  9 July 2026</t>
  </si>
  <si>
    <t>Loan 32: Emmanuel Simphoria Massawe  9 July 2026</t>
  </si>
  <si>
    <t>Loan 31: Robert Masegese  9 July 2026</t>
  </si>
  <si>
    <t>Loan 14:  Shabani  Salim 13 May 2026</t>
  </si>
  <si>
    <t xml:space="preserve">UTT 16 </t>
  </si>
  <si>
    <t xml:space="preserve">UTT 17 </t>
  </si>
  <si>
    <t xml:space="preserve">UTT 18 </t>
  </si>
  <si>
    <t>Patrick Mbossa</t>
  </si>
  <si>
    <t xml:space="preserve">Everest Exavery Francisco </t>
  </si>
  <si>
    <t>DIVIDENT UTT 7</t>
  </si>
  <si>
    <t>TOTAL GAWIO FOR JUNE 2026</t>
  </si>
  <si>
    <t>DIV UTT 7 JUNE 2026</t>
  </si>
  <si>
    <t>0655281326</t>
  </si>
  <si>
    <t>0764636000</t>
  </si>
  <si>
    <t>0754531611</t>
  </si>
  <si>
    <t>0742997323</t>
  </si>
  <si>
    <t>0784662615</t>
  </si>
  <si>
    <t>DIVIDENDS MAY 2026</t>
  </si>
  <si>
    <t>DIVIDENDS JUNE 2026</t>
  </si>
  <si>
    <t>DIVIDEND 17  Loan7- Munisi 12 June 26</t>
  </si>
  <si>
    <t>DIVIDEND 18  Loan 13- Kitururu 16 June 26</t>
  </si>
  <si>
    <t>DIVIDEND 20 Loan 8 - Makoko 25 June 26</t>
  </si>
  <si>
    <t>DIVIDEND 21 Loan 12 - Mmari 25 June 26</t>
  </si>
  <si>
    <t>DIVIDEND 22 Loan 9 - Donald 27 June 26</t>
  </si>
  <si>
    <t>DIVIDEND 26 Loan 17 - Ernest Shirima 1st July 2026</t>
  </si>
  <si>
    <t>DIVIDEND 27 Loan 22 - Aisha Suleiman 3rd July  2026</t>
  </si>
  <si>
    <t>DIVIDEND 28 Loan 25 - Abdillah Moshi 6th July 2026</t>
  </si>
  <si>
    <t>DIVIDEND 29 Loan 14 - Shabani Salim 9th July 2026</t>
  </si>
  <si>
    <t>DIVIDEND UTT 7 June 2026</t>
  </si>
  <si>
    <t>DIVIDEND 9 Loan #10 - Nyembea 23 May 26</t>
  </si>
  <si>
    <t>DIVIDEND 10 Loan #8 - Makoko 23 May 26</t>
  </si>
  <si>
    <t>DIVIDEND 11 Loan #12 - Emmanuel Mmari 26 May 26</t>
  </si>
  <si>
    <t>DIVIDEND 12 Loan #11- Norbert Massay 1st June 26</t>
  </si>
  <si>
    <t>DIVIDEND 13 Loan #5- Adolf Ndyeabura 1st June 26</t>
  </si>
  <si>
    <t>DIVIDEND 14 Loan #9- Donald Nsanyiwa 1st June 26</t>
  </si>
  <si>
    <t>DIVIDEND 15 Loan #13- Abduel Kitururu 2-nd June 26</t>
  </si>
  <si>
    <t>DIVIDEND UTT 6: 2nd June 2026</t>
  </si>
  <si>
    <t>DIVIDEND 1 UTT (Year 1)</t>
  </si>
  <si>
    <t>DIV 6 UTT (15 Apr 26)</t>
  </si>
  <si>
    <t>DIV 5 (Loan 2+3)</t>
  </si>
  <si>
    <t>DIV 4 UTT (Jan 24)</t>
  </si>
  <si>
    <t>DIV 3 (Loan 1)</t>
  </si>
  <si>
    <t>DIV 2 UTT (Nov. 25)</t>
  </si>
  <si>
    <t>DIVIDEND 1</t>
  </si>
  <si>
    <t>DIVIDEND 2</t>
  </si>
  <si>
    <t>DIVIDEND 3 - from loan 1</t>
  </si>
  <si>
    <t>DIVIDEND 3 UTT 24 FEB 26</t>
  </si>
  <si>
    <t>DIVIDEND 5 (Loan 2-2 mar 26, Loan 3 - 5 mar 26)</t>
  </si>
  <si>
    <t>DIVIDEND 4 UTT 15 Apr 26</t>
  </si>
  <si>
    <t>DIVIDEND 6 Loan 6- Nyembea 29 Apr 26</t>
  </si>
  <si>
    <t>DIVIDEND 7  Loan7- Munisi 2nd May 26</t>
  </si>
  <si>
    <t>DIVIDEND  5 - UTT 7th May 26</t>
  </si>
  <si>
    <t xml:space="preserve">DIVIDEND 6 UTT 2nd June 2026 </t>
  </si>
  <si>
    <t>DIVIDEND 19  Loan 11- Norbert Massay 20 June 2026</t>
  </si>
  <si>
    <t>DIVIDEND 23 Loan 15 - Alban 30 June 26</t>
  </si>
  <si>
    <t>DIVIDEND 24 Loan 16 - Metta 30 June 26</t>
  </si>
  <si>
    <t>DIVIDEND 25 Loan 10 - Nyembea 27 June 26</t>
  </si>
  <si>
    <t>DIVIDEND UTT 7 - 10th July 2026</t>
  </si>
  <si>
    <t>0745802050</t>
  </si>
  <si>
    <t>0713858844</t>
  </si>
  <si>
    <t>0713224716</t>
  </si>
  <si>
    <t>Felix Daniel Kinabo</t>
  </si>
  <si>
    <t>0754046688</t>
  </si>
  <si>
    <t>0754710473</t>
  </si>
  <si>
    <t>0754499843</t>
  </si>
  <si>
    <t>0784280224</t>
  </si>
  <si>
    <t>0784333244</t>
  </si>
  <si>
    <t>0754659313</t>
  </si>
  <si>
    <t>0784740381</t>
  </si>
  <si>
    <t>0754001144</t>
  </si>
  <si>
    <t>0784859978</t>
  </si>
  <si>
    <t>0757080851</t>
  </si>
  <si>
    <t>0712345926</t>
  </si>
  <si>
    <t>0756148078</t>
  </si>
  <si>
    <t>0787716778</t>
  </si>
  <si>
    <t>0715470615</t>
  </si>
  <si>
    <t>0746000600</t>
  </si>
  <si>
    <t>0755008144</t>
  </si>
  <si>
    <t>0754548239</t>
  </si>
  <si>
    <t>0754379191</t>
  </si>
  <si>
    <t xml:space="preserve">Patrick Salum Kiani </t>
  </si>
  <si>
    <t>0759178459</t>
  </si>
  <si>
    <t>0784561767</t>
  </si>
  <si>
    <t>0783661006</t>
  </si>
  <si>
    <t>0764568979</t>
  </si>
  <si>
    <t>0754621046</t>
  </si>
  <si>
    <t>0768297082</t>
  </si>
  <si>
    <t>0787014096</t>
  </si>
  <si>
    <t>0752505062</t>
  </si>
  <si>
    <t>0754263187</t>
  </si>
  <si>
    <t>0713508199</t>
  </si>
  <si>
    <t>0754710685</t>
  </si>
  <si>
    <t>0756666600</t>
  </si>
  <si>
    <t>0784707170</t>
  </si>
  <si>
    <t>0713123480</t>
  </si>
  <si>
    <t>0767481912</t>
  </si>
  <si>
    <t>0767467455</t>
  </si>
  <si>
    <t>0653306750</t>
  </si>
  <si>
    <t>+26773078658</t>
  </si>
  <si>
    <t>0784230967</t>
  </si>
  <si>
    <t>0678831902</t>
  </si>
  <si>
    <t>0757807564</t>
  </si>
  <si>
    <t>0789242885</t>
  </si>
  <si>
    <t>0782936936</t>
  </si>
  <si>
    <t>0787593280</t>
  </si>
  <si>
    <t>0753176986</t>
  </si>
  <si>
    <t>0752049628</t>
  </si>
  <si>
    <t>0767435748</t>
  </si>
  <si>
    <t>0754467884</t>
  </si>
  <si>
    <t>0744848432</t>
  </si>
  <si>
    <t>0754744666</t>
  </si>
  <si>
    <t>0767405014</t>
  </si>
  <si>
    <t>07186732672</t>
  </si>
  <si>
    <t>0754480901</t>
  </si>
  <si>
    <t>0717107399</t>
  </si>
  <si>
    <t>0767839967</t>
  </si>
  <si>
    <t>0625401936</t>
  </si>
  <si>
    <t>+447740189591</t>
  </si>
  <si>
    <t>+17043490985</t>
  </si>
  <si>
    <t>+12813899436</t>
  </si>
  <si>
    <t>0784328988</t>
  </si>
  <si>
    <t>0754590486</t>
  </si>
  <si>
    <t>0754660412</t>
  </si>
  <si>
    <t>0738720662</t>
  </si>
  <si>
    <t>0719190221</t>
  </si>
  <si>
    <t>+27639317104</t>
  </si>
  <si>
    <t>0714531082</t>
  </si>
  <si>
    <t>0763380255</t>
  </si>
  <si>
    <t>0717730610</t>
  </si>
  <si>
    <t>0689439666</t>
  </si>
  <si>
    <t>+2023741177</t>
  </si>
  <si>
    <t>0755744944</t>
  </si>
  <si>
    <t>0693392239</t>
  </si>
  <si>
    <t>0688653393</t>
  </si>
  <si>
    <t>0713140350</t>
  </si>
  <si>
    <t>0752337067</t>
  </si>
  <si>
    <t>0757722782</t>
  </si>
  <si>
    <t>0755758489</t>
  </si>
  <si>
    <t>0754711147</t>
  </si>
  <si>
    <t>0784543207</t>
  </si>
  <si>
    <t>0754270827</t>
  </si>
  <si>
    <t>0628009988</t>
  </si>
  <si>
    <t>0789969696</t>
  </si>
  <si>
    <t>0789\544444</t>
  </si>
  <si>
    <t>0744655700</t>
  </si>
  <si>
    <t>+16146226705</t>
  </si>
  <si>
    <t>0786416969</t>
  </si>
  <si>
    <t>0756000696</t>
  </si>
  <si>
    <t>+254780981445</t>
  </si>
  <si>
    <t>0767042677</t>
  </si>
  <si>
    <t>0678317700</t>
  </si>
  <si>
    <t>0621306238</t>
  </si>
  <si>
    <t>0759432706</t>
  </si>
  <si>
    <t>0672285050</t>
  </si>
  <si>
    <t>0762811596</t>
  </si>
  <si>
    <t>0685217272</t>
  </si>
  <si>
    <t>0764191504</t>
  </si>
  <si>
    <t>0747458514</t>
  </si>
  <si>
    <t>0754771517</t>
  </si>
  <si>
    <t>0766082304</t>
  </si>
  <si>
    <t>0739054054</t>
  </si>
  <si>
    <t>0755756149</t>
  </si>
  <si>
    <t>0787109071</t>
  </si>
  <si>
    <t>0784478595</t>
  </si>
  <si>
    <t>0767307087</t>
  </si>
  <si>
    <t>0754699499</t>
  </si>
  <si>
    <t>+61438840617</t>
  </si>
  <si>
    <t>0767265797</t>
  </si>
  <si>
    <t>0786626282</t>
  </si>
  <si>
    <t>0784777711</t>
  </si>
  <si>
    <t>0788462626</t>
  </si>
  <si>
    <t>0760808012</t>
  </si>
  <si>
    <t>0684900000</t>
  </si>
  <si>
    <t>0713123528</t>
  </si>
  <si>
    <t>0656545783</t>
  </si>
  <si>
    <t>0788835883</t>
  </si>
  <si>
    <t>0624482092</t>
  </si>
  <si>
    <t>0784418318</t>
  </si>
  <si>
    <t>0754711101</t>
  </si>
  <si>
    <t>0658511416</t>
  </si>
  <si>
    <t>0784884884</t>
  </si>
  <si>
    <t>0767825204</t>
  </si>
  <si>
    <t>0784526699</t>
  </si>
  <si>
    <t>0756053955</t>
  </si>
  <si>
    <t>0767210978</t>
  </si>
  <si>
    <t>0784395734</t>
  </si>
  <si>
    <t>0755217647</t>
  </si>
  <si>
    <t>0754711304</t>
  </si>
  <si>
    <t>0766775255</t>
  </si>
  <si>
    <t>DATE LOAN APPLIED</t>
  </si>
  <si>
    <t>10th August 2026</t>
  </si>
  <si>
    <t>12th August</t>
  </si>
  <si>
    <t>TOTAL LOAN DIVIDEND</t>
  </si>
  <si>
    <t>DIVIDEND 17  Loan7- 12 June 26</t>
  </si>
  <si>
    <t>DIVIDEND 18  Loan 13- 16 June 26</t>
  </si>
  <si>
    <t>DIVIDEND 9  Loan 19-20 June 2026</t>
  </si>
  <si>
    <t>DIVIDEND 20 Loan 8 - 25 June 26</t>
  </si>
  <si>
    <t>DIVIDEND 21 Loan 12 - 25 June 26</t>
  </si>
  <si>
    <t>DIVIDEND 22 Loan 9 -27 June 26</t>
  </si>
  <si>
    <t>DIVIDEND 23 Loan 15 - 29 June 26</t>
  </si>
  <si>
    <t>DIVIDEND 24 Loan 16: 30 June 26</t>
  </si>
  <si>
    <t>DIVIDEND 25 Loan 10: 27 June 26</t>
  </si>
  <si>
    <t>DIVIDEND 26 Loan 17 - 1st July 2026</t>
  </si>
  <si>
    <t>DIVIDEND 27 Loan 22 - 3rd July  2026</t>
  </si>
  <si>
    <t>DIVIDEND 28 Loan 25 -6th July 2026</t>
  </si>
  <si>
    <t>DIVIDEND 29 Loan 14 - 9th July 2026</t>
  </si>
  <si>
    <t>30th July 2026</t>
  </si>
  <si>
    <t>Leo Richard Kilamile</t>
  </si>
  <si>
    <t>0713205865</t>
  </si>
  <si>
    <t>14th July 2026</t>
  </si>
  <si>
    <t>13th Aug 2026</t>
  </si>
  <si>
    <t>13th Dec. 2026</t>
  </si>
  <si>
    <t>Loan 33: Emmanuel Msaki 14 July 2026</t>
  </si>
  <si>
    <t>updated info as 30th  July  2026</t>
  </si>
  <si>
    <t>Loan - Emmanuel Msaki  14 July 2026</t>
  </si>
  <si>
    <t>Jacobs Casthom Mwambegele</t>
  </si>
  <si>
    <t>Plan 31st July, done 15th July 26</t>
  </si>
  <si>
    <t xml:space="preserve">system number </t>
  </si>
  <si>
    <t>Edgar Shumbusho</t>
  </si>
  <si>
    <t xml:space="preserve">Edgar Shumbusho </t>
  </si>
  <si>
    <t>From Khalifa Sushy</t>
  </si>
  <si>
    <t>Loan 34: Bakari Hemedi  19 July 2026</t>
  </si>
  <si>
    <t>Loan - Bakari Hemedi  18 July 2026</t>
  </si>
  <si>
    <t>21/7/26</t>
  </si>
  <si>
    <t>17th Aug 2026</t>
  </si>
  <si>
    <t>17th Oct. 2026</t>
  </si>
  <si>
    <t>21st July 2026</t>
  </si>
  <si>
    <t>22 July 20206</t>
  </si>
  <si>
    <t>23rd July 2026</t>
  </si>
  <si>
    <t>24th July 2026</t>
  </si>
  <si>
    <t xml:space="preserve">SHARES INVESTMENT </t>
  </si>
  <si>
    <t>NMB 20k shares part 1 - 24th July 2026</t>
  </si>
  <si>
    <t>ILS24-F00148</t>
  </si>
  <si>
    <t>DIVIDEND 30 Loan 4 - Werema 22nd July 2026</t>
  </si>
  <si>
    <t>ILS24-F00149</t>
  </si>
  <si>
    <t xml:space="preserve">Lameck Kasana </t>
  </si>
  <si>
    <t xml:space="preserve">Mohamed Rashidi Gwae </t>
  </si>
  <si>
    <t xml:space="preserve">Innocent John Umbulla </t>
  </si>
  <si>
    <t>25th Aug 2026</t>
  </si>
  <si>
    <t>DIVIDEND 31 Loan 22 - Aisha 22nd July 2026</t>
  </si>
  <si>
    <t>DIVIDEND 32 Loan 11 - Norbert  24th July 2026</t>
  </si>
  <si>
    <t>DIVIDEND 33 Loan 19 - Abduel Kitururu 22nd July 2026</t>
  </si>
  <si>
    <t>DIVIDEND 34 Loan 9 - Nsanyiwa  24th July 2026</t>
  </si>
  <si>
    <t>NMB SHARES 20K</t>
  </si>
  <si>
    <t>CHARGES TO PROCESS</t>
  </si>
  <si>
    <t>TOTAL COST</t>
  </si>
  <si>
    <t xml:space="preserve">PAID FIRST INSTALMENT </t>
  </si>
  <si>
    <t xml:space="preserve">NOT PAID </t>
  </si>
  <si>
    <t xml:space="preserve">REMAINING CASH AT BANK NOW </t>
  </si>
  <si>
    <t>GAP</t>
  </si>
  <si>
    <t>Aminiel Kabura</t>
  </si>
  <si>
    <t>27th July 2026</t>
  </si>
  <si>
    <t>Final payment NMB shares part 2 - 26th July 2026</t>
  </si>
  <si>
    <t>29th Aug 2026</t>
  </si>
  <si>
    <t>28th Aug 2026</t>
  </si>
  <si>
    <t>29th July  2026</t>
  </si>
  <si>
    <t xml:space="preserve">top up </t>
  </si>
  <si>
    <t>26th Aug 2026</t>
  </si>
  <si>
    <t xml:space="preserve">TOTAL AMOUNT INVESTED WITH NMB  SHARES </t>
  </si>
  <si>
    <t>DIVIDEND 35 Loan 12 - Emmanuel Mmari 27th July 2026</t>
  </si>
  <si>
    <t>DIVIDEND 36 Loan 15 - Alban Robert  30th July 2026</t>
  </si>
  <si>
    <t>DIVIDEND 37 Loan 26 - Edwin Kordun 30th July 2026</t>
  </si>
  <si>
    <t>DIVIDEND 8 UTT - 31st July 2026</t>
  </si>
  <si>
    <t xml:space="preserve">AMOUNT TO OPERATION ACCOUNT </t>
  </si>
  <si>
    <t>DIVIDENT UTT 8</t>
  </si>
  <si>
    <t>DIVIDEND 40 Loan 20 - Mathew Mndeme 25th July 2026</t>
  </si>
  <si>
    <t>DIVIDEND 38 Loan 28 - Goodwill Nambaya   28th July 2026</t>
  </si>
  <si>
    <t>DIVIDEND 39 Loan 27 - Jacob Mangu  30th July 2026</t>
  </si>
  <si>
    <t xml:space="preserve">Frederick Peter Ndossi </t>
  </si>
  <si>
    <t>ILS24-F00150</t>
  </si>
  <si>
    <t>Paulsen Patrick Aron</t>
  </si>
  <si>
    <t>Top up Loan - Mathew Mndeme  29 July 2026</t>
  </si>
  <si>
    <t>31st  July 2026</t>
  </si>
  <si>
    <t>DIVIDEND 42 Loan 23 - Adolph Ndyeabura 31st  July 2026</t>
  </si>
  <si>
    <t>DIVIDEND 41 Loan 17 - Ernest Shirima 25th July 2026</t>
  </si>
  <si>
    <t>TOTAL GAWIO FOR JULY 2026</t>
  </si>
  <si>
    <t>DIVIDENDS JULY 2026</t>
  </si>
  <si>
    <t>What is in Portal</t>
  </si>
  <si>
    <t xml:space="preserve">difference </t>
  </si>
  <si>
    <t>Rank</t>
  </si>
  <si>
    <t>Member No</t>
  </si>
  <si>
    <t>Member</t>
  </si>
  <si>
    <t>Contributions</t>
  </si>
  <si>
    <t>Dividends</t>
  </si>
  <si>
    <t>Cumulative</t>
  </si>
  <si>
    <t>Nsanyiwa Kiloba</t>
  </si>
  <si>
    <t>Evarest Exavery Francisco</t>
  </si>
  <si>
    <t>Kanuti Simba</t>
  </si>
  <si>
    <t>John Arbogast Massawe</t>
  </si>
  <si>
    <t>Masale Rajabu Masale</t>
  </si>
  <si>
    <t>Evance Mori</t>
  </si>
  <si>
    <t>Patrick Salum Kiani</t>
  </si>
  <si>
    <t>Frederick Ndossi</t>
  </si>
  <si>
    <t>Best Magoma</t>
  </si>
  <si>
    <t>Bakari Mchila Hemedi</t>
  </si>
  <si>
    <t>Ahmad Yahya</t>
  </si>
  <si>
    <t>Adamu Urassa</t>
  </si>
  <si>
    <t>Innocent R. Kasigwa</t>
  </si>
  <si>
    <t>Ernest Phelician Shirima</t>
  </si>
  <si>
    <t>Emmanuel Msaki</t>
  </si>
  <si>
    <t>Nixon Billiam Matowo</t>
  </si>
  <si>
    <t>Liggyle Vumilia</t>
  </si>
  <si>
    <t>Innocent Umbulla</t>
  </si>
  <si>
    <t>Nalogwa Kiula</t>
  </si>
  <si>
    <t>Omari Juma Mwasema</t>
  </si>
  <si>
    <t>Robert Masegese</t>
  </si>
  <si>
    <t>Africa Silayo</t>
  </si>
  <si>
    <t>Kusirye Boniface Ukio</t>
  </si>
  <si>
    <t>Ludovic Jacob Swai</t>
  </si>
  <si>
    <t>David Isack Mushi</t>
  </si>
  <si>
    <t>Daniel Michael Kisaka</t>
  </si>
  <si>
    <t>Aisha Babu</t>
  </si>
  <si>
    <t>Edson Pascal Rwechungura</t>
  </si>
  <si>
    <t>Shukuru Willson Ndosi</t>
  </si>
  <si>
    <t>Evarest Thadei Sikilo</t>
  </si>
  <si>
    <t>Kaanaeli Gabriel Nko</t>
  </si>
  <si>
    <t>Baltazari Thomas Mrosso</t>
  </si>
  <si>
    <t>Salum Masudi Hassani</t>
  </si>
  <si>
    <t>Nicholaus Abdon Killinga</t>
  </si>
  <si>
    <t>Kajiru Gad Kilonzo</t>
  </si>
  <si>
    <t>Goodwil D. Nambaya</t>
  </si>
  <si>
    <t>Peter Anton Sobe</t>
  </si>
  <si>
    <t>Alfred Stephen Kishe</t>
  </si>
  <si>
    <t>Marcel John Kisoka</t>
  </si>
  <si>
    <t>Daniel Mwita Chegere</t>
  </si>
  <si>
    <t>Claverfred Mhidze</t>
  </si>
  <si>
    <t>Honest Tesha</t>
  </si>
  <si>
    <t>Steven Silvester Chihwallo</t>
  </si>
  <si>
    <t>Julius Chacha Mwita</t>
  </si>
  <si>
    <t>Lameck Kassana</t>
  </si>
  <si>
    <t>Mohamed Rashidi Gwae</t>
  </si>
  <si>
    <t>Paulsen Patrick</t>
  </si>
  <si>
    <t xml:space="preserve">Costs of purchase of the shares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</si>
</sst>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00000_);_(* \(#,##0.000000\);_(* &quot;-&quot;??_);_(@_)"/>
    <numFmt numFmtId="166" formatCode="_(* #,##0.0000000_);_(* \(#,##0.0000000\);_(* &quot;-&quot;??_);_(@_)"/>
    <numFmt numFmtId="167" formatCode="0.0"/>
    <numFmt numFmtId="168" formatCode="_(* #,##0_);_(* \(#,##0\);_(* \-??_);_(@_)"/>
    <numFmt numFmtId="169" formatCode="mmm\ dd"/>
  </numFmts>
  <fonts count="43"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rgb="FFFF0000"/>
      <name val="Aptos Narrow"/>
      <family val="2"/>
      <scheme val="minor"/>
    </font>
    <font>
      <b/>
      <sz val="11"/>
      <name val="Aptos Narrow"/>
      <family val="2"/>
      <scheme val="minor"/>
    </font>
    <font>
      <b/>
      <sz val="14"/>
      <color theme="1"/>
      <name val="Aptos Narrow"/>
      <family val="2"/>
      <scheme val="minor"/>
    </font>
    <font>
      <b/>
      <sz val="16"/>
      <color theme="1"/>
      <name val="Aptos Narrow"/>
      <family val="2"/>
      <scheme val="minor"/>
    </font>
    <font>
      <sz val="12"/>
      <color theme="1"/>
      <name val="Aptos Narrow"/>
      <family val="2"/>
      <scheme val="minor"/>
    </font>
    <font>
      <b/>
      <sz val="12"/>
      <color theme="1"/>
      <name val="Aptos Narrow"/>
      <family val="2"/>
      <scheme val="minor"/>
    </font>
    <font>
      <sz val="11"/>
      <color rgb="FFFF0000"/>
      <name val="Aptos Narrow"/>
      <family val="2"/>
      <scheme val="minor"/>
    </font>
    <font>
      <b/>
      <sz val="18"/>
      <color theme="1"/>
      <name val="Aptos Narrow"/>
      <family val="2"/>
      <scheme val="minor"/>
    </font>
    <font>
      <sz val="12"/>
      <color rgb="FF000000"/>
      <name val="Times New Roman"/>
      <family val="1"/>
    </font>
    <font>
      <sz val="7"/>
      <color rgb="FF000000"/>
      <name val="Times New Roman"/>
      <family val="1"/>
    </font>
    <font>
      <i/>
      <sz val="12"/>
      <color rgb="FF000000"/>
      <name val="Times New Roman"/>
      <family val="1"/>
    </font>
    <font>
      <b/>
      <sz val="12"/>
      <color rgb="FF000000"/>
      <name val="Times New Roman"/>
      <family val="1"/>
    </font>
    <font>
      <b/>
      <sz val="7"/>
      <color rgb="FF000000"/>
      <name val="Times New Roman"/>
      <family val="1"/>
    </font>
    <font>
      <sz val="12"/>
      <color theme="1"/>
      <name val="Times New Roman"/>
      <family val="1"/>
    </font>
    <font>
      <b/>
      <i/>
      <sz val="14"/>
      <color theme="1"/>
      <name val="Aptos Narrow"/>
      <family val="2"/>
      <scheme val="minor"/>
    </font>
    <font>
      <sz val="11"/>
      <name val="Aptos Narrow"/>
      <family val="2"/>
      <scheme val="minor"/>
    </font>
    <font>
      <b/>
      <sz val="12"/>
      <name val="Aptos Narrow"/>
      <family val="2"/>
      <scheme val="minor"/>
    </font>
    <font>
      <b/>
      <sz val="12"/>
      <color rgb="FFFF0000"/>
      <name val="Aptos Narrow"/>
      <family val="2"/>
      <scheme val="minor"/>
    </font>
    <font>
      <sz val="10"/>
      <color theme="1"/>
      <name val="Aptos Narrow"/>
      <family val="2"/>
      <scheme val="minor"/>
    </font>
    <font>
      <b/>
      <sz val="9"/>
      <color theme="1"/>
      <name val="Segoe UI"/>
      <family val="2"/>
    </font>
    <font>
      <sz val="8"/>
      <color rgb="FF2C3251"/>
      <name val="Arial"/>
      <family val="2"/>
    </font>
    <font>
      <b/>
      <sz val="11"/>
      <color theme="2"/>
      <name val="Aptos Narrow"/>
      <family val="2"/>
      <scheme val="minor"/>
    </font>
    <font>
      <sz val="8"/>
      <color theme="1"/>
      <name val="Aptos Narrow"/>
      <family val="2"/>
      <scheme val="minor"/>
    </font>
    <font>
      <sz val="9"/>
      <color theme="1"/>
      <name val="Segoe UI"/>
      <family val="2"/>
    </font>
    <font>
      <b/>
      <sz val="10"/>
      <color theme="1"/>
      <name val="Aptos Narrow"/>
      <family val="2"/>
      <scheme val="minor"/>
    </font>
    <font>
      <b/>
      <sz val="9"/>
      <color theme="1"/>
      <name val="Aptos Narrow"/>
      <family val="2"/>
      <scheme val="minor"/>
    </font>
    <font>
      <sz val="9"/>
      <color theme="1"/>
      <name val="Aptos Narrow"/>
      <family val="2"/>
      <scheme val="minor"/>
    </font>
    <font>
      <u/>
      <sz val="11"/>
      <color theme="1"/>
      <name val="Aptos Narrow"/>
      <family val="2"/>
      <scheme val="minor"/>
    </font>
    <font>
      <b/>
      <sz val="8"/>
      <color theme="1"/>
      <name val="Segoe UI"/>
      <family val="2"/>
    </font>
    <font>
      <sz val="9"/>
      <name val="Aptos Narrow"/>
      <family val="2"/>
      <scheme val="minor"/>
    </font>
    <font>
      <b/>
      <sz val="18"/>
      <color theme="1"/>
      <name val="Aptos Narrow"/>
      <family val="2"/>
      <charset val="1"/>
    </font>
    <font>
      <b/>
      <sz val="11"/>
      <color theme="1"/>
      <name val="Aptos Narrow"/>
      <family val="2"/>
      <charset val="1"/>
    </font>
    <font>
      <b/>
      <sz val="14"/>
      <color theme="1"/>
      <name val="Aptos Narrow"/>
      <family val="2"/>
      <charset val="1"/>
    </font>
    <font>
      <sz val="12"/>
      <color theme="1"/>
      <name val="Aptos Narrow"/>
      <family val="2"/>
      <charset val="1"/>
    </font>
    <font>
      <sz val="11"/>
      <color rgb="FFFF0000"/>
      <name val="Aptos Narrow"/>
      <family val="2"/>
      <charset val="1"/>
    </font>
    <font>
      <b/>
      <sz val="12"/>
      <color theme="1"/>
      <name val="Aptos Narrow"/>
      <family val="2"/>
      <charset val="1"/>
    </font>
    <font>
      <b/>
      <sz val="9"/>
      <color theme="1"/>
      <name val="Aptos Narrow"/>
      <family val="2"/>
    </font>
    <font>
      <sz val="9"/>
      <name val="Aptos Narrow"/>
      <family val="2"/>
    </font>
    <font>
      <b/>
      <sz val="9"/>
      <name val="Aptos Narrow"/>
      <family val="2"/>
    </font>
  </fonts>
  <fills count="44">
    <fill>
      <patternFill patternType="none"/>
    </fill>
    <fill>
      <patternFill patternType="gray125"/>
    </fill>
    <fill>
      <patternFill patternType="solid">
        <fgColor theme="9"/>
        <bgColor indexed="64"/>
      </patternFill>
    </fill>
    <fill>
      <patternFill patternType="solid">
        <fgColor rgb="FF00B0F0"/>
        <bgColor indexed="64"/>
      </patternFill>
    </fill>
    <fill>
      <patternFill patternType="solid">
        <fgColor theme="0"/>
        <bgColor indexed="64"/>
      </patternFill>
    </fill>
    <fill>
      <patternFill patternType="solid">
        <fgColor rgb="FF92D05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00B05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3" tint="0.749992370372631"/>
        <bgColor indexed="64"/>
      </patternFill>
    </fill>
    <fill>
      <patternFill patternType="solid">
        <fgColor rgb="FFFF9966"/>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7030A0"/>
        <bgColor indexed="64"/>
      </patternFill>
    </fill>
    <fill>
      <patternFill patternType="solid">
        <fgColor rgb="FFFF3399"/>
        <bgColor indexed="64"/>
      </patternFill>
    </fill>
    <fill>
      <patternFill patternType="solid">
        <fgColor rgb="FFFFFFCC"/>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9" tint="0.39988402966399123"/>
        <bgColor rgb="FF84E291"/>
      </patternFill>
    </fill>
    <fill>
      <patternFill patternType="solid">
        <fgColor theme="0"/>
        <bgColor rgb="FFF2F2F2"/>
      </patternFill>
    </fill>
    <fill>
      <patternFill patternType="solid">
        <fgColor rgb="FF92D050"/>
        <bgColor rgb="FF8ED973"/>
      </patternFill>
    </fill>
    <fill>
      <patternFill patternType="solid">
        <fgColor theme="6" tint="0.59987182226020086"/>
        <bgColor rgb="FF8ED973"/>
      </patternFill>
    </fill>
    <fill>
      <patternFill patternType="solid">
        <fgColor rgb="FFFFFF00"/>
        <bgColor rgb="FFFFC000"/>
      </patternFill>
    </fill>
    <fill>
      <patternFill patternType="solid">
        <fgColor theme="5" tint="0.79989013336588644"/>
        <bgColor rgb="FFE8E8E8"/>
      </patternFill>
    </fill>
    <fill>
      <patternFill patternType="solid">
        <fgColor theme="8" tint="0.79989013336588644"/>
        <bgColor rgb="FFE0C2CD"/>
      </patternFill>
    </fill>
    <fill>
      <patternFill patternType="solid">
        <fgColor theme="9" tint="0.59987182226020086"/>
        <bgColor rgb="FFC2F1C8"/>
      </patternFill>
    </fill>
    <fill>
      <patternFill patternType="solid">
        <fgColor rgb="FFFF9966"/>
        <bgColor rgb="FFF2AA84"/>
      </patternFill>
    </fill>
    <fill>
      <patternFill patternType="solid">
        <fgColor theme="8" tint="0.39988402966399123"/>
        <bgColor rgb="FFE59EDD"/>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medium">
        <color indexed="64"/>
      </right>
      <top/>
      <bottom style="medium">
        <color indexed="64"/>
      </bottom>
      <diagonal/>
    </border>
    <border>
      <left style="medium">
        <color indexed="64"/>
      </left>
      <right/>
      <top/>
      <bottom/>
      <diagonal/>
    </border>
    <border>
      <left/>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776">
    <xf numFmtId="0" fontId="0" fillId="0" borderId="0" xfId="0"/>
    <xf numFmtId="164" fontId="0" fillId="0" borderId="0" xfId="1" applyNumberFormat="1" applyFont="1"/>
    <xf numFmtId="0" fontId="0" fillId="0" borderId="1" xfId="0" applyBorder="1"/>
    <xf numFmtId="164" fontId="0" fillId="0" borderId="1" xfId="1" applyNumberFormat="1" applyFont="1" applyBorder="1"/>
    <xf numFmtId="0" fontId="0" fillId="0" borderId="4" xfId="0" applyBorder="1"/>
    <xf numFmtId="0" fontId="2" fillId="0" borderId="0" xfId="0" applyFont="1"/>
    <xf numFmtId="43" fontId="0" fillId="0" borderId="0" xfId="1" applyFont="1"/>
    <xf numFmtId="164" fontId="0" fillId="0" borderId="1" xfId="1" applyNumberFormat="1" applyFont="1" applyFill="1" applyBorder="1"/>
    <xf numFmtId="49" fontId="0" fillId="0" borderId="0" xfId="0" applyNumberFormat="1"/>
    <xf numFmtId="49" fontId="0" fillId="0" borderId="1" xfId="0" applyNumberFormat="1" applyBorder="1"/>
    <xf numFmtId="43" fontId="0" fillId="0" borderId="1" xfId="1" applyFont="1" applyBorder="1"/>
    <xf numFmtId="43" fontId="0" fillId="0" borderId="1" xfId="1" applyFont="1" applyFill="1" applyBorder="1"/>
    <xf numFmtId="43" fontId="0" fillId="0" borderId="5" xfId="1" applyFont="1" applyBorder="1"/>
    <xf numFmtId="49" fontId="0" fillId="0" borderId="7" xfId="0" applyNumberFormat="1" applyBorder="1"/>
    <xf numFmtId="43" fontId="0" fillId="0" borderId="7" xfId="1" applyFont="1" applyBorder="1"/>
    <xf numFmtId="43" fontId="0" fillId="0" borderId="4" xfId="1" applyFont="1" applyBorder="1"/>
    <xf numFmtId="43" fontId="0" fillId="0" borderId="3" xfId="1" applyFont="1" applyBorder="1"/>
    <xf numFmtId="0" fontId="2" fillId="0" borderId="8" xfId="0" applyFont="1" applyBorder="1"/>
    <xf numFmtId="0" fontId="2" fillId="0" borderId="9" xfId="0" applyFont="1" applyBorder="1"/>
    <xf numFmtId="43" fontId="0" fillId="0" borderId="13" xfId="1" applyFont="1" applyBorder="1"/>
    <xf numFmtId="0" fontId="0" fillId="0" borderId="15" xfId="0" applyBorder="1"/>
    <xf numFmtId="0" fontId="0" fillId="0" borderId="7" xfId="0" applyBorder="1"/>
    <xf numFmtId="43" fontId="0" fillId="0" borderId="1" xfId="0" applyNumberFormat="1" applyBorder="1"/>
    <xf numFmtId="43" fontId="0" fillId="0" borderId="11" xfId="1" applyFont="1" applyBorder="1"/>
    <xf numFmtId="43" fontId="0" fillId="0" borderId="6" xfId="1" applyFont="1" applyBorder="1"/>
    <xf numFmtId="43" fontId="0" fillId="0" borderId="18" xfId="1" applyFont="1" applyBorder="1"/>
    <xf numFmtId="43" fontId="0" fillId="0" borderId="2" xfId="1" applyFont="1" applyBorder="1"/>
    <xf numFmtId="0" fontId="7" fillId="0" borderId="0" xfId="0" applyFont="1" applyAlignment="1">
      <alignment horizontal="center"/>
    </xf>
    <xf numFmtId="164" fontId="0" fillId="0" borderId="0" xfId="0" applyNumberFormat="1"/>
    <xf numFmtId="164" fontId="10" fillId="4" borderId="0" xfId="1" applyNumberFormat="1" applyFont="1" applyFill="1"/>
    <xf numFmtId="164" fontId="0" fillId="4" borderId="0" xfId="1" applyNumberFormat="1" applyFont="1" applyFill="1"/>
    <xf numFmtId="0" fontId="12" fillId="0" borderId="3" xfId="0" applyFont="1" applyBorder="1" applyAlignment="1">
      <alignment vertical="center"/>
    </xf>
    <xf numFmtId="0" fontId="12" fillId="0" borderId="6" xfId="0" applyFont="1" applyBorder="1" applyAlignment="1">
      <alignment vertical="center"/>
    </xf>
    <xf numFmtId="0" fontId="12" fillId="0" borderId="3" xfId="0" applyFont="1" applyBorder="1" applyAlignment="1">
      <alignment horizontal="left" vertical="center" indent="6"/>
    </xf>
    <xf numFmtId="164" fontId="12" fillId="0" borderId="6" xfId="1" applyNumberFormat="1" applyFont="1" applyBorder="1" applyAlignment="1">
      <alignment horizontal="left" vertical="center" indent="6"/>
    </xf>
    <xf numFmtId="164" fontId="15" fillId="0" borderId="6" xfId="1" applyNumberFormat="1" applyFont="1" applyBorder="1" applyAlignment="1">
      <alignment horizontal="left" vertical="center" indent="6"/>
    </xf>
    <xf numFmtId="0" fontId="12" fillId="0" borderId="3" xfId="0" applyFont="1" applyBorder="1" applyAlignment="1">
      <alignment vertical="center" wrapText="1"/>
    </xf>
    <xf numFmtId="0" fontId="12" fillId="0" borderId="6" xfId="0" applyFont="1" applyBorder="1" applyAlignment="1">
      <alignment vertical="center" wrapText="1"/>
    </xf>
    <xf numFmtId="0" fontId="15" fillId="0" borderId="3" xfId="0" applyFont="1" applyBorder="1" applyAlignment="1">
      <alignment horizontal="left" vertical="center" indent="6"/>
    </xf>
    <xf numFmtId="0" fontId="15" fillId="0" borderId="6" xfId="0" applyFont="1" applyBorder="1" applyAlignment="1">
      <alignment horizontal="left" vertical="center" indent="6"/>
    </xf>
    <xf numFmtId="0" fontId="12" fillId="0" borderId="3" xfId="0" applyFont="1" applyBorder="1" applyAlignment="1">
      <alignment horizontal="left" vertical="center" wrapText="1"/>
    </xf>
    <xf numFmtId="0" fontId="12" fillId="0" borderId="6" xfId="0" applyFont="1" applyBorder="1" applyAlignment="1">
      <alignment horizontal="left" vertical="center" wrapText="1"/>
    </xf>
    <xf numFmtId="0" fontId="12" fillId="0" borderId="19" xfId="0" applyFont="1" applyBorder="1" applyAlignment="1">
      <alignment vertical="center"/>
    </xf>
    <xf numFmtId="0" fontId="12" fillId="0" borderId="24" xfId="0" applyFont="1" applyBorder="1" applyAlignment="1">
      <alignment vertical="center"/>
    </xf>
    <xf numFmtId="0" fontId="0" fillId="0" borderId="20" xfId="0" applyBorder="1"/>
    <xf numFmtId="0" fontId="0" fillId="0" borderId="21" xfId="0" applyBorder="1"/>
    <xf numFmtId="0" fontId="0" fillId="0" borderId="25" xfId="0" applyBorder="1"/>
    <xf numFmtId="0" fontId="0" fillId="0" borderId="26" xfId="0" applyBorder="1"/>
    <xf numFmtId="0" fontId="15" fillId="0" borderId="23" xfId="0" applyFont="1" applyBorder="1" applyAlignment="1">
      <alignment vertical="center"/>
    </xf>
    <xf numFmtId="0" fontId="15" fillId="0" borderId="0" xfId="0" applyFont="1" applyAlignment="1">
      <alignment vertical="center"/>
    </xf>
    <xf numFmtId="0" fontId="0" fillId="0" borderId="27" xfId="0" applyBorder="1"/>
    <xf numFmtId="0" fontId="17" fillId="0" borderId="19" xfId="0" applyFont="1" applyBorder="1" applyAlignment="1">
      <alignment horizontal="left" indent="10"/>
    </xf>
    <xf numFmtId="164" fontId="12" fillId="0" borderId="24" xfId="1" applyNumberFormat="1" applyFont="1" applyBorder="1" applyAlignment="1">
      <alignment horizontal="left" vertical="center" indent="6"/>
    </xf>
    <xf numFmtId="0" fontId="15" fillId="0" borderId="3" xfId="0" applyFont="1" applyBorder="1" applyAlignment="1">
      <alignment horizontal="right" vertical="center" wrapText="1"/>
    </xf>
    <xf numFmtId="0" fontId="9" fillId="0" borderId="17" xfId="0" applyFont="1" applyBorder="1" applyAlignment="1">
      <alignment horizontal="center"/>
    </xf>
    <xf numFmtId="164" fontId="9" fillId="0" borderId="14" xfId="0" applyNumberFormat="1" applyFont="1" applyBorder="1"/>
    <xf numFmtId="0" fontId="0" fillId="0" borderId="28" xfId="0" applyBorder="1"/>
    <xf numFmtId="164" fontId="8" fillId="5" borderId="1" xfId="1" applyNumberFormat="1" applyFont="1" applyFill="1" applyBorder="1"/>
    <xf numFmtId="0" fontId="5" fillId="0" borderId="0" xfId="0" applyFont="1"/>
    <xf numFmtId="164" fontId="5" fillId="4" borderId="0" xfId="1" applyNumberFormat="1" applyFont="1" applyFill="1"/>
    <xf numFmtId="164" fontId="0" fillId="0" borderId="0" xfId="1" applyNumberFormat="1" applyFont="1" applyAlignment="1"/>
    <xf numFmtId="164" fontId="10" fillId="4" borderId="0" xfId="1" applyNumberFormat="1" applyFont="1" applyFill="1" applyAlignment="1"/>
    <xf numFmtId="164" fontId="0" fillId="4" borderId="0" xfId="1" applyNumberFormat="1" applyFont="1" applyFill="1" applyAlignment="1"/>
    <xf numFmtId="43" fontId="2" fillId="0" borderId="1" xfId="1" applyFont="1" applyBorder="1"/>
    <xf numFmtId="43" fontId="2" fillId="2" borderId="1" xfId="1" applyFont="1" applyFill="1" applyBorder="1"/>
    <xf numFmtId="43" fontId="5" fillId="3" borderId="1" xfId="1" applyFont="1" applyFill="1" applyBorder="1"/>
    <xf numFmtId="164" fontId="0" fillId="0" borderId="5" xfId="1" applyNumberFormat="1" applyFont="1" applyBorder="1"/>
    <xf numFmtId="0" fontId="0" fillId="0" borderId="5" xfId="0" applyBorder="1"/>
    <xf numFmtId="43" fontId="0" fillId="0" borderId="10" xfId="1" applyFont="1" applyBorder="1"/>
    <xf numFmtId="43" fontId="0" fillId="0" borderId="12" xfId="1" applyFont="1" applyBorder="1"/>
    <xf numFmtId="14" fontId="0" fillId="0" borderId="1" xfId="1" applyNumberFormat="1" applyFont="1" applyBorder="1"/>
    <xf numFmtId="14" fontId="0" fillId="0" borderId="1" xfId="1" applyNumberFormat="1" applyFont="1" applyFill="1" applyBorder="1"/>
    <xf numFmtId="49" fontId="0" fillId="0" borderId="1" xfId="1" applyNumberFormat="1" applyFont="1" applyBorder="1"/>
    <xf numFmtId="43" fontId="4" fillId="0" borderId="1" xfId="1" applyFont="1" applyBorder="1"/>
    <xf numFmtId="0" fontId="2" fillId="0" borderId="1" xfId="0" applyFont="1" applyBorder="1"/>
    <xf numFmtId="49" fontId="2" fillId="0" borderId="1" xfId="0" applyNumberFormat="1" applyFont="1" applyBorder="1"/>
    <xf numFmtId="0" fontId="6" fillId="0" borderId="1" xfId="0" applyFont="1" applyBorder="1" applyAlignment="1">
      <alignment horizontal="center" vertical="center"/>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164" fontId="8" fillId="4" borderId="1" xfId="1" applyNumberFormat="1" applyFont="1" applyFill="1" applyBorder="1"/>
    <xf numFmtId="164" fontId="8" fillId="0" borderId="1" xfId="1" applyNumberFormat="1" applyFont="1" applyBorder="1"/>
    <xf numFmtId="164" fontId="9" fillId="0" borderId="1" xfId="1" applyNumberFormat="1" applyFont="1" applyBorder="1"/>
    <xf numFmtId="0" fontId="9" fillId="0" borderId="1" xfId="0" applyFont="1" applyBorder="1"/>
    <xf numFmtId="164" fontId="9" fillId="0" borderId="1" xfId="0" applyNumberFormat="1" applyFont="1" applyBorder="1"/>
    <xf numFmtId="164" fontId="8" fillId="0" borderId="1" xfId="1" applyNumberFormat="1" applyFont="1" applyFill="1" applyBorder="1"/>
    <xf numFmtId="9" fontId="8" fillId="0" borderId="1" xfId="2" applyFont="1" applyFill="1" applyBorder="1"/>
    <xf numFmtId="0" fontId="8" fillId="0" borderId="1" xfId="0" applyFont="1" applyBorder="1"/>
    <xf numFmtId="0" fontId="9" fillId="0" borderId="1" xfId="0" applyFont="1" applyBorder="1" applyAlignment="1">
      <alignment horizontal="center"/>
    </xf>
    <xf numFmtId="164" fontId="8" fillId="6" borderId="1" xfId="1" applyNumberFormat="1" applyFont="1" applyFill="1" applyBorder="1"/>
    <xf numFmtId="9" fontId="8" fillId="6" borderId="1" xfId="2" applyFont="1" applyFill="1" applyBorder="1"/>
    <xf numFmtId="164" fontId="8" fillId="7" borderId="1" xfId="1" applyNumberFormat="1" applyFont="1" applyFill="1" applyBorder="1"/>
    <xf numFmtId="9" fontId="8" fillId="7" borderId="1" xfId="2" applyFont="1" applyFill="1" applyBorder="1"/>
    <xf numFmtId="164" fontId="8" fillId="8" borderId="1" xfId="1" applyNumberFormat="1" applyFont="1" applyFill="1" applyBorder="1"/>
    <xf numFmtId="9" fontId="8" fillId="8" borderId="1" xfId="2" applyFont="1" applyFill="1" applyBorder="1"/>
    <xf numFmtId="9" fontId="0" fillId="0" borderId="0" xfId="2" applyFont="1"/>
    <xf numFmtId="9" fontId="8" fillId="5" borderId="1" xfId="2" applyFont="1" applyFill="1" applyBorder="1"/>
    <xf numFmtId="164" fontId="0" fillId="4" borderId="1" xfId="1" applyNumberFormat="1" applyFont="1" applyFill="1" applyBorder="1"/>
    <xf numFmtId="164" fontId="0" fillId="0" borderId="1" xfId="0" applyNumberFormat="1" applyBorder="1"/>
    <xf numFmtId="164" fontId="5" fillId="0" borderId="0" xfId="1" applyNumberFormat="1" applyFont="1" applyFill="1"/>
    <xf numFmtId="164" fontId="0" fillId="0" borderId="0" xfId="1" applyNumberFormat="1" applyFont="1" applyFill="1"/>
    <xf numFmtId="0" fontId="11" fillId="0" borderId="0" xfId="0" applyFont="1" applyAlignment="1">
      <alignment horizontal="center"/>
    </xf>
    <xf numFmtId="0" fontId="6" fillId="0" borderId="29" xfId="0" applyFont="1" applyBorder="1" applyAlignment="1">
      <alignment horizontal="center" vertical="center"/>
    </xf>
    <xf numFmtId="0" fontId="6" fillId="0" borderId="7" xfId="0" applyFont="1" applyBorder="1" applyAlignment="1">
      <alignment horizontal="center" vertical="center"/>
    </xf>
    <xf numFmtId="0" fontId="6" fillId="0" borderId="2" xfId="0" applyFont="1" applyBorder="1" applyAlignment="1">
      <alignment horizontal="center" vertical="center"/>
    </xf>
    <xf numFmtId="0" fontId="6" fillId="0" borderId="5" xfId="0" applyFont="1" applyBorder="1" applyAlignment="1">
      <alignment horizontal="center" vertical="center"/>
    </xf>
    <xf numFmtId="164" fontId="8" fillId="0" borderId="30" xfId="1" applyNumberFormat="1" applyFont="1" applyFill="1" applyBorder="1"/>
    <xf numFmtId="164" fontId="9" fillId="9" borderId="1" xfId="0" applyNumberFormat="1" applyFont="1" applyFill="1" applyBorder="1"/>
    <xf numFmtId="164" fontId="2" fillId="9" borderId="0" xfId="0" applyNumberFormat="1" applyFont="1" applyFill="1"/>
    <xf numFmtId="0" fontId="0" fillId="0" borderId="16" xfId="0" applyBorder="1" applyAlignment="1">
      <alignment horizontal="center" vertical="center" wrapText="1"/>
    </xf>
    <xf numFmtId="0" fontId="0" fillId="0" borderId="22" xfId="0" applyBorder="1" applyAlignment="1">
      <alignment horizontal="center" vertical="center" wrapText="1"/>
    </xf>
    <xf numFmtId="0" fontId="6" fillId="0" borderId="30" xfId="0" applyFont="1" applyBorder="1" applyAlignment="1">
      <alignment horizontal="center" vertical="center"/>
    </xf>
    <xf numFmtId="0" fontId="6" fillId="0" borderId="6" xfId="0" applyFont="1" applyBorder="1" applyAlignment="1">
      <alignment horizontal="center" vertical="center"/>
    </xf>
    <xf numFmtId="0" fontId="2" fillId="0" borderId="29" xfId="0" applyFont="1" applyBorder="1" applyAlignment="1">
      <alignment horizontal="center" vertical="center" wrapText="1"/>
    </xf>
    <xf numFmtId="0" fontId="2" fillId="4" borderId="29" xfId="0" applyFont="1" applyFill="1" applyBorder="1" applyAlignment="1">
      <alignment horizontal="center" vertical="center" wrapText="1"/>
    </xf>
    <xf numFmtId="0" fontId="6" fillId="0" borderId="1" xfId="0" applyFont="1" applyBorder="1" applyAlignment="1">
      <alignment horizontal="center" vertical="center" wrapText="1"/>
    </xf>
    <xf numFmtId="16" fontId="0" fillId="0" borderId="1" xfId="0" applyNumberFormat="1" applyBorder="1"/>
    <xf numFmtId="0" fontId="2" fillId="0" borderId="0" xfId="0" applyFont="1" applyAlignment="1">
      <alignment horizontal="center" vertical="center" wrapText="1"/>
    </xf>
    <xf numFmtId="164" fontId="19" fillId="4" borderId="1" xfId="1" applyNumberFormat="1" applyFont="1" applyFill="1" applyBorder="1"/>
    <xf numFmtId="164" fontId="8" fillId="6" borderId="2" xfId="1" applyNumberFormat="1" applyFont="1" applyFill="1" applyBorder="1"/>
    <xf numFmtId="164" fontId="8" fillId="0" borderId="2" xfId="1" applyNumberFormat="1" applyFont="1" applyFill="1" applyBorder="1"/>
    <xf numFmtId="164" fontId="8" fillId="8" borderId="2" xfId="1" applyNumberFormat="1" applyFont="1" applyFill="1" applyBorder="1"/>
    <xf numFmtId="164" fontId="9" fillId="9" borderId="2" xfId="0" applyNumberFormat="1" applyFont="1" applyFill="1" applyBorder="1"/>
    <xf numFmtId="9" fontId="0" fillId="0" borderId="1" xfId="2" applyFont="1" applyBorder="1"/>
    <xf numFmtId="16" fontId="2" fillId="0" borderId="1" xfId="0" applyNumberFormat="1" applyFont="1" applyBorder="1"/>
    <xf numFmtId="164" fontId="5" fillId="4" borderId="1" xfId="1" applyNumberFormat="1" applyFont="1" applyFill="1" applyBorder="1"/>
    <xf numFmtId="0" fontId="9" fillId="0" borderId="0" xfId="0" applyFont="1"/>
    <xf numFmtId="164" fontId="20" fillId="4" borderId="1" xfId="1" applyNumberFormat="1" applyFont="1" applyFill="1" applyBorder="1"/>
    <xf numFmtId="164" fontId="21" fillId="4" borderId="1" xfId="1" applyNumberFormat="1" applyFont="1" applyFill="1" applyBorder="1"/>
    <xf numFmtId="164" fontId="9" fillId="0" borderId="1" xfId="1" applyNumberFormat="1" applyFont="1" applyFill="1" applyBorder="1"/>
    <xf numFmtId="164" fontId="5" fillId="10" borderId="1" xfId="1" applyNumberFormat="1" applyFont="1" applyFill="1" applyBorder="1"/>
    <xf numFmtId="164" fontId="2" fillId="0" borderId="1" xfId="0" applyNumberFormat="1" applyFont="1" applyBorder="1"/>
    <xf numFmtId="0" fontId="8" fillId="0" borderId="0" xfId="0" applyFont="1"/>
    <xf numFmtId="164" fontId="0" fillId="11" borderId="0" xfId="0" applyNumberFormat="1" applyFill="1"/>
    <xf numFmtId="164" fontId="5" fillId="12" borderId="1" xfId="1" applyNumberFormat="1" applyFont="1" applyFill="1" applyBorder="1"/>
    <xf numFmtId="164" fontId="8" fillId="0" borderId="1" xfId="1" applyNumberFormat="1" applyFont="1" applyFill="1" applyBorder="1" applyAlignment="1"/>
    <xf numFmtId="164" fontId="0" fillId="0" borderId="1" xfId="1" applyNumberFormat="1" applyFont="1" applyFill="1" applyBorder="1" applyAlignment="1"/>
    <xf numFmtId="164" fontId="5" fillId="4" borderId="0" xfId="1" applyNumberFormat="1" applyFont="1" applyFill="1" applyAlignment="1"/>
    <xf numFmtId="164" fontId="8" fillId="0" borderId="30" xfId="1" applyNumberFormat="1" applyFont="1" applyFill="1" applyBorder="1" applyAlignment="1"/>
    <xf numFmtId="0" fontId="12" fillId="0" borderId="3" xfId="0" applyFont="1" applyBorder="1" applyAlignment="1">
      <alignment horizontal="left" vertical="center"/>
    </xf>
    <xf numFmtId="164" fontId="12" fillId="0" borderId="6" xfId="1" applyNumberFormat="1" applyFont="1" applyBorder="1" applyAlignment="1">
      <alignment horizontal="left" vertical="center"/>
    </xf>
    <xf numFmtId="164" fontId="15" fillId="0" borderId="6" xfId="1" applyNumberFormat="1" applyFont="1" applyBorder="1" applyAlignment="1">
      <alignment horizontal="left" vertical="center"/>
    </xf>
    <xf numFmtId="0" fontId="15" fillId="0" borderId="3" xfId="0" applyFont="1" applyBorder="1" applyAlignment="1">
      <alignment horizontal="left" vertical="center"/>
    </xf>
    <xf numFmtId="0" fontId="15" fillId="0" borderId="6" xfId="0" applyFont="1" applyBorder="1" applyAlignment="1">
      <alignment horizontal="left" vertical="center"/>
    </xf>
    <xf numFmtId="0" fontId="17" fillId="0" borderId="19" xfId="0" applyFont="1" applyBorder="1" applyAlignment="1">
      <alignment horizontal="left"/>
    </xf>
    <xf numFmtId="164" fontId="12" fillId="0" borderId="24" xfId="1" applyNumberFormat="1" applyFont="1" applyBorder="1" applyAlignment="1">
      <alignment horizontal="left" vertical="center"/>
    </xf>
    <xf numFmtId="164" fontId="8" fillId="6" borderId="1" xfId="1" applyNumberFormat="1" applyFont="1" applyFill="1" applyBorder="1" applyAlignment="1"/>
    <xf numFmtId="9" fontId="8" fillId="0" borderId="1" xfId="2" applyFont="1" applyFill="1" applyBorder="1" applyAlignment="1"/>
    <xf numFmtId="164" fontId="8" fillId="7" borderId="1" xfId="1" applyNumberFormat="1" applyFont="1" applyFill="1" applyBorder="1" applyAlignment="1"/>
    <xf numFmtId="9" fontId="8" fillId="7" borderId="1" xfId="2" applyFont="1" applyFill="1" applyBorder="1" applyAlignment="1"/>
    <xf numFmtId="164" fontId="8" fillId="4" borderId="1" xfId="1" applyNumberFormat="1" applyFont="1" applyFill="1" applyBorder="1" applyAlignment="1"/>
    <xf numFmtId="164" fontId="8" fillId="5" borderId="1" xfId="1" applyNumberFormat="1" applyFont="1" applyFill="1" applyBorder="1" applyAlignment="1"/>
    <xf numFmtId="9" fontId="8" fillId="5" borderId="1" xfId="2" applyFont="1" applyFill="1" applyBorder="1" applyAlignment="1"/>
    <xf numFmtId="164" fontId="0" fillId="4" borderId="1" xfId="1" applyNumberFormat="1" applyFont="1" applyFill="1" applyBorder="1" applyAlignment="1"/>
    <xf numFmtId="9" fontId="8" fillId="6" borderId="1" xfId="2" applyFont="1" applyFill="1" applyBorder="1" applyAlignment="1"/>
    <xf numFmtId="164" fontId="0" fillId="0" borderId="1" xfId="1" applyNumberFormat="1" applyFont="1" applyBorder="1" applyAlignment="1"/>
    <xf numFmtId="164" fontId="8" fillId="0" borderId="1" xfId="1" applyNumberFormat="1" applyFont="1" applyBorder="1" applyAlignment="1"/>
    <xf numFmtId="164" fontId="5" fillId="0" borderId="0" xfId="1" applyNumberFormat="1" applyFont="1" applyFill="1" applyAlignment="1"/>
    <xf numFmtId="164" fontId="0" fillId="0" borderId="0" xfId="1" applyNumberFormat="1" applyFont="1" applyFill="1" applyAlignment="1"/>
    <xf numFmtId="164" fontId="8" fillId="8" borderId="1" xfId="1" applyNumberFormat="1" applyFont="1" applyFill="1" applyBorder="1" applyAlignment="1"/>
    <xf numFmtId="9" fontId="8" fillId="8" borderId="1" xfId="2" applyFont="1" applyFill="1" applyBorder="1" applyAlignment="1"/>
    <xf numFmtId="164" fontId="9" fillId="0" borderId="1" xfId="1" applyNumberFormat="1" applyFont="1" applyBorder="1" applyAlignment="1"/>
    <xf numFmtId="164" fontId="8" fillId="0" borderId="7" xfId="1" applyNumberFormat="1" applyFont="1" applyFill="1" applyBorder="1" applyAlignment="1"/>
    <xf numFmtId="164" fontId="8" fillId="0" borderId="29" xfId="1" applyNumberFormat="1" applyFont="1" applyFill="1" applyBorder="1" applyAlignment="1"/>
    <xf numFmtId="164" fontId="8" fillId="7" borderId="30" xfId="1" applyNumberFormat="1" applyFont="1" applyFill="1" applyBorder="1" applyAlignment="1"/>
    <xf numFmtId="164" fontId="8" fillId="7" borderId="7" xfId="1" applyNumberFormat="1" applyFont="1" applyFill="1" applyBorder="1" applyAlignment="1"/>
    <xf numFmtId="0" fontId="0" fillId="0" borderId="31" xfId="0" applyBorder="1" applyAlignment="1">
      <alignment horizontal="center" vertical="center" wrapText="1"/>
    </xf>
    <xf numFmtId="0" fontId="0" fillId="0" borderId="12" xfId="0" applyBorder="1" applyAlignment="1">
      <alignment horizontal="center" vertical="center" wrapText="1"/>
    </xf>
    <xf numFmtId="164" fontId="8" fillId="4" borderId="30" xfId="1" applyNumberFormat="1" applyFont="1" applyFill="1" applyBorder="1" applyAlignment="1"/>
    <xf numFmtId="164" fontId="8" fillId="0" borderId="7" xfId="1" applyNumberFormat="1" applyFont="1" applyBorder="1" applyAlignment="1"/>
    <xf numFmtId="9" fontId="0" fillId="0" borderId="0" xfId="2" applyFont="1" applyBorder="1" applyAlignment="1"/>
    <xf numFmtId="164" fontId="8" fillId="4" borderId="7" xfId="1" applyNumberFormat="1" applyFont="1" applyFill="1" applyBorder="1" applyAlignment="1"/>
    <xf numFmtId="164" fontId="8" fillId="6" borderId="2" xfId="1" applyNumberFormat="1" applyFont="1" applyFill="1" applyBorder="1" applyAlignment="1"/>
    <xf numFmtId="164" fontId="19" fillId="4" borderId="1" xfId="1" applyNumberFormat="1" applyFont="1" applyFill="1" applyBorder="1" applyAlignment="1"/>
    <xf numFmtId="164" fontId="20" fillId="4" borderId="1" xfId="1" applyNumberFormat="1" applyFont="1" applyFill="1" applyBorder="1" applyAlignment="1"/>
    <xf numFmtId="164" fontId="5" fillId="4" borderId="1" xfId="1" applyNumberFormat="1" applyFont="1" applyFill="1" applyBorder="1" applyAlignment="1"/>
    <xf numFmtId="14" fontId="0" fillId="0" borderId="0" xfId="0" applyNumberFormat="1"/>
    <xf numFmtId="43" fontId="0" fillId="0" borderId="0" xfId="0" applyNumberFormat="1"/>
    <xf numFmtId="43" fontId="2" fillId="11" borderId="1" xfId="1" applyFont="1" applyFill="1" applyBorder="1"/>
    <xf numFmtId="164" fontId="1" fillId="0" borderId="1" xfId="1" applyNumberFormat="1" applyFont="1" applyFill="1" applyBorder="1"/>
    <xf numFmtId="43" fontId="0" fillId="7" borderId="1" xfId="1" applyFont="1" applyFill="1" applyBorder="1"/>
    <xf numFmtId="0" fontId="0" fillId="0" borderId="18" xfId="0" applyBorder="1"/>
    <xf numFmtId="0" fontId="0" fillId="0" borderId="2" xfId="0" applyBorder="1"/>
    <xf numFmtId="43" fontId="2" fillId="0" borderId="1" xfId="0" applyNumberFormat="1" applyFont="1" applyBorder="1"/>
    <xf numFmtId="43" fontId="2" fillId="10" borderId="1" xfId="1" applyFont="1" applyFill="1" applyBorder="1"/>
    <xf numFmtId="164" fontId="0" fillId="10" borderId="1" xfId="1" applyNumberFormat="1" applyFont="1" applyFill="1" applyBorder="1"/>
    <xf numFmtId="0" fontId="2" fillId="6" borderId="1" xfId="0" applyFont="1" applyFill="1" applyBorder="1"/>
    <xf numFmtId="164" fontId="2" fillId="6" borderId="1" xfId="1" applyNumberFormat="1" applyFont="1" applyFill="1" applyBorder="1"/>
    <xf numFmtId="43" fontId="2" fillId="6" borderId="1" xfId="1" applyFont="1" applyFill="1" applyBorder="1"/>
    <xf numFmtId="0" fontId="2" fillId="15" borderId="1" xfId="0" applyFont="1" applyFill="1" applyBorder="1"/>
    <xf numFmtId="164" fontId="0" fillId="15" borderId="1" xfId="1" applyNumberFormat="1" applyFont="1" applyFill="1" applyBorder="1"/>
    <xf numFmtId="164" fontId="2" fillId="15" borderId="1" xfId="1" applyNumberFormat="1" applyFont="1" applyFill="1" applyBorder="1"/>
    <xf numFmtId="164" fontId="2" fillId="0" borderId="1" xfId="1" applyNumberFormat="1" applyFont="1" applyBorder="1"/>
    <xf numFmtId="0" fontId="0" fillId="0" borderId="30" xfId="0" applyBorder="1"/>
    <xf numFmtId="43" fontId="2" fillId="16" borderId="1" xfId="1" applyFont="1" applyFill="1" applyBorder="1"/>
    <xf numFmtId="15" fontId="0" fillId="0" borderId="0" xfId="1" applyNumberFormat="1" applyFont="1"/>
    <xf numFmtId="164" fontId="8" fillId="14" borderId="1" xfId="1" applyNumberFormat="1" applyFont="1" applyFill="1" applyBorder="1" applyAlignment="1"/>
    <xf numFmtId="164" fontId="9" fillId="0" borderId="0" xfId="0" applyNumberFormat="1" applyFont="1"/>
    <xf numFmtId="164" fontId="2" fillId="0" borderId="0" xfId="0" applyNumberFormat="1" applyFont="1"/>
    <xf numFmtId="164" fontId="8" fillId="0" borderId="2" xfId="1" applyNumberFormat="1" applyFont="1" applyFill="1" applyBorder="1" applyAlignment="1"/>
    <xf numFmtId="3" fontId="0" fillId="0" borderId="1" xfId="0" applyNumberFormat="1" applyBorder="1"/>
    <xf numFmtId="3" fontId="0" fillId="0" borderId="1" xfId="1" applyNumberFormat="1" applyFont="1" applyBorder="1"/>
    <xf numFmtId="3" fontId="2" fillId="0" borderId="1" xfId="1" applyNumberFormat="1" applyFont="1" applyBorder="1"/>
    <xf numFmtId="3" fontId="0" fillId="0" borderId="1" xfId="1" applyNumberFormat="1" applyFont="1" applyFill="1" applyBorder="1"/>
    <xf numFmtId="3" fontId="0" fillId="0" borderId="0" xfId="0" applyNumberFormat="1"/>
    <xf numFmtId="3" fontId="1" fillId="0" borderId="1" xfId="1" applyNumberFormat="1" applyFont="1" applyFill="1" applyBorder="1"/>
    <xf numFmtId="164" fontId="1" fillId="0" borderId="1" xfId="1" applyNumberFormat="1" applyFont="1" applyBorder="1"/>
    <xf numFmtId="14" fontId="1" fillId="0" borderId="1" xfId="1" applyNumberFormat="1" applyFont="1" applyFill="1" applyBorder="1"/>
    <xf numFmtId="0" fontId="1" fillId="0" borderId="1" xfId="0" applyFont="1" applyBorder="1"/>
    <xf numFmtId="0" fontId="1" fillId="0" borderId="0" xfId="0" applyFont="1"/>
    <xf numFmtId="164" fontId="4" fillId="4" borderId="0" xfId="1" applyNumberFormat="1" applyFont="1" applyFill="1" applyAlignment="1"/>
    <xf numFmtId="0" fontId="23" fillId="0" borderId="1" xfId="0" applyFont="1" applyBorder="1" applyAlignment="1">
      <alignment horizontal="left" vertical="center" wrapText="1" indent="1"/>
    </xf>
    <xf numFmtId="15" fontId="0" fillId="0" borderId="0" xfId="0" applyNumberFormat="1"/>
    <xf numFmtId="17" fontId="0" fillId="0" borderId="0" xfId="0" applyNumberFormat="1"/>
    <xf numFmtId="164" fontId="0" fillId="0" borderId="0" xfId="1" applyNumberFormat="1" applyFont="1" applyFill="1" applyBorder="1"/>
    <xf numFmtId="164" fontId="2" fillId="15" borderId="1" xfId="1" applyNumberFormat="1" applyFont="1" applyFill="1" applyBorder="1" applyAlignment="1">
      <alignment wrapText="1"/>
    </xf>
    <xf numFmtId="43" fontId="0" fillId="0" borderId="29" xfId="0" applyNumberFormat="1" applyBorder="1"/>
    <xf numFmtId="43" fontId="2" fillId="6" borderId="1" xfId="0" applyNumberFormat="1" applyFont="1" applyFill="1" applyBorder="1"/>
    <xf numFmtId="43" fontId="2" fillId="17" borderId="1" xfId="0" applyNumberFormat="1" applyFont="1" applyFill="1" applyBorder="1"/>
    <xf numFmtId="0" fontId="2" fillId="17" borderId="1" xfId="0" applyFont="1" applyFill="1" applyBorder="1"/>
    <xf numFmtId="43" fontId="0" fillId="5" borderId="1" xfId="0" applyNumberFormat="1" applyFill="1" applyBorder="1"/>
    <xf numFmtId="164" fontId="0" fillId="17" borderId="1" xfId="0" applyNumberFormat="1" applyFill="1" applyBorder="1"/>
    <xf numFmtId="0" fontId="0" fillId="17" borderId="1" xfId="0" applyFill="1" applyBorder="1"/>
    <xf numFmtId="0" fontId="0" fillId="0" borderId="29" xfId="0" applyBorder="1"/>
    <xf numFmtId="0" fontId="2" fillId="0" borderId="30" xfId="0" applyFont="1" applyBorder="1"/>
    <xf numFmtId="164" fontId="22" fillId="0" borderId="1" xfId="1" applyNumberFormat="1" applyFont="1" applyBorder="1"/>
    <xf numFmtId="0" fontId="2" fillId="15" borderId="1" xfId="0" applyFont="1" applyFill="1" applyBorder="1" applyAlignment="1">
      <alignment wrapText="1"/>
    </xf>
    <xf numFmtId="43" fontId="2" fillId="0" borderId="7" xfId="1" applyFont="1" applyBorder="1"/>
    <xf numFmtId="43" fontId="2" fillId="0" borderId="18" xfId="1" applyFont="1" applyBorder="1"/>
    <xf numFmtId="43" fontId="2" fillId="10" borderId="0" xfId="1" applyFont="1" applyFill="1" applyBorder="1"/>
    <xf numFmtId="164" fontId="2" fillId="15" borderId="0" xfId="1" applyNumberFormat="1" applyFont="1" applyFill="1" applyBorder="1"/>
    <xf numFmtId="43" fontId="2" fillId="20" borderId="2" xfId="1" applyFont="1" applyFill="1" applyBorder="1"/>
    <xf numFmtId="164" fontId="0" fillId="20" borderId="2" xfId="1" applyNumberFormat="1" applyFont="1" applyFill="1" applyBorder="1"/>
    <xf numFmtId="164" fontId="0" fillId="20" borderId="1" xfId="1" applyNumberFormat="1" applyFont="1" applyFill="1" applyBorder="1"/>
    <xf numFmtId="3" fontId="0" fillId="20" borderId="1" xfId="1" applyNumberFormat="1" applyFont="1" applyFill="1" applyBorder="1"/>
    <xf numFmtId="0" fontId="0" fillId="20" borderId="0" xfId="0" applyFill="1"/>
    <xf numFmtId="164" fontId="2" fillId="20" borderId="1" xfId="1" applyNumberFormat="1" applyFont="1" applyFill="1" applyBorder="1"/>
    <xf numFmtId="164" fontId="2" fillId="20" borderId="2" xfId="1" applyNumberFormat="1" applyFont="1" applyFill="1" applyBorder="1"/>
    <xf numFmtId="0" fontId="0" fillId="20" borderId="2" xfId="0" applyFill="1" applyBorder="1"/>
    <xf numFmtId="164" fontId="0" fillId="20" borderId="0" xfId="0" applyNumberFormat="1" applyFill="1"/>
    <xf numFmtId="43" fontId="0" fillId="0" borderId="0" xfId="1" applyFont="1" applyFill="1" applyBorder="1"/>
    <xf numFmtId="164" fontId="2" fillId="17" borderId="1" xfId="1" applyNumberFormat="1" applyFont="1" applyFill="1" applyBorder="1"/>
    <xf numFmtId="164" fontId="25" fillId="0" borderId="1" xfId="1" applyNumberFormat="1" applyFont="1" applyFill="1" applyBorder="1"/>
    <xf numFmtId="164" fontId="8" fillId="19" borderId="1" xfId="1" applyNumberFormat="1" applyFont="1" applyFill="1" applyBorder="1" applyAlignment="1"/>
    <xf numFmtId="0" fontId="2" fillId="17" borderId="0" xfId="0" applyFont="1" applyFill="1"/>
    <xf numFmtId="164" fontId="0" fillId="17" borderId="0" xfId="0" applyNumberFormat="1" applyFill="1"/>
    <xf numFmtId="0" fontId="0" fillId="17" borderId="0" xfId="0" applyFill="1"/>
    <xf numFmtId="0" fontId="2" fillId="13" borderId="1" xfId="0" applyFont="1" applyFill="1" applyBorder="1"/>
    <xf numFmtId="164" fontId="0" fillId="13" borderId="1" xfId="1" applyNumberFormat="1" applyFont="1" applyFill="1" applyBorder="1"/>
    <xf numFmtId="164" fontId="2" fillId="5" borderId="1" xfId="1" applyNumberFormat="1" applyFont="1" applyFill="1" applyBorder="1"/>
    <xf numFmtId="164" fontId="0" fillId="22" borderId="1" xfId="1" applyNumberFormat="1" applyFont="1" applyFill="1" applyBorder="1"/>
    <xf numFmtId="0" fontId="2" fillId="22" borderId="1" xfId="0" applyFont="1" applyFill="1" applyBorder="1" applyAlignment="1">
      <alignment wrapText="1"/>
    </xf>
    <xf numFmtId="0" fontId="2" fillId="5" borderId="1" xfId="0" applyFont="1" applyFill="1" applyBorder="1" applyAlignment="1">
      <alignment wrapText="1"/>
    </xf>
    <xf numFmtId="0" fontId="0" fillId="0" borderId="1" xfId="0" applyBorder="1" applyAlignment="1">
      <alignment wrapText="1"/>
    </xf>
    <xf numFmtId="3" fontId="2" fillId="0" borderId="1" xfId="0" applyNumberFormat="1" applyFont="1" applyBorder="1"/>
    <xf numFmtId="164" fontId="2" fillId="14" borderId="1" xfId="0" applyNumberFormat="1" applyFont="1" applyFill="1" applyBorder="1"/>
    <xf numFmtId="164" fontId="8" fillId="6" borderId="18" xfId="1" applyNumberFormat="1" applyFont="1" applyFill="1" applyBorder="1" applyAlignment="1"/>
    <xf numFmtId="164" fontId="9" fillId="21" borderId="1" xfId="1" applyNumberFormat="1" applyFont="1" applyFill="1" applyBorder="1" applyAlignment="1"/>
    <xf numFmtId="164" fontId="0" fillId="19" borderId="1" xfId="1" applyNumberFormat="1" applyFont="1" applyFill="1" applyBorder="1"/>
    <xf numFmtId="164" fontId="2" fillId="7" borderId="1" xfId="1" applyNumberFormat="1" applyFont="1" applyFill="1" applyBorder="1"/>
    <xf numFmtId="164" fontId="9" fillId="21" borderId="1" xfId="1" applyNumberFormat="1" applyFont="1" applyFill="1" applyBorder="1"/>
    <xf numFmtId="164" fontId="26" fillId="0" borderId="0" xfId="1" applyNumberFormat="1" applyFont="1"/>
    <xf numFmtId="164" fontId="2" fillId="0" borderId="1" xfId="1" applyNumberFormat="1" applyFont="1" applyFill="1" applyBorder="1" applyAlignment="1"/>
    <xf numFmtId="164" fontId="8" fillId="21" borderId="1" xfId="1" applyNumberFormat="1" applyFont="1" applyFill="1" applyBorder="1" applyAlignment="1"/>
    <xf numFmtId="164" fontId="9" fillId="7" borderId="1" xfId="1" applyNumberFormat="1" applyFont="1" applyFill="1" applyBorder="1" applyAlignment="1"/>
    <xf numFmtId="164" fontId="2" fillId="7" borderId="1" xfId="1" applyNumberFormat="1" applyFont="1" applyFill="1" applyBorder="1" applyAlignment="1"/>
    <xf numFmtId="164" fontId="2" fillId="7" borderId="1" xfId="0" applyNumberFormat="1" applyFont="1" applyFill="1" applyBorder="1"/>
    <xf numFmtId="43" fontId="0" fillId="0" borderId="29" xfId="1" applyFont="1" applyBorder="1"/>
    <xf numFmtId="0" fontId="2" fillId="0" borderId="7" xfId="0" applyFont="1" applyBorder="1"/>
    <xf numFmtId="43" fontId="2" fillId="16" borderId="7" xfId="1" applyFont="1" applyFill="1" applyBorder="1"/>
    <xf numFmtId="0" fontId="0" fillId="0" borderId="1" xfId="0" applyBorder="1" applyAlignment="1">
      <alignment horizontal="center"/>
    </xf>
    <xf numFmtId="49" fontId="0" fillId="0" borderId="1" xfId="0" applyNumberFormat="1" applyBorder="1" applyAlignment="1">
      <alignment horizontal="center"/>
    </xf>
    <xf numFmtId="43" fontId="0" fillId="0" borderId="1" xfId="1" applyFont="1" applyBorder="1" applyAlignment="1">
      <alignment horizontal="center"/>
    </xf>
    <xf numFmtId="3" fontId="0" fillId="0" borderId="1" xfId="0" applyNumberFormat="1" applyBorder="1" applyAlignment="1">
      <alignment horizontal="center"/>
    </xf>
    <xf numFmtId="0" fontId="1" fillId="0" borderId="1" xfId="0" applyFont="1" applyBorder="1" applyAlignment="1">
      <alignment horizontal="center"/>
    </xf>
    <xf numFmtId="0" fontId="0" fillId="20" borderId="1" xfId="0" applyFill="1" applyBorder="1" applyAlignment="1">
      <alignment horizontal="center"/>
    </xf>
    <xf numFmtId="164" fontId="0" fillId="0" borderId="1" xfId="0" applyNumberFormat="1" applyBorder="1" applyAlignment="1">
      <alignment horizontal="center"/>
    </xf>
    <xf numFmtId="9" fontId="0" fillId="0" borderId="1" xfId="2" applyFont="1" applyBorder="1" applyAlignment="1">
      <alignment horizontal="center"/>
    </xf>
    <xf numFmtId="9" fontId="1" fillId="0" borderId="1" xfId="2" applyFont="1" applyBorder="1" applyAlignment="1">
      <alignment horizontal="center"/>
    </xf>
    <xf numFmtId="0" fontId="0" fillId="0" borderId="1" xfId="0" applyBorder="1" applyAlignment="1">
      <alignment horizontal="left"/>
    </xf>
    <xf numFmtId="17" fontId="0" fillId="0" borderId="1" xfId="0" applyNumberFormat="1" applyBorder="1" applyAlignment="1">
      <alignment horizontal="left"/>
    </xf>
    <xf numFmtId="0" fontId="2" fillId="0" borderId="1" xfId="0" applyFont="1" applyBorder="1" applyAlignment="1">
      <alignment horizontal="left"/>
    </xf>
    <xf numFmtId="0" fontId="2" fillId="0" borderId="1" xfId="0" applyFont="1" applyBorder="1" applyAlignment="1">
      <alignment horizontal="center"/>
    </xf>
    <xf numFmtId="49" fontId="2" fillId="0" borderId="1" xfId="0" applyNumberFormat="1" applyFont="1" applyBorder="1" applyAlignment="1">
      <alignment horizontal="center"/>
    </xf>
    <xf numFmtId="43" fontId="2" fillId="0" borderId="1" xfId="1" applyFont="1" applyBorder="1" applyAlignment="1">
      <alignment horizontal="center"/>
    </xf>
    <xf numFmtId="3" fontId="2" fillId="0" borderId="1" xfId="0" applyNumberFormat="1" applyFont="1" applyBorder="1" applyAlignment="1">
      <alignment horizontal="center"/>
    </xf>
    <xf numFmtId="0" fontId="2" fillId="20" borderId="1" xfId="0" applyFont="1" applyFill="1" applyBorder="1" applyAlignment="1">
      <alignment horizontal="center"/>
    </xf>
    <xf numFmtId="164" fontId="2" fillId="0" borderId="1" xfId="1" applyNumberFormat="1" applyFont="1" applyFill="1" applyBorder="1"/>
    <xf numFmtId="164" fontId="0" fillId="14" borderId="1" xfId="1" applyNumberFormat="1" applyFont="1" applyFill="1" applyBorder="1"/>
    <xf numFmtId="164" fontId="0" fillId="23" borderId="1" xfId="0" applyNumberFormat="1" applyFill="1" applyBorder="1"/>
    <xf numFmtId="164" fontId="0" fillId="13" borderId="1" xfId="0" applyNumberFormat="1" applyFill="1" applyBorder="1"/>
    <xf numFmtId="164" fontId="0" fillId="14" borderId="1" xfId="0" applyNumberFormat="1" applyFill="1" applyBorder="1"/>
    <xf numFmtId="164" fontId="0" fillId="7" borderId="1" xfId="0" applyNumberFormat="1" applyFill="1" applyBorder="1"/>
    <xf numFmtId="164" fontId="0" fillId="12" borderId="1" xfId="0" applyNumberFormat="1" applyFill="1" applyBorder="1"/>
    <xf numFmtId="164" fontId="0" fillId="0" borderId="5" xfId="0" applyNumberFormat="1" applyBorder="1"/>
    <xf numFmtId="14" fontId="0" fillId="0" borderId="1" xfId="0" applyNumberFormat="1" applyBorder="1"/>
    <xf numFmtId="14" fontId="0" fillId="7" borderId="1" xfId="0" applyNumberFormat="1" applyFill="1" applyBorder="1"/>
    <xf numFmtId="164" fontId="0" fillId="0" borderId="13" xfId="0" applyNumberFormat="1" applyBorder="1"/>
    <xf numFmtId="164" fontId="9" fillId="24" borderId="1" xfId="0" applyNumberFormat="1" applyFont="1" applyFill="1" applyBorder="1"/>
    <xf numFmtId="164" fontId="2" fillId="0" borderId="1" xfId="1" applyNumberFormat="1" applyFont="1" applyBorder="1" applyAlignment="1"/>
    <xf numFmtId="0" fontId="6" fillId="0" borderId="29" xfId="0" applyFont="1" applyBorder="1" applyAlignment="1">
      <alignment horizontal="center" vertical="center" wrapText="1"/>
    </xf>
    <xf numFmtId="164" fontId="6" fillId="0" borderId="1" xfId="1" applyNumberFormat="1" applyFont="1" applyFill="1" applyBorder="1" applyAlignment="1">
      <alignment horizontal="center" vertical="center" textRotation="90" wrapText="1"/>
    </xf>
    <xf numFmtId="164" fontId="4" fillId="4" borderId="1" xfId="1" applyNumberFormat="1" applyFont="1" applyFill="1" applyBorder="1"/>
    <xf numFmtId="164" fontId="6" fillId="0" borderId="1" xfId="1" applyNumberFormat="1" applyFont="1" applyFill="1" applyBorder="1" applyAlignment="1">
      <alignment horizontal="center" vertical="center" textRotation="90"/>
    </xf>
    <xf numFmtId="164" fontId="6" fillId="0" borderId="30" xfId="1" applyNumberFormat="1" applyFont="1" applyFill="1" applyBorder="1" applyAlignment="1">
      <alignment horizontal="center" vertical="center" textRotation="90" wrapText="1"/>
    </xf>
    <xf numFmtId="164" fontId="4" fillId="4" borderId="1" xfId="1" applyNumberFormat="1" applyFont="1" applyFill="1" applyBorder="1" applyAlignment="1"/>
    <xf numFmtId="164" fontId="6" fillId="0" borderId="7" xfId="1" applyNumberFormat="1" applyFont="1" applyFill="1" applyBorder="1" applyAlignment="1">
      <alignment horizontal="center" vertical="center" textRotation="90"/>
    </xf>
    <xf numFmtId="164" fontId="6" fillId="0" borderId="29" xfId="1" applyNumberFormat="1" applyFont="1" applyFill="1" applyBorder="1" applyAlignment="1">
      <alignment horizontal="center" vertical="center" textRotation="90" wrapText="1"/>
    </xf>
    <xf numFmtId="164" fontId="6" fillId="0" borderId="30" xfId="1" applyNumberFormat="1" applyFont="1" applyFill="1" applyBorder="1" applyAlignment="1">
      <alignment horizontal="center" vertical="center" textRotation="90"/>
    </xf>
    <xf numFmtId="164" fontId="6" fillId="0" borderId="7" xfId="1" applyNumberFormat="1" applyFont="1" applyFill="1" applyBorder="1" applyAlignment="1">
      <alignment horizontal="center" vertical="center" textRotation="90" wrapText="1"/>
    </xf>
    <xf numFmtId="164" fontId="6" fillId="0" borderId="29" xfId="1" applyNumberFormat="1" applyFont="1" applyFill="1" applyBorder="1" applyAlignment="1">
      <alignment horizontal="center" vertical="center" textRotation="90"/>
    </xf>
    <xf numFmtId="164" fontId="4" fillId="5" borderId="1" xfId="1" applyNumberFormat="1" applyFont="1" applyFill="1" applyBorder="1" applyAlignment="1"/>
    <xf numFmtId="0" fontId="23" fillId="0" borderId="29" xfId="0" applyFont="1" applyBorder="1" applyAlignment="1">
      <alignment horizontal="left" vertical="center" wrapText="1" indent="1"/>
    </xf>
    <xf numFmtId="164" fontId="0" fillId="0" borderId="29" xfId="1" applyNumberFormat="1" applyFont="1" applyFill="1" applyBorder="1"/>
    <xf numFmtId="14" fontId="0" fillId="0" borderId="29" xfId="1" applyNumberFormat="1" applyFont="1" applyFill="1" applyBorder="1"/>
    <xf numFmtId="43" fontId="0" fillId="0" borderId="29" xfId="1" applyFont="1" applyFill="1" applyBorder="1"/>
    <xf numFmtId="164" fontId="0" fillId="0" borderId="32" xfId="1" applyNumberFormat="1" applyFont="1" applyBorder="1"/>
    <xf numFmtId="164" fontId="0" fillId="0" borderId="29" xfId="1" applyNumberFormat="1" applyFont="1" applyBorder="1"/>
    <xf numFmtId="164" fontId="0" fillId="10" borderId="29" xfId="1" applyNumberFormat="1" applyFont="1" applyFill="1" applyBorder="1"/>
    <xf numFmtId="3" fontId="0" fillId="0" borderId="29" xfId="1" applyNumberFormat="1" applyFont="1" applyBorder="1"/>
    <xf numFmtId="164" fontId="1" fillId="0" borderId="29" xfId="1" applyNumberFormat="1" applyFont="1" applyBorder="1"/>
    <xf numFmtId="164" fontId="0" fillId="20" borderId="15" xfId="1" applyNumberFormat="1" applyFont="1" applyFill="1" applyBorder="1"/>
    <xf numFmtId="164" fontId="0" fillId="15" borderId="29" xfId="1" applyNumberFormat="1" applyFont="1" applyFill="1" applyBorder="1"/>
    <xf numFmtId="164" fontId="2" fillId="15" borderId="29" xfId="1" applyNumberFormat="1" applyFont="1" applyFill="1" applyBorder="1"/>
    <xf numFmtId="0" fontId="0" fillId="0" borderId="0" xfId="0" applyAlignment="1">
      <alignment horizontal="center"/>
    </xf>
    <xf numFmtId="164" fontId="0" fillId="0" borderId="0" xfId="0" applyNumberFormat="1" applyAlignment="1">
      <alignment horizontal="center"/>
    </xf>
    <xf numFmtId="164" fontId="8" fillId="0" borderId="33" xfId="1" applyNumberFormat="1" applyFont="1" applyFill="1" applyBorder="1" applyAlignment="1"/>
    <xf numFmtId="164" fontId="8" fillId="0" borderId="34" xfId="1" applyNumberFormat="1" applyFont="1" applyFill="1" applyBorder="1" applyAlignment="1"/>
    <xf numFmtId="164" fontId="19" fillId="4" borderId="34" xfId="1" applyNumberFormat="1" applyFont="1" applyFill="1" applyBorder="1" applyAlignment="1"/>
    <xf numFmtId="164" fontId="20" fillId="4" borderId="34" xfId="1" applyNumberFormat="1" applyFont="1" applyFill="1" applyBorder="1" applyAlignment="1"/>
    <xf numFmtId="164" fontId="5" fillId="4" borderId="34" xfId="1" applyNumberFormat="1" applyFont="1" applyFill="1" applyBorder="1" applyAlignment="1"/>
    <xf numFmtId="164" fontId="4" fillId="5" borderId="34" xfId="1" applyNumberFormat="1" applyFont="1" applyFill="1" applyBorder="1" applyAlignment="1"/>
    <xf numFmtId="164" fontId="5" fillId="25" borderId="35" xfId="1" applyNumberFormat="1" applyFont="1" applyFill="1" applyBorder="1" applyAlignment="1">
      <alignment horizontal="left"/>
    </xf>
    <xf numFmtId="164" fontId="8" fillId="0" borderId="3" xfId="1" applyNumberFormat="1" applyFont="1" applyFill="1" applyBorder="1" applyAlignment="1"/>
    <xf numFmtId="164" fontId="5" fillId="25" borderId="4" xfId="1" applyNumberFormat="1" applyFont="1" applyFill="1" applyBorder="1" applyAlignment="1">
      <alignment horizontal="left"/>
    </xf>
    <xf numFmtId="164" fontId="9" fillId="19" borderId="1" xfId="1" applyNumberFormat="1" applyFont="1" applyFill="1" applyBorder="1" applyAlignment="1"/>
    <xf numFmtId="164" fontId="8" fillId="6" borderId="34" xfId="1" applyNumberFormat="1" applyFont="1" applyFill="1" applyBorder="1" applyAlignment="1"/>
    <xf numFmtId="164" fontId="8" fillId="3" borderId="1" xfId="1" applyNumberFormat="1" applyFont="1" applyFill="1" applyBorder="1" applyAlignment="1"/>
    <xf numFmtId="164" fontId="5" fillId="3" borderId="1" xfId="1" applyNumberFormat="1" applyFont="1" applyFill="1" applyBorder="1" applyAlignment="1"/>
    <xf numFmtId="164" fontId="4" fillId="3" borderId="1" xfId="1" applyNumberFormat="1" applyFont="1" applyFill="1" applyBorder="1" applyAlignment="1"/>
    <xf numFmtId="43" fontId="0" fillId="0" borderId="0" xfId="0" applyNumberFormat="1" applyAlignment="1">
      <alignment horizontal="center"/>
    </xf>
    <xf numFmtId="0" fontId="20" fillId="0" borderId="1" xfId="0" applyFont="1" applyBorder="1" applyAlignment="1">
      <alignment wrapText="1"/>
    </xf>
    <xf numFmtId="164" fontId="9" fillId="14" borderId="1" xfId="1" applyNumberFormat="1" applyFont="1" applyFill="1" applyBorder="1" applyAlignment="1"/>
    <xf numFmtId="43" fontId="2" fillId="5" borderId="1" xfId="1" applyFont="1" applyFill="1" applyBorder="1"/>
    <xf numFmtId="0" fontId="0" fillId="5" borderId="1" xfId="0" applyFill="1" applyBorder="1"/>
    <xf numFmtId="164" fontId="1" fillId="5" borderId="1" xfId="1" applyNumberFormat="1" applyFont="1" applyFill="1" applyBorder="1"/>
    <xf numFmtId="164" fontId="9" fillId="24" borderId="1" xfId="1" applyNumberFormat="1" applyFont="1" applyFill="1" applyBorder="1" applyAlignment="1"/>
    <xf numFmtId="0" fontId="2" fillId="0" borderId="5" xfId="0" applyFont="1" applyBorder="1"/>
    <xf numFmtId="164" fontId="9" fillId="26" borderId="1" xfId="1" applyNumberFormat="1" applyFont="1" applyFill="1" applyBorder="1" applyAlignment="1"/>
    <xf numFmtId="164" fontId="9" fillId="26" borderId="1" xfId="1" applyNumberFormat="1" applyFont="1" applyFill="1" applyBorder="1"/>
    <xf numFmtId="0" fontId="0" fillId="26" borderId="1" xfId="0" applyFill="1" applyBorder="1"/>
    <xf numFmtId="164" fontId="0" fillId="0" borderId="5" xfId="1" applyNumberFormat="1" applyFont="1" applyFill="1" applyBorder="1"/>
    <xf numFmtId="164" fontId="0" fillId="0" borderId="2" xfId="1" applyNumberFormat="1" applyFont="1" applyFill="1" applyBorder="1"/>
    <xf numFmtId="164" fontId="6" fillId="7" borderId="1" xfId="1" applyNumberFormat="1" applyFont="1" applyFill="1" applyBorder="1"/>
    <xf numFmtId="164" fontId="6" fillId="9" borderId="1" xfId="1" applyNumberFormat="1" applyFont="1" applyFill="1" applyBorder="1" applyAlignment="1">
      <alignment horizontal="left"/>
    </xf>
    <xf numFmtId="164" fontId="6" fillId="9" borderId="1" xfId="1" applyNumberFormat="1" applyFont="1" applyFill="1" applyBorder="1"/>
    <xf numFmtId="164" fontId="2" fillId="27" borderId="1" xfId="1" applyNumberFormat="1" applyFont="1" applyFill="1" applyBorder="1"/>
    <xf numFmtId="164" fontId="9" fillId="28" borderId="1" xfId="1" applyNumberFormat="1" applyFont="1" applyFill="1" applyBorder="1" applyAlignment="1">
      <alignment horizontal="left"/>
    </xf>
    <xf numFmtId="164" fontId="9" fillId="28" borderId="1" xfId="1" applyNumberFormat="1" applyFont="1" applyFill="1" applyBorder="1"/>
    <xf numFmtId="0" fontId="0" fillId="0" borderId="13" xfId="0" applyBorder="1"/>
    <xf numFmtId="164" fontId="22" fillId="0" borderId="1" xfId="1" applyNumberFormat="1" applyFont="1" applyBorder="1" applyAlignment="1">
      <alignment horizontal="left"/>
    </xf>
    <xf numFmtId="0" fontId="22" fillId="0" borderId="1" xfId="0" applyFont="1" applyBorder="1" applyAlignment="1">
      <alignment horizontal="left"/>
    </xf>
    <xf numFmtId="164" fontId="22" fillId="0" borderId="1" xfId="0" applyNumberFormat="1" applyFont="1" applyBorder="1" applyAlignment="1">
      <alignment horizontal="left"/>
    </xf>
    <xf numFmtId="164" fontId="8" fillId="7" borderId="1" xfId="1" applyNumberFormat="1" applyFont="1" applyFill="1" applyBorder="1" applyAlignment="1">
      <alignment horizontal="left"/>
    </xf>
    <xf numFmtId="164" fontId="8" fillId="24" borderId="1" xfId="1" applyNumberFormat="1" applyFont="1" applyFill="1" applyBorder="1" applyAlignment="1"/>
    <xf numFmtId="9" fontId="9" fillId="9" borderId="1" xfId="2" applyFont="1" applyFill="1" applyBorder="1"/>
    <xf numFmtId="0" fontId="0" fillId="28" borderId="1" xfId="0" applyFill="1" applyBorder="1"/>
    <xf numFmtId="9" fontId="9" fillId="28" borderId="1" xfId="2" applyFont="1" applyFill="1" applyBorder="1"/>
    <xf numFmtId="164" fontId="9" fillId="3" borderId="1" xfId="1" applyNumberFormat="1" applyFont="1" applyFill="1" applyBorder="1" applyAlignment="1">
      <alignment horizontal="left"/>
    </xf>
    <xf numFmtId="164" fontId="9" fillId="3" borderId="1" xfId="1" applyNumberFormat="1" applyFont="1" applyFill="1" applyBorder="1"/>
    <xf numFmtId="0" fontId="0" fillId="3" borderId="1" xfId="0" applyFill="1" applyBorder="1"/>
    <xf numFmtId="9" fontId="9" fillId="3" borderId="1" xfId="2" applyFont="1" applyFill="1" applyBorder="1"/>
    <xf numFmtId="0" fontId="0" fillId="0" borderId="1" xfId="0" applyBorder="1" applyAlignment="1">
      <alignment vertical="center" wrapText="1"/>
    </xf>
    <xf numFmtId="3" fontId="0" fillId="0" borderId="1" xfId="0" applyNumberFormat="1" applyBorder="1" applyAlignment="1">
      <alignment vertical="center" wrapText="1"/>
    </xf>
    <xf numFmtId="14" fontId="22" fillId="0" borderId="1" xfId="1" applyNumberFormat="1" applyFont="1" applyFill="1" applyBorder="1"/>
    <xf numFmtId="164" fontId="5" fillId="25" borderId="20" xfId="1" applyNumberFormat="1" applyFont="1" applyFill="1" applyBorder="1" applyAlignment="1">
      <alignment horizontal="left"/>
    </xf>
    <xf numFmtId="164" fontId="5" fillId="17" borderId="1" xfId="1" applyNumberFormat="1" applyFont="1" applyFill="1" applyBorder="1" applyAlignment="1"/>
    <xf numFmtId="164" fontId="4" fillId="17" borderId="1" xfId="1" applyNumberFormat="1" applyFont="1" applyFill="1" applyBorder="1" applyAlignment="1"/>
    <xf numFmtId="164" fontId="0" fillId="5" borderId="1" xfId="1" applyNumberFormat="1" applyFont="1" applyFill="1" applyBorder="1"/>
    <xf numFmtId="164" fontId="8" fillId="14" borderId="1" xfId="1" applyNumberFormat="1" applyFont="1" applyFill="1" applyBorder="1" applyAlignment="1">
      <alignment horizontal="left"/>
    </xf>
    <xf numFmtId="0" fontId="9" fillId="13" borderId="1" xfId="0" applyFont="1" applyFill="1" applyBorder="1"/>
    <xf numFmtId="164" fontId="5" fillId="29" borderId="1" xfId="1" applyNumberFormat="1" applyFont="1" applyFill="1" applyBorder="1" applyAlignment="1"/>
    <xf numFmtId="164" fontId="8" fillId="0" borderId="19" xfId="1" applyNumberFormat="1" applyFont="1" applyFill="1" applyBorder="1" applyAlignment="1"/>
    <xf numFmtId="164" fontId="8" fillId="0" borderId="36" xfId="1" applyNumberFormat="1" applyFont="1" applyFill="1" applyBorder="1" applyAlignment="1"/>
    <xf numFmtId="164" fontId="8" fillId="6" borderId="36" xfId="1" applyNumberFormat="1" applyFont="1" applyFill="1" applyBorder="1" applyAlignment="1"/>
    <xf numFmtId="164" fontId="19" fillId="4" borderId="36" xfId="1" applyNumberFormat="1" applyFont="1" applyFill="1" applyBorder="1" applyAlignment="1"/>
    <xf numFmtId="164" fontId="20" fillId="4" borderId="36" xfId="1" applyNumberFormat="1" applyFont="1" applyFill="1" applyBorder="1" applyAlignment="1"/>
    <xf numFmtId="0" fontId="2" fillId="5" borderId="2" xfId="0" applyFont="1" applyFill="1" applyBorder="1" applyAlignment="1">
      <alignment horizontal="center"/>
    </xf>
    <xf numFmtId="164" fontId="9" fillId="13" borderId="1" xfId="1" applyNumberFormat="1" applyFont="1" applyFill="1" applyBorder="1" applyAlignment="1">
      <alignment horizontal="left"/>
    </xf>
    <xf numFmtId="164" fontId="1" fillId="15" borderId="1" xfId="1" applyNumberFormat="1" applyFont="1" applyFill="1" applyBorder="1"/>
    <xf numFmtId="164" fontId="11" fillId="0" borderId="0" xfId="1" applyNumberFormat="1" applyFont="1" applyAlignment="1">
      <alignment horizontal="center"/>
    </xf>
    <xf numFmtId="164" fontId="9" fillId="0" borderId="0" xfId="1" applyNumberFormat="1" applyFont="1"/>
    <xf numFmtId="164" fontId="2" fillId="3" borderId="1" xfId="1" applyNumberFormat="1" applyFont="1" applyFill="1" applyBorder="1"/>
    <xf numFmtId="164" fontId="2" fillId="13" borderId="1" xfId="1" applyNumberFormat="1" applyFont="1" applyFill="1" applyBorder="1"/>
    <xf numFmtId="164" fontId="2" fillId="14" borderId="1" xfId="1" applyNumberFormat="1" applyFont="1" applyFill="1" applyBorder="1"/>
    <xf numFmtId="164" fontId="9" fillId="24" borderId="1" xfId="1" applyNumberFormat="1" applyFont="1" applyFill="1" applyBorder="1"/>
    <xf numFmtId="164" fontId="2" fillId="24" borderId="1" xfId="1" applyNumberFormat="1" applyFont="1" applyFill="1" applyBorder="1"/>
    <xf numFmtId="164" fontId="2" fillId="9" borderId="1" xfId="1" applyNumberFormat="1" applyFont="1" applyFill="1" applyBorder="1"/>
    <xf numFmtId="3" fontId="0" fillId="0" borderId="1" xfId="2" applyNumberFormat="1" applyFont="1" applyBorder="1"/>
    <xf numFmtId="3" fontId="0" fillId="0" borderId="0" xfId="1" applyNumberFormat="1" applyFont="1"/>
    <xf numFmtId="164" fontId="0" fillId="14" borderId="7" xfId="1" applyNumberFormat="1" applyFont="1" applyFill="1" applyBorder="1"/>
    <xf numFmtId="3" fontId="0" fillId="0" borderId="7" xfId="2" applyNumberFormat="1" applyFont="1" applyBorder="1"/>
    <xf numFmtId="3" fontId="0" fillId="16" borderId="1" xfId="1" applyNumberFormat="1" applyFont="1" applyFill="1" applyBorder="1" applyAlignment="1">
      <alignment wrapText="1"/>
    </xf>
    <xf numFmtId="0" fontId="0" fillId="23" borderId="1" xfId="0" applyFill="1" applyBorder="1" applyAlignment="1">
      <alignment wrapText="1"/>
    </xf>
    <xf numFmtId="0" fontId="9" fillId="5" borderId="1" xfId="0" applyFont="1" applyFill="1" applyBorder="1"/>
    <xf numFmtId="164" fontId="2" fillId="0" borderId="0" xfId="1" applyNumberFormat="1" applyFont="1"/>
    <xf numFmtId="0" fontId="9" fillId="23" borderId="1" xfId="0" applyFont="1" applyFill="1" applyBorder="1"/>
    <xf numFmtId="164" fontId="9" fillId="23" borderId="1" xfId="1" applyNumberFormat="1" applyFont="1" applyFill="1" applyBorder="1"/>
    <xf numFmtId="0" fontId="6" fillId="30" borderId="0" xfId="0" applyFont="1" applyFill="1"/>
    <xf numFmtId="0" fontId="0" fillId="15" borderId="1" xfId="0" applyFill="1" applyBorder="1" applyAlignment="1">
      <alignment wrapText="1"/>
    </xf>
    <xf numFmtId="43" fontId="2" fillId="0" borderId="0" xfId="1" applyFont="1"/>
    <xf numFmtId="43" fontId="1" fillId="0" borderId="1" xfId="1" applyFont="1" applyFill="1" applyBorder="1"/>
    <xf numFmtId="164" fontId="5" fillId="9" borderId="1" xfId="1" applyNumberFormat="1" applyFont="1" applyFill="1" applyBorder="1" applyAlignment="1"/>
    <xf numFmtId="164" fontId="0" fillId="31" borderId="1" xfId="1" applyNumberFormat="1" applyFont="1" applyFill="1" applyBorder="1"/>
    <xf numFmtId="164" fontId="0" fillId="24" borderId="1" xfId="1" applyNumberFormat="1" applyFont="1" applyFill="1" applyBorder="1"/>
    <xf numFmtId="164" fontId="0" fillId="0" borderId="1" xfId="1" applyNumberFormat="1" applyFont="1" applyBorder="1" applyAlignment="1">
      <alignment horizontal="left" indent="2"/>
    </xf>
    <xf numFmtId="164" fontId="0" fillId="6" borderId="1" xfId="1" applyNumberFormat="1" applyFont="1" applyFill="1" applyBorder="1"/>
    <xf numFmtId="164" fontId="8" fillId="32" borderId="1" xfId="1" applyNumberFormat="1" applyFont="1" applyFill="1" applyBorder="1" applyAlignment="1">
      <alignment horizontal="left"/>
    </xf>
    <xf numFmtId="164" fontId="2" fillId="32" borderId="1" xfId="1" applyNumberFormat="1" applyFont="1" applyFill="1" applyBorder="1"/>
    <xf numFmtId="164" fontId="0" fillId="33" borderId="1" xfId="1" applyNumberFormat="1" applyFont="1" applyFill="1" applyBorder="1"/>
    <xf numFmtId="43" fontId="0" fillId="33" borderId="1" xfId="1" applyFont="1" applyFill="1" applyBorder="1"/>
    <xf numFmtId="3" fontId="0" fillId="33" borderId="1" xfId="1" applyNumberFormat="1" applyFont="1" applyFill="1" applyBorder="1"/>
    <xf numFmtId="3" fontId="0" fillId="28" borderId="1" xfId="1" applyNumberFormat="1" applyFont="1" applyFill="1" applyBorder="1"/>
    <xf numFmtId="164" fontId="0" fillId="28" borderId="1" xfId="1" applyNumberFormat="1" applyFont="1" applyFill="1" applyBorder="1"/>
    <xf numFmtId="17" fontId="2" fillId="0" borderId="1" xfId="1" applyNumberFormat="1" applyFont="1" applyBorder="1"/>
    <xf numFmtId="0" fontId="2" fillId="24" borderId="1" xfId="0" applyFont="1" applyFill="1" applyBorder="1"/>
    <xf numFmtId="0" fontId="0" fillId="33" borderId="1" xfId="0" applyFill="1" applyBorder="1"/>
    <xf numFmtId="164" fontId="0" fillId="33" borderId="1" xfId="0" applyNumberFormat="1" applyFill="1" applyBorder="1" applyAlignment="1">
      <alignment horizontal="center"/>
    </xf>
    <xf numFmtId="0" fontId="2" fillId="5" borderId="1" xfId="0" applyFont="1" applyFill="1" applyBorder="1"/>
    <xf numFmtId="164" fontId="1" fillId="6" borderId="1" xfId="1" applyNumberFormat="1" applyFont="1" applyFill="1" applyBorder="1"/>
    <xf numFmtId="164" fontId="2" fillId="6" borderId="1" xfId="0" applyNumberFormat="1" applyFont="1" applyFill="1" applyBorder="1"/>
    <xf numFmtId="164" fontId="8" fillId="14" borderId="2" xfId="1" applyNumberFormat="1" applyFont="1" applyFill="1" applyBorder="1" applyAlignment="1"/>
    <xf numFmtId="164" fontId="8" fillId="14" borderId="5" xfId="1" applyNumberFormat="1" applyFont="1" applyFill="1" applyBorder="1" applyAlignment="1"/>
    <xf numFmtId="0" fontId="9" fillId="18" borderId="0" xfId="0" applyFont="1" applyFill="1"/>
    <xf numFmtId="164" fontId="9" fillId="18" borderId="0" xfId="0" applyNumberFormat="1" applyFont="1" applyFill="1"/>
    <xf numFmtId="10" fontId="0" fillId="0" borderId="1" xfId="0" applyNumberFormat="1" applyBorder="1"/>
    <xf numFmtId="164" fontId="19" fillId="0" borderId="1" xfId="1" applyNumberFormat="1" applyFont="1" applyFill="1" applyBorder="1" applyAlignment="1"/>
    <xf numFmtId="164" fontId="20" fillId="0" borderId="1" xfId="1" applyNumberFormat="1" applyFont="1" applyFill="1" applyBorder="1" applyAlignment="1"/>
    <xf numFmtId="164" fontId="0" fillId="0" borderId="0" xfId="1" applyNumberFormat="1" applyFont="1" applyFill="1" applyBorder="1" applyAlignment="1"/>
    <xf numFmtId="164" fontId="0" fillId="0" borderId="0" xfId="1" applyNumberFormat="1" applyFont="1" applyBorder="1" applyAlignment="1"/>
    <xf numFmtId="164" fontId="4" fillId="4" borderId="0" xfId="1" applyNumberFormat="1" applyFont="1" applyFill="1" applyBorder="1" applyAlignment="1"/>
    <xf numFmtId="16" fontId="2" fillId="0" borderId="37" xfId="0" applyNumberFormat="1" applyFont="1" applyBorder="1"/>
    <xf numFmtId="164" fontId="8" fillId="14" borderId="2" xfId="1" applyNumberFormat="1" applyFont="1" applyFill="1" applyBorder="1" applyAlignment="1">
      <alignment horizontal="left"/>
    </xf>
    <xf numFmtId="164" fontId="8" fillId="14" borderId="5" xfId="1" applyNumberFormat="1" applyFont="1" applyFill="1" applyBorder="1" applyAlignment="1">
      <alignment horizontal="left"/>
    </xf>
    <xf numFmtId="164" fontId="5" fillId="25" borderId="1" xfId="1" applyNumberFormat="1" applyFont="1" applyFill="1" applyBorder="1" applyAlignment="1">
      <alignment horizontal="left"/>
    </xf>
    <xf numFmtId="164" fontId="8" fillId="6" borderId="7" xfId="1" applyNumberFormat="1" applyFont="1" applyFill="1" applyBorder="1" applyAlignment="1"/>
    <xf numFmtId="164" fontId="19" fillId="4" borderId="7" xfId="1" applyNumberFormat="1" applyFont="1" applyFill="1" applyBorder="1" applyAlignment="1"/>
    <xf numFmtId="164" fontId="20" fillId="4" borderId="7" xfId="1" applyNumberFormat="1" applyFont="1" applyFill="1" applyBorder="1" applyAlignment="1"/>
    <xf numFmtId="165" fontId="2" fillId="0" borderId="1" xfId="1" applyNumberFormat="1" applyFont="1" applyBorder="1"/>
    <xf numFmtId="166" fontId="0" fillId="0" borderId="1" xfId="1" applyNumberFormat="1" applyFont="1" applyBorder="1"/>
    <xf numFmtId="0" fontId="28" fillId="0" borderId="29" xfId="0" applyFont="1" applyBorder="1" applyAlignment="1">
      <alignment horizontal="center" vertical="center"/>
    </xf>
    <xf numFmtId="0" fontId="28" fillId="0" borderId="15" xfId="0" applyFont="1" applyBorder="1" applyAlignment="1">
      <alignment horizontal="center" vertical="center"/>
    </xf>
    <xf numFmtId="164" fontId="28" fillId="31" borderId="1" xfId="1" applyNumberFormat="1" applyFont="1" applyFill="1" applyBorder="1" applyAlignment="1">
      <alignment horizontal="center" vertical="center" wrapText="1"/>
    </xf>
    <xf numFmtId="164" fontId="28" fillId="24" borderId="1" xfId="1" applyNumberFormat="1" applyFont="1" applyFill="1" applyBorder="1" applyAlignment="1">
      <alignment horizontal="center" vertical="center"/>
    </xf>
    <xf numFmtId="0" fontId="28" fillId="0" borderId="1" xfId="0" applyFont="1" applyBorder="1"/>
    <xf numFmtId="164" fontId="28" fillId="0" borderId="1" xfId="1" applyNumberFormat="1" applyFont="1" applyBorder="1"/>
    <xf numFmtId="164" fontId="28" fillId="0" borderId="1" xfId="1" applyNumberFormat="1" applyFont="1" applyBorder="1" applyAlignment="1">
      <alignment wrapText="1"/>
    </xf>
    <xf numFmtId="0" fontId="28" fillId="0" borderId="0" xfId="0" applyFont="1"/>
    <xf numFmtId="164" fontId="5" fillId="4" borderId="7" xfId="1" applyNumberFormat="1" applyFont="1" applyFill="1" applyBorder="1" applyAlignment="1"/>
    <xf numFmtId="0" fontId="2" fillId="0" borderId="15" xfId="0" applyFont="1" applyBorder="1"/>
    <xf numFmtId="164" fontId="5" fillId="4" borderId="36" xfId="1" applyNumberFormat="1" applyFont="1" applyFill="1" applyBorder="1" applyAlignment="1"/>
    <xf numFmtId="43" fontId="2" fillId="0" borderId="5" xfId="1" applyFont="1" applyBorder="1"/>
    <xf numFmtId="43" fontId="0" fillId="0" borderId="5" xfId="1" applyFont="1" applyFill="1" applyBorder="1"/>
    <xf numFmtId="0" fontId="28" fillId="15" borderId="1" xfId="0" applyFont="1" applyFill="1" applyBorder="1" applyAlignment="1">
      <alignment wrapText="1"/>
    </xf>
    <xf numFmtId="0" fontId="28" fillId="7" borderId="1" xfId="0" applyFont="1" applyFill="1" applyBorder="1"/>
    <xf numFmtId="0" fontId="0" fillId="7" borderId="1" xfId="0" applyFill="1" applyBorder="1"/>
    <xf numFmtId="164" fontId="4" fillId="7" borderId="1" xfId="1" applyNumberFormat="1" applyFont="1" applyFill="1" applyBorder="1" applyAlignment="1"/>
    <xf numFmtId="1" fontId="0" fillId="0" borderId="0" xfId="0" applyNumberFormat="1"/>
    <xf numFmtId="1" fontId="0" fillId="0" borderId="1" xfId="0" applyNumberFormat="1" applyBorder="1"/>
    <xf numFmtId="1" fontId="2" fillId="0" borderId="1" xfId="0" applyNumberFormat="1" applyFont="1" applyBorder="1"/>
    <xf numFmtId="164" fontId="5" fillId="25" borderId="7" xfId="1" applyNumberFormat="1" applyFont="1" applyFill="1" applyBorder="1" applyAlignment="1">
      <alignment horizontal="left"/>
    </xf>
    <xf numFmtId="164" fontId="5" fillId="3" borderId="4" xfId="1" applyNumberFormat="1" applyFont="1" applyFill="1" applyBorder="1" applyAlignment="1">
      <alignment horizontal="left"/>
    </xf>
    <xf numFmtId="164" fontId="5" fillId="17" borderId="4" xfId="1" applyNumberFormat="1" applyFont="1" applyFill="1" applyBorder="1" applyAlignment="1">
      <alignment horizontal="left"/>
    </xf>
    <xf numFmtId="164" fontId="0" fillId="3" borderId="1" xfId="1" applyNumberFormat="1" applyFont="1" applyFill="1" applyBorder="1"/>
    <xf numFmtId="0" fontId="2" fillId="5" borderId="7" xfId="0" applyFont="1" applyFill="1" applyBorder="1"/>
    <xf numFmtId="164" fontId="2" fillId="5" borderId="7" xfId="1" applyNumberFormat="1" applyFont="1" applyFill="1" applyBorder="1"/>
    <xf numFmtId="10" fontId="0" fillId="0" borderId="1" xfId="2" applyNumberFormat="1" applyFont="1" applyBorder="1"/>
    <xf numFmtId="0" fontId="0" fillId="0" borderId="0" xfId="0" applyAlignment="1">
      <alignment wrapText="1"/>
    </xf>
    <xf numFmtId="0" fontId="22" fillId="0" borderId="1" xfId="0" applyFont="1" applyBorder="1"/>
    <xf numFmtId="43" fontId="22" fillId="0" borderId="1" xfId="1" applyFont="1" applyFill="1" applyBorder="1"/>
    <xf numFmtId="0" fontId="22" fillId="0" borderId="0" xfId="0" applyFont="1"/>
    <xf numFmtId="0" fontId="29" fillId="0" borderId="33" xfId="0" applyFont="1" applyBorder="1"/>
    <xf numFmtId="0" fontId="29" fillId="0" borderId="34" xfId="0" applyFont="1" applyBorder="1"/>
    <xf numFmtId="0" fontId="29" fillId="0" borderId="35" xfId="0" applyFont="1" applyBorder="1"/>
    <xf numFmtId="0" fontId="30" fillId="0" borderId="3" xfId="0" applyFont="1" applyBorder="1"/>
    <xf numFmtId="0" fontId="30" fillId="0" borderId="1" xfId="0" applyFont="1" applyBorder="1"/>
    <xf numFmtId="0" fontId="30" fillId="0" borderId="4" xfId="0" applyFont="1" applyBorder="1"/>
    <xf numFmtId="0" fontId="30" fillId="0" borderId="19" xfId="0" applyFont="1" applyBorder="1"/>
    <xf numFmtId="0" fontId="30" fillId="0" borderId="36" xfId="0" applyFont="1" applyBorder="1"/>
    <xf numFmtId="0" fontId="30" fillId="0" borderId="20" xfId="0" applyFont="1" applyBorder="1"/>
    <xf numFmtId="0" fontId="30" fillId="0" borderId="10" xfId="0" applyFont="1" applyBorder="1"/>
    <xf numFmtId="0" fontId="30" fillId="0" borderId="7" xfId="0" applyFont="1" applyBorder="1"/>
    <xf numFmtId="0" fontId="30" fillId="0" borderId="12" xfId="0" applyFont="1" applyBorder="1"/>
    <xf numFmtId="43" fontId="0" fillId="0" borderId="0" xfId="1" applyFont="1" applyAlignment="1">
      <alignment horizontal="center"/>
    </xf>
    <xf numFmtId="164" fontId="0" fillId="0" borderId="1" xfId="1" applyNumberFormat="1" applyFont="1" applyFill="1" applyBorder="1" applyAlignment="1">
      <alignment wrapText="1"/>
    </xf>
    <xf numFmtId="15" fontId="0" fillId="0" borderId="1" xfId="0" applyNumberFormat="1" applyBorder="1"/>
    <xf numFmtId="0" fontId="22" fillId="15" borderId="1" xfId="0" applyFont="1" applyFill="1" applyBorder="1" applyAlignment="1">
      <alignment wrapText="1"/>
    </xf>
    <xf numFmtId="0" fontId="2" fillId="6" borderId="0" xfId="0" applyFont="1" applyFill="1"/>
    <xf numFmtId="164" fontId="2" fillId="6" borderId="0" xfId="0" applyNumberFormat="1" applyFont="1" applyFill="1"/>
    <xf numFmtId="164" fontId="1" fillId="12" borderId="1" xfId="1" applyNumberFormat="1" applyFont="1" applyFill="1" applyBorder="1"/>
    <xf numFmtId="164" fontId="0" fillId="12" borderId="1" xfId="1" applyNumberFormat="1" applyFont="1" applyFill="1" applyBorder="1"/>
    <xf numFmtId="0" fontId="0" fillId="12" borderId="1" xfId="0" applyFill="1" applyBorder="1"/>
    <xf numFmtId="0" fontId="27" fillId="12" borderId="1" xfId="0" applyFont="1" applyFill="1" applyBorder="1" applyAlignment="1">
      <alignment horizontal="left" vertical="center" wrapText="1" indent="1"/>
    </xf>
    <xf numFmtId="0" fontId="23" fillId="12" borderId="1" xfId="0" applyFont="1" applyFill="1" applyBorder="1" applyAlignment="1">
      <alignment horizontal="left" vertical="center" wrapText="1" indent="1"/>
    </xf>
    <xf numFmtId="164" fontId="29" fillId="15" borderId="1" xfId="1" applyNumberFormat="1" applyFont="1" applyFill="1" applyBorder="1" applyAlignment="1">
      <alignment wrapText="1"/>
    </xf>
    <xf numFmtId="0" fontId="29" fillId="15" borderId="1" xfId="0" applyFont="1" applyFill="1" applyBorder="1" applyAlignment="1">
      <alignment wrapText="1"/>
    </xf>
    <xf numFmtId="14" fontId="31" fillId="0" borderId="1" xfId="1" applyNumberFormat="1" applyFont="1" applyFill="1" applyBorder="1"/>
    <xf numFmtId="164" fontId="8" fillId="0" borderId="39" xfId="1" applyNumberFormat="1" applyFont="1" applyFill="1" applyBorder="1" applyAlignment="1"/>
    <xf numFmtId="164" fontId="8" fillId="6" borderId="29" xfId="1" applyNumberFormat="1" applyFont="1" applyFill="1" applyBorder="1" applyAlignment="1"/>
    <xf numFmtId="164" fontId="19" fillId="4" borderId="29" xfId="1" applyNumberFormat="1" applyFont="1" applyFill="1" applyBorder="1" applyAlignment="1"/>
    <xf numFmtId="164" fontId="20" fillId="4" borderId="29" xfId="1" applyNumberFormat="1" applyFont="1" applyFill="1" applyBorder="1" applyAlignment="1"/>
    <xf numFmtId="164" fontId="5" fillId="4" borderId="29" xfId="1" applyNumberFormat="1" applyFont="1" applyFill="1" applyBorder="1" applyAlignment="1"/>
    <xf numFmtId="164" fontId="4" fillId="5" borderId="29" xfId="1" applyNumberFormat="1" applyFont="1" applyFill="1" applyBorder="1" applyAlignment="1"/>
    <xf numFmtId="164" fontId="5" fillId="25" borderId="16" xfId="1" applyNumberFormat="1" applyFont="1" applyFill="1" applyBorder="1" applyAlignment="1">
      <alignment horizontal="left"/>
    </xf>
    <xf numFmtId="164" fontId="4" fillId="9" borderId="1" xfId="1" applyNumberFormat="1" applyFont="1" applyFill="1" applyBorder="1" applyAlignment="1"/>
    <xf numFmtId="0" fontId="0" fillId="7" borderId="0" xfId="0" applyFill="1"/>
    <xf numFmtId="164" fontId="4" fillId="17" borderId="0" xfId="1" applyNumberFormat="1" applyFont="1" applyFill="1" applyBorder="1" applyAlignment="1"/>
    <xf numFmtId="164" fontId="5" fillId="25" borderId="0" xfId="1" applyNumberFormat="1" applyFont="1" applyFill="1" applyBorder="1" applyAlignment="1">
      <alignment horizontal="left"/>
    </xf>
    <xf numFmtId="164" fontId="8" fillId="0" borderId="0" xfId="1" applyNumberFormat="1" applyFont="1" applyFill="1" applyBorder="1" applyAlignment="1"/>
    <xf numFmtId="164" fontId="8" fillId="6" borderId="0" xfId="1" applyNumberFormat="1" applyFont="1" applyFill="1" applyBorder="1" applyAlignment="1"/>
    <xf numFmtId="164" fontId="19" fillId="4" borderId="0" xfId="1" applyNumberFormat="1" applyFont="1" applyFill="1" applyBorder="1" applyAlignment="1"/>
    <xf numFmtId="164" fontId="20" fillId="4" borderId="0" xfId="1" applyNumberFormat="1" applyFont="1" applyFill="1" applyBorder="1" applyAlignment="1"/>
    <xf numFmtId="164" fontId="5" fillId="4" borderId="0" xfId="1" applyNumberFormat="1" applyFont="1" applyFill="1" applyBorder="1" applyAlignment="1"/>
    <xf numFmtId="49" fontId="0" fillId="0" borderId="1" xfId="1" applyNumberFormat="1" applyFont="1" applyFill="1" applyBorder="1"/>
    <xf numFmtId="164" fontId="30" fillId="15" borderId="1" xfId="1" applyNumberFormat="1" applyFont="1" applyFill="1" applyBorder="1" applyAlignment="1">
      <alignment wrapText="1"/>
    </xf>
    <xf numFmtId="0" fontId="30" fillId="15" borderId="1" xfId="0" applyFont="1" applyFill="1" applyBorder="1" applyAlignment="1">
      <alignment wrapText="1"/>
    </xf>
    <xf numFmtId="0" fontId="29" fillId="0" borderId="0" xfId="0" applyFont="1"/>
    <xf numFmtId="0" fontId="30" fillId="0" borderId="0" xfId="0" applyFont="1"/>
    <xf numFmtId="0" fontId="28" fillId="0" borderId="33" xfId="0" applyFont="1" applyBorder="1"/>
    <xf numFmtId="0" fontId="28" fillId="0" borderId="34" xfId="0" applyFont="1" applyBorder="1"/>
    <xf numFmtId="0" fontId="28" fillId="0" borderId="25" xfId="0" applyFont="1" applyBorder="1"/>
    <xf numFmtId="49" fontId="28" fillId="0" borderId="35" xfId="0" applyNumberFormat="1" applyFont="1" applyBorder="1"/>
    <xf numFmtId="43" fontId="28" fillId="0" borderId="5" xfId="1" applyFont="1" applyBorder="1"/>
    <xf numFmtId="14" fontId="22" fillId="0" borderId="36" xfId="1" applyNumberFormat="1" applyFont="1" applyFill="1" applyBorder="1"/>
    <xf numFmtId="43" fontId="22" fillId="0" borderId="36" xfId="1" applyFont="1" applyFill="1" applyBorder="1"/>
    <xf numFmtId="43" fontId="22" fillId="0" borderId="20" xfId="1" applyFont="1" applyFill="1" applyBorder="1"/>
    <xf numFmtId="43" fontId="22" fillId="0" borderId="5" xfId="1" applyFont="1" applyFill="1" applyBorder="1"/>
    <xf numFmtId="164" fontId="22" fillId="0" borderId="0" xfId="1" applyNumberFormat="1" applyFont="1"/>
    <xf numFmtId="43" fontId="22" fillId="0" borderId="1" xfId="1" applyFont="1" applyBorder="1"/>
    <xf numFmtId="164" fontId="22" fillId="0" borderId="1" xfId="1" applyNumberFormat="1" applyFont="1" applyFill="1" applyBorder="1"/>
    <xf numFmtId="14" fontId="22" fillId="0" borderId="1" xfId="0" applyNumberFormat="1" applyFont="1" applyBorder="1"/>
    <xf numFmtId="14" fontId="22" fillId="7" borderId="1" xfId="0" applyNumberFormat="1" applyFont="1" applyFill="1" applyBorder="1"/>
    <xf numFmtId="9" fontId="22" fillId="0" borderId="1" xfId="2" applyFont="1" applyBorder="1"/>
    <xf numFmtId="0" fontId="32" fillId="0" borderId="19" xfId="0" applyFont="1" applyBorder="1" applyAlignment="1">
      <alignment horizontal="left" vertical="center" wrapText="1" indent="1"/>
    </xf>
    <xf numFmtId="164" fontId="4" fillId="0" borderId="1" xfId="1" applyNumberFormat="1" applyFont="1" applyFill="1" applyBorder="1"/>
    <xf numFmtId="0" fontId="29" fillId="0" borderId="1" xfId="0" applyFont="1" applyBorder="1"/>
    <xf numFmtId="43" fontId="30" fillId="0" borderId="1" xfId="1" applyFont="1" applyFill="1" applyBorder="1"/>
    <xf numFmtId="43" fontId="22" fillId="15" borderId="1" xfId="1" applyFont="1" applyFill="1" applyBorder="1" applyAlignment="1">
      <alignment wrapText="1"/>
    </xf>
    <xf numFmtId="43" fontId="22" fillId="0" borderId="0" xfId="1" applyFont="1"/>
    <xf numFmtId="43" fontId="29" fillId="0" borderId="1" xfId="1" applyFont="1" applyBorder="1"/>
    <xf numFmtId="43" fontId="30" fillId="0" borderId="1" xfId="1" applyFont="1" applyBorder="1"/>
    <xf numFmtId="43" fontId="30" fillId="0" borderId="0" xfId="1" applyFont="1"/>
    <xf numFmtId="43" fontId="28" fillId="0" borderId="0" xfId="1" applyFont="1"/>
    <xf numFmtId="43" fontId="22" fillId="0" borderId="0" xfId="1" applyFont="1" applyFill="1" applyBorder="1"/>
    <xf numFmtId="167" fontId="0" fillId="0" borderId="1" xfId="0" applyNumberFormat="1" applyBorder="1"/>
    <xf numFmtId="167" fontId="0" fillId="0" borderId="1" xfId="1" applyNumberFormat="1" applyFont="1" applyBorder="1"/>
    <xf numFmtId="14" fontId="30" fillId="0" borderId="1" xfId="1" applyNumberFormat="1" applyFont="1" applyFill="1" applyBorder="1"/>
    <xf numFmtId="164" fontId="30" fillId="0" borderId="1" xfId="1" applyNumberFormat="1" applyFont="1" applyFill="1" applyBorder="1"/>
    <xf numFmtId="164" fontId="30" fillId="0" borderId="1" xfId="1" applyNumberFormat="1" applyFont="1" applyBorder="1"/>
    <xf numFmtId="164" fontId="30" fillId="0" borderId="0" xfId="1" applyNumberFormat="1" applyFont="1"/>
    <xf numFmtId="14" fontId="30" fillId="0" borderId="1" xfId="1" applyNumberFormat="1" applyFont="1" applyBorder="1"/>
    <xf numFmtId="0" fontId="29" fillId="0" borderId="5" xfId="0" applyFont="1" applyBorder="1"/>
    <xf numFmtId="0" fontId="30" fillId="0" borderId="5" xfId="0" applyFont="1" applyBorder="1"/>
    <xf numFmtId="0" fontId="30" fillId="5" borderId="1" xfId="0" applyFont="1" applyFill="1" applyBorder="1"/>
    <xf numFmtId="15" fontId="30" fillId="0" borderId="5" xfId="0" applyNumberFormat="1" applyFont="1" applyBorder="1"/>
    <xf numFmtId="15" fontId="30" fillId="0" borderId="1" xfId="0" applyNumberFormat="1" applyFont="1" applyBorder="1"/>
    <xf numFmtId="164" fontId="30" fillId="0" borderId="5" xfId="1" applyNumberFormat="1" applyFont="1" applyFill="1" applyBorder="1"/>
    <xf numFmtId="0" fontId="30" fillId="12" borderId="1" xfId="0" applyFont="1" applyFill="1" applyBorder="1"/>
    <xf numFmtId="0" fontId="30" fillId="12" borderId="5" xfId="0" applyFont="1" applyFill="1" applyBorder="1"/>
    <xf numFmtId="15" fontId="30" fillId="12" borderId="5" xfId="0" applyNumberFormat="1" applyFont="1" applyFill="1" applyBorder="1"/>
    <xf numFmtId="0" fontId="29" fillId="0" borderId="1" xfId="0" applyFont="1" applyBorder="1" applyAlignment="1">
      <alignment horizontal="center" vertical="center" wrapText="1"/>
    </xf>
    <xf numFmtId="3" fontId="30" fillId="0" borderId="1" xfId="0" applyNumberFormat="1" applyFont="1" applyBorder="1" applyAlignment="1">
      <alignment vertical="center" wrapText="1"/>
    </xf>
    <xf numFmtId="0" fontId="30" fillId="0" borderId="1" xfId="0" applyFont="1" applyBorder="1" applyAlignment="1">
      <alignment vertical="center" wrapText="1"/>
    </xf>
    <xf numFmtId="10" fontId="30" fillId="0" borderId="1" xfId="0" applyNumberFormat="1" applyFont="1" applyBorder="1"/>
    <xf numFmtId="164" fontId="30" fillId="0" borderId="0" xfId="0" applyNumberFormat="1" applyFont="1"/>
    <xf numFmtId="3" fontId="30" fillId="0" borderId="0" xfId="0" applyNumberFormat="1" applyFont="1"/>
    <xf numFmtId="164" fontId="33" fillId="4" borderId="34" xfId="1" applyNumberFormat="1" applyFont="1" applyFill="1" applyBorder="1" applyAlignment="1"/>
    <xf numFmtId="164" fontId="33" fillId="4" borderId="1" xfId="1" applyNumberFormat="1" applyFont="1" applyFill="1" applyBorder="1" applyAlignment="1"/>
    <xf numFmtId="164" fontId="33" fillId="4" borderId="29" xfId="1" applyNumberFormat="1" applyFont="1" applyFill="1" applyBorder="1" applyAlignment="1"/>
    <xf numFmtId="164" fontId="33" fillId="0" borderId="1" xfId="1" applyNumberFormat="1" applyFont="1" applyFill="1" applyBorder="1" applyAlignment="1"/>
    <xf numFmtId="164" fontId="33" fillId="4" borderId="36" xfId="1" applyNumberFormat="1" applyFont="1" applyFill="1" applyBorder="1" applyAlignment="1"/>
    <xf numFmtId="164" fontId="33" fillId="4" borderId="7" xfId="1" applyNumberFormat="1" applyFont="1" applyFill="1" applyBorder="1" applyAlignment="1"/>
    <xf numFmtId="164" fontId="33" fillId="4" borderId="0" xfId="1" applyNumberFormat="1" applyFont="1" applyFill="1" applyBorder="1" applyAlignment="1"/>
    <xf numFmtId="164" fontId="29" fillId="7" borderId="1" xfId="1" applyNumberFormat="1" applyFont="1" applyFill="1" applyBorder="1"/>
    <xf numFmtId="164" fontId="29" fillId="27" borderId="1" xfId="1" applyNumberFormat="1" applyFont="1" applyFill="1" applyBorder="1"/>
    <xf numFmtId="0" fontId="30" fillId="28" borderId="1" xfId="0" applyFont="1" applyFill="1" applyBorder="1"/>
    <xf numFmtId="0" fontId="30" fillId="3" borderId="1" xfId="0" applyFont="1" applyFill="1" applyBorder="1"/>
    <xf numFmtId="0" fontId="30" fillId="26" borderId="1" xfId="0" applyFont="1" applyFill="1" applyBorder="1"/>
    <xf numFmtId="0" fontId="29" fillId="23" borderId="1" xfId="0" applyFont="1" applyFill="1" applyBorder="1"/>
    <xf numFmtId="3" fontId="29" fillId="16" borderId="1" xfId="1" applyNumberFormat="1" applyFont="1" applyFill="1" applyBorder="1" applyAlignment="1">
      <alignment wrapText="1"/>
    </xf>
    <xf numFmtId="0" fontId="29" fillId="23" borderId="1" xfId="0" applyFont="1" applyFill="1" applyBorder="1" applyAlignment="1">
      <alignment wrapText="1"/>
    </xf>
    <xf numFmtId="9" fontId="30" fillId="0" borderId="1" xfId="2" applyFont="1" applyBorder="1"/>
    <xf numFmtId="9" fontId="30" fillId="6" borderId="1" xfId="2" applyFont="1" applyFill="1" applyBorder="1"/>
    <xf numFmtId="43" fontId="30" fillId="0" borderId="29" xfId="1" applyFont="1" applyFill="1" applyBorder="1"/>
    <xf numFmtId="43" fontId="30" fillId="0" borderId="7" xfId="1" applyFont="1" applyBorder="1"/>
    <xf numFmtId="43" fontId="29" fillId="0" borderId="1" xfId="1" applyFont="1" applyBorder="1" applyAlignment="1">
      <alignment horizontal="center"/>
    </xf>
    <xf numFmtId="43" fontId="30" fillId="0" borderId="1" xfId="1" applyFont="1" applyBorder="1" applyAlignment="1">
      <alignment horizontal="center"/>
    </xf>
    <xf numFmtId="0" fontId="30" fillId="0" borderId="1" xfId="0" applyFont="1" applyBorder="1" applyAlignment="1">
      <alignment wrapText="1"/>
    </xf>
    <xf numFmtId="164" fontId="9" fillId="0" borderId="1" xfId="1" applyNumberFormat="1" applyFont="1" applyFill="1" applyBorder="1" applyAlignment="1"/>
    <xf numFmtId="164" fontId="9" fillId="9" borderId="1" xfId="1" applyNumberFormat="1" applyFont="1" applyFill="1" applyBorder="1"/>
    <xf numFmtId="164" fontId="9" fillId="7" borderId="1" xfId="1" applyNumberFormat="1" applyFont="1" applyFill="1" applyBorder="1"/>
    <xf numFmtId="164" fontId="9" fillId="7" borderId="1" xfId="0" applyNumberFormat="1" applyFont="1" applyFill="1" applyBorder="1"/>
    <xf numFmtId="164" fontId="9" fillId="5" borderId="1" xfId="1" applyNumberFormat="1" applyFont="1" applyFill="1" applyBorder="1"/>
    <xf numFmtId="43" fontId="9" fillId="5" borderId="1" xfId="1" applyFont="1" applyFill="1" applyBorder="1"/>
    <xf numFmtId="164" fontId="8" fillId="19" borderId="1" xfId="1" applyNumberFormat="1" applyFont="1" applyFill="1" applyBorder="1"/>
    <xf numFmtId="164" fontId="9" fillId="9" borderId="1" xfId="1" applyNumberFormat="1" applyFont="1" applyFill="1" applyBorder="1" applyAlignment="1">
      <alignment horizontal="left"/>
    </xf>
    <xf numFmtId="164" fontId="8" fillId="0" borderId="1" xfId="0" applyNumberFormat="1" applyFont="1" applyBorder="1"/>
    <xf numFmtId="164" fontId="9" fillId="0" borderId="0" xfId="1" applyNumberFormat="1" applyFont="1" applyFill="1" applyBorder="1" applyAlignment="1">
      <alignment horizontal="left"/>
    </xf>
    <xf numFmtId="164" fontId="9" fillId="0" borderId="0" xfId="1" applyNumberFormat="1" applyFont="1" applyFill="1" applyBorder="1"/>
    <xf numFmtId="9" fontId="9" fillId="0" borderId="0" xfId="2" applyFont="1" applyFill="1" applyBorder="1"/>
    <xf numFmtId="0" fontId="34" fillId="0" borderId="0" xfId="0" applyFont="1" applyAlignment="1">
      <alignment horizontal="center"/>
    </xf>
    <xf numFmtId="168" fontId="34" fillId="0" borderId="0" xfId="1" applyNumberFormat="1" applyFont="1" applyBorder="1" applyAlignment="1" applyProtection="1">
      <alignment horizontal="center"/>
    </xf>
    <xf numFmtId="0" fontId="36" fillId="0" borderId="8" xfId="0" applyFont="1" applyBorder="1" applyAlignment="1">
      <alignment horizontal="center" vertical="center"/>
    </xf>
    <xf numFmtId="0" fontId="36" fillId="0" borderId="38" xfId="0" applyFont="1" applyBorder="1" applyAlignment="1">
      <alignment horizontal="center" vertical="center"/>
    </xf>
    <xf numFmtId="168" fontId="36" fillId="0" borderId="38" xfId="1" applyNumberFormat="1" applyFont="1" applyBorder="1" applyAlignment="1" applyProtection="1">
      <alignment horizontal="center" vertical="center"/>
    </xf>
    <xf numFmtId="168" fontId="37" fillId="0" borderId="3" xfId="1" applyNumberFormat="1" applyFont="1" applyBorder="1" applyProtection="1"/>
    <xf numFmtId="168" fontId="37" fillId="0" borderId="1" xfId="1" applyNumberFormat="1" applyFont="1" applyBorder="1" applyProtection="1"/>
    <xf numFmtId="168" fontId="37" fillId="34" borderId="1" xfId="1" applyNumberFormat="1" applyFont="1" applyFill="1" applyBorder="1" applyProtection="1"/>
    <xf numFmtId="168" fontId="38" fillId="35" borderId="0" xfId="1" applyNumberFormat="1" applyFont="1" applyFill="1" applyBorder="1" applyProtection="1"/>
    <xf numFmtId="168" fontId="1" fillId="35" borderId="0" xfId="1" applyNumberFormat="1" applyFill="1" applyBorder="1" applyProtection="1"/>
    <xf numFmtId="168" fontId="1" fillId="0" borderId="0" xfId="1" applyNumberFormat="1" applyBorder="1" applyProtection="1"/>
    <xf numFmtId="168" fontId="37" fillId="0" borderId="33" xfId="1" applyNumberFormat="1" applyFont="1" applyBorder="1" applyProtection="1"/>
    <xf numFmtId="168" fontId="37" fillId="0" borderId="34" xfId="1" applyNumberFormat="1" applyFont="1" applyBorder="1" applyProtection="1"/>
    <xf numFmtId="168" fontId="37" fillId="34" borderId="34" xfId="1" applyNumberFormat="1" applyFont="1" applyFill="1" applyBorder="1" applyProtection="1"/>
    <xf numFmtId="168" fontId="37" fillId="0" borderId="7" xfId="1" applyNumberFormat="1" applyFont="1" applyBorder="1" applyProtection="1"/>
    <xf numFmtId="168" fontId="37" fillId="34" borderId="7" xfId="1" applyNumberFormat="1" applyFont="1" applyFill="1" applyBorder="1" applyProtection="1"/>
    <xf numFmtId="168" fontId="37" fillId="37" borderId="1" xfId="1" applyNumberFormat="1" applyFont="1" applyFill="1" applyBorder="1" applyProtection="1"/>
    <xf numFmtId="168" fontId="37" fillId="0" borderId="39" xfId="1" applyNumberFormat="1" applyFont="1" applyBorder="1" applyProtection="1"/>
    <xf numFmtId="168" fontId="37" fillId="0" borderId="29" xfId="1" applyNumberFormat="1" applyFont="1" applyBorder="1" applyProtection="1"/>
    <xf numFmtId="168" fontId="37" fillId="34" borderId="29" xfId="1" applyNumberFormat="1" applyFont="1" applyFill="1" applyBorder="1" applyProtection="1"/>
    <xf numFmtId="168" fontId="37" fillId="0" borderId="19" xfId="1" applyNumberFormat="1" applyFont="1" applyBorder="1" applyProtection="1"/>
    <xf numFmtId="168" fontId="37" fillId="0" borderId="36" xfId="1" applyNumberFormat="1" applyFont="1" applyBorder="1" applyProtection="1"/>
    <xf numFmtId="168" fontId="37" fillId="34" borderId="36" xfId="1" applyNumberFormat="1" applyFont="1" applyFill="1" applyBorder="1" applyProtection="1"/>
    <xf numFmtId="168" fontId="37" fillId="0" borderId="10" xfId="1" applyNumberFormat="1" applyFont="1" applyBorder="1" applyProtection="1"/>
    <xf numFmtId="4" fontId="0" fillId="0" borderId="0" xfId="0" applyNumberFormat="1"/>
    <xf numFmtId="168" fontId="35" fillId="39" borderId="1" xfId="1" applyNumberFormat="1" applyFont="1" applyFill="1" applyBorder="1" applyProtection="1"/>
    <xf numFmtId="168" fontId="35" fillId="40" borderId="1" xfId="1" applyNumberFormat="1" applyFont="1" applyFill="1" applyBorder="1" applyProtection="1"/>
    <xf numFmtId="168" fontId="35" fillId="38" borderId="1" xfId="1" applyNumberFormat="1" applyFont="1" applyFill="1" applyBorder="1" applyProtection="1"/>
    <xf numFmtId="168" fontId="39" fillId="41" borderId="1" xfId="1" applyNumberFormat="1" applyFont="1" applyFill="1" applyBorder="1" applyProtection="1"/>
    <xf numFmtId="168" fontId="35" fillId="36" borderId="1" xfId="1" applyNumberFormat="1" applyFont="1" applyFill="1" applyBorder="1" applyProtection="1"/>
    <xf numFmtId="168" fontId="39" fillId="42" borderId="1" xfId="1" applyNumberFormat="1" applyFont="1" applyFill="1" applyBorder="1" applyProtection="1"/>
    <xf numFmtId="168" fontId="37" fillId="42" borderId="1" xfId="1" applyNumberFormat="1" applyFont="1" applyFill="1" applyBorder="1" applyProtection="1"/>
    <xf numFmtId="168" fontId="1" fillId="42" borderId="1" xfId="1" applyNumberFormat="1" applyFill="1" applyBorder="1" applyProtection="1"/>
    <xf numFmtId="168" fontId="39" fillId="38" borderId="1" xfId="1" applyNumberFormat="1" applyFont="1" applyFill="1" applyBorder="1" applyProtection="1"/>
    <xf numFmtId="168" fontId="39" fillId="43" borderId="1" xfId="1" applyNumberFormat="1" applyFont="1" applyFill="1" applyBorder="1" applyProtection="1"/>
    <xf numFmtId="168" fontId="37" fillId="43" borderId="1" xfId="1" applyNumberFormat="1" applyFont="1" applyFill="1" applyBorder="1" applyProtection="1"/>
    <xf numFmtId="168" fontId="37" fillId="0" borderId="3" xfId="1" applyNumberFormat="1" applyFont="1" applyBorder="1" applyAlignment="1" applyProtection="1">
      <alignment wrapText="1"/>
    </xf>
    <xf numFmtId="0" fontId="40" fillId="0" borderId="0" xfId="0" applyFont="1"/>
    <xf numFmtId="169" fontId="40" fillId="0" borderId="38" xfId="0" applyNumberFormat="1" applyFont="1" applyBorder="1" applyAlignment="1">
      <alignment wrapText="1"/>
    </xf>
    <xf numFmtId="168" fontId="41" fillId="35" borderId="1" xfId="1" applyNumberFormat="1" applyFont="1" applyFill="1" applyBorder="1" applyProtection="1"/>
    <xf numFmtId="168" fontId="42" fillId="35" borderId="1" xfId="1" applyNumberFormat="1" applyFont="1" applyFill="1" applyBorder="1" applyProtection="1"/>
    <xf numFmtId="168" fontId="41" fillId="35" borderId="34" xfId="1" applyNumberFormat="1" applyFont="1" applyFill="1" applyBorder="1" applyProtection="1"/>
    <xf numFmtId="168" fontId="41" fillId="0" borderId="1" xfId="1" applyNumberFormat="1" applyFont="1" applyBorder="1" applyProtection="1"/>
    <xf numFmtId="168" fontId="41" fillId="35" borderId="7" xfId="1" applyNumberFormat="1" applyFont="1" applyFill="1" applyBorder="1" applyProtection="1"/>
    <xf numFmtId="168" fontId="41" fillId="35" borderId="29" xfId="1" applyNumberFormat="1" applyFont="1" applyFill="1" applyBorder="1" applyProtection="1"/>
    <xf numFmtId="168" fontId="41" fillId="35" borderId="36" xfId="1" applyNumberFormat="1" applyFont="1" applyFill="1" applyBorder="1" applyProtection="1"/>
    <xf numFmtId="0" fontId="40" fillId="0" borderId="1" xfId="0" applyFont="1" applyBorder="1"/>
    <xf numFmtId="168" fontId="37" fillId="0" borderId="1" xfId="1" applyNumberFormat="1" applyFont="1" applyFill="1" applyBorder="1" applyProtection="1"/>
    <xf numFmtId="164" fontId="9" fillId="14" borderId="2" xfId="1" applyNumberFormat="1" applyFont="1" applyFill="1" applyBorder="1" applyAlignment="1">
      <alignment horizontal="left"/>
    </xf>
    <xf numFmtId="0" fontId="9" fillId="24" borderId="1" xfId="0" applyFont="1" applyFill="1" applyBorder="1"/>
    <xf numFmtId="164" fontId="2" fillId="0" borderId="0" xfId="1" applyNumberFormat="1" applyFont="1" applyFill="1" applyBorder="1"/>
    <xf numFmtId="164" fontId="8" fillId="0" borderId="0" xfId="1" applyNumberFormat="1" applyFont="1" applyFill="1" applyBorder="1" applyAlignment="1">
      <alignment horizontal="left"/>
    </xf>
    <xf numFmtId="49" fontId="0" fillId="0" borderId="29" xfId="1" applyNumberFormat="1" applyFont="1" applyFill="1" applyBorder="1"/>
    <xf numFmtId="0" fontId="2" fillId="0" borderId="1" xfId="0" applyFont="1" applyBorder="1" applyAlignment="1">
      <alignment wrapText="1"/>
    </xf>
    <xf numFmtId="0" fontId="0" fillId="14" borderId="1" xfId="0" applyFill="1" applyBorder="1"/>
    <xf numFmtId="0" fontId="23" fillId="14" borderId="1" xfId="0" applyFont="1" applyFill="1" applyBorder="1" applyAlignment="1">
      <alignment horizontal="left" vertical="center" wrapText="1" indent="1"/>
    </xf>
    <xf numFmtId="43" fontId="0" fillId="14" borderId="1" xfId="1" applyFont="1" applyFill="1" applyBorder="1"/>
    <xf numFmtId="0" fontId="30" fillId="14" borderId="1" xfId="0" applyFont="1" applyFill="1" applyBorder="1"/>
    <xf numFmtId="0" fontId="30" fillId="14" borderId="5" xfId="0" applyFont="1" applyFill="1" applyBorder="1"/>
    <xf numFmtId="3" fontId="0" fillId="14" borderId="1" xfId="0" applyNumberFormat="1" applyFill="1" applyBorder="1"/>
    <xf numFmtId="43" fontId="30" fillId="14" borderId="1" xfId="1" applyFont="1" applyFill="1" applyBorder="1"/>
    <xf numFmtId="164" fontId="1" fillId="14" borderId="1" xfId="1" applyNumberFormat="1" applyFont="1" applyFill="1" applyBorder="1"/>
    <xf numFmtId="0" fontId="30" fillId="14" borderId="0" xfId="0" applyFont="1" applyFill="1"/>
    <xf numFmtId="164" fontId="0" fillId="14" borderId="0" xfId="1" applyNumberFormat="1" applyFont="1" applyFill="1"/>
    <xf numFmtId="0" fontId="0" fillId="14" borderId="0" xfId="0" applyFill="1"/>
    <xf numFmtId="164" fontId="6" fillId="0" borderId="29" xfId="1" applyNumberFormat="1" applyFont="1" applyBorder="1" applyAlignment="1">
      <alignment horizontal="center" vertical="center"/>
    </xf>
    <xf numFmtId="16" fontId="2" fillId="0" borderId="29" xfId="0" applyNumberFormat="1" applyFont="1" applyBorder="1"/>
    <xf numFmtId="16" fontId="29" fillId="0" borderId="29" xfId="0" applyNumberFormat="1" applyFont="1" applyBorder="1"/>
    <xf numFmtId="0" fontId="9" fillId="0" borderId="29" xfId="0" applyFont="1" applyBorder="1"/>
    <xf numFmtId="16" fontId="6" fillId="0" borderId="29" xfId="0" applyNumberFormat="1" applyFont="1" applyBorder="1"/>
    <xf numFmtId="16" fontId="2" fillId="0" borderId="29" xfId="0" applyNumberFormat="1" applyFont="1" applyBorder="1" applyAlignment="1">
      <alignment horizontal="center"/>
    </xf>
    <xf numFmtId="164" fontId="1" fillId="7" borderId="1" xfId="1" applyNumberFormat="1" applyFont="1" applyFill="1" applyBorder="1"/>
    <xf numFmtId="164" fontId="8" fillId="0" borderId="10" xfId="1" applyNumberFormat="1" applyFont="1" applyFill="1" applyBorder="1" applyAlignment="1"/>
    <xf numFmtId="164" fontId="5" fillId="25" borderId="12" xfId="1" applyNumberFormat="1" applyFont="1" applyFill="1" applyBorder="1" applyAlignment="1">
      <alignment horizontal="left"/>
    </xf>
    <xf numFmtId="14" fontId="26" fillId="0" borderId="1" xfId="1" applyNumberFormat="1" applyFont="1" applyFill="1" applyBorder="1"/>
    <xf numFmtId="164" fontId="9" fillId="24" borderId="2" xfId="1" applyNumberFormat="1" applyFont="1" applyFill="1" applyBorder="1" applyAlignment="1">
      <alignment horizontal="left"/>
    </xf>
    <xf numFmtId="164" fontId="9" fillId="24" borderId="5" xfId="1" applyNumberFormat="1" applyFont="1" applyFill="1" applyBorder="1" applyAlignment="1">
      <alignment horizontal="left"/>
    </xf>
    <xf numFmtId="0" fontId="8" fillId="33" borderId="1" xfId="0" applyFont="1" applyFill="1" applyBorder="1"/>
    <xf numFmtId="0" fontId="8" fillId="33" borderId="1" xfId="0" applyFont="1" applyFill="1" applyBorder="1" applyAlignment="1">
      <alignment wrapText="1"/>
    </xf>
    <xf numFmtId="164" fontId="8" fillId="33" borderId="1" xfId="1" applyNumberFormat="1" applyFont="1" applyFill="1" applyBorder="1"/>
    <xf numFmtId="164" fontId="8" fillId="33" borderId="1" xfId="0" applyNumberFormat="1" applyFont="1" applyFill="1" applyBorder="1"/>
    <xf numFmtId="0" fontId="0" fillId="13" borderId="1" xfId="0" applyFill="1" applyBorder="1"/>
    <xf numFmtId="164" fontId="1" fillId="0" borderId="0" xfId="1" applyNumberFormat="1" applyFont="1" applyBorder="1"/>
    <xf numFmtId="164" fontId="9" fillId="0" borderId="2" xfId="1" applyNumberFormat="1" applyFont="1" applyFill="1" applyBorder="1" applyAlignment="1">
      <alignment horizontal="left"/>
    </xf>
    <xf numFmtId="164" fontId="9" fillId="0" borderId="5" xfId="1" applyNumberFormat="1" applyFont="1" applyFill="1" applyBorder="1" applyAlignment="1">
      <alignment horizontal="left"/>
    </xf>
    <xf numFmtId="164" fontId="9" fillId="30" borderId="2" xfId="1" applyNumberFormat="1" applyFont="1" applyFill="1" applyBorder="1" applyAlignment="1">
      <alignment horizontal="left"/>
    </xf>
    <xf numFmtId="164" fontId="9" fillId="30" borderId="5" xfId="1" applyNumberFormat="1" applyFont="1" applyFill="1" applyBorder="1" applyAlignment="1">
      <alignment horizontal="left"/>
    </xf>
    <xf numFmtId="164" fontId="9" fillId="30" borderId="1" xfId="1" applyNumberFormat="1" applyFont="1" applyFill="1" applyBorder="1"/>
    <xf numFmtId="164" fontId="1" fillId="23" borderId="1" xfId="1" applyNumberFormat="1" applyFont="1" applyFill="1" applyBorder="1"/>
    <xf numFmtId="164" fontId="0" fillId="23" borderId="0" xfId="1" applyNumberFormat="1" applyFont="1" applyFill="1"/>
    <xf numFmtId="164" fontId="2" fillId="23" borderId="1" xfId="1" applyNumberFormat="1" applyFont="1" applyFill="1" applyBorder="1"/>
    <xf numFmtId="164" fontId="0" fillId="23" borderId="1" xfId="1" applyNumberFormat="1" applyFont="1" applyFill="1" applyBorder="1"/>
    <xf numFmtId="164" fontId="1" fillId="28" borderId="1" xfId="1" applyNumberFormat="1" applyFont="1" applyFill="1" applyBorder="1"/>
    <xf numFmtId="164" fontId="0" fillId="29" borderId="1" xfId="1" applyNumberFormat="1" applyFont="1" applyFill="1" applyBorder="1"/>
    <xf numFmtId="164" fontId="1" fillId="29" borderId="1" xfId="1" applyNumberFormat="1" applyFont="1" applyFill="1" applyBorder="1"/>
    <xf numFmtId="0" fontId="0" fillId="6" borderId="1" xfId="0" applyFill="1" applyBorder="1"/>
    <xf numFmtId="15" fontId="0" fillId="6" borderId="1" xfId="0" applyNumberFormat="1" applyFill="1" applyBorder="1"/>
    <xf numFmtId="0" fontId="30" fillId="6" borderId="1" xfId="0" applyFont="1" applyFill="1" applyBorder="1"/>
    <xf numFmtId="0" fontId="30" fillId="6" borderId="5" xfId="0" applyFont="1" applyFill="1" applyBorder="1"/>
    <xf numFmtId="43" fontId="0" fillId="6" borderId="1" xfId="1" applyFont="1" applyFill="1" applyBorder="1"/>
    <xf numFmtId="0" fontId="0" fillId="15" borderId="0" xfId="0" applyFill="1" applyAlignment="1">
      <alignment wrapText="1"/>
    </xf>
    <xf numFmtId="166" fontId="0" fillId="15" borderId="1" xfId="1" applyNumberFormat="1" applyFont="1" applyFill="1" applyBorder="1"/>
    <xf numFmtId="164" fontId="0" fillId="0" borderId="0" xfId="1" applyNumberFormat="1" applyFont="1" applyBorder="1"/>
    <xf numFmtId="43" fontId="0" fillId="0" borderId="0" xfId="1" applyFont="1" applyBorder="1"/>
    <xf numFmtId="43" fontId="30" fillId="0" borderId="0" xfId="1" applyFont="1" applyBorder="1"/>
    <xf numFmtId="43" fontId="0" fillId="3" borderId="0" xfId="0" applyNumberFormat="1" applyFill="1"/>
    <xf numFmtId="164" fontId="22" fillId="20" borderId="0" xfId="0" applyNumberFormat="1" applyFont="1" applyFill="1"/>
    <xf numFmtId="164" fontId="26" fillId="0" borderId="0" xfId="1" applyNumberFormat="1" applyFont="1" applyBorder="1"/>
    <xf numFmtId="4" fontId="24" fillId="0" borderId="0" xfId="0" applyNumberFormat="1" applyFont="1"/>
    <xf numFmtId="0" fontId="0" fillId="0" borderId="16" xfId="0" applyBorder="1" applyAlignment="1">
      <alignment horizontal="center" vertical="center" wrapText="1"/>
    </xf>
    <xf numFmtId="0" fontId="0" fillId="0" borderId="22" xfId="0" applyBorder="1" applyAlignment="1">
      <alignment horizontal="center" vertical="center" wrapText="1"/>
    </xf>
    <xf numFmtId="0" fontId="11" fillId="0" borderId="0" xfId="0" applyFont="1" applyAlignment="1">
      <alignment horizontal="center"/>
    </xf>
    <xf numFmtId="0" fontId="7" fillId="0" borderId="0" xfId="0" applyFont="1" applyAlignment="1">
      <alignment horizont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6" fillId="0" borderId="7" xfId="0" applyFont="1" applyBorder="1" applyAlignment="1">
      <alignment horizontal="center" vertical="center"/>
    </xf>
    <xf numFmtId="0" fontId="6" fillId="0" borderId="2" xfId="0" applyFont="1" applyBorder="1" applyAlignment="1">
      <alignment horizontal="center" vertical="center"/>
    </xf>
    <xf numFmtId="0" fontId="6" fillId="0" borderId="6" xfId="0" applyFont="1" applyBorder="1" applyAlignment="1">
      <alignment horizontal="center" vertical="center"/>
    </xf>
    <xf numFmtId="0" fontId="6" fillId="0" borderId="5" xfId="0" applyFont="1" applyBorder="1" applyAlignment="1">
      <alignment horizontal="center" vertical="center"/>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7" xfId="0" applyFont="1" applyBorder="1" applyAlignment="1">
      <alignment horizontal="center" vertical="center" wrapText="1"/>
    </xf>
    <xf numFmtId="0" fontId="2" fillId="4" borderId="29" xfId="0" applyFont="1" applyFill="1" applyBorder="1" applyAlignment="1">
      <alignment horizontal="center" vertical="center" wrapText="1"/>
    </xf>
    <xf numFmtId="0" fontId="2" fillId="4" borderId="30"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29"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 xfId="0" applyFont="1" applyBorder="1" applyAlignment="1">
      <alignment horizontal="center" vertical="center" wrapText="1"/>
    </xf>
    <xf numFmtId="164" fontId="6" fillId="0" borderId="1" xfId="1" applyNumberFormat="1" applyFont="1" applyFill="1" applyBorder="1" applyAlignment="1">
      <alignment horizontal="center" vertical="center" textRotation="90" wrapText="1"/>
    </xf>
    <xf numFmtId="164" fontId="6" fillId="0" borderId="1" xfId="1" applyNumberFormat="1" applyFont="1" applyFill="1" applyBorder="1" applyAlignment="1">
      <alignment horizontal="center" vertical="center" textRotation="90"/>
    </xf>
    <xf numFmtId="0" fontId="0" fillId="0" borderId="4" xfId="0" applyBorder="1" applyAlignment="1">
      <alignment horizontal="center" vertical="center" wrapText="1"/>
    </xf>
    <xf numFmtId="0" fontId="2" fillId="0" borderId="2" xfId="0" applyFont="1" applyBorder="1" applyAlignment="1">
      <alignment horizontal="center"/>
    </xf>
    <xf numFmtId="0" fontId="2" fillId="0" borderId="5" xfId="0" applyFont="1" applyBorder="1" applyAlignment="1">
      <alignment horizontal="center"/>
    </xf>
    <xf numFmtId="164" fontId="8" fillId="14" borderId="1" xfId="1" applyNumberFormat="1" applyFont="1" applyFill="1" applyBorder="1" applyAlignment="1">
      <alignment horizontal="left"/>
    </xf>
    <xf numFmtId="164" fontId="8" fillId="0" borderId="1" xfId="1" applyNumberFormat="1" applyFont="1" applyFill="1" applyBorder="1" applyAlignment="1">
      <alignment horizontal="left"/>
    </xf>
    <xf numFmtId="164" fontId="8" fillId="24" borderId="1" xfId="1" applyNumberFormat="1" applyFont="1" applyFill="1" applyBorder="1" applyAlignment="1">
      <alignment horizontal="left"/>
    </xf>
    <xf numFmtId="164" fontId="8" fillId="24" borderId="2" xfId="1" applyNumberFormat="1" applyFont="1" applyFill="1" applyBorder="1" applyAlignment="1">
      <alignment horizontal="left"/>
    </xf>
    <xf numFmtId="164" fontId="8" fillId="24" borderId="5" xfId="1" applyNumberFormat="1" applyFont="1" applyFill="1" applyBorder="1" applyAlignment="1">
      <alignment horizontal="left"/>
    </xf>
    <xf numFmtId="164" fontId="8" fillId="13" borderId="2" xfId="1" applyNumberFormat="1" applyFont="1" applyFill="1" applyBorder="1" applyAlignment="1">
      <alignment horizontal="left"/>
    </xf>
    <xf numFmtId="164" fontId="8" fillId="13" borderId="5" xfId="1" applyNumberFormat="1" applyFont="1" applyFill="1" applyBorder="1" applyAlignment="1">
      <alignment horizontal="left"/>
    </xf>
    <xf numFmtId="164" fontId="8" fillId="14" borderId="2" xfId="1" applyNumberFormat="1" applyFont="1" applyFill="1" applyBorder="1" applyAlignment="1">
      <alignment horizontal="left"/>
    </xf>
    <xf numFmtId="164" fontId="8" fillId="14" borderId="5" xfId="1" applyNumberFormat="1" applyFont="1" applyFill="1" applyBorder="1" applyAlignment="1">
      <alignment horizontal="left"/>
    </xf>
    <xf numFmtId="164" fontId="8" fillId="14" borderId="1" xfId="1" applyNumberFormat="1" applyFont="1" applyFill="1" applyBorder="1" applyAlignment="1">
      <alignment horizontal="left" wrapText="1"/>
    </xf>
    <xf numFmtId="164" fontId="8" fillId="14" borderId="2" xfId="1" applyNumberFormat="1" applyFont="1" applyFill="1" applyBorder="1" applyAlignment="1">
      <alignment horizontal="left" wrapText="1"/>
    </xf>
    <xf numFmtId="164" fontId="8" fillId="14" borderId="5" xfId="1" applyNumberFormat="1" applyFont="1" applyFill="1" applyBorder="1" applyAlignment="1">
      <alignment horizontal="left" wrapText="1"/>
    </xf>
    <xf numFmtId="164" fontId="9" fillId="24" borderId="2" xfId="1" applyNumberFormat="1" applyFont="1" applyFill="1" applyBorder="1" applyAlignment="1">
      <alignment horizontal="left"/>
    </xf>
    <xf numFmtId="164" fontId="9" fillId="24" borderId="5" xfId="1" applyNumberFormat="1" applyFont="1" applyFill="1" applyBorder="1" applyAlignment="1">
      <alignment horizontal="left"/>
    </xf>
    <xf numFmtId="164" fontId="8" fillId="13" borderId="1" xfId="1" applyNumberFormat="1" applyFont="1" applyFill="1" applyBorder="1" applyAlignment="1">
      <alignment horizontal="left"/>
    </xf>
    <xf numFmtId="168" fontId="37" fillId="39" borderId="1" xfId="1" applyNumberFormat="1" applyFont="1" applyFill="1" applyBorder="1" applyAlignment="1" applyProtection="1">
      <alignment horizontal="left"/>
    </xf>
    <xf numFmtId="168" fontId="37" fillId="40" borderId="1" xfId="1" applyNumberFormat="1" applyFont="1" applyFill="1" applyBorder="1" applyAlignment="1" applyProtection="1">
      <alignment horizontal="left"/>
    </xf>
    <xf numFmtId="164" fontId="2" fillId="0" borderId="2" xfId="1" applyNumberFormat="1" applyFont="1" applyFill="1" applyBorder="1" applyAlignment="1">
      <alignment horizontal="left" wrapText="1"/>
    </xf>
    <xf numFmtId="164" fontId="2" fillId="0" borderId="5" xfId="1" applyNumberFormat="1" applyFont="1" applyFill="1" applyBorder="1" applyAlignment="1">
      <alignment horizontal="left" wrapText="1"/>
    </xf>
    <xf numFmtId="164" fontId="9" fillId="0" borderId="2" xfId="1" applyNumberFormat="1" applyFont="1" applyFill="1" applyBorder="1" applyAlignment="1">
      <alignment horizontal="center"/>
    </xf>
    <xf numFmtId="164" fontId="9" fillId="0" borderId="5" xfId="1" applyNumberFormat="1" applyFont="1" applyFill="1" applyBorder="1" applyAlignment="1">
      <alignment horizontal="center"/>
    </xf>
    <xf numFmtId="164" fontId="2" fillId="0" borderId="2" xfId="1" applyNumberFormat="1" applyFont="1" applyFill="1" applyBorder="1" applyAlignment="1">
      <alignment horizontal="center"/>
    </xf>
    <xf numFmtId="164" fontId="2" fillId="0" borderId="5" xfId="1" applyNumberFormat="1" applyFont="1" applyFill="1" applyBorder="1" applyAlignment="1">
      <alignment horizontal="center"/>
    </xf>
    <xf numFmtId="164" fontId="28" fillId="0" borderId="40" xfId="1" applyNumberFormat="1" applyFont="1" applyFill="1" applyBorder="1" applyAlignment="1">
      <alignment horizontal="center"/>
    </xf>
    <xf numFmtId="164" fontId="28" fillId="0" borderId="41" xfId="1" applyNumberFormat="1" applyFont="1" applyFill="1" applyBorder="1" applyAlignment="1">
      <alignment horizontal="center"/>
    </xf>
    <xf numFmtId="164" fontId="28" fillId="0" borderId="42" xfId="1" applyNumberFormat="1" applyFont="1" applyBorder="1" applyAlignment="1">
      <alignment horizontal="center"/>
    </xf>
    <xf numFmtId="164" fontId="28" fillId="0" borderId="43" xfId="1" applyNumberFormat="1" applyFont="1" applyBorder="1" applyAlignment="1">
      <alignment horizontal="center"/>
    </xf>
    <xf numFmtId="164" fontId="5" fillId="13" borderId="1" xfId="1" applyNumberFormat="1" applyFont="1" applyFill="1" applyBorder="1" applyAlignment="1"/>
    <xf numFmtId="164" fontId="5" fillId="3" borderId="7" xfId="1" applyNumberFormat="1" applyFont="1" applyFill="1" applyBorder="1" applyAlignment="1"/>
    <xf numFmtId="0" fontId="0" fillId="0" borderId="0" xfId="0" applyBorder="1"/>
    <xf numFmtId="10" fontId="0" fillId="0" borderId="0" xfId="0" applyNumberFormat="1" applyBorder="1"/>
    <xf numFmtId="0" fontId="30" fillId="0" borderId="0" xfId="0" applyFont="1" applyBorder="1"/>
    <xf numFmtId="10" fontId="30" fillId="0" borderId="0" xfId="0" applyNumberFormat="1" applyFont="1" applyBorder="1"/>
  </cellXfs>
  <cellStyles count="3">
    <cellStyle name="Comma" xfId="1" builtinId="3"/>
    <cellStyle name="Normal" xfId="0" builtinId="0"/>
    <cellStyle name="Percent" xfId="2" builtinId="5"/>
  </cellStyles>
  <dxfs count="2">
    <dxf>
      <fill>
        <patternFill>
          <bgColor rgb="FFFF0000"/>
        </patternFill>
      </fill>
    </dxf>
    <dxf>
      <fill>
        <patternFill>
          <bgColor rgb="FF00B050"/>
        </patternFill>
      </fill>
    </dxf>
  </dxfs>
  <tableStyles count="0" defaultTableStyle="TableStyleMedium2" defaultPivotStyle="PivotStyleLight16"/>
  <colors>
    <mruColors>
      <color rgb="FFFFFFFF"/>
      <color rgb="FFFFFFCC"/>
      <color rgb="FFFF3399"/>
      <color rgb="FFFF9966"/>
      <color rgb="FFFF3300"/>
      <color rgb="FFFB45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sharedStrings" Target="sharedString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microsoft.com/office/2017/10/relationships/person" Target="persons/person.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worksheet" Target="worksheets/sheet161.xml"/><Relationship Id="rId166"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2" Type="http://schemas.openxmlformats.org/officeDocument/2006/relationships/calcChain" Target="calcChai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externalLink" Target="externalLinks/externalLink2.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320675</xdr:colOff>
      <xdr:row>0</xdr:row>
      <xdr:rowOff>0</xdr:rowOff>
    </xdr:from>
    <xdr:to>
      <xdr:col>13</xdr:col>
      <xdr:colOff>844</xdr:colOff>
      <xdr:row>90</xdr:row>
      <xdr:rowOff>0</xdr:rowOff>
    </xdr:to>
    <xdr:pic>
      <xdr:nvPicPr>
        <xdr:cNvPr id="3" name="Picture 2">
          <a:extLst>
            <a:ext uri="{FF2B5EF4-FFF2-40B4-BE49-F238E27FC236}">
              <a16:creationId xmlns:a16="http://schemas.microsoft.com/office/drawing/2014/main" id="{7B80F407-569F-D880-965A-EAC1C4C83A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83875" y="0"/>
          <a:ext cx="2728169" cy="16659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massay\Downloads\member-positions.xlsx" TargetMode="External"/><Relationship Id="rId1" Type="http://schemas.openxmlformats.org/officeDocument/2006/relationships/externalLinkPath" Target="file:///C:\Users\nmassay\Downloads\member-position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acttest1-my.sharepoint.com/personal/nmassay_pactworld_org/Documents/ILBORU/Copy%20of%20Ilboru%20Alumni%20Finance%202nd%20Year%20LATEST_DU.xlsx" TargetMode="External"/><Relationship Id="rId1" Type="http://schemas.openxmlformats.org/officeDocument/2006/relationships/externalLinkPath" Target="Copy%20of%20Ilboru%20Alumni%20Finance%202nd%20Year%20LATEST_D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mber Positions"/>
    </sheetNames>
    <sheetDataSet>
      <sheetData sheetId="0">
        <row r="19">
          <cell r="F19">
            <v>45103990.140000001</v>
          </cell>
        </row>
        <row r="20">
          <cell r="F20">
            <v>3881663.64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S"/>
      <sheetName val="Sheet1"/>
      <sheetName val="Summary"/>
      <sheetName val="Summary (sorted)"/>
      <sheetName val="Summary2"/>
      <sheetName val="DETAILS (sorted)"/>
      <sheetName val="Summary2 (sorted)"/>
      <sheetName val="Operations"/>
      <sheetName val="PERFORMANCE TARGET"/>
      <sheetName val="Tshirt Size"/>
      <sheetName val="Presentations"/>
      <sheetName val="UTT"/>
      <sheetName val="1 Bil plan"/>
      <sheetName val="MIKOPO"/>
      <sheetName val="01 Nsanyiwa"/>
      <sheetName val="02Werema"/>
      <sheetName val="03Norbert"/>
      <sheetName val="04Everest"/>
      <sheetName val="05Eliashasaria"/>
      <sheetName val="06 Matee"/>
      <sheetName val="07Kitali"/>
      <sheetName val="08Felix"/>
      <sheetName val="09Gideon"/>
      <sheetName val="10Makoko"/>
      <sheetName val="11JMangu"/>
      <sheetName val="12Mlindwa"/>
      <sheetName val="13Matechi"/>
      <sheetName val="14Kanuti"/>
      <sheetName val="15MohamedMohamed"/>
      <sheetName val="16Walter Salema"/>
      <sheetName val="17Emmanuel Mmari"/>
      <sheetName val="18Albani Kimaro"/>
      <sheetName val="19Laurian Gidoyi"/>
      <sheetName val="20John Massawe"/>
      <sheetName val="21Rajabu Masale"/>
      <sheetName val="22 Inocent Mosha"/>
      <sheetName val="23Amos Nungu"/>
      <sheetName val="24Athumani Mwasha"/>
      <sheetName val="25 Hassani Matata"/>
      <sheetName val="26 Junior Alfi Shao"/>
      <sheetName val="27Saidi Ramadhani Mdee"/>
      <sheetName val="28Evans Mori"/>
      <sheetName val="29 Emmanuel Moshi"/>
      <sheetName val="30 Patrick Kiani"/>
      <sheetName val="31Stephen Nkurlu"/>
      <sheetName val="32Shabani Salimu"/>
      <sheetName val="33Fredrick Ndosi"/>
      <sheetName val="34Abraham Asenga"/>
      <sheetName val="35Best Magoma"/>
      <sheetName val="36Bakari Hemedi"/>
      <sheetName val="37Elibariki Mkumbo"/>
      <sheetName val="38 Charles Jangu"/>
      <sheetName val="39 Abdillahi Moshi"/>
      <sheetName val="40 Ahmad Yahya"/>
      <sheetName val="41 Khalifa Sushi"/>
      <sheetName val="42 Adam Urassa"/>
      <sheetName val="43 Innocent Kasigwa"/>
      <sheetName val="44 Abduel Kitururu"/>
      <sheetName val="45 Ernest Shirima"/>
      <sheetName val=" 46 Adolph Ndeabura"/>
      <sheetName val="47 Emmanuel Msaki"/>
      <sheetName val="48 Nickson Matowo"/>
      <sheetName val="49 Ligglye Vumilia"/>
      <sheetName val="50 Shumbi Mkumbo"/>
      <sheetName val="51 Nalogwa Kiula"/>
      <sheetName val="52 Omary Mwasema"/>
      <sheetName val="53 Robert Masegese"/>
      <sheetName val="54 Stanslaus Nyembea"/>
      <sheetName val="55 SIFUNI MCHOME"/>
      <sheetName val="56 Paul Metili"/>
      <sheetName val="57 Patiens Rweyemamu"/>
      <sheetName val="58 Jacobs Casthom Mwambegele"/>
      <sheetName val="59 David Koilla"/>
      <sheetName val="60 Beatus Rwegalulira"/>
      <sheetName val="61 Emmanuel Metta"/>
      <sheetName val="62 Africa Silayo"/>
      <sheetName val="63 Ted Silkuluwasha"/>
      <sheetName val="64 Deogratius Lashayo"/>
      <sheetName val="65 Aminiel Kabura"/>
      <sheetName val="66 Gilbert Mrema"/>
      <sheetName val="67 Philemon Barabojick"/>
      <sheetName val="68 Wasia Mushi"/>
      <sheetName val="69 Judica Nassary"/>
      <sheetName val="70 Kusirye Ukio"/>
      <sheetName val="71 Eliud Massaga"/>
      <sheetName val="72 Ludovic Swai"/>
      <sheetName val="73 David Mushi"/>
      <sheetName val="74 Boniphace Joseph"/>
      <sheetName val="75 Paul Mikongoti"/>
      <sheetName val="76 Daniel Kisaka"/>
      <sheetName val="77 Sililiandumi Naiman"/>
      <sheetName val="78 Alcard Mumwi"/>
      <sheetName val="79 Emmanuel Massawe"/>
      <sheetName val="80 Aisha Babu"/>
      <sheetName val="81 Diocles Ishengoma"/>
      <sheetName val="82 Edson Rwechungura"/>
      <sheetName val="106 Alex Gerald Heruka"/>
      <sheetName val="83 Mathew Mndeme"/>
      <sheetName val="84 Wariael Ayo"/>
      <sheetName val="85 Shukuru Ndosi"/>
      <sheetName val="86 Joseph Njuu"/>
      <sheetName val="87 Stephano Lolloo"/>
      <sheetName val="88 CPA Emmanuel Marero"/>
      <sheetName val="89 Emmanuel Mungure"/>
      <sheetName val="90 Adam Lyson Mwaipungu"/>
      <sheetName val="91 Everest Thadeo Sikilo"/>
      <sheetName val="92 Kaanaeli Gabriel Nko"/>
      <sheetName val="93 Jonas Mwano"/>
      <sheetName val="94 Edwin Mwombeki"/>
      <sheetName val="95 Nuhu Ngangaji"/>
      <sheetName val="96 Paul Masatu"/>
      <sheetName val="97 Jackson N. Mmary"/>
      <sheetName val="98 Daniel Mdachi"/>
      <sheetName val="99 Salum Miraji Mwegero"/>
      <sheetName val="100 Juma Selemani Nantubwi "/>
      <sheetName val="101 Is Haka Mkwawa"/>
      <sheetName val="102 James Ignas Koola"/>
      <sheetName val="103 Fredrick Mjema"/>
      <sheetName val="104 Fulgence Thomas Massawe"/>
      <sheetName val="105 Baltazar Thomas Mrosso"/>
      <sheetName val="107 Francis Mwasilu"/>
      <sheetName val="108 David Msechu"/>
      <sheetName val="109 Salum Masudi"/>
      <sheetName val="110 William Baraka"/>
      <sheetName val="111 Joseph Albin Swai"/>
      <sheetName val="112 Bruno Sunguya"/>
      <sheetName val="113 Nicholaus Abdon"/>
      <sheetName val="114 Edwin Francis Kordun"/>
      <sheetName val="115 Calvin Francis Masao"/>
      <sheetName val="116 Nyirabu Zablon Musira"/>
      <sheetName val="117 Kajiru Gad Kilonzo"/>
      <sheetName val="118 Vicent Tango"/>
      <sheetName val="119 Prosper Nambaya"/>
      <sheetName val="120 Goodwil Nambaya"/>
      <sheetName val="121 Deodati Donati"/>
      <sheetName val="122 Dismas Prosper Batiri"/>
      <sheetName val="123 Limbu Malongo Limbu"/>
      <sheetName val="124 Hamad Habeed Mansoor"/>
      <sheetName val="125 Shabani Juma Ndosi"/>
      <sheetName val="126 Peter Anthon Sobe "/>
      <sheetName val="127 Ignas Nicodemus Chilewa"/>
      <sheetName val="128 Mohamed Abdallah Muanda"/>
      <sheetName val="129 Africa Jumanne Bwamkuu"/>
      <sheetName val="130 Bavo Emmanuel Mzee"/>
      <sheetName val="131 Titus Moses Safari"/>
      <sheetName val="132 Afred Kishe"/>
      <sheetName val="133 Martin Kitundu"/>
      <sheetName val="134 Tumwesige Mujwauzi"/>
      <sheetName val="135 Novat Adam Moshi"/>
      <sheetName val="136 Fortunatus Mhambe"/>
      <sheetName val="137 Marcel John Kisoka"/>
      <sheetName val="138 Daniel Mchegere"/>
      <sheetName val="139 Cleverfred Mhidze"/>
      <sheetName val="140 Mwombeki Florian Fabian"/>
      <sheetName val="141 Patrick Mbosa"/>
      <sheetName val="142 Selemani Pongolani"/>
      <sheetName val="143 Honest Tesha"/>
      <sheetName val="144 Steven Chihwallo"/>
      <sheetName val="145 Jaha Kamugisha Mvuha"/>
      <sheetName val="146 Hussein Shamdas"/>
      <sheetName val="147 Julius Chacha Mwita"/>
    </sheetNames>
    <sheetDataSet>
      <sheetData sheetId="0"/>
      <sheetData sheetId="1"/>
      <sheetData sheetId="2"/>
      <sheetData sheetId="3"/>
      <sheetData sheetId="4"/>
      <sheetData sheetId="5">
        <row r="3">
          <cell r="A3" t="str">
            <v>ILS24-F00001</v>
          </cell>
          <cell r="B3" t="str">
            <v xml:space="preserve">Nsanyiwa Kiloba </v>
          </cell>
        </row>
        <row r="4">
          <cell r="A4" t="str">
            <v>ILS24-F00002</v>
          </cell>
          <cell r="B4" t="str">
            <v xml:space="preserve">Werema Msongo </v>
          </cell>
        </row>
        <row r="5">
          <cell r="A5" t="str">
            <v>ILS24-F00003</v>
          </cell>
          <cell r="B5" t="str">
            <v>Norbert Massay</v>
          </cell>
        </row>
        <row r="6">
          <cell r="A6" t="str">
            <v>ILS24-F00004</v>
          </cell>
          <cell r="B6" t="str">
            <v xml:space="preserve">Evarest Exavery Francisco </v>
          </cell>
        </row>
        <row r="7">
          <cell r="A7" t="str">
            <v>ILS24-F00005</v>
          </cell>
          <cell r="B7" t="str">
            <v>Elianshasaria Munisi</v>
          </cell>
        </row>
        <row r="8">
          <cell r="A8" t="str">
            <v>ILS24-F00006</v>
          </cell>
          <cell r="B8" t="str">
            <v>Emmanuel Matee</v>
          </cell>
        </row>
        <row r="9">
          <cell r="A9" t="str">
            <v>ILS24-F00007</v>
          </cell>
          <cell r="B9" t="str">
            <v xml:space="preserve">Erick Kitali </v>
          </cell>
        </row>
        <row r="10">
          <cell r="A10" t="str">
            <v>ILS24-F00008</v>
          </cell>
          <cell r="B10" t="str">
            <v>Felix Daniel</v>
          </cell>
        </row>
        <row r="11">
          <cell r="A11" t="str">
            <v>ILS24-F00009</v>
          </cell>
          <cell r="B11" t="str">
            <v>Gideon Gabriel</v>
          </cell>
        </row>
        <row r="12">
          <cell r="A12" t="str">
            <v>ILS24-F00010</v>
          </cell>
          <cell r="B12" t="str">
            <v>Mosses Makoko</v>
          </cell>
        </row>
        <row r="13">
          <cell r="A13" t="str">
            <v>ILS24-F00011</v>
          </cell>
          <cell r="B13" t="str">
            <v xml:space="preserve">Jacob Shabani Mangu </v>
          </cell>
        </row>
        <row r="14">
          <cell r="A14" t="str">
            <v>ILS24-F00012</v>
          </cell>
          <cell r="B14" t="str">
            <v>Mlindwa Kashindye</v>
          </cell>
        </row>
        <row r="15">
          <cell r="A15" t="str">
            <v>ILS24-F00013</v>
          </cell>
          <cell r="B15" t="str">
            <v xml:space="preserve">Emmanuel Matechi </v>
          </cell>
        </row>
        <row r="16">
          <cell r="A16" t="str">
            <v>ILS24-F00014</v>
          </cell>
          <cell r="B16" t="str">
            <v xml:space="preserve">Kanuti Simba </v>
          </cell>
        </row>
        <row r="17">
          <cell r="A17" t="str">
            <v>ILS24-F00015</v>
          </cell>
          <cell r="B17" t="str">
            <v>Mohamed Khalfan Mohamed</v>
          </cell>
        </row>
        <row r="18">
          <cell r="A18" t="str">
            <v>ILS24-F00016</v>
          </cell>
          <cell r="B18" t="str">
            <v xml:space="preserve">Walter Salema </v>
          </cell>
        </row>
        <row r="19">
          <cell r="A19" t="str">
            <v>ILS24-F00017</v>
          </cell>
          <cell r="B19" t="str">
            <v>Emmanuel Mmari</v>
          </cell>
        </row>
        <row r="20">
          <cell r="A20" t="str">
            <v>ILS24-F00018</v>
          </cell>
          <cell r="B20" t="str">
            <v xml:space="preserve">Alban Robert Kimario </v>
          </cell>
        </row>
        <row r="21">
          <cell r="A21" t="str">
            <v>ILS24-F00019</v>
          </cell>
          <cell r="B21" t="str">
            <v xml:space="preserve">Laurian Gidoyi </v>
          </cell>
        </row>
        <row r="22">
          <cell r="A22" t="str">
            <v>ILS24-F00020</v>
          </cell>
          <cell r="B22" t="str">
            <v xml:space="preserve">John Arbogast Massawe </v>
          </cell>
        </row>
        <row r="23">
          <cell r="A23" t="str">
            <v>ILS24-F00021</v>
          </cell>
          <cell r="B23" t="str">
            <v xml:space="preserve">Masale Rajabu Masale </v>
          </cell>
        </row>
        <row r="24">
          <cell r="A24" t="str">
            <v>ILS24-F00022</v>
          </cell>
          <cell r="B24" t="str">
            <v>Innocent Mosha</v>
          </cell>
        </row>
        <row r="25">
          <cell r="A25" t="str">
            <v>ILS24-F00023</v>
          </cell>
          <cell r="B25" t="str">
            <v xml:space="preserve">Amos Nungu </v>
          </cell>
        </row>
        <row r="26">
          <cell r="A26" t="str">
            <v>ILS24-F00024</v>
          </cell>
          <cell r="B26" t="str">
            <v>Athumani Mwasha</v>
          </cell>
        </row>
        <row r="27">
          <cell r="A27" t="str">
            <v>ILS24-F00025</v>
          </cell>
          <cell r="B27" t="str">
            <v xml:space="preserve">Hassan Matata </v>
          </cell>
        </row>
        <row r="28">
          <cell r="A28" t="str">
            <v>ILS24-F00026</v>
          </cell>
        </row>
        <row r="29">
          <cell r="A29" t="str">
            <v>ILS24-F00027</v>
          </cell>
          <cell r="B29" t="str">
            <v>Saidi Ramadhani Mdee</v>
          </cell>
        </row>
        <row r="30">
          <cell r="A30" t="str">
            <v>ILS24-F00028</v>
          </cell>
          <cell r="B30" t="str">
            <v xml:space="preserve">Evance Mori </v>
          </cell>
        </row>
        <row r="31">
          <cell r="A31" t="str">
            <v>ILS24-F00029</v>
          </cell>
          <cell r="B31" t="str">
            <v>Emanuel Moshi</v>
          </cell>
        </row>
        <row r="32">
          <cell r="A32" t="str">
            <v>ILS24-F00030</v>
          </cell>
          <cell r="B32" t="str">
            <v xml:space="preserve">Patrick S. Kiani </v>
          </cell>
        </row>
        <row r="33">
          <cell r="A33" t="str">
            <v>ILS24-F00031</v>
          </cell>
          <cell r="B33" t="str">
            <v>Stephen Nkurlu</v>
          </cell>
        </row>
        <row r="34">
          <cell r="A34" t="str">
            <v>ILS24-F00032</v>
          </cell>
          <cell r="B34" t="str">
            <v>Shabani Salim</v>
          </cell>
        </row>
        <row r="35">
          <cell r="A35" t="str">
            <v>ILS24-F00033</v>
          </cell>
          <cell r="B35" t="str">
            <v xml:space="preserve">Fredrick Ndosi </v>
          </cell>
        </row>
        <row r="36">
          <cell r="A36" t="str">
            <v>ILS24-F00034</v>
          </cell>
          <cell r="B36" t="str">
            <v>Abraham Alex Assenga</v>
          </cell>
        </row>
        <row r="37">
          <cell r="A37" t="str">
            <v>ILS24-F00035</v>
          </cell>
          <cell r="B37" t="str">
            <v xml:space="preserve">Best Magoma </v>
          </cell>
        </row>
        <row r="38">
          <cell r="A38" t="str">
            <v>ILS24-F00036</v>
          </cell>
          <cell r="B38" t="str">
            <v xml:space="preserve">Bakari Mchila Hemedi </v>
          </cell>
        </row>
        <row r="39">
          <cell r="A39" t="str">
            <v>ILS24-F00037</v>
          </cell>
          <cell r="B39" t="str">
            <v>Elibariki Mkumbo</v>
          </cell>
        </row>
        <row r="40">
          <cell r="A40" t="str">
            <v>ILS24-F00038</v>
          </cell>
          <cell r="B40" t="str">
            <v>Charles Suka Jangu</v>
          </cell>
        </row>
        <row r="41">
          <cell r="A41" t="str">
            <v>ILS24-F00039</v>
          </cell>
          <cell r="B41" t="str">
            <v>Abdillahi Moshi</v>
          </cell>
        </row>
        <row r="42">
          <cell r="A42" t="str">
            <v>ILS24-F00040</v>
          </cell>
          <cell r="B42" t="str">
            <v>Ahmad Yahya (MOHAMED)</v>
          </cell>
        </row>
        <row r="43">
          <cell r="A43" t="str">
            <v>ILS24-F00041</v>
          </cell>
          <cell r="B43" t="str">
            <v>Khalifa Sushy</v>
          </cell>
        </row>
        <row r="44">
          <cell r="A44" t="str">
            <v>ILS24-F00042</v>
          </cell>
          <cell r="B44" t="str">
            <v xml:space="preserve">Adamu Urassa </v>
          </cell>
        </row>
        <row r="45">
          <cell r="A45" t="str">
            <v>ILS24-F00043</v>
          </cell>
          <cell r="B45" t="str">
            <v xml:space="preserve">Innocent R. Kasigwa </v>
          </cell>
        </row>
        <row r="46">
          <cell r="A46" t="str">
            <v>ILS24-F00044</v>
          </cell>
          <cell r="B46" t="str">
            <v>Abduel Kitururu</v>
          </cell>
        </row>
        <row r="47">
          <cell r="A47" t="str">
            <v>ILS24-F00045</v>
          </cell>
          <cell r="B47" t="str">
            <v xml:space="preserve">Ernest Phelician Shirima </v>
          </cell>
        </row>
        <row r="48">
          <cell r="A48" t="str">
            <v>ILS24-F00046</v>
          </cell>
          <cell r="B48" t="str">
            <v>Adolph William Ndeabura</v>
          </cell>
        </row>
        <row r="49">
          <cell r="A49" t="str">
            <v>ILS24-F00047</v>
          </cell>
          <cell r="B49" t="str">
            <v xml:space="preserve">Emmanuel Msaki </v>
          </cell>
        </row>
        <row r="50">
          <cell r="A50" t="str">
            <v>ILS24-F00048</v>
          </cell>
          <cell r="B50" t="str">
            <v xml:space="preserve">Nixon Billiam Matowo </v>
          </cell>
        </row>
        <row r="51">
          <cell r="A51" t="str">
            <v>ILS24-F00049</v>
          </cell>
          <cell r="B51" t="str">
            <v xml:space="preserve">Liggyle Vumilia </v>
          </cell>
        </row>
        <row r="52">
          <cell r="A52" t="str">
            <v>ILS24-F00050</v>
          </cell>
          <cell r="B52" t="str">
            <v xml:space="preserve">Shumbi Mkumbo </v>
          </cell>
        </row>
        <row r="53">
          <cell r="A53" t="str">
            <v>ILS24-F00051</v>
          </cell>
          <cell r="B53" t="str">
            <v xml:space="preserve">Nalogwa Kiula </v>
          </cell>
        </row>
        <row r="54">
          <cell r="A54" t="str">
            <v>ILS24-F00052</v>
          </cell>
          <cell r="B54" t="str">
            <v xml:space="preserve">Omary Mwasema </v>
          </cell>
        </row>
        <row r="55">
          <cell r="A55" t="str">
            <v>ILS24-F00053</v>
          </cell>
          <cell r="B55" t="str">
            <v xml:space="preserve">Robert Masegese </v>
          </cell>
        </row>
        <row r="56">
          <cell r="A56" t="str">
            <v>ILS24-F00054</v>
          </cell>
          <cell r="B56" t="str">
            <v>Stanslaus Senani Nyembea</v>
          </cell>
        </row>
        <row r="57">
          <cell r="A57" t="str">
            <v>ILS24-F00055</v>
          </cell>
          <cell r="B57" t="str">
            <v>Sifuni Mchome</v>
          </cell>
        </row>
        <row r="58">
          <cell r="A58" t="str">
            <v>ILS24-F00056</v>
          </cell>
          <cell r="B58" t="str">
            <v xml:space="preserve">Paul Metili </v>
          </cell>
        </row>
        <row r="59">
          <cell r="A59" t="str">
            <v>ILS24-F00057</v>
          </cell>
          <cell r="B59" t="str">
            <v>Patiens Buberwa Rweyemamu</v>
          </cell>
        </row>
        <row r="60">
          <cell r="A60" t="str">
            <v>ILS24-F00058</v>
          </cell>
          <cell r="B60" t="str">
            <v>Jocobs Casthom Mwambegele</v>
          </cell>
        </row>
        <row r="61">
          <cell r="A61" t="str">
            <v>ILS24-F00059</v>
          </cell>
          <cell r="B61" t="str">
            <v>David Koillah</v>
          </cell>
        </row>
        <row r="62">
          <cell r="A62" t="str">
            <v>ILS24-F00060</v>
          </cell>
          <cell r="B62" t="str">
            <v>Beatus Adrian Rwegalulira</v>
          </cell>
        </row>
        <row r="63">
          <cell r="A63" t="str">
            <v>ILS24-F00061</v>
          </cell>
          <cell r="B63" t="str">
            <v xml:space="preserve">Emmanuel Metta </v>
          </cell>
        </row>
        <row r="64">
          <cell r="A64" t="str">
            <v>ILS24-F00062</v>
          </cell>
          <cell r="B64" t="str">
            <v xml:space="preserve">Africa Silayo </v>
          </cell>
        </row>
        <row r="65">
          <cell r="A65" t="str">
            <v>ILS24-F00063</v>
          </cell>
          <cell r="B65" t="str">
            <v>Ted Frank Silkiluwasha</v>
          </cell>
        </row>
        <row r="66">
          <cell r="A66" t="str">
            <v>ILS24-F00064</v>
          </cell>
          <cell r="B66" t="str">
            <v>Deogratius Mathew Lashayo</v>
          </cell>
        </row>
        <row r="67">
          <cell r="A67" t="str">
            <v>ILS24-F00065</v>
          </cell>
          <cell r="B67" t="str">
            <v>Aminiel Kabby Kabura</v>
          </cell>
        </row>
        <row r="68">
          <cell r="A68" t="str">
            <v>ILS24-F00066</v>
          </cell>
          <cell r="B68" t="str">
            <v>Gilbert Z. Mrema</v>
          </cell>
        </row>
        <row r="69">
          <cell r="A69" t="str">
            <v>ILS24-F00067</v>
          </cell>
          <cell r="B69" t="str">
            <v>Philemon Barabojick</v>
          </cell>
        </row>
        <row r="70">
          <cell r="A70" t="str">
            <v>ILS24-F00068</v>
          </cell>
          <cell r="B70" t="str">
            <v>Wasia Issa Mushi</v>
          </cell>
        </row>
        <row r="71">
          <cell r="A71" t="str">
            <v>ILS24-F00069</v>
          </cell>
          <cell r="B71" t="str">
            <v>Judica William Nassary</v>
          </cell>
        </row>
        <row r="72">
          <cell r="A72" t="str">
            <v>ILS24-F00070</v>
          </cell>
          <cell r="B72" t="str">
            <v xml:space="preserve">Kusirye Boniface Ukio </v>
          </cell>
        </row>
        <row r="73">
          <cell r="A73" t="str">
            <v>ILS24-F00071</v>
          </cell>
          <cell r="B73" t="str">
            <v>Eliud Hezron Massaga</v>
          </cell>
        </row>
        <row r="74">
          <cell r="A74" t="str">
            <v>ILS24-F00072</v>
          </cell>
          <cell r="B74" t="str">
            <v xml:space="preserve">Ludovic Jacob Swai </v>
          </cell>
        </row>
        <row r="75">
          <cell r="A75" t="str">
            <v>ILS24-F00073</v>
          </cell>
          <cell r="B75" t="str">
            <v xml:space="preserve">David Isack Mushi </v>
          </cell>
        </row>
        <row r="76">
          <cell r="A76" t="str">
            <v>ILS24-F00074</v>
          </cell>
          <cell r="B76" t="str">
            <v xml:space="preserve">Boniface Joseph </v>
          </cell>
        </row>
        <row r="77">
          <cell r="A77" t="str">
            <v>ILS24-F00075</v>
          </cell>
          <cell r="B77" t="str">
            <v>Paul Sifael Edwin Mikongoti</v>
          </cell>
        </row>
        <row r="78">
          <cell r="A78" t="str">
            <v>ILS24-F00076</v>
          </cell>
          <cell r="B78" t="str">
            <v xml:space="preserve">Daniel Michael Kisaka </v>
          </cell>
        </row>
        <row r="79">
          <cell r="A79" t="str">
            <v>ILS24-F00077</v>
          </cell>
          <cell r="B79" t="str">
            <v>Shililiandumi Naiman</v>
          </cell>
        </row>
        <row r="80">
          <cell r="A80" t="str">
            <v>ILS24-F00078</v>
          </cell>
          <cell r="B80" t="str">
            <v xml:space="preserve">Alcard Mumwi </v>
          </cell>
        </row>
        <row r="81">
          <cell r="A81" t="str">
            <v>ILS24-F00079</v>
          </cell>
          <cell r="B81" t="str">
            <v>Emmanuel Simforian Massawe</v>
          </cell>
        </row>
        <row r="82">
          <cell r="A82" t="str">
            <v>ILS24-F00080</v>
          </cell>
          <cell r="B82" t="str">
            <v xml:space="preserve">Asha Baby Selemani (Aisha Babu) </v>
          </cell>
        </row>
        <row r="83">
          <cell r="A83" t="str">
            <v>ILS24-F00081</v>
          </cell>
          <cell r="B83" t="str">
            <v>Diocles Mlashani Ishengoma</v>
          </cell>
        </row>
        <row r="84">
          <cell r="A84" t="str">
            <v>ILS24-F00082</v>
          </cell>
          <cell r="B84" t="str">
            <v xml:space="preserve">Edson Pascal Rwechungura </v>
          </cell>
        </row>
        <row r="85">
          <cell r="A85" t="str">
            <v>ILS24-F00083</v>
          </cell>
          <cell r="B85" t="str">
            <v>Mathew J. Mndeme</v>
          </cell>
        </row>
        <row r="86">
          <cell r="A86" t="str">
            <v>ILS24-F00084</v>
          </cell>
          <cell r="B86" t="str">
            <v>Wariael Samile Ayo</v>
          </cell>
        </row>
        <row r="87">
          <cell r="A87" t="str">
            <v>ILS24-F00085</v>
          </cell>
          <cell r="B87" t="str">
            <v xml:space="preserve">Shukuru Willson Ndosi </v>
          </cell>
        </row>
        <row r="88">
          <cell r="A88" t="str">
            <v>ILS24-F00086</v>
          </cell>
          <cell r="B88" t="str">
            <v>Joseph Placid Njuu</v>
          </cell>
        </row>
        <row r="89">
          <cell r="A89" t="str">
            <v>ILS24-F00087</v>
          </cell>
          <cell r="B89" t="str">
            <v>Stephano Migire Lolloo</v>
          </cell>
        </row>
        <row r="90">
          <cell r="A90" t="str">
            <v>ILS24-F00088</v>
          </cell>
          <cell r="B90" t="str">
            <v>CPA Emmanuel Wanjara Marero</v>
          </cell>
        </row>
        <row r="91">
          <cell r="A91" t="str">
            <v>ILS24-F00089</v>
          </cell>
          <cell r="B91" t="str">
            <v>Emmanuel Jonas Mungure</v>
          </cell>
        </row>
        <row r="92">
          <cell r="A92" t="str">
            <v>ILS24-F00090</v>
          </cell>
          <cell r="B92" t="str">
            <v>Adam Lyson Mwaipungu</v>
          </cell>
        </row>
        <row r="93">
          <cell r="A93" t="str">
            <v>ILS24-F00091</v>
          </cell>
          <cell r="B93" t="str">
            <v>Everest Thadei Sikilo</v>
          </cell>
        </row>
        <row r="94">
          <cell r="A94" t="str">
            <v>ILS24-F00092</v>
          </cell>
          <cell r="B94" t="str">
            <v xml:space="preserve">Kaanaeli Gabriel Nko </v>
          </cell>
        </row>
        <row r="95">
          <cell r="A95" t="str">
            <v>ILS24-F00093</v>
          </cell>
          <cell r="B95" t="str">
            <v xml:space="preserve">Jonas Mgundulwa Mwano </v>
          </cell>
        </row>
        <row r="96">
          <cell r="A96" t="str">
            <v>ILS24-F00094</v>
          </cell>
          <cell r="B96" t="str">
            <v>Edwin Banyenza Mwombeki</v>
          </cell>
        </row>
        <row r="97">
          <cell r="A97" t="str">
            <v>ILS24-F00095</v>
          </cell>
          <cell r="B97" t="str">
            <v>Nuhu Manase Ngangaji</v>
          </cell>
        </row>
        <row r="98">
          <cell r="A98" t="str">
            <v>ILS24-F00096</v>
          </cell>
          <cell r="B98" t="str">
            <v>Paul Silas Masatu</v>
          </cell>
        </row>
        <row r="99">
          <cell r="A99" t="str">
            <v>ILS24-F00097</v>
          </cell>
          <cell r="B99" t="str">
            <v>Jackson N. Mmary</v>
          </cell>
        </row>
        <row r="100">
          <cell r="A100" t="str">
            <v>ILS24-F00098</v>
          </cell>
          <cell r="B100" t="str">
            <v xml:space="preserve">Daniel Mdachi </v>
          </cell>
        </row>
        <row r="101">
          <cell r="A101" t="str">
            <v>ILS24-F00099</v>
          </cell>
          <cell r="B101" t="str">
            <v xml:space="preserve">Salum Miraji Mwegero </v>
          </cell>
        </row>
        <row r="102">
          <cell r="A102" t="str">
            <v>ILS24-F00100</v>
          </cell>
          <cell r="B102" t="str">
            <v xml:space="preserve">Juma Selemani Nantubwi </v>
          </cell>
        </row>
        <row r="103">
          <cell r="A103" t="str">
            <v>ILS24-F00101</v>
          </cell>
          <cell r="B103" t="str">
            <v xml:space="preserve">Is-Haka Mkwawa </v>
          </cell>
        </row>
        <row r="104">
          <cell r="A104" t="str">
            <v>ILS24-F00102</v>
          </cell>
          <cell r="B104" t="str">
            <v>James Ignas Koola</v>
          </cell>
        </row>
        <row r="105">
          <cell r="A105" t="str">
            <v>ILS24-F00103</v>
          </cell>
          <cell r="B105" t="str">
            <v xml:space="preserve">Fredrick Mjema </v>
          </cell>
        </row>
        <row r="106">
          <cell r="A106" t="str">
            <v>ILS24-F00104</v>
          </cell>
          <cell r="B106" t="str">
            <v>Fulgence Thomas Massawe</v>
          </cell>
        </row>
        <row r="107">
          <cell r="A107" t="str">
            <v>ILS24-F00105</v>
          </cell>
          <cell r="B107" t="str">
            <v xml:space="preserve">Baltazar Thomas Mrosso </v>
          </cell>
        </row>
        <row r="108">
          <cell r="A108" t="str">
            <v>ILS24-F00106</v>
          </cell>
          <cell r="B108" t="str">
            <v xml:space="preserve">Alex Gerald Heruka </v>
          </cell>
        </row>
        <row r="109">
          <cell r="A109" t="str">
            <v>ILS24-F00107</v>
          </cell>
          <cell r="B109" t="str">
            <v>Francis Mwasilu</v>
          </cell>
        </row>
        <row r="110">
          <cell r="A110" t="str">
            <v>ILS24-F00108</v>
          </cell>
          <cell r="B110" t="str">
            <v>David J. Msechu</v>
          </cell>
        </row>
        <row r="111">
          <cell r="A111" t="str">
            <v>ILS24-F00109</v>
          </cell>
          <cell r="B111" t="str">
            <v>Salum Masudi Hassan</v>
          </cell>
        </row>
        <row r="112">
          <cell r="A112" t="str">
            <v>ILS24-F00110</v>
          </cell>
          <cell r="B112" t="str">
            <v>William Baraka Tigahwa</v>
          </cell>
        </row>
        <row r="113">
          <cell r="A113" t="str">
            <v>ILS24-F00111</v>
          </cell>
          <cell r="B113" t="str">
            <v xml:space="preserve">Joseph Albin Swai </v>
          </cell>
        </row>
        <row r="114">
          <cell r="A114" t="str">
            <v>ILS24-F00112</v>
          </cell>
          <cell r="B114" t="str">
            <v>Bruno Sunguya</v>
          </cell>
        </row>
        <row r="115">
          <cell r="A115" t="str">
            <v>ILS24-F00113</v>
          </cell>
          <cell r="B115" t="str">
            <v xml:space="preserve">Nicholaus Abdon Killinga </v>
          </cell>
        </row>
        <row r="116">
          <cell r="A116" t="str">
            <v>ILS24-F00114</v>
          </cell>
          <cell r="B116" t="str">
            <v>Edwin Francis Kordun</v>
          </cell>
        </row>
        <row r="117">
          <cell r="A117" t="str">
            <v>ILS24-F00115</v>
          </cell>
          <cell r="B117" t="str">
            <v>Calvin Francis Masao</v>
          </cell>
        </row>
        <row r="118">
          <cell r="A118" t="str">
            <v>ILS24-F00116</v>
          </cell>
          <cell r="B118" t="str">
            <v>Nyirabu Zablon Musira</v>
          </cell>
        </row>
        <row r="119">
          <cell r="A119" t="str">
            <v>ILS24-F00117</v>
          </cell>
          <cell r="B119" t="str">
            <v xml:space="preserve">Kajiru Gad Kilonzo </v>
          </cell>
        </row>
        <row r="120">
          <cell r="A120" t="str">
            <v>ILS24-F00118</v>
          </cell>
          <cell r="B120" t="str">
            <v>Vicent Athumani Tango</v>
          </cell>
        </row>
        <row r="121">
          <cell r="A121" t="str">
            <v>ILS24-F00119</v>
          </cell>
          <cell r="B121" t="str">
            <v>Prosper Gunze Nambaya</v>
          </cell>
        </row>
        <row r="122">
          <cell r="A122" t="str">
            <v>ILS24-F00120</v>
          </cell>
          <cell r="B122" t="str">
            <v xml:space="preserve">Goodwil D. Nambaya </v>
          </cell>
        </row>
        <row r="123">
          <cell r="A123" t="str">
            <v>ILS24-F00121</v>
          </cell>
          <cell r="B123" t="str">
            <v>Deodati Kaishe Donati</v>
          </cell>
        </row>
        <row r="124">
          <cell r="A124" t="str">
            <v>ILS24-F00122</v>
          </cell>
          <cell r="B124" t="str">
            <v xml:space="preserve">Dismas Prosper Batiri </v>
          </cell>
        </row>
        <row r="125">
          <cell r="A125" t="str">
            <v>ILS24-F00123</v>
          </cell>
          <cell r="B125" t="str">
            <v>Limbu Malongo Limbu</v>
          </cell>
        </row>
        <row r="126">
          <cell r="A126" t="str">
            <v>ILS24-F00124</v>
          </cell>
          <cell r="B126" t="str">
            <v>Hamad Habeeb Mansoor</v>
          </cell>
        </row>
        <row r="127">
          <cell r="A127" t="str">
            <v>ILS24-F00125</v>
          </cell>
          <cell r="B127" t="str">
            <v>Shabani Juma Ndosi</v>
          </cell>
        </row>
        <row r="128">
          <cell r="A128" t="str">
            <v>ILS24-F00126</v>
          </cell>
          <cell r="B128" t="str">
            <v>Peter Anthon Sobe</v>
          </cell>
        </row>
        <row r="129">
          <cell r="A129" t="str">
            <v>ILS24-F00127</v>
          </cell>
          <cell r="B129" t="str">
            <v>Ignas Nicodemus Chilewa</v>
          </cell>
        </row>
        <row r="130">
          <cell r="A130" t="str">
            <v>ILS24-F00128</v>
          </cell>
          <cell r="B130" t="str">
            <v>Mohamed Abdallah Muanda</v>
          </cell>
        </row>
        <row r="131">
          <cell r="A131" t="str">
            <v>ILS24-F00129</v>
          </cell>
          <cell r="B131" t="str">
            <v>Africa Jumanne Bwamkuu</v>
          </cell>
        </row>
        <row r="132">
          <cell r="A132" t="str">
            <v>ILS24-F00130</v>
          </cell>
          <cell r="B132" t="str">
            <v>Bavo Emanuel Mzee</v>
          </cell>
        </row>
        <row r="133">
          <cell r="A133" t="str">
            <v>ILS24-F00131</v>
          </cell>
          <cell r="B133" t="str">
            <v>Titus Moses Safari</v>
          </cell>
        </row>
        <row r="134">
          <cell r="A134" t="str">
            <v>ILS24-F00132</v>
          </cell>
          <cell r="B134" t="str">
            <v xml:space="preserve">Alfred Stephen Kishe </v>
          </cell>
        </row>
        <row r="135">
          <cell r="A135" t="str">
            <v>ILS24-F00133</v>
          </cell>
          <cell r="B135" t="str">
            <v>Martin Nasuzwa Kidili</v>
          </cell>
        </row>
        <row r="136">
          <cell r="A136" t="str">
            <v>ILS24-F00134</v>
          </cell>
          <cell r="B136" t="str">
            <v>Tumwesige David Mujwauzi</v>
          </cell>
        </row>
        <row r="137">
          <cell r="A137" t="str">
            <v>ILS24-F00135</v>
          </cell>
          <cell r="B137" t="str">
            <v>Novat Adam Moshi</v>
          </cell>
        </row>
        <row r="138">
          <cell r="A138" t="str">
            <v>ILS24-F00136</v>
          </cell>
          <cell r="B138" t="str">
            <v xml:space="preserve">Fortunatus Mhambe </v>
          </cell>
        </row>
        <row r="139">
          <cell r="A139" t="str">
            <v>ILS24-F00137</v>
          </cell>
          <cell r="B139" t="str">
            <v xml:space="preserve">Marcel John Kisoka </v>
          </cell>
        </row>
        <row r="140">
          <cell r="A140" t="str">
            <v>ILS24-F00138</v>
          </cell>
          <cell r="B140" t="str">
            <v xml:space="preserve">Daniel Mchegere </v>
          </cell>
        </row>
        <row r="141">
          <cell r="A141" t="str">
            <v>ILS24-F00139</v>
          </cell>
          <cell r="B141" t="str">
            <v xml:space="preserve">Claverfred Mhidze </v>
          </cell>
        </row>
        <row r="142">
          <cell r="A142" t="str">
            <v>ILS24-F00140</v>
          </cell>
          <cell r="B142" t="str">
            <v>Mwombeki Florian Fabian</v>
          </cell>
        </row>
        <row r="143">
          <cell r="A143" t="str">
            <v>ILS24-F00141</v>
          </cell>
          <cell r="B143" t="str">
            <v xml:space="preserve">Patrick Mbosa </v>
          </cell>
        </row>
        <row r="144">
          <cell r="A144" t="str">
            <v>ILS24-F00142</v>
          </cell>
          <cell r="B144" t="str">
            <v>Selemani Pongolani Ahmadi</v>
          </cell>
        </row>
        <row r="145">
          <cell r="A145" t="str">
            <v>ILS24-F00143</v>
          </cell>
          <cell r="B145" t="str">
            <v xml:space="preserve">Honest Tesha </v>
          </cell>
        </row>
        <row r="146">
          <cell r="A146" t="str">
            <v>ILS24-F00144</v>
          </cell>
          <cell r="B146" t="str">
            <v xml:space="preserve">Steven Silvester Chihwallo </v>
          </cell>
        </row>
        <row r="147">
          <cell r="A147" t="str">
            <v>ILS24-F00145</v>
          </cell>
          <cell r="B147" t="str">
            <v>Jaha Kamugisha Mvuha</v>
          </cell>
        </row>
        <row r="148">
          <cell r="A148" t="str">
            <v>ILS24-F00146</v>
          </cell>
          <cell r="B148" t="str">
            <v>Hussein Hussein Shamdas</v>
          </cell>
        </row>
        <row r="149">
          <cell r="A149" t="str">
            <v>ILS24-F00147</v>
          </cell>
          <cell r="B149" t="str">
            <v xml:space="preserve">Julius Chacha Mwita </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Set>
  </externalBook>
</externalLink>
</file>

<file path=xl/persons/person.xml><?xml version="1.0" encoding="utf-8"?>
<personList xmlns="http://schemas.microsoft.com/office/spreadsheetml/2018/threadedcomments" xmlns:x="http://schemas.openxmlformats.org/spreadsheetml/2006/main">
  <person displayName="Norbert Massay" id="{5F9F08C3-AEB3-43D9-B43C-0DF26FE84E91}" userId="S::nmassay@pactworld.org::50c745a2-333e-4810-8d7b-7423edd462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T2" dT="2025-12-31T00:52:19.61" personId="{5F9F08C3-AEB3-43D9-B43C-0DF26FE84E91}" id="{5CEB7491-41F3-4AAD-B73B-2E6C94E66FBD}">
    <text>23 Dec 25, contribution from Werema, 100,000</text>
  </threadedComment>
  <threadedComment ref="BZ2" dT="2026-03-07T05:34:59.26" personId="{5F9F08C3-AEB3-43D9-B43C-0DF26FE84E91}" id="{17D745E9-98FB-4890-929E-CBD0BA252ECF}">
    <text>Gawio la faida 125,000 kutoka kwa Werema</text>
  </threadedComment>
  <threadedComment ref="CB2" dT="2026-04-30T12:53:00.40" personId="{5F9F08C3-AEB3-43D9-B43C-0DF26FE84E91}" id="{FC5E8BB9-1611-4B6C-AC68-0F563DB4068F}">
    <text>3000000 by Metta</text>
  </threadedComment>
  <threadedComment ref="BT4" dT="2025-12-31T00:52:33.95" personId="{5F9F08C3-AEB3-43D9-B43C-0DF26FE84E91}" id="{569B232B-ED69-4A2D-9FBD-2CA9BF2464DF}">
    <text>23 Dec 25, contribution from Werema, 100,000</text>
  </threadedComment>
  <threadedComment ref="BZ15" dT="2026-03-07T05:36:30.83" personId="{5F9F08C3-AEB3-43D9-B43C-0DF26FE84E91}" id="{834E8054-1EB8-4FDB-A237-65BD58179CB3}">
    <text>Gawio la Faida 125,000 kutoka kwa Werema</text>
  </threadedComment>
  <threadedComment ref="BT16" dT="2025-12-31T00:51:57.07" personId="{5F9F08C3-AEB3-43D9-B43C-0DF26FE84E91}" id="{15FA9B5B-7818-4426-A6F9-3CD6CF88F175}">
    <text>23 Dec 25, contribution from Werema, 100,000</text>
  </threadedComment>
  <threadedComment ref="BZ16" dT="2026-03-07T05:36:30.83" personId="{5F9F08C3-AEB3-43D9-B43C-0DF26FE84E91}" id="{B0E7BD59-B6E7-42D4-87DC-A752E020BA1F}">
    <text>Gawio la Faida 125,000 kutoka kwa Werema</text>
  </threadedComment>
  <threadedComment ref="CH40" dT="2026-07-02T09:38:20.95" personId="{5F9F08C3-AEB3-43D9-B43C-0DF26FE84E91}" id="{CCA4ED11-E566-4BC8-832C-E04DDC89054F}">
    <text>1,000,000 internal loan switch</text>
  </threadedComment>
  <threadedComment ref="BZ48" dT="2026-03-12T19:04:59.79" personId="{5F9F08C3-AEB3-43D9-B43C-0DF26FE84E91}" id="{6CCBB777-D239-4D5D-846C-57B3E42761A7}">
    <text>Deposited through Norbert account Yas</text>
  </threadedComment>
  <threadedComment ref="CH48" dT="2026-07-14T19:48:24.06" personId="{5F9F08C3-AEB3-43D9-B43C-0DF26FE84E91}" id="{3AC67E14-EEB1-4191-B46B-16A1736F2F30}">
    <text>Internal loan switch of 2,500,000</text>
  </threadedComment>
  <threadedComment ref="CB62" dT="2026-04-18T06:00:23.61" personId="{5F9F08C3-AEB3-43D9-B43C-0DF26FE84E91}" id="{5177F5E6-188B-4BF3-B030-35B7280690D8}">
    <text>1,000,000 deposited by Nsanyiwa to Meta</text>
  </threadedComment>
  <threadedComment ref="CB62" dT="2026-04-28T10:07:50.30" personId="{5F9F08C3-AEB3-43D9-B43C-0DF26FE84E91}" id="{D6B72DAE-E1A7-497A-A3EB-CFE90AEFF855}" parentId="{5177F5E6-188B-4BF3-B030-35B7280690D8}">
    <text xml:space="preserve">2500000 by Nsanyiwa </text>
  </threadedComment>
  <threadedComment ref="CF63" dT="2026-06-06T05:59:25.69" personId="{5F9F08C3-AEB3-43D9-B43C-0DF26FE84E91}" id="{5347EBD1-9134-4AC4-8FE2-5AD79B962BF6}">
    <text>Deposited by Everest Exavery</text>
  </threadedComment>
  <threadedComment ref="DJ73" dT="2026-08-01T17:54:00.27" personId="{5F9F08C3-AEB3-43D9-B43C-0DF26FE84E91}" id="{752684CD-DB4D-4DEA-A683-64FC7D18DA73}">
    <text xml:space="preserve">Deposited twice </text>
  </threadedComment>
  <threadedComment ref="CF102" dT="2026-06-14T20:10:56.96" personId="{5F9F08C3-AEB3-43D9-B43C-0DF26FE84E91}" id="{F80FF2DF-7FD6-40AE-BF22-BD8E80F8CD2B}">
    <text xml:space="preserve">Deposited by Wasia </text>
  </threadedComment>
  <threadedComment ref="CF103" dT="2026-06-15T13:38:02.92" personId="{5F9F08C3-AEB3-43D9-B43C-0DF26FE84E91}" id="{D7DC1540-06FE-4032-BAEB-192A838A8DCD}">
    <text xml:space="preserve">2000,000 deposited by Godfrey Juvenile Mbone </text>
  </threadedComment>
  <threadedComment ref="DI107" dT="2026-08-01T18:21:22.84" personId="{5F9F08C3-AEB3-43D9-B43C-0DF26FE84E91}" id="{28B7FB3C-B3BD-4421-97B0-2FFB4241DB52}">
    <text xml:space="preserve">500000+5000000 were deposited in the account. Excel but was not right, only amount supppsed was 1,700,000
Which was deposited in the portal </text>
  </threadedComment>
  <threadedComment ref="CF115" dT="2026-07-02T08:29:28.79" personId="{5F9F08C3-AEB3-43D9-B43C-0DF26FE84E91}" id="{3E78CE00-DF3B-42AE-B4D5-260A7BC6096C}">
    <text>1800,000 comes from internal loan</text>
  </threadedComment>
  <threadedComment ref="CF121" dT="2026-07-02T14:05:54.46" personId="{5F9F08C3-AEB3-43D9-B43C-0DF26FE84E91}" id="{A9247C0D-B9BE-49FF-8F14-37F04D3553C9}">
    <text>2,600,000 comes from internal loan swith</text>
  </threadedComment>
  <threadedComment ref="DJ131" dT="2026-08-01T18:04:07.80" personId="{5F9F08C3-AEB3-43D9-B43C-0DF26FE84E91}" id="{56D0612F-7071-422E-938C-6206EE6005BB}">
    <text xml:space="preserve">1 mil is for August 1st, so its okay already posted for August </text>
  </threadedComment>
  <threadedComment ref="B141" dT="2026-06-30T13:48:48.79" personId="{5F9F08C3-AEB3-43D9-B43C-0DF26FE84E91}" id="{BE4FC0BB-F9AF-453B-B21C-ACF5D1A66B87}">
    <text>FASTECH</text>
  </threadedComment>
  <threadedComment ref="DJ141" dT="2026-08-01T18:03:27.64" personId="{5F9F08C3-AEB3-43D9-B43C-0DF26FE84E91}" id="{64A41435-FAD9-4CA9-B6EA-76F14AD1F792}">
    <text xml:space="preserve">2,000,000 and 500,000 wewe deposited twice in July, need to be reversed </text>
  </threadedComment>
</ThreadedComments>
</file>

<file path=xl/threadedComments/threadedComment2.xml><?xml version="1.0" encoding="utf-8"?>
<ThreadedComments xmlns="http://schemas.microsoft.com/office/spreadsheetml/2018/threadedcomments" xmlns:x="http://schemas.openxmlformats.org/spreadsheetml/2006/main">
  <threadedComment ref="B142" dT="2026-06-30T13:48:48.79" personId="{5F9F08C3-AEB3-43D9-B43C-0DF26FE84E91}" id="{04C0C76E-98BF-4756-8A38-6F5558685D98}">
    <text>FASTECH</text>
  </threadedComment>
</ThreadedComments>
</file>

<file path=xl/threadedComments/threadedComment3.xml><?xml version="1.0" encoding="utf-8"?>
<ThreadedComments xmlns="http://schemas.microsoft.com/office/spreadsheetml/2018/threadedcomments" xmlns:x="http://schemas.openxmlformats.org/spreadsheetml/2006/main">
  <threadedComment ref="B65" dT="2026-06-30T18:29:16.75" personId="{5F9F08C3-AEB3-43D9-B43C-0DF26FE84E91}" id="{EC4DF9FF-39D9-4950-ABE0-17A4ECF0CC79}">
    <text>REFUNDED</text>
  </threadedComment>
</ThreadedComments>
</file>

<file path=xl/threadedComments/threadedComment4.xml><?xml version="1.0" encoding="utf-8"?>
<ThreadedComments xmlns="http://schemas.microsoft.com/office/spreadsheetml/2018/threadedcomments" xmlns:x="http://schemas.openxmlformats.org/spreadsheetml/2006/main">
  <threadedComment ref="B133" dT="2026-06-30T13:48:48.79" personId="{5F9F08C3-AEB3-43D9-B43C-0DF26FE84E91}" id="{E53E8ED3-D75B-44F5-B1E4-AEA8EEA3052B}">
    <text>FASTECH</text>
  </threadedComment>
</ThreadedComments>
</file>

<file path=xl/threadedComments/threadedComment5.xml><?xml version="1.0" encoding="utf-8"?>
<ThreadedComments xmlns="http://schemas.microsoft.com/office/spreadsheetml/2018/threadedcomments" xmlns:x="http://schemas.openxmlformats.org/spreadsheetml/2006/main">
  <threadedComment ref="L10" dT="2026-07-10T20:08:41.51" personId="{5F9F08C3-AEB3-43D9-B43C-0DF26FE84E91}" id="{D04B11F6-F61C-4CD3-8B6D-21F06C30D963}">
    <text>1,500,000 was waived by the group members</text>
  </threadedComment>
</ThreadedComments>
</file>

<file path=xl/threadedComments/threadedComment6.xml><?xml version="1.0" encoding="utf-8"?>
<ThreadedComments xmlns="http://schemas.microsoft.com/office/spreadsheetml/2018/threadedcomments" xmlns:x="http://schemas.openxmlformats.org/spreadsheetml/2006/main">
  <threadedComment ref="C18" dT="2026-05-26T19:45:40.14" personId="{5F9F08C3-AEB3-43D9-B43C-0DF26FE84E91}" id="{EF38AFAE-452C-44FB-AD77-7B945904E9A9}">
    <text>100k contribution from Werema loan to guarantors</text>
  </threadedComment>
  <threadedComment ref="C32" dT="2026-05-30T06:55:40.33" personId="{5F9F08C3-AEB3-43D9-B43C-0DF26FE84E91}" id="{1FE7E9B9-5B2E-45D5-9B31-9337B7D0F041}">
    <text>Deposited by Emmanuel Metta 31st March 2026</text>
  </threadedComment>
</ThreadedComments>
</file>

<file path=xl/threadedComments/threadedComment7.xml><?xml version="1.0" encoding="utf-8"?>
<ThreadedComments xmlns="http://schemas.microsoft.com/office/spreadsheetml/2018/threadedcomments" xmlns:x="http://schemas.openxmlformats.org/spreadsheetml/2006/main">
  <threadedComment ref="C22" dT="2026-05-27T04:12:59.32" personId="{5F9F08C3-AEB3-43D9-B43C-0DF26FE84E91}" id="{517C2869-ABFE-418F-9E73-C640E51D2F07}">
    <text>Contribution from Werema loan 100k</text>
  </threadedComment>
</ThreadedComments>
</file>

<file path=xl/threadedComments/threadedComment8.xml><?xml version="1.0" encoding="utf-8"?>
<ThreadedComments xmlns="http://schemas.microsoft.com/office/spreadsheetml/2018/threadedcomments" xmlns:x="http://schemas.openxmlformats.org/spreadsheetml/2006/main">
  <threadedComment ref="C14" dT="2026-03-07T05:36:30.83" personId="{5F9F08C3-AEB3-43D9-B43C-0DF26FE84E91}" id="{D1E26311-0D86-4834-AB09-A1BF13D6BC14}">
    <text>Gawio la Faida 125,000 kutoka kwa Werema</text>
  </threadedComment>
</ThreadedComments>
</file>

<file path=xl/threadedComments/threadedComment9.xml><?xml version="1.0" encoding="utf-8"?>
<ThreadedComments xmlns="http://schemas.microsoft.com/office/spreadsheetml/2018/threadedcomments" xmlns:x="http://schemas.openxmlformats.org/spreadsheetml/2006/main">
  <threadedComment ref="C14" dT="2025-12-31T00:51:57.07" personId="{5F9F08C3-AEB3-43D9-B43C-0DF26FE84E91}" id="{1E0EF7ED-C79A-4DBA-95EC-F6BAB15D4F11}">
    <text>23 Dec 25, contribution from Werema, 100,000</text>
  </threadedComment>
  <threadedComment ref="C18" dT="2026-03-07T05:36:30.83" personId="{5F9F08C3-AEB3-43D9-B43C-0DF26FE84E91}" id="{6BBC525C-BE56-4352-815B-167A6DF83DFF}">
    <text>Gawio la Faida 125,000 kutoka kwa Werema</text>
  </threadedComment>
</ThreadedComments>
</file>

<file path=xl/threadedComments/threadedComment10.xml><?xml version="1.0" encoding="utf-8"?>
<ThreadedComments xmlns="http://schemas.microsoft.com/office/spreadsheetml/2018/threadedcomments" xmlns:x="http://schemas.openxmlformats.org/spreadsheetml/2006/main">
  <threadedComment ref="C12" dT="2026-07-02T16:53:40.88" personId="{5F9F08C3-AEB3-43D9-B43C-0DF26FE84E91}" id="{2782FB06-2785-4FA3-AC52-0DE53C36F8A2}">
    <text xml:space="preserve">LOAN from SACCOS </text>
  </threadedComment>
</ThreadedComments>
</file>

<file path=xl/threadedComments/threadedComment11.xml><?xml version="1.0" encoding="utf-8"?>
<ThreadedComments xmlns="http://schemas.microsoft.com/office/spreadsheetml/2018/threadedcomments" xmlns:x="http://schemas.openxmlformats.org/spreadsheetml/2006/main">
  <threadedComment ref="C11" dT="2026-03-12T19:04:59.79" personId="{5F9F08C3-AEB3-43D9-B43C-0DF26FE84E91}" id="{CA73C5AE-7983-4229-B1A1-CAD4180E9938}">
    <text>Deposited through Norbert account Yas</text>
  </threadedComment>
  <threadedComment ref="C12" dT="2026-07-07T11:44:17.91" personId="{5F9F08C3-AEB3-43D9-B43C-0DF26FE84E91}" id="{E23386F5-E9BE-4EDE-9210-A966317003E2}">
    <text>Deposited by Norbert Selcom</text>
  </threadedComment>
</ThreadedComments>
</file>

<file path=xl/threadedComments/threadedComment12.xml><?xml version="1.0" encoding="utf-8"?>
<ThreadedComments xmlns="http://schemas.microsoft.com/office/spreadsheetml/2018/threadedcomments" xmlns:x="http://schemas.openxmlformats.org/spreadsheetml/2006/main">
  <threadedComment ref="C19" dT="2026-05-30T05:32:20.14" personId="{5F9F08C3-AEB3-43D9-B43C-0DF26FE84E91}" id="{016528B7-44BF-452D-8CB7-98FF40B5A588}">
    <text>Deposited by Emmanuel Metta</text>
  </threadedComment>
</ThreadedComments>
</file>

<file path=xl/threadedComments/threadedComment13.xml><?xml version="1.0" encoding="utf-8"?>
<ThreadedComments xmlns="http://schemas.microsoft.com/office/spreadsheetml/2018/threadedcomments" xmlns:x="http://schemas.openxmlformats.org/spreadsheetml/2006/main">
  <threadedComment ref="C9" dT="2026-05-30T04:29:40.77" personId="{5F9F08C3-AEB3-43D9-B43C-0DF26FE84E91}" id="{21DCFC26-8AC5-40CC-BA95-B67101D550E2}">
    <text>Deposited by Everest Exavery</text>
  </threadedComment>
</ThreadedComments>
</file>

<file path=xl/threadedComments/threadedComment14.xml><?xml version="1.0" encoding="utf-8"?>
<ThreadedComments xmlns="http://schemas.microsoft.com/office/spreadsheetml/2018/threadedcomments" xmlns:x="http://schemas.openxmlformats.org/spreadsheetml/2006/main">
  <threadedComment ref="C7" dT="2026-07-02T08:31:11.04" personId="{5F9F08C3-AEB3-43D9-B43C-0DF26FE84E91}" id="{87DBAD20-32C0-4D8E-9E10-8CF9DADCB699}">
    <text>From internal loan switch to meet criteria</text>
  </threadedComment>
</ThreadedComment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2.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3.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7.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65.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79.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80.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2.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60B5-481E-4907-8456-E4064CD3A6B3}">
  <dimension ref="A3:BB92"/>
  <sheetViews>
    <sheetView topLeftCell="AA6" zoomScale="110" zoomScaleNormal="110" workbookViewId="0">
      <selection activeCell="E3" sqref="E3"/>
    </sheetView>
  </sheetViews>
  <sheetFormatPr defaultRowHeight="14.5" x14ac:dyDescent="0.35"/>
  <cols>
    <col min="1" max="1" width="4.1796875" bestFit="1" customWidth="1"/>
    <col min="2" max="2" width="19" bestFit="1" customWidth="1"/>
    <col min="3" max="3" width="13.1796875" bestFit="1" customWidth="1"/>
    <col min="4" max="4" width="12.1796875" style="8" customWidth="1"/>
    <col min="5" max="5" width="12.7265625" style="6" bestFit="1" customWidth="1"/>
    <col min="6" max="6" width="12.81640625" style="6" customWidth="1"/>
    <col min="7" max="7" width="11.1796875" style="6" customWidth="1"/>
    <col min="8" max="8" width="12.7265625" style="6" bestFit="1" customWidth="1"/>
    <col min="9" max="10" width="11.1796875" style="6" customWidth="1"/>
    <col min="11" max="11" width="12.7265625" style="6" bestFit="1" customWidth="1"/>
    <col min="12" max="48" width="11.1796875" style="6" customWidth="1"/>
    <col min="49" max="49" width="13.81640625" style="6" bestFit="1" customWidth="1"/>
    <col min="50" max="50" width="12.7265625" bestFit="1" customWidth="1"/>
    <col min="51" max="51" width="13.81640625" bestFit="1" customWidth="1"/>
    <col min="52" max="52" width="14" customWidth="1"/>
  </cols>
  <sheetData>
    <row r="3" spans="1:54" ht="15" thickBot="1" x14ac:dyDescent="0.4">
      <c r="BB3" s="1"/>
    </row>
    <row r="4" spans="1:54" x14ac:dyDescent="0.35">
      <c r="A4" s="20"/>
      <c r="B4" s="17"/>
      <c r="C4" s="18"/>
      <c r="BB4" s="1"/>
    </row>
    <row r="5" spans="1:54" s="5" customFormat="1" x14ac:dyDescent="0.35">
      <c r="A5" s="74"/>
      <c r="B5" s="74" t="s">
        <v>0</v>
      </c>
      <c r="C5" s="74" t="s">
        <v>1</v>
      </c>
      <c r="D5" s="75" t="s">
        <v>2</v>
      </c>
      <c r="E5" s="63" t="s">
        <v>3</v>
      </c>
      <c r="F5" s="63" t="s">
        <v>4</v>
      </c>
      <c r="G5" s="63" t="s">
        <v>2</v>
      </c>
      <c r="H5" s="63" t="s">
        <v>5</v>
      </c>
      <c r="I5" s="63" t="s">
        <v>4</v>
      </c>
      <c r="J5" s="63" t="s">
        <v>2</v>
      </c>
      <c r="K5" s="63" t="s">
        <v>6</v>
      </c>
      <c r="L5" s="63" t="s">
        <v>7</v>
      </c>
      <c r="M5" s="63" t="s">
        <v>2</v>
      </c>
      <c r="N5" s="63" t="s">
        <v>8</v>
      </c>
      <c r="O5" s="63" t="s">
        <v>7</v>
      </c>
      <c r="P5" s="63" t="s">
        <v>2</v>
      </c>
      <c r="Q5" s="63" t="s">
        <v>9</v>
      </c>
      <c r="R5" s="63" t="s">
        <v>7</v>
      </c>
      <c r="S5" s="63" t="s">
        <v>2</v>
      </c>
      <c r="T5" s="63" t="s">
        <v>10</v>
      </c>
      <c r="U5" s="63" t="s">
        <v>7</v>
      </c>
      <c r="V5" s="63" t="s">
        <v>2</v>
      </c>
      <c r="W5" s="63" t="s">
        <v>11</v>
      </c>
      <c r="X5" s="63" t="s">
        <v>7</v>
      </c>
      <c r="Y5" s="63" t="s">
        <v>2</v>
      </c>
      <c r="Z5" s="63" t="s">
        <v>12</v>
      </c>
      <c r="AA5" s="63" t="s">
        <v>7</v>
      </c>
      <c r="AB5" s="63" t="s">
        <v>2</v>
      </c>
      <c r="AC5" s="63" t="s">
        <v>13</v>
      </c>
      <c r="AD5" s="63" t="s">
        <v>7</v>
      </c>
      <c r="AE5" s="63" t="s">
        <v>2</v>
      </c>
      <c r="AF5" s="63" t="s">
        <v>14</v>
      </c>
      <c r="AG5" s="63" t="s">
        <v>7</v>
      </c>
      <c r="AH5" s="63" t="s">
        <v>2</v>
      </c>
      <c r="AI5" s="63" t="s">
        <v>15</v>
      </c>
      <c r="AJ5" s="63" t="s">
        <v>7</v>
      </c>
      <c r="AK5" s="63" t="s">
        <v>2</v>
      </c>
      <c r="AL5" s="63" t="s">
        <v>16</v>
      </c>
      <c r="AM5" s="63" t="s">
        <v>7</v>
      </c>
      <c r="AN5" s="63" t="s">
        <v>2</v>
      </c>
      <c r="AO5" s="63" t="s">
        <v>17</v>
      </c>
      <c r="AP5" s="63" t="s">
        <v>7</v>
      </c>
      <c r="AQ5" s="63" t="s">
        <v>2</v>
      </c>
      <c r="AR5" s="63" t="s">
        <v>18</v>
      </c>
      <c r="AS5" s="63" t="s">
        <v>7</v>
      </c>
      <c r="AT5" s="63" t="s">
        <v>2</v>
      </c>
      <c r="AU5" s="63" t="s">
        <v>19</v>
      </c>
      <c r="AV5" s="63" t="s">
        <v>7</v>
      </c>
      <c r="AW5" s="63" t="s">
        <v>20</v>
      </c>
      <c r="AX5" s="64" t="s">
        <v>21</v>
      </c>
      <c r="AY5" s="65" t="s">
        <v>22</v>
      </c>
      <c r="AZ5" s="63" t="s">
        <v>20</v>
      </c>
      <c r="BB5" s="1"/>
    </row>
    <row r="6" spans="1:54" s="1" customFormat="1" x14ac:dyDescent="0.35">
      <c r="A6" s="3">
        <v>1</v>
      </c>
      <c r="B6" s="7" t="s">
        <v>23</v>
      </c>
      <c r="C6" s="7"/>
      <c r="D6" s="70">
        <v>45348</v>
      </c>
      <c r="E6" s="11">
        <v>1000</v>
      </c>
      <c r="F6" s="11" t="s">
        <v>24</v>
      </c>
      <c r="G6" s="70">
        <v>45352</v>
      </c>
      <c r="H6" s="7">
        <v>10000</v>
      </c>
      <c r="I6" s="7" t="s">
        <v>25</v>
      </c>
      <c r="J6" s="70">
        <v>45352</v>
      </c>
      <c r="K6" s="11">
        <v>60000</v>
      </c>
      <c r="L6" s="11" t="s">
        <v>26</v>
      </c>
      <c r="M6" s="71">
        <v>45355</v>
      </c>
      <c r="N6" s="11">
        <v>70000</v>
      </c>
      <c r="O6" s="11" t="s">
        <v>27</v>
      </c>
      <c r="P6" s="11"/>
      <c r="Q6" s="11"/>
      <c r="R6" s="11"/>
      <c r="S6" s="11"/>
      <c r="T6" s="11"/>
      <c r="U6" s="11"/>
      <c r="V6" s="11"/>
      <c r="W6" s="11"/>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f>E6+H6+K6+N6+Q6+T6+W6+Z6+AC6+AF6+AI6+AO6+AL6+AR6</f>
        <v>141000</v>
      </c>
      <c r="AX6" s="3">
        <f>E6+H6</f>
        <v>11000</v>
      </c>
      <c r="AY6" s="3">
        <f>K6+N6</f>
        <v>130000</v>
      </c>
      <c r="AZ6" s="3">
        <f t="shared" ref="AZ6:AZ37" si="0">AX6+AY6</f>
        <v>141000</v>
      </c>
      <c r="BA6" s="1" t="b">
        <f t="shared" ref="BA6:BA37" si="1">AZ6=AW6</f>
        <v>1</v>
      </c>
    </row>
    <row r="7" spans="1:54" s="1" customFormat="1" x14ac:dyDescent="0.35">
      <c r="A7" s="3">
        <v>2</v>
      </c>
      <c r="B7" s="7" t="s">
        <v>28</v>
      </c>
      <c r="C7" s="7"/>
      <c r="D7" s="70">
        <v>45351</v>
      </c>
      <c r="E7" s="7">
        <v>50000</v>
      </c>
      <c r="F7" s="7" t="s">
        <v>27</v>
      </c>
      <c r="G7" s="70">
        <v>45351</v>
      </c>
      <c r="H7" s="11">
        <v>120000</v>
      </c>
      <c r="I7" s="11" t="s">
        <v>27</v>
      </c>
      <c r="J7" s="70">
        <v>45351</v>
      </c>
      <c r="K7" s="11">
        <v>30000</v>
      </c>
      <c r="L7" s="11" t="s">
        <v>29</v>
      </c>
      <c r="M7" s="71">
        <v>45353</v>
      </c>
      <c r="N7" s="11">
        <v>360000</v>
      </c>
      <c r="O7" s="11" t="s">
        <v>27</v>
      </c>
      <c r="P7" s="71">
        <v>45354</v>
      </c>
      <c r="Q7" s="11">
        <v>140000</v>
      </c>
      <c r="R7" s="11" t="s">
        <v>29</v>
      </c>
      <c r="S7" s="71">
        <v>45492</v>
      </c>
      <c r="T7" s="11">
        <v>100000</v>
      </c>
      <c r="U7" s="11" t="s">
        <v>27</v>
      </c>
      <c r="V7" s="71">
        <v>45648</v>
      </c>
      <c r="W7" s="11">
        <v>200000</v>
      </c>
      <c r="X7" s="11" t="s">
        <v>27</v>
      </c>
      <c r="Y7" s="71">
        <v>45727</v>
      </c>
      <c r="Z7" s="11">
        <v>100000</v>
      </c>
      <c r="AA7" s="11" t="s">
        <v>30</v>
      </c>
      <c r="AB7" s="71">
        <v>45728</v>
      </c>
      <c r="AC7" s="11">
        <v>100000</v>
      </c>
      <c r="AD7" s="11" t="s">
        <v>30</v>
      </c>
      <c r="AE7" s="10"/>
      <c r="AF7" s="10"/>
      <c r="AG7" s="10"/>
      <c r="AH7" s="10"/>
      <c r="AI7" s="10"/>
      <c r="AJ7" s="10"/>
      <c r="AK7" s="10"/>
      <c r="AL7" s="10"/>
      <c r="AM7" s="10"/>
      <c r="AN7" s="10"/>
      <c r="AO7" s="10"/>
      <c r="AP7" s="10"/>
      <c r="AQ7" s="10"/>
      <c r="AR7" s="10"/>
      <c r="AS7" s="10"/>
      <c r="AT7" s="10"/>
      <c r="AU7" s="10"/>
      <c r="AV7" s="10"/>
      <c r="AW7" s="10">
        <f>E7+H7+K7+N7+Q7+T7+W7+Z7+AC7+AF7+AI7+AO7+AL7+AR7</f>
        <v>1200000</v>
      </c>
      <c r="AX7" s="3">
        <f>K7+Q7</f>
        <v>170000</v>
      </c>
      <c r="AY7" s="3">
        <f>E7+H7+N7+T7+W7+Z7+AC7</f>
        <v>1030000</v>
      </c>
      <c r="AZ7" s="3">
        <f t="shared" si="0"/>
        <v>1200000</v>
      </c>
      <c r="BA7" s="1" t="b">
        <f t="shared" si="1"/>
        <v>1</v>
      </c>
    </row>
    <row r="8" spans="1:54" s="1" customFormat="1" ht="18.649999999999999" customHeight="1" x14ac:dyDescent="0.35">
      <c r="A8" s="3">
        <v>3</v>
      </c>
      <c r="B8" s="7" t="s">
        <v>31</v>
      </c>
      <c r="C8" s="7"/>
      <c r="D8" s="70">
        <v>45352</v>
      </c>
      <c r="E8" s="11">
        <v>50000</v>
      </c>
      <c r="F8" s="7" t="s">
        <v>27</v>
      </c>
      <c r="G8" s="71">
        <v>45362</v>
      </c>
      <c r="H8" s="11">
        <v>120000</v>
      </c>
      <c r="I8" s="11" t="s">
        <v>27</v>
      </c>
      <c r="J8" s="70">
        <v>45529</v>
      </c>
      <c r="K8" s="11">
        <v>630000</v>
      </c>
      <c r="L8" s="11" t="s">
        <v>26</v>
      </c>
      <c r="M8" s="71">
        <v>45654</v>
      </c>
      <c r="N8" s="11">
        <v>200000</v>
      </c>
      <c r="O8" s="11" t="s">
        <v>27</v>
      </c>
      <c r="P8" s="11"/>
      <c r="Q8" s="11"/>
      <c r="R8" s="11"/>
      <c r="S8" s="11"/>
      <c r="T8" s="11"/>
      <c r="U8" s="11"/>
      <c r="V8" s="11"/>
      <c r="W8" s="11"/>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f>E8+H8+K8+N8+Q8+T8+W8+Z8+AC8+AF8+AI8+AO8+AL8+AR8</f>
        <v>1000000</v>
      </c>
      <c r="AX8" s="3"/>
      <c r="AY8" s="3">
        <f>E8+H8+K8+W7</f>
        <v>1000000</v>
      </c>
      <c r="AZ8" s="3">
        <f t="shared" si="0"/>
        <v>1000000</v>
      </c>
      <c r="BA8" s="1" t="b">
        <f t="shared" si="1"/>
        <v>1</v>
      </c>
    </row>
    <row r="9" spans="1:54" s="1" customFormat="1" ht="14.5" customHeight="1" x14ac:dyDescent="0.35">
      <c r="A9" s="3">
        <v>4</v>
      </c>
      <c r="B9" s="7" t="s">
        <v>32</v>
      </c>
      <c r="C9" s="7"/>
      <c r="D9" s="70">
        <v>45352</v>
      </c>
      <c r="E9" s="11">
        <v>90000</v>
      </c>
      <c r="F9" s="7" t="s">
        <v>27</v>
      </c>
      <c r="G9" s="70">
        <v>45352</v>
      </c>
      <c r="H9" s="7">
        <v>10000</v>
      </c>
      <c r="I9" s="7" t="s">
        <v>25</v>
      </c>
      <c r="J9" s="70">
        <v>45353</v>
      </c>
      <c r="K9" s="11">
        <v>50000</v>
      </c>
      <c r="L9" s="11" t="s">
        <v>26</v>
      </c>
      <c r="M9" s="71">
        <v>45353</v>
      </c>
      <c r="N9" s="11">
        <v>30000</v>
      </c>
      <c r="O9" s="11" t="s">
        <v>29</v>
      </c>
      <c r="P9" s="71">
        <v>45529</v>
      </c>
      <c r="Q9" s="11">
        <v>100000</v>
      </c>
      <c r="R9" s="11" t="s">
        <v>26</v>
      </c>
      <c r="S9" s="71">
        <v>45530</v>
      </c>
      <c r="T9" s="11">
        <v>100000</v>
      </c>
      <c r="U9" s="11" t="s">
        <v>26</v>
      </c>
      <c r="V9" s="71">
        <v>45657</v>
      </c>
      <c r="W9" s="11">
        <v>450000</v>
      </c>
      <c r="X9" s="11" t="s">
        <v>27</v>
      </c>
      <c r="Y9" s="71">
        <v>45657</v>
      </c>
      <c r="Z9" s="11">
        <v>170000</v>
      </c>
      <c r="AA9" s="11" t="s">
        <v>27</v>
      </c>
      <c r="AB9" s="10"/>
      <c r="AC9" s="10"/>
      <c r="AD9" s="10"/>
      <c r="AE9" s="10"/>
      <c r="AF9" s="10"/>
      <c r="AG9" s="10"/>
      <c r="AH9" s="10"/>
      <c r="AI9" s="10"/>
      <c r="AJ9" s="10"/>
      <c r="AK9" s="10"/>
      <c r="AL9" s="10"/>
      <c r="AM9" s="10"/>
      <c r="AN9" s="10"/>
      <c r="AO9" s="10"/>
      <c r="AP9" s="10"/>
      <c r="AQ9" s="10"/>
      <c r="AR9" s="10"/>
      <c r="AS9" s="10"/>
      <c r="AT9" s="10"/>
      <c r="AU9" s="10"/>
      <c r="AV9" s="10"/>
      <c r="AW9" s="10">
        <f>E9+H9+K9+N9+Q9+T9+W9+Z9+AC9+AF9+AI9+AO9+AL9+AR9</f>
        <v>1000000</v>
      </c>
      <c r="AX9" s="3">
        <f>H9+N9</f>
        <v>40000</v>
      </c>
      <c r="AY9" s="3">
        <f>E9+K9+Q9+T9+W9+Z9</f>
        <v>960000</v>
      </c>
      <c r="AZ9" s="3">
        <f t="shared" si="0"/>
        <v>1000000</v>
      </c>
      <c r="BA9" s="1" t="b">
        <f t="shared" si="1"/>
        <v>1</v>
      </c>
    </row>
    <row r="10" spans="1:54" s="1" customFormat="1" ht="15" customHeight="1" x14ac:dyDescent="0.35">
      <c r="A10" s="3">
        <v>5</v>
      </c>
      <c r="B10" s="7" t="s">
        <v>33</v>
      </c>
      <c r="C10" s="7"/>
      <c r="D10" s="70">
        <v>45352</v>
      </c>
      <c r="E10" s="7">
        <v>10000</v>
      </c>
      <c r="F10" s="7" t="s">
        <v>29</v>
      </c>
      <c r="G10" s="70">
        <v>45353</v>
      </c>
      <c r="H10" s="7">
        <v>20000</v>
      </c>
      <c r="I10" s="7" t="s">
        <v>25</v>
      </c>
      <c r="J10" s="70">
        <v>45353</v>
      </c>
      <c r="K10" s="11">
        <v>120000</v>
      </c>
      <c r="L10" s="11" t="s">
        <v>26</v>
      </c>
      <c r="M10" s="71">
        <v>45353</v>
      </c>
      <c r="N10" s="11">
        <v>50000</v>
      </c>
      <c r="O10" s="11" t="s">
        <v>26</v>
      </c>
      <c r="P10" s="71">
        <v>45354</v>
      </c>
      <c r="Q10" s="11">
        <v>50000</v>
      </c>
      <c r="R10" s="11" t="s">
        <v>29</v>
      </c>
      <c r="S10" s="71">
        <v>45394</v>
      </c>
      <c r="T10" s="11">
        <v>30000</v>
      </c>
      <c r="U10" s="11" t="s">
        <v>29</v>
      </c>
      <c r="V10" s="71">
        <v>45394</v>
      </c>
      <c r="W10" s="11">
        <v>120000</v>
      </c>
      <c r="X10" s="11" t="s">
        <v>27</v>
      </c>
      <c r="Y10" s="71">
        <v>45486</v>
      </c>
      <c r="Z10" s="11">
        <v>20000</v>
      </c>
      <c r="AA10" s="11" t="s">
        <v>29</v>
      </c>
      <c r="AB10" s="71">
        <v>45486</v>
      </c>
      <c r="AC10" s="11">
        <v>80000</v>
      </c>
      <c r="AD10" s="11" t="s">
        <v>27</v>
      </c>
      <c r="AE10" s="71">
        <v>45492</v>
      </c>
      <c r="AF10" s="11">
        <v>40000</v>
      </c>
      <c r="AG10" s="11" t="s">
        <v>25</v>
      </c>
      <c r="AH10" s="71">
        <v>45492</v>
      </c>
      <c r="AI10" s="11">
        <f>160000+80000</f>
        <v>240000</v>
      </c>
      <c r="AJ10" s="11" t="s">
        <v>27</v>
      </c>
      <c r="AK10" s="71">
        <v>45496</v>
      </c>
      <c r="AL10" s="11">
        <v>20000</v>
      </c>
      <c r="AM10" s="11" t="s">
        <v>25</v>
      </c>
      <c r="AN10" s="71">
        <v>45648</v>
      </c>
      <c r="AO10" s="11">
        <v>200000</v>
      </c>
      <c r="AP10" s="11" t="s">
        <v>27</v>
      </c>
      <c r="AQ10" s="71">
        <v>45690</v>
      </c>
      <c r="AR10" s="11">
        <v>200000</v>
      </c>
      <c r="AS10" s="11" t="s">
        <v>27</v>
      </c>
      <c r="AT10" s="71">
        <v>45703</v>
      </c>
      <c r="AU10" s="11">
        <v>100000</v>
      </c>
      <c r="AV10" s="11" t="s">
        <v>27</v>
      </c>
      <c r="AW10" s="10">
        <f>E10+H10+K10+N10+Q10+T10+W10+Z10+AC10+AF10+AI10+AO10+AL10+AR10+AU10</f>
        <v>1300000</v>
      </c>
      <c r="AX10" s="3">
        <f>E10+H10+Q10+T10+Z10+AF10+AL10</f>
        <v>190000</v>
      </c>
      <c r="AY10" s="3">
        <f>K10+N10+W10+AC10+AI10+AO10+AR10+AU10</f>
        <v>1110000</v>
      </c>
      <c r="AZ10" s="3">
        <f t="shared" si="0"/>
        <v>1300000</v>
      </c>
      <c r="BA10" s="1" t="b">
        <f t="shared" si="1"/>
        <v>1</v>
      </c>
    </row>
    <row r="11" spans="1:54" s="1" customFormat="1" ht="16" customHeight="1" x14ac:dyDescent="0.35">
      <c r="A11" s="3">
        <v>6</v>
      </c>
      <c r="B11" s="7" t="s">
        <v>34</v>
      </c>
      <c r="C11" s="7"/>
      <c r="D11" s="70">
        <v>45353</v>
      </c>
      <c r="E11" s="11">
        <v>40000</v>
      </c>
      <c r="F11" s="11" t="s">
        <v>27</v>
      </c>
      <c r="G11" s="70">
        <v>45353</v>
      </c>
      <c r="H11" s="11">
        <v>20000</v>
      </c>
      <c r="I11" s="7" t="s">
        <v>25</v>
      </c>
      <c r="J11" s="71">
        <v>45441</v>
      </c>
      <c r="K11" s="11">
        <v>100000</v>
      </c>
      <c r="L11" s="11" t="s">
        <v>27</v>
      </c>
      <c r="M11" s="71"/>
      <c r="N11" s="11"/>
      <c r="O11" s="11"/>
      <c r="P11" s="11"/>
      <c r="Q11" s="11"/>
      <c r="R11" s="11"/>
      <c r="S11" s="11"/>
      <c r="T11" s="11"/>
      <c r="U11" s="11"/>
      <c r="V11" s="11"/>
      <c r="W11" s="11"/>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f t="shared" ref="AW11:AW42" si="2">E11+H11+K11+N11+Q11+T11+W11+Z11+AC11+AF11+AI11+AO11+AL11+AR11</f>
        <v>160000</v>
      </c>
      <c r="AX11" s="3">
        <f>H11</f>
        <v>20000</v>
      </c>
      <c r="AY11" s="3">
        <f>E11+K11</f>
        <v>140000</v>
      </c>
      <c r="AZ11" s="3">
        <f t="shared" si="0"/>
        <v>160000</v>
      </c>
      <c r="BA11" s="1" t="b">
        <f t="shared" si="1"/>
        <v>1</v>
      </c>
    </row>
    <row r="12" spans="1:54" s="1" customFormat="1" x14ac:dyDescent="0.35">
      <c r="A12" s="3">
        <v>7</v>
      </c>
      <c r="B12" s="7" t="s">
        <v>35</v>
      </c>
      <c r="C12" s="7"/>
      <c r="D12" s="71">
        <v>45354</v>
      </c>
      <c r="E12" s="7">
        <v>120000</v>
      </c>
      <c r="F12" s="7" t="s">
        <v>29</v>
      </c>
      <c r="G12" s="70">
        <v>45354</v>
      </c>
      <c r="H12" s="11">
        <v>500000</v>
      </c>
      <c r="I12" s="11" t="s">
        <v>27</v>
      </c>
      <c r="J12" s="71">
        <v>45363</v>
      </c>
      <c r="K12" s="11">
        <v>100000</v>
      </c>
      <c r="L12" s="11" t="s">
        <v>27</v>
      </c>
      <c r="M12" s="71">
        <v>45529</v>
      </c>
      <c r="N12" s="11">
        <v>80000</v>
      </c>
      <c r="O12" s="11" t="s">
        <v>26</v>
      </c>
      <c r="P12" s="71">
        <v>45652</v>
      </c>
      <c r="Q12" s="11">
        <v>200000</v>
      </c>
      <c r="R12" s="11" t="s">
        <v>26</v>
      </c>
      <c r="S12" s="11"/>
      <c r="T12" s="11"/>
      <c r="U12" s="11"/>
      <c r="V12" s="11"/>
      <c r="W12" s="11"/>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f t="shared" si="2"/>
        <v>1000000</v>
      </c>
      <c r="AX12" s="3">
        <f>E12</f>
        <v>120000</v>
      </c>
      <c r="AY12" s="3">
        <f>H12+K12+N12+Q12</f>
        <v>880000</v>
      </c>
      <c r="AZ12" s="3">
        <f t="shared" si="0"/>
        <v>1000000</v>
      </c>
      <c r="BA12" s="1" t="b">
        <f t="shared" si="1"/>
        <v>1</v>
      </c>
    </row>
    <row r="13" spans="1:54" s="1" customFormat="1" x14ac:dyDescent="0.35">
      <c r="A13" s="3">
        <v>8</v>
      </c>
      <c r="B13" s="7" t="s">
        <v>36</v>
      </c>
      <c r="C13" s="7"/>
      <c r="D13" s="71">
        <v>45354</v>
      </c>
      <c r="E13" s="11">
        <v>100000</v>
      </c>
      <c r="F13" s="11" t="s">
        <v>27</v>
      </c>
      <c r="G13" s="71">
        <v>45361</v>
      </c>
      <c r="H13" s="11">
        <v>100000</v>
      </c>
      <c r="I13" s="11" t="s">
        <v>27</v>
      </c>
      <c r="J13" s="71">
        <v>45411</v>
      </c>
      <c r="K13" s="11">
        <v>50000</v>
      </c>
      <c r="L13" s="11" t="s">
        <v>25</v>
      </c>
      <c r="M13" s="71">
        <v>45496</v>
      </c>
      <c r="N13" s="11">
        <v>100000</v>
      </c>
      <c r="O13" s="11" t="s">
        <v>25</v>
      </c>
      <c r="P13" s="71">
        <v>45521</v>
      </c>
      <c r="Q13" s="11">
        <v>650000</v>
      </c>
      <c r="R13" s="11" t="s">
        <v>27</v>
      </c>
      <c r="S13" s="11"/>
      <c r="T13" s="11"/>
      <c r="U13" s="11"/>
      <c r="V13" s="11"/>
      <c r="W13" s="11"/>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f t="shared" si="2"/>
        <v>1000000</v>
      </c>
      <c r="AX13" s="3">
        <f>K13+N13</f>
        <v>150000</v>
      </c>
      <c r="AY13" s="3">
        <f>E13+H13+Q13</f>
        <v>850000</v>
      </c>
      <c r="AZ13" s="3">
        <f t="shared" si="0"/>
        <v>1000000</v>
      </c>
      <c r="BA13" s="1" t="b">
        <f t="shared" si="1"/>
        <v>1</v>
      </c>
    </row>
    <row r="14" spans="1:54" s="1" customFormat="1" x14ac:dyDescent="0.35">
      <c r="A14" s="3">
        <v>9</v>
      </c>
      <c r="B14" s="7" t="s">
        <v>37</v>
      </c>
      <c r="C14" s="7"/>
      <c r="D14" s="71">
        <v>45354</v>
      </c>
      <c r="E14" s="11">
        <v>150000</v>
      </c>
      <c r="F14" s="11" t="s">
        <v>27</v>
      </c>
      <c r="G14" s="70">
        <v>45354</v>
      </c>
      <c r="H14" s="11">
        <v>70000</v>
      </c>
      <c r="I14" s="11" t="s">
        <v>29</v>
      </c>
      <c r="J14" s="71">
        <v>45521</v>
      </c>
      <c r="K14" s="11">
        <v>900000</v>
      </c>
      <c r="L14" s="11" t="s">
        <v>26</v>
      </c>
      <c r="M14" s="71">
        <v>45650</v>
      </c>
      <c r="N14" s="11">
        <v>100000</v>
      </c>
      <c r="O14" s="11" t="s">
        <v>26</v>
      </c>
      <c r="P14" s="11"/>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f t="shared" si="2"/>
        <v>1220000</v>
      </c>
      <c r="AX14" s="3">
        <f>H14</f>
        <v>70000</v>
      </c>
      <c r="AY14" s="3">
        <f>E14+K14+N14</f>
        <v>1150000</v>
      </c>
      <c r="AZ14" s="3">
        <f t="shared" si="0"/>
        <v>1220000</v>
      </c>
      <c r="BA14" s="1" t="b">
        <f t="shared" si="1"/>
        <v>1</v>
      </c>
    </row>
    <row r="15" spans="1:54" s="1" customFormat="1" x14ac:dyDescent="0.35">
      <c r="A15" s="3">
        <v>10</v>
      </c>
      <c r="B15" s="7" t="s">
        <v>38</v>
      </c>
      <c r="C15" s="7"/>
      <c r="D15" s="71">
        <v>45355</v>
      </c>
      <c r="E15" s="11">
        <v>50000</v>
      </c>
      <c r="F15" s="11" t="s">
        <v>29</v>
      </c>
      <c r="G15" s="70">
        <v>45355</v>
      </c>
      <c r="H15" s="7">
        <v>50000</v>
      </c>
      <c r="I15" s="7" t="s">
        <v>27</v>
      </c>
      <c r="J15" s="71">
        <v>45358</v>
      </c>
      <c r="K15" s="11">
        <v>120000</v>
      </c>
      <c r="L15" s="11" t="s">
        <v>26</v>
      </c>
      <c r="M15" s="71">
        <v>45650</v>
      </c>
      <c r="N15" s="11">
        <v>800000</v>
      </c>
      <c r="O15" s="11" t="s">
        <v>26</v>
      </c>
      <c r="P15" s="11"/>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f t="shared" si="2"/>
        <v>1020000</v>
      </c>
      <c r="AX15" s="3">
        <f>E15</f>
        <v>50000</v>
      </c>
      <c r="AY15" s="3">
        <f>H15+K15+N15</f>
        <v>970000</v>
      </c>
      <c r="AZ15" s="3">
        <f t="shared" si="0"/>
        <v>1020000</v>
      </c>
      <c r="BA15" s="1" t="b">
        <f t="shared" si="1"/>
        <v>1</v>
      </c>
    </row>
    <row r="16" spans="1:54" s="1" customFormat="1" x14ac:dyDescent="0.35">
      <c r="A16" s="3">
        <v>11</v>
      </c>
      <c r="B16" s="7" t="s">
        <v>39</v>
      </c>
      <c r="C16" s="7"/>
      <c r="D16" s="71">
        <v>45355</v>
      </c>
      <c r="E16" s="11">
        <v>170000</v>
      </c>
      <c r="F16" s="11" t="s">
        <v>29</v>
      </c>
      <c r="G16" s="70">
        <v>45355</v>
      </c>
      <c r="H16" s="11">
        <v>170000</v>
      </c>
      <c r="I16" s="7" t="s">
        <v>27</v>
      </c>
      <c r="J16" s="71">
        <v>45530</v>
      </c>
      <c r="K16" s="11">
        <v>460000</v>
      </c>
      <c r="L16" s="11" t="s">
        <v>26</v>
      </c>
      <c r="M16" s="71">
        <v>45690</v>
      </c>
      <c r="N16" s="11">
        <v>200000</v>
      </c>
      <c r="O16" s="11" t="s">
        <v>26</v>
      </c>
      <c r="P16" s="11"/>
      <c r="Q16" s="10"/>
      <c r="R16" s="11"/>
      <c r="S16" s="11"/>
      <c r="T16" s="11"/>
      <c r="U16" s="11"/>
      <c r="V16" s="11"/>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f t="shared" si="2"/>
        <v>1000000</v>
      </c>
      <c r="AX16" s="66">
        <f>E16</f>
        <v>170000</v>
      </c>
      <c r="AY16" s="3">
        <f>H16+K16+N16</f>
        <v>830000</v>
      </c>
      <c r="AZ16" s="3">
        <f t="shared" si="0"/>
        <v>1000000</v>
      </c>
      <c r="BA16" s="1" t="b">
        <f t="shared" si="1"/>
        <v>1</v>
      </c>
    </row>
    <row r="17" spans="1:53" s="1" customFormat="1" x14ac:dyDescent="0.35">
      <c r="A17" s="3">
        <v>12</v>
      </c>
      <c r="B17" s="7" t="s">
        <v>40</v>
      </c>
      <c r="C17" s="7"/>
      <c r="D17" s="71">
        <v>45355</v>
      </c>
      <c r="E17" s="11">
        <v>100000</v>
      </c>
      <c r="F17" s="11" t="s">
        <v>27</v>
      </c>
      <c r="G17" s="11"/>
      <c r="H17" s="11"/>
      <c r="I17" s="11"/>
      <c r="J17" s="11"/>
      <c r="K17" s="11"/>
      <c r="L17" s="11"/>
      <c r="M17" s="11"/>
      <c r="N17" s="11"/>
      <c r="O17" s="11"/>
      <c r="P17" s="11"/>
      <c r="Q17" s="10"/>
      <c r="R17" s="11"/>
      <c r="S17" s="11"/>
      <c r="T17" s="11"/>
      <c r="U17" s="11"/>
      <c r="V17" s="11"/>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f t="shared" si="2"/>
        <v>100000</v>
      </c>
      <c r="AX17" s="66"/>
      <c r="AY17" s="3">
        <f>E17</f>
        <v>100000</v>
      </c>
      <c r="AZ17" s="3">
        <f t="shared" si="0"/>
        <v>100000</v>
      </c>
      <c r="BA17" s="1" t="b">
        <f t="shared" si="1"/>
        <v>1</v>
      </c>
    </row>
    <row r="18" spans="1:53" s="1" customFormat="1" x14ac:dyDescent="0.35">
      <c r="A18" s="3">
        <v>13</v>
      </c>
      <c r="B18" s="7" t="s">
        <v>41</v>
      </c>
      <c r="C18" s="7"/>
      <c r="D18" s="71">
        <v>45355</v>
      </c>
      <c r="E18" s="11">
        <v>100000</v>
      </c>
      <c r="F18" s="11" t="s">
        <v>27</v>
      </c>
      <c r="G18" s="71">
        <v>45359</v>
      </c>
      <c r="H18" s="11">
        <v>190000</v>
      </c>
      <c r="I18" s="11" t="s">
        <v>27</v>
      </c>
      <c r="J18" s="71">
        <v>45359</v>
      </c>
      <c r="K18" s="11">
        <v>110000</v>
      </c>
      <c r="L18" s="11" t="s">
        <v>29</v>
      </c>
      <c r="M18" s="71">
        <v>45359</v>
      </c>
      <c r="N18" s="11">
        <v>60000</v>
      </c>
      <c r="O18" s="11" t="s">
        <v>29</v>
      </c>
      <c r="P18" s="71">
        <v>45421</v>
      </c>
      <c r="Q18" s="11">
        <v>140000</v>
      </c>
      <c r="R18" s="11" t="s">
        <v>26</v>
      </c>
      <c r="S18" s="71">
        <v>45485</v>
      </c>
      <c r="T18" s="11">
        <v>140000</v>
      </c>
      <c r="U18" s="11" t="s">
        <v>26</v>
      </c>
      <c r="V18" s="71">
        <v>45504</v>
      </c>
      <c r="W18" s="11">
        <v>60000</v>
      </c>
      <c r="X18" s="11" t="s">
        <v>26</v>
      </c>
      <c r="Y18" s="71">
        <v>45649</v>
      </c>
      <c r="Z18" s="11">
        <v>200000</v>
      </c>
      <c r="AA18" s="11" t="s">
        <v>26</v>
      </c>
      <c r="AB18" s="71">
        <v>45702</v>
      </c>
      <c r="AC18" s="11">
        <v>300000</v>
      </c>
      <c r="AD18" s="11" t="s">
        <v>26</v>
      </c>
      <c r="AE18" s="71">
        <v>45712</v>
      </c>
      <c r="AF18" s="11">
        <v>300000</v>
      </c>
      <c r="AG18" s="11" t="s">
        <v>26</v>
      </c>
      <c r="AH18" s="10"/>
      <c r="AI18" s="10"/>
      <c r="AJ18" s="10"/>
      <c r="AK18" s="10"/>
      <c r="AL18" s="10"/>
      <c r="AM18" s="10"/>
      <c r="AN18" s="10"/>
      <c r="AO18" s="10"/>
      <c r="AP18" s="10"/>
      <c r="AQ18" s="10"/>
      <c r="AR18" s="10"/>
      <c r="AS18" s="10"/>
      <c r="AT18" s="10"/>
      <c r="AU18" s="10"/>
      <c r="AV18" s="10"/>
      <c r="AW18" s="10">
        <f t="shared" si="2"/>
        <v>1600000</v>
      </c>
      <c r="AX18" s="66">
        <f>K18+N18</f>
        <v>170000</v>
      </c>
      <c r="AY18" s="3">
        <f>E18+H18+Q18+T18+W18+Z18+AC18+AF18</f>
        <v>1430000</v>
      </c>
      <c r="AZ18" s="3">
        <f t="shared" si="0"/>
        <v>1600000</v>
      </c>
      <c r="BA18" s="1" t="b">
        <f t="shared" si="1"/>
        <v>1</v>
      </c>
    </row>
    <row r="19" spans="1:53" s="1" customFormat="1" x14ac:dyDescent="0.35">
      <c r="A19" s="3">
        <v>14</v>
      </c>
      <c r="B19" s="7" t="s">
        <v>42</v>
      </c>
      <c r="C19" s="7"/>
      <c r="D19" s="71">
        <v>45355</v>
      </c>
      <c r="E19" s="11">
        <v>170000</v>
      </c>
      <c r="F19" s="11" t="s">
        <v>27</v>
      </c>
      <c r="G19" s="71">
        <v>45355</v>
      </c>
      <c r="H19" s="11">
        <v>80000</v>
      </c>
      <c r="I19" s="11" t="s">
        <v>29</v>
      </c>
      <c r="J19" s="71">
        <v>45361</v>
      </c>
      <c r="K19" s="11">
        <v>170000</v>
      </c>
      <c r="L19" s="11" t="s">
        <v>26</v>
      </c>
      <c r="M19" s="71">
        <v>45361</v>
      </c>
      <c r="N19" s="11">
        <v>90000</v>
      </c>
      <c r="O19" s="11" t="s">
        <v>29</v>
      </c>
      <c r="P19" s="71">
        <v>45370</v>
      </c>
      <c r="Q19" s="11">
        <v>100000</v>
      </c>
      <c r="R19" s="11" t="s">
        <v>26</v>
      </c>
      <c r="S19" s="71">
        <v>45655</v>
      </c>
      <c r="T19" s="11">
        <v>400000</v>
      </c>
      <c r="U19" s="11" t="s">
        <v>26</v>
      </c>
      <c r="V19" s="11"/>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f t="shared" si="2"/>
        <v>1010000</v>
      </c>
      <c r="AX19" s="66">
        <f>H19+N19</f>
        <v>170000</v>
      </c>
      <c r="AY19" s="3">
        <f>E19+K19+Q19+T19</f>
        <v>840000</v>
      </c>
      <c r="AZ19" s="3">
        <f t="shared" si="0"/>
        <v>1010000</v>
      </c>
      <c r="BA19" s="1" t="b">
        <f t="shared" si="1"/>
        <v>1</v>
      </c>
    </row>
    <row r="20" spans="1:53" s="1" customFormat="1" x14ac:dyDescent="0.35">
      <c r="A20" s="3">
        <v>15</v>
      </c>
      <c r="B20" s="7" t="s">
        <v>43</v>
      </c>
      <c r="C20" s="7"/>
      <c r="D20" s="71">
        <v>45356</v>
      </c>
      <c r="E20" s="11">
        <v>50000</v>
      </c>
      <c r="F20" s="11" t="s">
        <v>27</v>
      </c>
      <c r="G20" s="71">
        <v>45359</v>
      </c>
      <c r="H20" s="11">
        <v>40000</v>
      </c>
      <c r="I20" s="11" t="s">
        <v>29</v>
      </c>
      <c r="J20" s="71">
        <v>45373</v>
      </c>
      <c r="K20" s="11">
        <v>50000</v>
      </c>
      <c r="L20" s="11" t="s">
        <v>29</v>
      </c>
      <c r="M20" s="71">
        <v>45373</v>
      </c>
      <c r="N20" s="11">
        <v>120000</v>
      </c>
      <c r="O20" s="11" t="s">
        <v>27</v>
      </c>
      <c r="P20" s="71">
        <v>45663</v>
      </c>
      <c r="Q20" s="11">
        <v>780000</v>
      </c>
      <c r="R20" s="11" t="s">
        <v>26</v>
      </c>
      <c r="S20" s="11"/>
      <c r="T20" s="11"/>
      <c r="U20" s="11"/>
      <c r="V20" s="11"/>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f t="shared" si="2"/>
        <v>1040000</v>
      </c>
      <c r="AX20" s="66">
        <f>H20+K20</f>
        <v>90000</v>
      </c>
      <c r="AY20" s="3">
        <f>E20+N20+Q20</f>
        <v>950000</v>
      </c>
      <c r="AZ20" s="3">
        <f t="shared" si="0"/>
        <v>1040000</v>
      </c>
      <c r="BA20" s="1" t="b">
        <f t="shared" si="1"/>
        <v>1</v>
      </c>
    </row>
    <row r="21" spans="1:53" s="1" customFormat="1" x14ac:dyDescent="0.35">
      <c r="A21" s="3">
        <v>16</v>
      </c>
      <c r="B21" s="7" t="s">
        <v>44</v>
      </c>
      <c r="C21" s="7"/>
      <c r="D21" s="71">
        <v>45356</v>
      </c>
      <c r="E21" s="11">
        <v>10000</v>
      </c>
      <c r="F21" s="11" t="s">
        <v>29</v>
      </c>
      <c r="G21" s="71">
        <v>45356</v>
      </c>
      <c r="H21" s="11">
        <v>50000</v>
      </c>
      <c r="I21" s="11" t="s">
        <v>27</v>
      </c>
      <c r="J21" s="71">
        <v>45356</v>
      </c>
      <c r="K21" s="11">
        <v>40000</v>
      </c>
      <c r="L21" s="11" t="s">
        <v>29</v>
      </c>
      <c r="M21" s="11"/>
      <c r="N21" s="11"/>
      <c r="O21" s="11"/>
      <c r="P21" s="11"/>
      <c r="Q21" s="10"/>
      <c r="R21" s="11"/>
      <c r="S21" s="11"/>
      <c r="T21" s="11"/>
      <c r="U21" s="11"/>
      <c r="V21" s="11"/>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f t="shared" si="2"/>
        <v>100000</v>
      </c>
      <c r="AX21" s="66">
        <f>E21+K21</f>
        <v>50000</v>
      </c>
      <c r="AY21" s="3">
        <f>H21</f>
        <v>50000</v>
      </c>
      <c r="AZ21" s="3">
        <f t="shared" si="0"/>
        <v>100000</v>
      </c>
      <c r="BA21" s="1" t="b">
        <f t="shared" si="1"/>
        <v>1</v>
      </c>
    </row>
    <row r="22" spans="1:53" s="1" customFormat="1" x14ac:dyDescent="0.35">
      <c r="A22" s="3">
        <v>17</v>
      </c>
      <c r="B22" s="7" t="s">
        <v>45</v>
      </c>
      <c r="C22" s="7"/>
      <c r="D22" s="71">
        <v>45356</v>
      </c>
      <c r="E22" s="11">
        <v>50000</v>
      </c>
      <c r="F22" s="11" t="s">
        <v>27</v>
      </c>
      <c r="G22" s="71">
        <v>45356</v>
      </c>
      <c r="H22" s="11">
        <v>50000</v>
      </c>
      <c r="I22" s="11" t="s">
        <v>25</v>
      </c>
      <c r="J22" s="11"/>
      <c r="K22" s="11"/>
      <c r="L22" s="11"/>
      <c r="M22" s="11"/>
      <c r="N22" s="11"/>
      <c r="O22" s="11"/>
      <c r="P22" s="11"/>
      <c r="Q22" s="10"/>
      <c r="R22" s="11"/>
      <c r="S22" s="11"/>
      <c r="T22" s="11"/>
      <c r="U22" s="11"/>
      <c r="V22" s="11"/>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f t="shared" si="2"/>
        <v>100000</v>
      </c>
      <c r="AX22" s="66">
        <f>H22</f>
        <v>50000</v>
      </c>
      <c r="AY22" s="3">
        <f>E22</f>
        <v>50000</v>
      </c>
      <c r="AZ22" s="3">
        <f t="shared" si="0"/>
        <v>100000</v>
      </c>
      <c r="BA22" s="1" t="b">
        <f t="shared" si="1"/>
        <v>1</v>
      </c>
    </row>
    <row r="23" spans="1:53" s="1" customFormat="1" x14ac:dyDescent="0.35">
      <c r="A23" s="3">
        <v>18</v>
      </c>
      <c r="B23" s="7" t="s">
        <v>46</v>
      </c>
      <c r="C23" s="7"/>
      <c r="D23" s="71">
        <v>45357</v>
      </c>
      <c r="E23" s="11">
        <v>250000</v>
      </c>
      <c r="F23" s="11" t="s">
        <v>27</v>
      </c>
      <c r="G23" s="71">
        <v>45365</v>
      </c>
      <c r="H23" s="11">
        <v>100000</v>
      </c>
      <c r="I23" s="11" t="s">
        <v>25</v>
      </c>
      <c r="J23" s="71">
        <v>45530</v>
      </c>
      <c r="K23" s="11">
        <v>230000</v>
      </c>
      <c r="L23" s="11" t="s">
        <v>27</v>
      </c>
      <c r="M23" s="71">
        <v>45687</v>
      </c>
      <c r="N23" s="11">
        <v>420000</v>
      </c>
      <c r="O23" s="11" t="s">
        <v>27</v>
      </c>
      <c r="P23" s="11"/>
      <c r="Q23" s="10"/>
      <c r="R23" s="11"/>
      <c r="S23" s="11"/>
      <c r="T23" s="11"/>
      <c r="U23" s="11"/>
      <c r="V23" s="11"/>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f t="shared" si="2"/>
        <v>1000000</v>
      </c>
      <c r="AX23" s="66">
        <f>H23</f>
        <v>100000</v>
      </c>
      <c r="AY23" s="3">
        <f>E23+K23+N23</f>
        <v>900000</v>
      </c>
      <c r="AZ23" s="3">
        <f t="shared" si="0"/>
        <v>1000000</v>
      </c>
      <c r="BA23" s="1" t="b">
        <f t="shared" si="1"/>
        <v>1</v>
      </c>
    </row>
    <row r="24" spans="1:53" s="1" customFormat="1" x14ac:dyDescent="0.35">
      <c r="A24" s="3">
        <v>19</v>
      </c>
      <c r="B24" s="7" t="s">
        <v>47</v>
      </c>
      <c r="C24" s="7"/>
      <c r="D24" s="71">
        <v>45357</v>
      </c>
      <c r="E24" s="11">
        <v>50000</v>
      </c>
      <c r="F24" s="11" t="s">
        <v>29</v>
      </c>
      <c r="G24" s="71">
        <v>45357</v>
      </c>
      <c r="H24" s="11">
        <v>50000</v>
      </c>
      <c r="I24" s="11" t="s">
        <v>27</v>
      </c>
      <c r="J24" s="11"/>
      <c r="K24" s="11"/>
      <c r="L24" s="11"/>
      <c r="M24" s="10"/>
      <c r="N24" s="10"/>
      <c r="O24" s="10"/>
      <c r="P24" s="10"/>
      <c r="Q24" s="10"/>
      <c r="R24" s="11"/>
      <c r="S24" s="11"/>
      <c r="T24" s="11"/>
      <c r="U24" s="11"/>
      <c r="V24" s="11"/>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f t="shared" si="2"/>
        <v>100000</v>
      </c>
      <c r="AX24" s="66">
        <f>E24</f>
        <v>50000</v>
      </c>
      <c r="AY24" s="3">
        <f>H24</f>
        <v>50000</v>
      </c>
      <c r="AZ24" s="3">
        <f t="shared" si="0"/>
        <v>100000</v>
      </c>
      <c r="BA24" s="1" t="b">
        <f t="shared" si="1"/>
        <v>1</v>
      </c>
    </row>
    <row r="25" spans="1:53" s="1" customFormat="1" x14ac:dyDescent="0.35">
      <c r="A25" s="3">
        <v>20</v>
      </c>
      <c r="B25" s="7" t="s">
        <v>48</v>
      </c>
      <c r="C25" s="7"/>
      <c r="D25" s="71">
        <v>45357</v>
      </c>
      <c r="E25" s="11">
        <v>50000</v>
      </c>
      <c r="F25" s="11" t="s">
        <v>27</v>
      </c>
      <c r="G25" s="71">
        <v>45381</v>
      </c>
      <c r="H25" s="11">
        <v>150000</v>
      </c>
      <c r="I25" s="11" t="s">
        <v>27</v>
      </c>
      <c r="J25" s="71">
        <v>45649</v>
      </c>
      <c r="K25" s="11">
        <v>300000</v>
      </c>
      <c r="L25" s="11" t="s">
        <v>27</v>
      </c>
      <c r="M25" s="71">
        <v>45659</v>
      </c>
      <c r="N25" s="11">
        <v>500000</v>
      </c>
      <c r="O25" s="11" t="s">
        <v>27</v>
      </c>
      <c r="P25" s="10"/>
      <c r="Q25" s="10"/>
      <c r="R25" s="11"/>
      <c r="S25" s="11"/>
      <c r="T25" s="11"/>
      <c r="U25" s="11"/>
      <c r="V25" s="11"/>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f t="shared" si="2"/>
        <v>1000000</v>
      </c>
      <c r="AX25" s="66"/>
      <c r="AY25" s="3">
        <f>E25+H25+K25+N25</f>
        <v>1000000</v>
      </c>
      <c r="AZ25" s="3">
        <f t="shared" si="0"/>
        <v>1000000</v>
      </c>
      <c r="BA25" s="1" t="b">
        <f t="shared" si="1"/>
        <v>1</v>
      </c>
    </row>
    <row r="26" spans="1:53" s="1" customFormat="1" x14ac:dyDescent="0.35">
      <c r="A26" s="3">
        <v>21</v>
      </c>
      <c r="B26" s="7" t="s">
        <v>49</v>
      </c>
      <c r="C26" s="7"/>
      <c r="D26" s="71">
        <v>45357</v>
      </c>
      <c r="E26" s="11">
        <v>50000</v>
      </c>
      <c r="F26" s="11" t="s">
        <v>27</v>
      </c>
      <c r="G26" s="11"/>
      <c r="H26" s="11"/>
      <c r="I26" s="11"/>
      <c r="J26" s="11"/>
      <c r="K26" s="11"/>
      <c r="L26" s="11"/>
      <c r="M26" s="10"/>
      <c r="N26" s="10"/>
      <c r="O26" s="10"/>
      <c r="P26" s="10"/>
      <c r="Q26" s="10"/>
      <c r="R26" s="11"/>
      <c r="S26" s="11"/>
      <c r="T26" s="11"/>
      <c r="U26" s="11"/>
      <c r="V26" s="11"/>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f t="shared" si="2"/>
        <v>50000</v>
      </c>
      <c r="AX26" s="66"/>
      <c r="AY26" s="3">
        <f>E26</f>
        <v>50000</v>
      </c>
      <c r="AZ26" s="3">
        <f t="shared" si="0"/>
        <v>50000</v>
      </c>
      <c r="BA26" s="1" t="b">
        <f t="shared" si="1"/>
        <v>1</v>
      </c>
    </row>
    <row r="27" spans="1:53" s="1" customFormat="1" x14ac:dyDescent="0.35">
      <c r="A27" s="3">
        <v>22</v>
      </c>
      <c r="B27" s="7" t="s">
        <v>50</v>
      </c>
      <c r="C27" s="7"/>
      <c r="D27" s="71">
        <v>45357</v>
      </c>
      <c r="E27" s="7">
        <v>80000</v>
      </c>
      <c r="F27" s="7" t="s">
        <v>29</v>
      </c>
      <c r="G27" s="71">
        <v>45358</v>
      </c>
      <c r="H27" s="11">
        <v>170000</v>
      </c>
      <c r="I27" s="11" t="s">
        <v>27</v>
      </c>
      <c r="J27" s="71">
        <v>45525</v>
      </c>
      <c r="K27" s="11">
        <v>550000</v>
      </c>
      <c r="L27" s="11" t="s">
        <v>27</v>
      </c>
      <c r="M27" s="71">
        <v>45648</v>
      </c>
      <c r="N27" s="11">
        <v>200000</v>
      </c>
      <c r="O27" s="11" t="s">
        <v>27</v>
      </c>
      <c r="P27" s="71">
        <v>45727</v>
      </c>
      <c r="Q27" s="11">
        <v>300000</v>
      </c>
      <c r="R27" s="11" t="s">
        <v>30</v>
      </c>
      <c r="S27" s="11"/>
      <c r="T27" s="11"/>
      <c r="U27" s="11"/>
      <c r="V27" s="11"/>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f t="shared" si="2"/>
        <v>1300000</v>
      </c>
      <c r="AX27" s="66">
        <f>E27</f>
        <v>80000</v>
      </c>
      <c r="AY27" s="3">
        <f>H27+K27+N27+Q27</f>
        <v>1220000</v>
      </c>
      <c r="AZ27" s="3">
        <f t="shared" si="0"/>
        <v>1300000</v>
      </c>
      <c r="BA27" s="1" t="b">
        <f t="shared" si="1"/>
        <v>1</v>
      </c>
    </row>
    <row r="28" spans="1:53" s="1" customFormat="1" x14ac:dyDescent="0.35">
      <c r="A28" s="3">
        <v>23</v>
      </c>
      <c r="B28" s="7" t="s">
        <v>51</v>
      </c>
      <c r="C28" s="7"/>
      <c r="D28" s="71">
        <v>45358</v>
      </c>
      <c r="E28" s="11">
        <v>50000</v>
      </c>
      <c r="F28" s="7" t="s">
        <v>29</v>
      </c>
      <c r="G28" s="71">
        <v>45382</v>
      </c>
      <c r="H28" s="11">
        <v>50000</v>
      </c>
      <c r="I28" s="11" t="s">
        <v>27</v>
      </c>
      <c r="J28" s="71">
        <v>45652</v>
      </c>
      <c r="K28" s="11">
        <v>400000</v>
      </c>
      <c r="L28" s="11" t="s">
        <v>27</v>
      </c>
      <c r="M28" s="71">
        <v>45656</v>
      </c>
      <c r="N28" s="11">
        <v>450000</v>
      </c>
      <c r="O28" s="11" t="s">
        <v>27</v>
      </c>
      <c r="P28" s="71">
        <v>45657</v>
      </c>
      <c r="Q28" s="11">
        <v>50000</v>
      </c>
      <c r="R28" s="11" t="s">
        <v>27</v>
      </c>
      <c r="S28" s="11"/>
      <c r="T28" s="11"/>
      <c r="U28" s="11"/>
      <c r="V28" s="11"/>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f t="shared" si="2"/>
        <v>1000000</v>
      </c>
      <c r="AX28" s="66">
        <f>E28</f>
        <v>50000</v>
      </c>
      <c r="AY28" s="3">
        <f>H28+K28+N28+Q28</f>
        <v>950000</v>
      </c>
      <c r="AZ28" s="3">
        <f t="shared" si="0"/>
        <v>1000000</v>
      </c>
      <c r="BA28" s="1" t="b">
        <f t="shared" si="1"/>
        <v>1</v>
      </c>
    </row>
    <row r="29" spans="1:53" s="1" customFormat="1" x14ac:dyDescent="0.35">
      <c r="A29" s="3">
        <v>24</v>
      </c>
      <c r="B29" s="7" t="s">
        <v>52</v>
      </c>
      <c r="C29" s="7"/>
      <c r="D29" s="71">
        <v>45359</v>
      </c>
      <c r="E29" s="11">
        <v>100000</v>
      </c>
      <c r="F29" s="7" t="s">
        <v>29</v>
      </c>
      <c r="G29" s="71">
        <v>45359</v>
      </c>
      <c r="H29" s="11">
        <v>130000</v>
      </c>
      <c r="I29" s="11" t="s">
        <v>27</v>
      </c>
      <c r="J29" s="71">
        <v>45383</v>
      </c>
      <c r="K29" s="11">
        <v>70000</v>
      </c>
      <c r="L29" s="11" t="s">
        <v>29</v>
      </c>
      <c r="M29" s="71">
        <v>45383</v>
      </c>
      <c r="N29" s="11">
        <v>120000</v>
      </c>
      <c r="O29" s="11" t="s">
        <v>27</v>
      </c>
      <c r="P29" s="11"/>
      <c r="Q29" s="11"/>
      <c r="R29" s="11"/>
      <c r="S29" s="11"/>
      <c r="T29" s="11"/>
      <c r="U29" s="11"/>
      <c r="V29" s="11"/>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f t="shared" si="2"/>
        <v>420000</v>
      </c>
      <c r="AX29" s="66">
        <f>E29+K29</f>
        <v>170000</v>
      </c>
      <c r="AY29" s="3">
        <f>H29+N29</f>
        <v>250000</v>
      </c>
      <c r="AZ29" s="3">
        <f t="shared" si="0"/>
        <v>420000</v>
      </c>
      <c r="BA29" s="1" t="b">
        <f t="shared" si="1"/>
        <v>1</v>
      </c>
    </row>
    <row r="30" spans="1:53" s="1" customFormat="1" x14ac:dyDescent="0.35">
      <c r="A30" s="3">
        <v>25</v>
      </c>
      <c r="B30" s="7" t="s">
        <v>53</v>
      </c>
      <c r="C30" s="7"/>
      <c r="D30" s="71">
        <v>45359</v>
      </c>
      <c r="E30" s="11">
        <v>50000</v>
      </c>
      <c r="F30" s="11" t="s">
        <v>27</v>
      </c>
      <c r="G30" s="71">
        <v>45360</v>
      </c>
      <c r="H30" s="11">
        <v>90000</v>
      </c>
      <c r="I30" s="11" t="s">
        <v>27</v>
      </c>
      <c r="J30" s="71">
        <v>45360</v>
      </c>
      <c r="K30" s="11">
        <v>30000</v>
      </c>
      <c r="L30" s="11" t="s">
        <v>29</v>
      </c>
      <c r="M30" s="71">
        <v>45380</v>
      </c>
      <c r="N30" s="11">
        <v>150000</v>
      </c>
      <c r="O30" s="11" t="s">
        <v>27</v>
      </c>
      <c r="P30" s="71">
        <v>45380</v>
      </c>
      <c r="Q30" s="11">
        <v>30000</v>
      </c>
      <c r="R30" s="11" t="s">
        <v>29</v>
      </c>
      <c r="S30" s="11"/>
      <c r="T30" s="11"/>
      <c r="U30" s="11"/>
      <c r="V30" s="11"/>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f t="shared" si="2"/>
        <v>350000</v>
      </c>
      <c r="AX30" s="66">
        <f>K30+Q30</f>
        <v>60000</v>
      </c>
      <c r="AY30" s="3">
        <f>E30+H30+N30</f>
        <v>290000</v>
      </c>
      <c r="AZ30" s="3">
        <f t="shared" si="0"/>
        <v>350000</v>
      </c>
      <c r="BA30" s="1" t="b">
        <f t="shared" si="1"/>
        <v>1</v>
      </c>
    </row>
    <row r="31" spans="1:53" s="1" customFormat="1" x14ac:dyDescent="0.35">
      <c r="A31" s="3">
        <v>26</v>
      </c>
      <c r="B31" s="7" t="s">
        <v>54</v>
      </c>
      <c r="C31" s="7"/>
      <c r="D31" s="71">
        <v>45360</v>
      </c>
      <c r="E31" s="11">
        <v>290000</v>
      </c>
      <c r="F31" s="11" t="s">
        <v>27</v>
      </c>
      <c r="G31" s="71">
        <v>45360</v>
      </c>
      <c r="H31" s="11">
        <v>110000</v>
      </c>
      <c r="I31" s="11" t="s">
        <v>29</v>
      </c>
      <c r="J31" s="71">
        <v>45523</v>
      </c>
      <c r="K31" s="11">
        <v>340000</v>
      </c>
      <c r="L31" s="11" t="s">
        <v>27</v>
      </c>
      <c r="M31" s="71">
        <v>45523</v>
      </c>
      <c r="N31" s="11">
        <v>60000</v>
      </c>
      <c r="O31" s="11" t="s">
        <v>25</v>
      </c>
      <c r="P31" s="11"/>
      <c r="Q31" s="11"/>
      <c r="R31" s="11"/>
      <c r="S31" s="11"/>
      <c r="T31" s="11"/>
      <c r="U31" s="11"/>
      <c r="V31" s="11"/>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f t="shared" si="2"/>
        <v>800000</v>
      </c>
      <c r="AX31" s="66">
        <f>H31+N31</f>
        <v>170000</v>
      </c>
      <c r="AY31" s="3">
        <f>E31+K31</f>
        <v>630000</v>
      </c>
      <c r="AZ31" s="3">
        <f t="shared" si="0"/>
        <v>800000</v>
      </c>
      <c r="BA31" s="1" t="b">
        <f t="shared" si="1"/>
        <v>1</v>
      </c>
    </row>
    <row r="32" spans="1:53" s="1" customFormat="1" ht="16" customHeight="1" x14ac:dyDescent="0.35">
      <c r="A32" s="3">
        <v>27</v>
      </c>
      <c r="B32" s="7" t="s">
        <v>55</v>
      </c>
      <c r="C32" s="7"/>
      <c r="D32" s="71">
        <v>45360</v>
      </c>
      <c r="E32" s="11">
        <v>60000</v>
      </c>
      <c r="F32" s="11" t="s">
        <v>29</v>
      </c>
      <c r="G32" s="71">
        <v>45360</v>
      </c>
      <c r="H32" s="11">
        <v>90000</v>
      </c>
      <c r="I32" s="11" t="s">
        <v>27</v>
      </c>
      <c r="J32" s="71">
        <v>45526</v>
      </c>
      <c r="K32" s="11">
        <v>650000</v>
      </c>
      <c r="L32" s="11" t="s">
        <v>27</v>
      </c>
      <c r="M32" s="11"/>
      <c r="N32" s="11"/>
      <c r="O32" s="11"/>
      <c r="P32" s="11"/>
      <c r="Q32" s="11"/>
      <c r="R32" s="11"/>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f t="shared" si="2"/>
        <v>800000</v>
      </c>
      <c r="AX32" s="66">
        <f>E32</f>
        <v>60000</v>
      </c>
      <c r="AY32" s="3">
        <f>H32+K32</f>
        <v>740000</v>
      </c>
      <c r="AZ32" s="3">
        <f t="shared" si="0"/>
        <v>800000</v>
      </c>
      <c r="BA32" s="1" t="b">
        <f t="shared" si="1"/>
        <v>1</v>
      </c>
    </row>
    <row r="33" spans="1:53" s="1" customFormat="1" x14ac:dyDescent="0.35">
      <c r="A33" s="3">
        <v>28</v>
      </c>
      <c r="B33" s="7" t="s">
        <v>56</v>
      </c>
      <c r="C33" s="7"/>
      <c r="D33" s="71">
        <v>45360</v>
      </c>
      <c r="E33" s="11">
        <v>120000</v>
      </c>
      <c r="F33" s="11" t="s">
        <v>27</v>
      </c>
      <c r="G33" s="11"/>
      <c r="H33" s="10"/>
      <c r="I33" s="10"/>
      <c r="J33" s="10"/>
      <c r="K33" s="10"/>
      <c r="L33" s="11"/>
      <c r="M33" s="11"/>
      <c r="N33" s="11"/>
      <c r="O33" s="11"/>
      <c r="P33" s="11"/>
      <c r="Q33" s="11"/>
      <c r="R33" s="11"/>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f t="shared" si="2"/>
        <v>120000</v>
      </c>
      <c r="AX33" s="66"/>
      <c r="AY33" s="3">
        <f>E33</f>
        <v>120000</v>
      </c>
      <c r="AZ33" s="3">
        <f t="shared" si="0"/>
        <v>120000</v>
      </c>
      <c r="BA33" s="1" t="b">
        <f t="shared" si="1"/>
        <v>1</v>
      </c>
    </row>
    <row r="34" spans="1:53" s="1" customFormat="1" x14ac:dyDescent="0.35">
      <c r="A34" s="3">
        <v>29</v>
      </c>
      <c r="B34" s="7" t="s">
        <v>57</v>
      </c>
      <c r="C34" s="7"/>
      <c r="D34" s="71">
        <v>45360</v>
      </c>
      <c r="E34" s="11">
        <v>90000</v>
      </c>
      <c r="F34" s="11" t="s">
        <v>27</v>
      </c>
      <c r="G34" s="71">
        <v>45360</v>
      </c>
      <c r="H34" s="11">
        <v>60000</v>
      </c>
      <c r="I34" s="11" t="s">
        <v>29</v>
      </c>
      <c r="J34" s="71">
        <v>45530</v>
      </c>
      <c r="K34" s="11">
        <v>600000</v>
      </c>
      <c r="L34" s="11" t="s">
        <v>27</v>
      </c>
      <c r="M34" s="71">
        <v>45530</v>
      </c>
      <c r="N34" s="11">
        <v>200000</v>
      </c>
      <c r="O34" s="11" t="s">
        <v>27</v>
      </c>
      <c r="P34" s="71">
        <v>45657</v>
      </c>
      <c r="Q34" s="11">
        <v>50000</v>
      </c>
      <c r="R34" s="11" t="s">
        <v>27</v>
      </c>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f t="shared" si="2"/>
        <v>1000000</v>
      </c>
      <c r="AX34" s="66">
        <f>H34</f>
        <v>60000</v>
      </c>
      <c r="AY34" s="3">
        <f>E34+K34+N34+Q34</f>
        <v>940000</v>
      </c>
      <c r="AZ34" s="3">
        <f t="shared" si="0"/>
        <v>1000000</v>
      </c>
      <c r="BA34" s="1" t="b">
        <f t="shared" si="1"/>
        <v>1</v>
      </c>
    </row>
    <row r="35" spans="1:53" s="1" customFormat="1" x14ac:dyDescent="0.35">
      <c r="A35" s="3">
        <v>30</v>
      </c>
      <c r="B35" s="7" t="s">
        <v>58</v>
      </c>
      <c r="C35" s="7"/>
      <c r="D35" s="71">
        <v>45361</v>
      </c>
      <c r="E35" s="11">
        <v>280000</v>
      </c>
      <c r="F35" s="11" t="s">
        <v>27</v>
      </c>
      <c r="G35" s="71">
        <v>45361</v>
      </c>
      <c r="H35" s="11">
        <v>70000</v>
      </c>
      <c r="I35" s="11" t="s">
        <v>29</v>
      </c>
      <c r="J35" s="71">
        <v>45361</v>
      </c>
      <c r="K35" s="11">
        <v>280000</v>
      </c>
      <c r="L35" s="11" t="s">
        <v>27</v>
      </c>
      <c r="M35" s="11"/>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f t="shared" si="2"/>
        <v>630000</v>
      </c>
      <c r="AX35" s="66">
        <f>H35</f>
        <v>70000</v>
      </c>
      <c r="AY35" s="3">
        <f>E35+K35</f>
        <v>560000</v>
      </c>
      <c r="AZ35" s="3">
        <f t="shared" si="0"/>
        <v>630000</v>
      </c>
      <c r="BA35" s="1" t="b">
        <f t="shared" si="1"/>
        <v>1</v>
      </c>
    </row>
    <row r="36" spans="1:53" s="1" customFormat="1" x14ac:dyDescent="0.35">
      <c r="A36" s="3">
        <v>31</v>
      </c>
      <c r="B36" s="7" t="s">
        <v>59</v>
      </c>
      <c r="C36" s="7"/>
      <c r="D36" s="71">
        <v>45361</v>
      </c>
      <c r="E36" s="11">
        <v>100000</v>
      </c>
      <c r="F36" s="11" t="s">
        <v>29</v>
      </c>
      <c r="G36" s="71">
        <v>45361</v>
      </c>
      <c r="H36" s="11">
        <v>250000</v>
      </c>
      <c r="I36" s="11" t="s">
        <v>27</v>
      </c>
      <c r="J36" s="71">
        <v>45637</v>
      </c>
      <c r="K36" s="11">
        <v>450000</v>
      </c>
      <c r="L36" s="11" t="s">
        <v>27</v>
      </c>
      <c r="M36" s="71">
        <v>45650</v>
      </c>
      <c r="N36" s="11">
        <v>200000</v>
      </c>
      <c r="O36" s="11" t="s">
        <v>27</v>
      </c>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f t="shared" si="2"/>
        <v>1000000</v>
      </c>
      <c r="AX36" s="66">
        <f>E36</f>
        <v>100000</v>
      </c>
      <c r="AY36" s="3">
        <f>H36+K36+N36</f>
        <v>900000</v>
      </c>
      <c r="AZ36" s="3">
        <f t="shared" si="0"/>
        <v>1000000</v>
      </c>
      <c r="BA36" s="1" t="b">
        <f t="shared" si="1"/>
        <v>1</v>
      </c>
    </row>
    <row r="37" spans="1:53" s="1" customFormat="1" x14ac:dyDescent="0.35">
      <c r="A37" s="3">
        <v>32</v>
      </c>
      <c r="B37" s="7" t="s">
        <v>60</v>
      </c>
      <c r="C37" s="7"/>
      <c r="D37" s="71">
        <v>45361</v>
      </c>
      <c r="E37" s="11">
        <v>50000</v>
      </c>
      <c r="F37" s="11" t="s">
        <v>27</v>
      </c>
      <c r="G37" s="71">
        <v>45361</v>
      </c>
      <c r="H37" s="11">
        <v>50000</v>
      </c>
      <c r="I37" s="11" t="s">
        <v>25</v>
      </c>
      <c r="J37" s="71">
        <v>45669</v>
      </c>
      <c r="K37" s="11">
        <v>1000000</v>
      </c>
      <c r="L37" s="11" t="s">
        <v>27</v>
      </c>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f t="shared" si="2"/>
        <v>1100000</v>
      </c>
      <c r="AX37" s="66">
        <f>H37</f>
        <v>50000</v>
      </c>
      <c r="AY37" s="3">
        <f>E37+K37</f>
        <v>1050000</v>
      </c>
      <c r="AZ37" s="3">
        <f t="shared" si="0"/>
        <v>1100000</v>
      </c>
      <c r="BA37" s="1" t="b">
        <f t="shared" si="1"/>
        <v>1</v>
      </c>
    </row>
    <row r="38" spans="1:53" s="1" customFormat="1" x14ac:dyDescent="0.35">
      <c r="A38" s="3">
        <v>33</v>
      </c>
      <c r="B38" s="7" t="s">
        <v>61</v>
      </c>
      <c r="C38" s="7"/>
      <c r="D38" s="71">
        <v>45363</v>
      </c>
      <c r="E38" s="11">
        <v>170000</v>
      </c>
      <c r="F38" s="11" t="s">
        <v>29</v>
      </c>
      <c r="G38" s="71">
        <v>45363</v>
      </c>
      <c r="H38" s="11">
        <v>130000</v>
      </c>
      <c r="I38" s="11" t="s">
        <v>27</v>
      </c>
      <c r="J38" s="71">
        <v>45524</v>
      </c>
      <c r="K38" s="11">
        <v>220000</v>
      </c>
      <c r="L38" s="11" t="s">
        <v>27</v>
      </c>
      <c r="M38" s="71">
        <v>45530</v>
      </c>
      <c r="N38" s="11">
        <v>280000</v>
      </c>
      <c r="O38" s="11" t="s">
        <v>27</v>
      </c>
      <c r="P38" s="71">
        <v>45659</v>
      </c>
      <c r="Q38" s="11">
        <v>200000</v>
      </c>
      <c r="R38" s="11" t="s">
        <v>27</v>
      </c>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f t="shared" si="2"/>
        <v>1000000</v>
      </c>
      <c r="AX38" s="66">
        <f>E38</f>
        <v>170000</v>
      </c>
      <c r="AY38" s="3">
        <f>H38+K38+N38+Q38</f>
        <v>830000</v>
      </c>
      <c r="AZ38" s="3">
        <f t="shared" ref="AZ38:AZ64" si="3">AX38+AY38</f>
        <v>1000000</v>
      </c>
      <c r="BA38" s="1" t="b">
        <f t="shared" ref="BA38:BA64" si="4">AZ38=AW38</f>
        <v>1</v>
      </c>
    </row>
    <row r="39" spans="1:53" s="1" customFormat="1" x14ac:dyDescent="0.35">
      <c r="A39" s="3">
        <v>34</v>
      </c>
      <c r="B39" s="7" t="s">
        <v>62</v>
      </c>
      <c r="C39" s="7"/>
      <c r="D39" s="71">
        <v>45363</v>
      </c>
      <c r="E39" s="11">
        <v>50000</v>
      </c>
      <c r="F39" s="11" t="s">
        <v>29</v>
      </c>
      <c r="G39" s="11"/>
      <c r="H39" s="11"/>
      <c r="I39" s="11"/>
      <c r="J39" s="11"/>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f t="shared" si="2"/>
        <v>50000</v>
      </c>
      <c r="AX39" s="66">
        <f>E39</f>
        <v>50000</v>
      </c>
      <c r="AY39" s="3"/>
      <c r="AZ39" s="3">
        <f t="shared" si="3"/>
        <v>50000</v>
      </c>
      <c r="BA39" s="1" t="b">
        <f t="shared" si="4"/>
        <v>1</v>
      </c>
    </row>
    <row r="40" spans="1:53" s="1" customFormat="1" x14ac:dyDescent="0.35">
      <c r="A40" s="3">
        <v>35</v>
      </c>
      <c r="B40" s="7" t="s">
        <v>63</v>
      </c>
      <c r="C40" s="7"/>
      <c r="D40" s="71">
        <v>45363</v>
      </c>
      <c r="E40" s="11">
        <v>50000</v>
      </c>
      <c r="F40" s="11" t="s">
        <v>29</v>
      </c>
      <c r="G40" s="71">
        <v>45382</v>
      </c>
      <c r="H40" s="11">
        <v>100000</v>
      </c>
      <c r="I40" s="11" t="s">
        <v>27</v>
      </c>
      <c r="J40" s="71">
        <v>45487</v>
      </c>
      <c r="K40" s="11">
        <v>100000</v>
      </c>
      <c r="L40" s="11" t="s">
        <v>27</v>
      </c>
      <c r="M40" s="71">
        <v>45652</v>
      </c>
      <c r="N40" s="11">
        <v>200000</v>
      </c>
      <c r="O40" s="11" t="s">
        <v>27</v>
      </c>
      <c r="P40" s="71">
        <v>45656</v>
      </c>
      <c r="Q40" s="11">
        <v>550000</v>
      </c>
      <c r="R40" s="11" t="s">
        <v>27</v>
      </c>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f t="shared" si="2"/>
        <v>1000000</v>
      </c>
      <c r="AX40" s="66">
        <f>E40</f>
        <v>50000</v>
      </c>
      <c r="AY40" s="3">
        <f>H40+K40+N40+Q40</f>
        <v>950000</v>
      </c>
      <c r="AZ40" s="3">
        <f t="shared" si="3"/>
        <v>1000000</v>
      </c>
      <c r="BA40" s="1" t="b">
        <f t="shared" si="4"/>
        <v>1</v>
      </c>
    </row>
    <row r="41" spans="1:53" s="1" customFormat="1" x14ac:dyDescent="0.35">
      <c r="A41" s="3">
        <v>36</v>
      </c>
      <c r="B41" s="7" t="s">
        <v>64</v>
      </c>
      <c r="C41" s="7"/>
      <c r="D41" s="71">
        <v>45369</v>
      </c>
      <c r="E41" s="11">
        <v>80000</v>
      </c>
      <c r="F41" s="11" t="s">
        <v>29</v>
      </c>
      <c r="G41" s="71">
        <v>45369</v>
      </c>
      <c r="H41" s="11">
        <v>90000</v>
      </c>
      <c r="I41" s="11" t="s">
        <v>27</v>
      </c>
      <c r="J41" s="71">
        <v>45683</v>
      </c>
      <c r="K41" s="11">
        <v>200000</v>
      </c>
      <c r="L41" s="11" t="s">
        <v>27</v>
      </c>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f t="shared" si="2"/>
        <v>370000</v>
      </c>
      <c r="AX41" s="66">
        <f>E41</f>
        <v>80000</v>
      </c>
      <c r="AY41" s="3">
        <f>H41+K41</f>
        <v>290000</v>
      </c>
      <c r="AZ41" s="3">
        <f t="shared" si="3"/>
        <v>370000</v>
      </c>
      <c r="BA41" s="1" t="b">
        <f t="shared" si="4"/>
        <v>1</v>
      </c>
    </row>
    <row r="42" spans="1:53" s="1" customFormat="1" x14ac:dyDescent="0.35">
      <c r="A42" s="3">
        <v>37</v>
      </c>
      <c r="B42" s="7" t="s">
        <v>65</v>
      </c>
      <c r="C42" s="7"/>
      <c r="D42" s="71">
        <v>45369</v>
      </c>
      <c r="E42" s="11">
        <v>220000</v>
      </c>
      <c r="F42" s="11" t="s">
        <v>27</v>
      </c>
      <c r="G42" s="71">
        <v>45369</v>
      </c>
      <c r="H42" s="11">
        <v>80000</v>
      </c>
      <c r="I42" s="11" t="s">
        <v>29</v>
      </c>
      <c r="J42" s="71">
        <v>45524</v>
      </c>
      <c r="K42" s="11">
        <v>550000</v>
      </c>
      <c r="L42" s="11" t="s">
        <v>26</v>
      </c>
      <c r="M42" s="71">
        <v>45683</v>
      </c>
      <c r="N42" s="11">
        <v>150000</v>
      </c>
      <c r="O42" s="11" t="s">
        <v>27</v>
      </c>
      <c r="P42" s="11"/>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f t="shared" si="2"/>
        <v>1000000</v>
      </c>
      <c r="AX42" s="66">
        <f>H42</f>
        <v>80000</v>
      </c>
      <c r="AY42" s="3">
        <f>E42+K42+N42</f>
        <v>920000</v>
      </c>
      <c r="AZ42" s="3">
        <f t="shared" si="3"/>
        <v>1000000</v>
      </c>
      <c r="BA42" s="1" t="b">
        <f t="shared" si="4"/>
        <v>1</v>
      </c>
    </row>
    <row r="43" spans="1:53" s="1" customFormat="1" x14ac:dyDescent="0.35">
      <c r="A43" s="3">
        <v>38</v>
      </c>
      <c r="B43" s="7" t="s">
        <v>66</v>
      </c>
      <c r="C43" s="7"/>
      <c r="D43" s="71">
        <v>45369</v>
      </c>
      <c r="E43" s="7">
        <v>150000</v>
      </c>
      <c r="F43" s="7" t="s">
        <v>29</v>
      </c>
      <c r="G43" s="71">
        <v>45370</v>
      </c>
      <c r="H43" s="11">
        <v>20000</v>
      </c>
      <c r="I43" s="11" t="s">
        <v>29</v>
      </c>
      <c r="J43" s="71">
        <v>45370</v>
      </c>
      <c r="K43" s="11">
        <v>200000</v>
      </c>
      <c r="L43" s="11" t="s">
        <v>26</v>
      </c>
      <c r="M43" s="71">
        <v>45382</v>
      </c>
      <c r="N43" s="11">
        <v>130000</v>
      </c>
      <c r="O43" s="11" t="s">
        <v>27</v>
      </c>
      <c r="P43" s="71">
        <v>45525</v>
      </c>
      <c r="Q43" s="11">
        <v>300000</v>
      </c>
      <c r="R43" s="11" t="s">
        <v>27</v>
      </c>
      <c r="S43" s="71">
        <v>45635</v>
      </c>
      <c r="T43" s="10">
        <v>200000</v>
      </c>
      <c r="U43" s="10" t="s">
        <v>27</v>
      </c>
      <c r="V43" s="71">
        <v>45659</v>
      </c>
      <c r="W43" s="10">
        <v>250000</v>
      </c>
      <c r="X43" s="10" t="s">
        <v>27</v>
      </c>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f t="shared" ref="AW43:AW65" si="5">E43+H43+K43+N43+Q43+T43+W43+Z43+AC43+AF43+AI43+AO43+AL43+AR43</f>
        <v>1250000</v>
      </c>
      <c r="AX43" s="66">
        <f>E43+H43</f>
        <v>170000</v>
      </c>
      <c r="AY43" s="3">
        <f>K43+N43+Q43+T43+W43</f>
        <v>1080000</v>
      </c>
      <c r="AZ43" s="3">
        <f t="shared" si="3"/>
        <v>1250000</v>
      </c>
      <c r="BA43" s="1" t="b">
        <f t="shared" si="4"/>
        <v>1</v>
      </c>
    </row>
    <row r="44" spans="1:53" s="1" customFormat="1" x14ac:dyDescent="0.35">
      <c r="A44" s="3">
        <v>39</v>
      </c>
      <c r="B44" s="7" t="s">
        <v>67</v>
      </c>
      <c r="C44" s="7"/>
      <c r="D44" s="71">
        <v>45369</v>
      </c>
      <c r="E44" s="11">
        <v>63000</v>
      </c>
      <c r="F44" s="11" t="s">
        <v>27</v>
      </c>
      <c r="G44" s="71">
        <v>45392</v>
      </c>
      <c r="H44" s="11">
        <v>50000</v>
      </c>
      <c r="I44" s="11" t="s">
        <v>27</v>
      </c>
      <c r="J44" s="71">
        <v>45635</v>
      </c>
      <c r="K44" s="11">
        <v>100000</v>
      </c>
      <c r="L44" s="11" t="s">
        <v>26</v>
      </c>
      <c r="M44" s="71">
        <v>45653</v>
      </c>
      <c r="N44" s="11">
        <v>300000</v>
      </c>
      <c r="O44" s="11" t="s">
        <v>26</v>
      </c>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f t="shared" si="5"/>
        <v>513000</v>
      </c>
      <c r="AX44" s="66"/>
      <c r="AY44" s="3">
        <f>E44+H44+K44+N44</f>
        <v>513000</v>
      </c>
      <c r="AZ44" s="3">
        <f t="shared" si="3"/>
        <v>513000</v>
      </c>
      <c r="BA44" s="1" t="b">
        <f t="shared" si="4"/>
        <v>1</v>
      </c>
    </row>
    <row r="45" spans="1:53" s="1" customFormat="1" x14ac:dyDescent="0.35">
      <c r="A45" s="3">
        <v>40</v>
      </c>
      <c r="B45" s="7" t="s">
        <v>68</v>
      </c>
      <c r="C45" s="7"/>
      <c r="D45" s="71">
        <v>45370</v>
      </c>
      <c r="E45" s="11">
        <v>50000</v>
      </c>
      <c r="F45" s="11" t="s">
        <v>29</v>
      </c>
      <c r="G45" s="71">
        <v>45370</v>
      </c>
      <c r="H45" s="11">
        <v>90000</v>
      </c>
      <c r="I45" s="11" t="s">
        <v>27</v>
      </c>
      <c r="J45" s="71">
        <v>45527</v>
      </c>
      <c r="K45" s="11">
        <v>660000</v>
      </c>
      <c r="L45" s="11" t="s">
        <v>26</v>
      </c>
      <c r="M45" s="71">
        <v>45655</v>
      </c>
      <c r="N45" s="11">
        <v>200000</v>
      </c>
      <c r="O45" s="11" t="s">
        <v>26</v>
      </c>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f t="shared" si="5"/>
        <v>1000000</v>
      </c>
      <c r="AX45" s="66">
        <f>E45</f>
        <v>50000</v>
      </c>
      <c r="AY45" s="3">
        <f>H45+K45+N45</f>
        <v>950000</v>
      </c>
      <c r="AZ45" s="3">
        <f t="shared" si="3"/>
        <v>1000000</v>
      </c>
      <c r="BA45" s="1" t="b">
        <f t="shared" si="4"/>
        <v>1</v>
      </c>
    </row>
    <row r="46" spans="1:53" s="1" customFormat="1" x14ac:dyDescent="0.35">
      <c r="A46" s="3">
        <v>41</v>
      </c>
      <c r="B46" s="7" t="s">
        <v>69</v>
      </c>
      <c r="C46" s="7"/>
      <c r="D46" s="71">
        <v>45370</v>
      </c>
      <c r="E46" s="11">
        <v>530000</v>
      </c>
      <c r="F46" s="11" t="s">
        <v>27</v>
      </c>
      <c r="G46" s="71">
        <v>45370</v>
      </c>
      <c r="H46" s="11">
        <v>230000</v>
      </c>
      <c r="I46" s="11" t="s">
        <v>29</v>
      </c>
      <c r="J46" s="71">
        <v>45523</v>
      </c>
      <c r="K46" s="11">
        <v>40000</v>
      </c>
      <c r="L46" s="11" t="s">
        <v>26</v>
      </c>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f t="shared" si="5"/>
        <v>800000</v>
      </c>
      <c r="AX46" s="66">
        <f>H46</f>
        <v>230000</v>
      </c>
      <c r="AY46" s="3">
        <f>E46+K46</f>
        <v>570000</v>
      </c>
      <c r="AZ46" s="3">
        <f t="shared" si="3"/>
        <v>800000</v>
      </c>
      <c r="BA46" s="1" t="b">
        <f t="shared" si="4"/>
        <v>1</v>
      </c>
    </row>
    <row r="47" spans="1:53" s="1" customFormat="1" x14ac:dyDescent="0.35">
      <c r="A47" s="3">
        <v>42</v>
      </c>
      <c r="B47" s="7" t="s">
        <v>70</v>
      </c>
      <c r="C47" s="7"/>
      <c r="D47" s="71">
        <v>45370</v>
      </c>
      <c r="E47" s="11">
        <v>50000</v>
      </c>
      <c r="F47" s="11" t="s">
        <v>29</v>
      </c>
      <c r="G47" s="71">
        <v>45370</v>
      </c>
      <c r="H47" s="11">
        <v>50000</v>
      </c>
      <c r="I47" s="11" t="s">
        <v>27</v>
      </c>
      <c r="J47" s="71">
        <v>45386</v>
      </c>
      <c r="K47" s="11">
        <v>100000</v>
      </c>
      <c r="L47" s="11" t="s">
        <v>26</v>
      </c>
      <c r="M47" s="71">
        <v>45386</v>
      </c>
      <c r="N47" s="11">
        <v>10000</v>
      </c>
      <c r="O47" s="11" t="s">
        <v>25</v>
      </c>
      <c r="P47" s="71">
        <v>45641</v>
      </c>
      <c r="Q47" s="11">
        <v>150000</v>
      </c>
      <c r="R47" s="11" t="s">
        <v>27</v>
      </c>
      <c r="S47" s="71">
        <v>45649</v>
      </c>
      <c r="T47" s="11">
        <v>100000</v>
      </c>
      <c r="U47" s="11" t="s">
        <v>27</v>
      </c>
      <c r="V47" s="71">
        <v>45658</v>
      </c>
      <c r="W47" s="11">
        <v>50000</v>
      </c>
      <c r="X47" s="11" t="s">
        <v>27</v>
      </c>
      <c r="Y47" s="71">
        <v>45661</v>
      </c>
      <c r="Z47" s="11">
        <v>200000</v>
      </c>
      <c r="AA47" s="11" t="s">
        <v>27</v>
      </c>
      <c r="AB47" s="71">
        <v>45708</v>
      </c>
      <c r="AC47" s="11">
        <v>300000</v>
      </c>
      <c r="AD47" s="11" t="s">
        <v>27</v>
      </c>
      <c r="AE47" s="10"/>
      <c r="AF47" s="10"/>
      <c r="AG47" s="10"/>
      <c r="AH47" s="10"/>
      <c r="AI47" s="10"/>
      <c r="AJ47" s="10"/>
      <c r="AK47" s="10"/>
      <c r="AL47" s="10"/>
      <c r="AM47" s="10"/>
      <c r="AN47" s="10"/>
      <c r="AO47" s="10"/>
      <c r="AP47" s="10"/>
      <c r="AQ47" s="10"/>
      <c r="AR47" s="10"/>
      <c r="AS47" s="10"/>
      <c r="AT47" s="10"/>
      <c r="AU47" s="10"/>
      <c r="AV47" s="10"/>
      <c r="AW47" s="10">
        <f t="shared" si="5"/>
        <v>1010000</v>
      </c>
      <c r="AX47" s="66">
        <f>E47+N47</f>
        <v>60000</v>
      </c>
      <c r="AY47" s="3">
        <f>H47+K47+Q47+T47+W47+Z47+AC47</f>
        <v>950000</v>
      </c>
      <c r="AZ47" s="3">
        <f t="shared" si="3"/>
        <v>1010000</v>
      </c>
      <c r="BA47" s="1" t="b">
        <f t="shared" si="4"/>
        <v>1</v>
      </c>
    </row>
    <row r="48" spans="1:53" s="1" customFormat="1" x14ac:dyDescent="0.35">
      <c r="A48" s="3">
        <v>43</v>
      </c>
      <c r="B48" s="7" t="s">
        <v>71</v>
      </c>
      <c r="C48" s="7"/>
      <c r="D48" s="71">
        <v>45372</v>
      </c>
      <c r="E48" s="11">
        <v>80000</v>
      </c>
      <c r="F48" s="11" t="s">
        <v>29</v>
      </c>
      <c r="G48" s="71">
        <v>45372</v>
      </c>
      <c r="H48" s="11">
        <v>100000</v>
      </c>
      <c r="I48" s="11" t="s">
        <v>27</v>
      </c>
      <c r="J48" s="71">
        <v>45661</v>
      </c>
      <c r="K48" s="11">
        <v>820000</v>
      </c>
      <c r="L48" s="11" t="s">
        <v>26</v>
      </c>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f t="shared" si="5"/>
        <v>1000000</v>
      </c>
      <c r="AX48" s="66">
        <f>E48+K48</f>
        <v>900000</v>
      </c>
      <c r="AY48" s="3">
        <f>H48</f>
        <v>100000</v>
      </c>
      <c r="AZ48" s="3">
        <f t="shared" si="3"/>
        <v>1000000</v>
      </c>
      <c r="BA48" s="1" t="b">
        <f t="shared" si="4"/>
        <v>1</v>
      </c>
    </row>
    <row r="49" spans="1:53" s="1" customFormat="1" x14ac:dyDescent="0.35">
      <c r="A49" s="3">
        <v>44</v>
      </c>
      <c r="B49" s="7" t="s">
        <v>72</v>
      </c>
      <c r="C49" s="7"/>
      <c r="D49" s="71">
        <v>45374</v>
      </c>
      <c r="E49" s="11">
        <v>170000</v>
      </c>
      <c r="F49" s="11" t="s">
        <v>27</v>
      </c>
      <c r="G49" s="71">
        <v>45374</v>
      </c>
      <c r="H49" s="11">
        <v>80000</v>
      </c>
      <c r="I49" s="11" t="s">
        <v>25</v>
      </c>
      <c r="J49" s="71">
        <v>45448</v>
      </c>
      <c r="K49" s="11">
        <v>50000</v>
      </c>
      <c r="L49" s="11" t="s">
        <v>25</v>
      </c>
      <c r="M49" s="71">
        <v>45636</v>
      </c>
      <c r="N49" s="11">
        <v>300000</v>
      </c>
      <c r="O49" s="11" t="s">
        <v>27</v>
      </c>
      <c r="P49" s="71">
        <v>45637</v>
      </c>
      <c r="Q49" s="11">
        <v>200000</v>
      </c>
      <c r="R49" s="11" t="s">
        <v>27</v>
      </c>
      <c r="S49" s="71">
        <v>45659</v>
      </c>
      <c r="T49" s="11">
        <v>200000</v>
      </c>
      <c r="U49" s="11" t="s">
        <v>27</v>
      </c>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f t="shared" si="5"/>
        <v>1000000</v>
      </c>
      <c r="AX49" s="66">
        <f>H49+K49</f>
        <v>130000</v>
      </c>
      <c r="AY49" s="3">
        <f>E49+N49+Q49+T49</f>
        <v>870000</v>
      </c>
      <c r="AZ49" s="3">
        <f t="shared" si="3"/>
        <v>1000000</v>
      </c>
      <c r="BA49" s="1" t="b">
        <f t="shared" si="4"/>
        <v>1</v>
      </c>
    </row>
    <row r="50" spans="1:53" s="1" customFormat="1" x14ac:dyDescent="0.35">
      <c r="A50" s="3">
        <v>45</v>
      </c>
      <c r="B50" s="7" t="s">
        <v>73</v>
      </c>
      <c r="C50" s="7"/>
      <c r="D50" s="71">
        <v>45380</v>
      </c>
      <c r="E50" s="11">
        <v>170000</v>
      </c>
      <c r="F50" s="11" t="s">
        <v>29</v>
      </c>
      <c r="G50" s="71">
        <v>45380</v>
      </c>
      <c r="H50" s="11">
        <v>530000</v>
      </c>
      <c r="I50" s="11" t="s">
        <v>27</v>
      </c>
      <c r="J50" s="71">
        <v>45530</v>
      </c>
      <c r="K50" s="11">
        <v>100000</v>
      </c>
      <c r="L50" s="11" t="s">
        <v>27</v>
      </c>
      <c r="M50" s="71">
        <v>45657</v>
      </c>
      <c r="N50" s="11">
        <v>200000</v>
      </c>
      <c r="O50" s="11" t="s">
        <v>27</v>
      </c>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f t="shared" si="5"/>
        <v>1000000</v>
      </c>
      <c r="AX50" s="66">
        <f>E50</f>
        <v>170000</v>
      </c>
      <c r="AY50" s="3">
        <f>H50+K50+N50</f>
        <v>830000</v>
      </c>
      <c r="AZ50" s="3">
        <f t="shared" si="3"/>
        <v>1000000</v>
      </c>
      <c r="BA50" s="1" t="b">
        <f t="shared" si="4"/>
        <v>1</v>
      </c>
    </row>
    <row r="51" spans="1:53" s="1" customFormat="1" x14ac:dyDescent="0.35">
      <c r="A51" s="3">
        <v>46</v>
      </c>
      <c r="B51" s="7" t="s">
        <v>74</v>
      </c>
      <c r="C51" s="7"/>
      <c r="D51" s="71">
        <v>45381</v>
      </c>
      <c r="E51" s="11">
        <v>50000</v>
      </c>
      <c r="F51" s="11" t="s">
        <v>27</v>
      </c>
      <c r="G51" s="71">
        <v>45383</v>
      </c>
      <c r="H51" s="11">
        <v>10000</v>
      </c>
      <c r="I51" s="11" t="s">
        <v>25</v>
      </c>
      <c r="J51" s="71">
        <v>45408</v>
      </c>
      <c r="K51" s="11">
        <v>10000</v>
      </c>
      <c r="L51" s="11" t="s">
        <v>25</v>
      </c>
      <c r="M51" s="71">
        <v>45529</v>
      </c>
      <c r="N51" s="11">
        <v>150000</v>
      </c>
      <c r="O51" s="11" t="s">
        <v>25</v>
      </c>
      <c r="P51" s="70">
        <v>45631</v>
      </c>
      <c r="Q51" s="10">
        <v>580000</v>
      </c>
      <c r="R51" s="11" t="s">
        <v>27</v>
      </c>
      <c r="S51" s="70">
        <v>45652</v>
      </c>
      <c r="T51" s="10">
        <v>200000</v>
      </c>
      <c r="U51" s="11" t="s">
        <v>27</v>
      </c>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f t="shared" si="5"/>
        <v>1000000</v>
      </c>
      <c r="AX51" s="66">
        <f>H51+K51+N51</f>
        <v>170000</v>
      </c>
      <c r="AY51" s="3">
        <f>E51+Q51+T51</f>
        <v>830000</v>
      </c>
      <c r="AZ51" s="3">
        <f t="shared" si="3"/>
        <v>1000000</v>
      </c>
      <c r="BA51" s="1" t="b">
        <f t="shared" si="4"/>
        <v>1</v>
      </c>
    </row>
    <row r="52" spans="1:53" s="1" customFormat="1" x14ac:dyDescent="0.35">
      <c r="A52" s="3">
        <v>47</v>
      </c>
      <c r="B52" s="7" t="s">
        <v>75</v>
      </c>
      <c r="C52" s="7"/>
      <c r="D52" s="71">
        <v>45382</v>
      </c>
      <c r="E52" s="11">
        <v>100000</v>
      </c>
      <c r="F52" s="11" t="s">
        <v>29</v>
      </c>
      <c r="G52" s="71">
        <v>45382</v>
      </c>
      <c r="H52" s="11">
        <v>100000</v>
      </c>
      <c r="I52" s="11" t="s">
        <v>27</v>
      </c>
      <c r="J52" s="71">
        <v>45693</v>
      </c>
      <c r="K52" s="11">
        <v>500000</v>
      </c>
      <c r="L52" s="11" t="s">
        <v>27</v>
      </c>
      <c r="M52" s="71"/>
      <c r="N52" s="11"/>
      <c r="O52" s="11"/>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f t="shared" si="5"/>
        <v>700000</v>
      </c>
      <c r="AX52" s="66">
        <f>E52</f>
        <v>100000</v>
      </c>
      <c r="AY52" s="3">
        <f>H52+K52</f>
        <v>600000</v>
      </c>
      <c r="AZ52" s="3">
        <f t="shared" si="3"/>
        <v>700000</v>
      </c>
      <c r="BA52" s="1" t="b">
        <f t="shared" si="4"/>
        <v>1</v>
      </c>
    </row>
    <row r="53" spans="1:53" s="1" customFormat="1" x14ac:dyDescent="0.35">
      <c r="A53" s="3">
        <v>48</v>
      </c>
      <c r="B53" s="7" t="s">
        <v>76</v>
      </c>
      <c r="C53" s="7"/>
      <c r="D53" s="71">
        <v>45384</v>
      </c>
      <c r="E53" s="11">
        <v>30000</v>
      </c>
      <c r="F53" s="11" t="s">
        <v>29</v>
      </c>
      <c r="G53" s="71">
        <v>45384</v>
      </c>
      <c r="H53" s="11">
        <v>170000</v>
      </c>
      <c r="I53" s="11" t="s">
        <v>25</v>
      </c>
      <c r="J53" s="71">
        <v>45657</v>
      </c>
      <c r="K53" s="11">
        <v>800000</v>
      </c>
      <c r="L53" s="11" t="s">
        <v>27</v>
      </c>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f t="shared" si="5"/>
        <v>1000000</v>
      </c>
      <c r="AX53" s="66">
        <f>E53+H53</f>
        <v>200000</v>
      </c>
      <c r="AY53" s="3">
        <f>K53</f>
        <v>800000</v>
      </c>
      <c r="AZ53" s="3">
        <f t="shared" si="3"/>
        <v>1000000</v>
      </c>
      <c r="BA53" s="1" t="b">
        <f t="shared" si="4"/>
        <v>1</v>
      </c>
    </row>
    <row r="54" spans="1:53" s="1" customFormat="1" x14ac:dyDescent="0.35">
      <c r="A54" s="3">
        <v>49</v>
      </c>
      <c r="B54" s="7" t="s">
        <v>77</v>
      </c>
      <c r="C54" s="7"/>
      <c r="D54" s="71">
        <v>45384</v>
      </c>
      <c r="E54" s="11">
        <v>100000</v>
      </c>
      <c r="F54" s="11" t="s">
        <v>27</v>
      </c>
      <c r="G54" s="71"/>
      <c r="H54" s="11"/>
      <c r="I54" s="11"/>
      <c r="J54" s="11"/>
      <c r="K54" s="11"/>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f t="shared" si="5"/>
        <v>100000</v>
      </c>
      <c r="AX54" s="66"/>
      <c r="AY54" s="3">
        <f>E54</f>
        <v>100000</v>
      </c>
      <c r="AZ54" s="3">
        <f t="shared" si="3"/>
        <v>100000</v>
      </c>
      <c r="BA54" s="1" t="b">
        <f t="shared" si="4"/>
        <v>1</v>
      </c>
    </row>
    <row r="55" spans="1:53" s="1" customFormat="1" x14ac:dyDescent="0.35">
      <c r="A55" s="3">
        <v>50</v>
      </c>
      <c r="B55" s="7" t="s">
        <v>78</v>
      </c>
      <c r="C55" s="7"/>
      <c r="D55" s="71">
        <v>45392</v>
      </c>
      <c r="E55" s="11">
        <v>90000</v>
      </c>
      <c r="F55" s="11" t="s">
        <v>29</v>
      </c>
      <c r="G55" s="71">
        <v>45392</v>
      </c>
      <c r="H55" s="11">
        <v>130000</v>
      </c>
      <c r="I55" s="11" t="s">
        <v>27</v>
      </c>
      <c r="J55" s="71">
        <v>45524</v>
      </c>
      <c r="K55" s="11">
        <v>80000</v>
      </c>
      <c r="L55" s="11" t="s">
        <v>27</v>
      </c>
      <c r="M55" s="71">
        <v>45529</v>
      </c>
      <c r="N55" s="11">
        <v>270000</v>
      </c>
      <c r="O55" s="11" t="s">
        <v>27</v>
      </c>
      <c r="P55" s="71">
        <v>45530</v>
      </c>
      <c r="Q55" s="11">
        <v>230000</v>
      </c>
      <c r="R55" s="11" t="s">
        <v>27</v>
      </c>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f t="shared" si="5"/>
        <v>800000</v>
      </c>
      <c r="AX55" s="66">
        <f>E55</f>
        <v>90000</v>
      </c>
      <c r="AY55" s="3">
        <f>H55+K55+N55+Q55</f>
        <v>710000</v>
      </c>
      <c r="AZ55" s="3">
        <f t="shared" si="3"/>
        <v>800000</v>
      </c>
      <c r="BA55" s="1" t="b">
        <f t="shared" si="4"/>
        <v>1</v>
      </c>
    </row>
    <row r="56" spans="1:53" s="1" customFormat="1" x14ac:dyDescent="0.35">
      <c r="A56" s="3">
        <v>51</v>
      </c>
      <c r="B56" s="7" t="s">
        <v>79</v>
      </c>
      <c r="C56" s="7"/>
      <c r="D56" s="71">
        <v>45409</v>
      </c>
      <c r="E56" s="11">
        <v>250000</v>
      </c>
      <c r="F56" s="11" t="s">
        <v>27</v>
      </c>
      <c r="G56" s="71">
        <v>45393</v>
      </c>
      <c r="H56" s="11">
        <v>100000</v>
      </c>
      <c r="I56" s="11" t="s">
        <v>25</v>
      </c>
      <c r="J56" s="71">
        <v>45530</v>
      </c>
      <c r="K56" s="11">
        <v>450000</v>
      </c>
      <c r="L56" s="11" t="s">
        <v>27</v>
      </c>
      <c r="M56" s="71">
        <v>45657</v>
      </c>
      <c r="N56" s="11">
        <v>200000</v>
      </c>
      <c r="O56" s="11" t="s">
        <v>27</v>
      </c>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f t="shared" si="5"/>
        <v>1000000</v>
      </c>
      <c r="AX56" s="66">
        <f>H56</f>
        <v>100000</v>
      </c>
      <c r="AY56" s="3">
        <f>E56+K56+N56</f>
        <v>900000</v>
      </c>
      <c r="AZ56" s="3">
        <f t="shared" si="3"/>
        <v>1000000</v>
      </c>
      <c r="BA56" s="1" t="b">
        <f t="shared" si="4"/>
        <v>1</v>
      </c>
    </row>
    <row r="57" spans="1:53" s="1" customFormat="1" x14ac:dyDescent="0.35">
      <c r="A57" s="3">
        <v>52</v>
      </c>
      <c r="B57" s="7" t="s">
        <v>80</v>
      </c>
      <c r="C57" s="72" t="s">
        <v>81</v>
      </c>
      <c r="D57" s="71">
        <v>45409</v>
      </c>
      <c r="E57" s="11">
        <v>100000</v>
      </c>
      <c r="F57" s="11" t="s">
        <v>27</v>
      </c>
      <c r="G57" s="71">
        <v>45409</v>
      </c>
      <c r="H57" s="11">
        <v>100000</v>
      </c>
      <c r="I57" s="11" t="s">
        <v>25</v>
      </c>
      <c r="J57" s="11"/>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f t="shared" si="5"/>
        <v>200000</v>
      </c>
      <c r="AX57" s="66">
        <f>H57</f>
        <v>100000</v>
      </c>
      <c r="AY57" s="3">
        <f>E57</f>
        <v>100000</v>
      </c>
      <c r="AZ57" s="3">
        <f t="shared" si="3"/>
        <v>200000</v>
      </c>
      <c r="BA57" s="1" t="b">
        <f t="shared" si="4"/>
        <v>1</v>
      </c>
    </row>
    <row r="58" spans="1:53" s="1" customFormat="1" x14ac:dyDescent="0.35">
      <c r="A58" s="3">
        <v>53</v>
      </c>
      <c r="B58" s="7" t="s">
        <v>82</v>
      </c>
      <c r="C58" s="72" t="s">
        <v>83</v>
      </c>
      <c r="D58" s="71">
        <v>45506</v>
      </c>
      <c r="E58" s="11">
        <v>900000</v>
      </c>
      <c r="F58" s="11" t="s">
        <v>27</v>
      </c>
      <c r="G58" s="71">
        <v>45685</v>
      </c>
      <c r="H58" s="11">
        <v>100000</v>
      </c>
      <c r="I58" s="11" t="s">
        <v>27</v>
      </c>
      <c r="J58" s="11"/>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f t="shared" si="5"/>
        <v>1000000</v>
      </c>
      <c r="AX58" s="66"/>
      <c r="AY58" s="3">
        <f>E58+H58</f>
        <v>1000000</v>
      </c>
      <c r="AZ58" s="3">
        <f t="shared" si="3"/>
        <v>1000000</v>
      </c>
      <c r="BA58" s="1" t="b">
        <f t="shared" si="4"/>
        <v>1</v>
      </c>
    </row>
    <row r="59" spans="1:53" s="1" customFormat="1" x14ac:dyDescent="0.35">
      <c r="A59" s="3">
        <v>54</v>
      </c>
      <c r="B59" s="7" t="s">
        <v>84</v>
      </c>
      <c r="C59" s="72" t="s">
        <v>85</v>
      </c>
      <c r="D59" s="71">
        <v>45649</v>
      </c>
      <c r="E59" s="11">
        <v>800000</v>
      </c>
      <c r="F59" s="11" t="s">
        <v>27</v>
      </c>
      <c r="G59" s="71">
        <v>45655</v>
      </c>
      <c r="H59" s="11">
        <v>200000</v>
      </c>
      <c r="I59" s="11" t="s">
        <v>27</v>
      </c>
      <c r="J59" s="71">
        <v>45687</v>
      </c>
      <c r="K59" s="11">
        <v>200000</v>
      </c>
      <c r="L59" s="11" t="s">
        <v>27</v>
      </c>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f t="shared" si="5"/>
        <v>1200000</v>
      </c>
      <c r="AX59" s="66"/>
      <c r="AY59" s="3">
        <f>E59+H59+K59</f>
        <v>1200000</v>
      </c>
      <c r="AZ59" s="3">
        <f t="shared" si="3"/>
        <v>1200000</v>
      </c>
      <c r="BA59" s="1" t="b">
        <f t="shared" si="4"/>
        <v>1</v>
      </c>
    </row>
    <row r="60" spans="1:53" s="1" customFormat="1" x14ac:dyDescent="0.35">
      <c r="A60" s="3">
        <v>55</v>
      </c>
      <c r="B60" s="7" t="s">
        <v>86</v>
      </c>
      <c r="C60" s="72"/>
      <c r="D60" s="71">
        <v>45650</v>
      </c>
      <c r="E60" s="11">
        <v>800000</v>
      </c>
      <c r="F60" s="11" t="s">
        <v>27</v>
      </c>
      <c r="G60" s="71">
        <v>45653</v>
      </c>
      <c r="H60" s="11">
        <v>200000</v>
      </c>
      <c r="I60" s="11" t="s">
        <v>27</v>
      </c>
      <c r="J60" s="11"/>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f t="shared" si="5"/>
        <v>1000000</v>
      </c>
      <c r="AX60" s="66"/>
      <c r="AY60" s="3">
        <f>E60+H60</f>
        <v>1000000</v>
      </c>
      <c r="AZ60" s="3">
        <f t="shared" si="3"/>
        <v>1000000</v>
      </c>
      <c r="BA60" s="1" t="b">
        <f t="shared" si="4"/>
        <v>1</v>
      </c>
    </row>
    <row r="61" spans="1:53" s="1" customFormat="1" x14ac:dyDescent="0.35">
      <c r="A61" s="3">
        <v>56</v>
      </c>
      <c r="B61" s="7" t="s">
        <v>87</v>
      </c>
      <c r="C61" s="72"/>
      <c r="D61" s="71">
        <v>45652</v>
      </c>
      <c r="E61" s="11">
        <v>1000000</v>
      </c>
      <c r="F61" s="11" t="s">
        <v>27</v>
      </c>
      <c r="G61" s="71"/>
      <c r="H61" s="11"/>
      <c r="I61" s="11"/>
      <c r="J61" s="11"/>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f t="shared" si="5"/>
        <v>1000000</v>
      </c>
      <c r="AX61" s="66"/>
      <c r="AY61" s="3">
        <f>E61</f>
        <v>1000000</v>
      </c>
      <c r="AZ61" s="3">
        <f t="shared" si="3"/>
        <v>1000000</v>
      </c>
      <c r="BA61" s="1" t="b">
        <f t="shared" si="4"/>
        <v>1</v>
      </c>
    </row>
    <row r="62" spans="1:53" s="1" customFormat="1" x14ac:dyDescent="0.35">
      <c r="A62" s="3">
        <v>57</v>
      </c>
      <c r="B62" s="7" t="s">
        <v>88</v>
      </c>
      <c r="C62" s="72" t="s">
        <v>89</v>
      </c>
      <c r="D62" s="71">
        <v>45660</v>
      </c>
      <c r="E62" s="11">
        <v>1000000</v>
      </c>
      <c r="F62" s="11" t="s">
        <v>27</v>
      </c>
      <c r="G62" s="71"/>
      <c r="H62" s="11"/>
      <c r="I62" s="11"/>
      <c r="J62" s="11"/>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f t="shared" si="5"/>
        <v>1000000</v>
      </c>
      <c r="AX62" s="66"/>
      <c r="AY62" s="3">
        <f>E62</f>
        <v>1000000</v>
      </c>
      <c r="AZ62" s="3">
        <f t="shared" si="3"/>
        <v>1000000</v>
      </c>
      <c r="BA62" s="1" t="b">
        <f t="shared" si="4"/>
        <v>1</v>
      </c>
    </row>
    <row r="63" spans="1:53" s="1" customFormat="1" x14ac:dyDescent="0.35">
      <c r="A63" s="3">
        <v>58</v>
      </c>
      <c r="B63" s="7" t="s">
        <v>90</v>
      </c>
      <c r="C63" s="72"/>
      <c r="D63" s="71">
        <v>45662</v>
      </c>
      <c r="E63" s="11">
        <v>1000000</v>
      </c>
      <c r="F63" s="11" t="s">
        <v>27</v>
      </c>
      <c r="G63" s="71"/>
      <c r="H63" s="11"/>
      <c r="I63" s="11"/>
      <c r="J63" s="11"/>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f t="shared" si="5"/>
        <v>1000000</v>
      </c>
      <c r="AX63" s="66"/>
      <c r="AY63" s="3">
        <f>E63</f>
        <v>1000000</v>
      </c>
      <c r="AZ63" s="3">
        <f t="shared" si="3"/>
        <v>1000000</v>
      </c>
      <c r="BA63" s="1" t="b">
        <f t="shared" si="4"/>
        <v>1</v>
      </c>
    </row>
    <row r="64" spans="1:53" s="1" customFormat="1" x14ac:dyDescent="0.35">
      <c r="A64" s="3">
        <v>59</v>
      </c>
      <c r="B64" s="7" t="s">
        <v>91</v>
      </c>
      <c r="C64" s="72" t="s">
        <v>92</v>
      </c>
      <c r="D64" s="71">
        <v>45669</v>
      </c>
      <c r="E64" s="11">
        <v>1000000</v>
      </c>
      <c r="F64" s="11" t="s">
        <v>27</v>
      </c>
      <c r="G64" s="71">
        <v>45728</v>
      </c>
      <c r="H64" s="11">
        <v>200000</v>
      </c>
      <c r="I64" s="11" t="s">
        <v>27</v>
      </c>
      <c r="J64" s="11"/>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f t="shared" si="5"/>
        <v>1200000</v>
      </c>
      <c r="AX64" s="66"/>
      <c r="AY64" s="3">
        <f>E64+H64</f>
        <v>1200000</v>
      </c>
      <c r="AZ64" s="3">
        <f t="shared" si="3"/>
        <v>1200000</v>
      </c>
      <c r="BA64" s="1" t="b">
        <f t="shared" si="4"/>
        <v>1</v>
      </c>
    </row>
    <row r="65" spans="1:53" s="1" customFormat="1" x14ac:dyDescent="0.35">
      <c r="A65" s="3">
        <v>60</v>
      </c>
      <c r="B65" s="7"/>
      <c r="C65" s="72"/>
      <c r="D65" s="71"/>
      <c r="E65" s="11"/>
      <c r="F65" s="11"/>
      <c r="G65" s="71"/>
      <c r="H65" s="11"/>
      <c r="I65" s="11"/>
      <c r="J65" s="11"/>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f t="shared" si="5"/>
        <v>0</v>
      </c>
      <c r="AX65" s="66"/>
      <c r="AY65" s="3"/>
      <c r="AZ65" s="3"/>
    </row>
    <row r="66" spans="1:53" s="1" customFormat="1" x14ac:dyDescent="0.35">
      <c r="A66" s="3">
        <v>61</v>
      </c>
      <c r="B66" s="7"/>
      <c r="C66" s="72"/>
      <c r="D66" s="71"/>
      <c r="E66" s="11"/>
      <c r="F66" s="11"/>
      <c r="G66" s="71"/>
      <c r="H66" s="11"/>
      <c r="I66" s="11"/>
      <c r="J66" s="11"/>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66"/>
      <c r="AY66" s="3"/>
      <c r="AZ66" s="3"/>
    </row>
    <row r="67" spans="1:53" s="1" customFormat="1" hidden="1" x14ac:dyDescent="0.35">
      <c r="A67" s="3">
        <v>62</v>
      </c>
      <c r="B67" s="3" t="s">
        <v>93</v>
      </c>
      <c r="C67" s="72" t="s">
        <v>94</v>
      </c>
      <c r="D67" s="72"/>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f t="shared" ref="AW67:AW87" si="6">E67+H67+K67+N67+Q67+T67+W67+Z67+AC67+AF67+AI67+AO67+AL67</f>
        <v>0</v>
      </c>
      <c r="AX67" s="66"/>
      <c r="AY67" s="3"/>
      <c r="AZ67" s="3">
        <f t="shared" ref="AZ67:AZ84" si="7">AX67+AY67</f>
        <v>0</v>
      </c>
      <c r="BA67" s="1" t="b">
        <f t="shared" ref="BA67:BA88" si="8">AZ67=AW67</f>
        <v>1</v>
      </c>
    </row>
    <row r="68" spans="1:53" s="1" customFormat="1" hidden="1" x14ac:dyDescent="0.35">
      <c r="A68" s="3">
        <v>63</v>
      </c>
      <c r="B68" s="3" t="s">
        <v>95</v>
      </c>
      <c r="C68" s="72" t="s">
        <v>96</v>
      </c>
      <c r="D68" s="73">
        <v>30000</v>
      </c>
      <c r="E68" s="3"/>
      <c r="F68" s="73"/>
      <c r="G68" s="73"/>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f t="shared" si="6"/>
        <v>0</v>
      </c>
      <c r="AX68" s="66"/>
      <c r="AY68" s="3"/>
      <c r="AZ68" s="3">
        <f t="shared" si="7"/>
        <v>0</v>
      </c>
      <c r="BA68" s="1" t="b">
        <f t="shared" si="8"/>
        <v>1</v>
      </c>
    </row>
    <row r="69" spans="1:53" s="1" customFormat="1" hidden="1" x14ac:dyDescent="0.35">
      <c r="A69" s="3">
        <v>64</v>
      </c>
      <c r="B69" s="3" t="s">
        <v>97</v>
      </c>
      <c r="C69" s="72" t="s">
        <v>98</v>
      </c>
      <c r="D69" s="72"/>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f t="shared" si="6"/>
        <v>0</v>
      </c>
      <c r="AX69" s="66"/>
      <c r="AY69" s="3"/>
      <c r="AZ69" s="3">
        <f t="shared" si="7"/>
        <v>0</v>
      </c>
      <c r="BA69" s="1" t="b">
        <f t="shared" si="8"/>
        <v>1</v>
      </c>
    </row>
    <row r="70" spans="1:53" s="1" customFormat="1" hidden="1" x14ac:dyDescent="0.35">
      <c r="A70" s="3">
        <v>65</v>
      </c>
      <c r="B70" s="3" t="s">
        <v>99</v>
      </c>
      <c r="C70" s="72" t="s">
        <v>100</v>
      </c>
      <c r="D70" s="72"/>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f t="shared" si="6"/>
        <v>0</v>
      </c>
      <c r="AX70" s="66"/>
      <c r="AY70" s="3"/>
      <c r="AZ70" s="3">
        <f t="shared" si="7"/>
        <v>0</v>
      </c>
      <c r="BA70" s="1" t="b">
        <f t="shared" si="8"/>
        <v>1</v>
      </c>
    </row>
    <row r="71" spans="1:53" s="1" customFormat="1" hidden="1" x14ac:dyDescent="0.35">
      <c r="A71" s="3">
        <v>66</v>
      </c>
      <c r="B71" s="3" t="s">
        <v>101</v>
      </c>
      <c r="C71" s="72" t="s">
        <v>102</v>
      </c>
      <c r="D71" s="72"/>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f t="shared" si="6"/>
        <v>0</v>
      </c>
      <c r="AX71" s="66"/>
      <c r="AY71" s="3"/>
      <c r="AZ71" s="3">
        <f t="shared" si="7"/>
        <v>0</v>
      </c>
      <c r="BA71" s="1" t="b">
        <f t="shared" si="8"/>
        <v>1</v>
      </c>
    </row>
    <row r="72" spans="1:53" s="1" customFormat="1" hidden="1" x14ac:dyDescent="0.35">
      <c r="A72" s="3">
        <v>67</v>
      </c>
      <c r="B72" s="3" t="s">
        <v>103</v>
      </c>
      <c r="C72" s="72" t="s">
        <v>104</v>
      </c>
      <c r="D72" s="72"/>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f t="shared" si="6"/>
        <v>0</v>
      </c>
      <c r="AX72" s="66"/>
      <c r="AY72" s="3"/>
      <c r="AZ72" s="3">
        <f t="shared" si="7"/>
        <v>0</v>
      </c>
      <c r="BA72" s="1" t="b">
        <f t="shared" si="8"/>
        <v>1</v>
      </c>
    </row>
    <row r="73" spans="1:53" s="1" customFormat="1" hidden="1" x14ac:dyDescent="0.35">
      <c r="A73" s="3">
        <v>68</v>
      </c>
      <c r="B73" s="3" t="s">
        <v>105</v>
      </c>
      <c r="C73" s="72" t="s">
        <v>106</v>
      </c>
      <c r="D73" s="72"/>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f t="shared" si="6"/>
        <v>0</v>
      </c>
      <c r="AX73" s="66"/>
      <c r="AY73" s="3"/>
      <c r="AZ73" s="3">
        <f t="shared" si="7"/>
        <v>0</v>
      </c>
      <c r="BA73" s="1" t="b">
        <f t="shared" si="8"/>
        <v>1</v>
      </c>
    </row>
    <row r="74" spans="1:53" s="1" customFormat="1" ht="16" hidden="1" customHeight="1" x14ac:dyDescent="0.35">
      <c r="A74" s="3">
        <v>69</v>
      </c>
      <c r="B74" s="3" t="s">
        <v>87</v>
      </c>
      <c r="C74" s="72" t="s">
        <v>107</v>
      </c>
      <c r="D74" s="72"/>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f t="shared" si="6"/>
        <v>0</v>
      </c>
      <c r="AX74" s="66"/>
      <c r="AY74" s="3"/>
      <c r="AZ74" s="3">
        <f t="shared" si="7"/>
        <v>0</v>
      </c>
      <c r="BA74" s="1" t="b">
        <f t="shared" si="8"/>
        <v>1</v>
      </c>
    </row>
    <row r="75" spans="1:53" s="1" customFormat="1" hidden="1" x14ac:dyDescent="0.35">
      <c r="A75" s="3">
        <v>70</v>
      </c>
      <c r="B75" s="3" t="s">
        <v>108</v>
      </c>
      <c r="C75" s="72" t="s">
        <v>109</v>
      </c>
      <c r="D75" s="72"/>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f t="shared" si="6"/>
        <v>0</v>
      </c>
      <c r="AX75" s="66"/>
      <c r="AY75" s="3"/>
      <c r="AZ75" s="3">
        <f t="shared" si="7"/>
        <v>0</v>
      </c>
      <c r="BA75" s="1" t="b">
        <f t="shared" si="8"/>
        <v>1</v>
      </c>
    </row>
    <row r="76" spans="1:53" s="1" customFormat="1" hidden="1" x14ac:dyDescent="0.35">
      <c r="A76" s="3">
        <v>71</v>
      </c>
      <c r="B76" s="3" t="s">
        <v>110</v>
      </c>
      <c r="C76" s="72" t="s">
        <v>111</v>
      </c>
      <c r="D76" s="72"/>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f t="shared" si="6"/>
        <v>0</v>
      </c>
      <c r="AX76" s="66"/>
      <c r="AY76" s="3"/>
      <c r="AZ76" s="3">
        <f t="shared" si="7"/>
        <v>0</v>
      </c>
      <c r="BA76" s="1" t="b">
        <f t="shared" si="8"/>
        <v>1</v>
      </c>
    </row>
    <row r="77" spans="1:53" s="1" customFormat="1" hidden="1" x14ac:dyDescent="0.35">
      <c r="A77" s="3">
        <v>72</v>
      </c>
      <c r="B77" s="3" t="s">
        <v>112</v>
      </c>
      <c r="C77" s="72" t="s">
        <v>113</v>
      </c>
      <c r="D77" s="72"/>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f t="shared" si="6"/>
        <v>0</v>
      </c>
      <c r="AX77" s="66"/>
      <c r="AY77" s="3"/>
      <c r="AZ77" s="3">
        <f t="shared" si="7"/>
        <v>0</v>
      </c>
      <c r="BA77" s="1" t="b">
        <f t="shared" si="8"/>
        <v>1</v>
      </c>
    </row>
    <row r="78" spans="1:53" s="1" customFormat="1" hidden="1" x14ac:dyDescent="0.35">
      <c r="A78" s="3">
        <v>73</v>
      </c>
      <c r="B78" s="3" t="s">
        <v>114</v>
      </c>
      <c r="C78" s="72" t="s">
        <v>115</v>
      </c>
      <c r="D78" s="72"/>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f t="shared" si="6"/>
        <v>0</v>
      </c>
      <c r="AX78" s="66"/>
      <c r="AY78" s="3"/>
      <c r="AZ78" s="3">
        <f t="shared" si="7"/>
        <v>0</v>
      </c>
      <c r="BA78" s="1" t="b">
        <f t="shared" si="8"/>
        <v>1</v>
      </c>
    </row>
    <row r="79" spans="1:53" s="1" customFormat="1" hidden="1" x14ac:dyDescent="0.35">
      <c r="A79" s="3">
        <v>74</v>
      </c>
      <c r="B79" s="3" t="s">
        <v>116</v>
      </c>
      <c r="C79" s="72" t="s">
        <v>117</v>
      </c>
      <c r="D79" s="72"/>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f t="shared" si="6"/>
        <v>0</v>
      </c>
      <c r="AX79" s="66"/>
      <c r="AY79" s="3"/>
      <c r="AZ79" s="3">
        <f t="shared" si="7"/>
        <v>0</v>
      </c>
      <c r="BA79" s="1" t="b">
        <f t="shared" si="8"/>
        <v>1</v>
      </c>
    </row>
    <row r="80" spans="1:53" s="1" customFormat="1" hidden="1" x14ac:dyDescent="0.35">
      <c r="A80" s="3">
        <v>75</v>
      </c>
      <c r="B80" s="3" t="s">
        <v>118</v>
      </c>
      <c r="C80" s="72" t="s">
        <v>119</v>
      </c>
      <c r="D80" s="72"/>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f t="shared" si="6"/>
        <v>0</v>
      </c>
      <c r="AX80" s="66"/>
      <c r="AY80" s="3"/>
      <c r="AZ80" s="3">
        <f t="shared" si="7"/>
        <v>0</v>
      </c>
      <c r="BA80" s="1" t="b">
        <f t="shared" si="8"/>
        <v>1</v>
      </c>
    </row>
    <row r="81" spans="1:54" s="1" customFormat="1" hidden="1" x14ac:dyDescent="0.35">
      <c r="A81" s="3">
        <v>76</v>
      </c>
      <c r="B81" s="3" t="s">
        <v>120</v>
      </c>
      <c r="C81" s="72" t="s">
        <v>121</v>
      </c>
      <c r="D81" s="72"/>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f t="shared" si="6"/>
        <v>0</v>
      </c>
      <c r="AX81" s="66"/>
      <c r="AY81" s="3"/>
      <c r="AZ81" s="3">
        <f t="shared" si="7"/>
        <v>0</v>
      </c>
      <c r="BA81" s="1" t="b">
        <f t="shared" si="8"/>
        <v>1</v>
      </c>
      <c r="BB81"/>
    </row>
    <row r="82" spans="1:54" s="1" customFormat="1" hidden="1" x14ac:dyDescent="0.35">
      <c r="A82" s="3">
        <v>77</v>
      </c>
      <c r="B82" s="3"/>
      <c r="C82" s="3"/>
      <c r="D82" s="72"/>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f t="shared" si="6"/>
        <v>0</v>
      </c>
      <c r="AX82" s="66"/>
      <c r="AY82" s="3"/>
      <c r="AZ82" s="3">
        <f t="shared" si="7"/>
        <v>0</v>
      </c>
      <c r="BA82" s="1" t="b">
        <f t="shared" si="8"/>
        <v>1</v>
      </c>
      <c r="BB82"/>
    </row>
    <row r="83" spans="1:54" s="1" customFormat="1" hidden="1" x14ac:dyDescent="0.35">
      <c r="A83" s="3">
        <v>78</v>
      </c>
      <c r="B83" s="3"/>
      <c r="C83" s="3"/>
      <c r="D83" s="72"/>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f t="shared" si="6"/>
        <v>0</v>
      </c>
      <c r="AX83" s="66"/>
      <c r="AY83" s="3"/>
      <c r="AZ83" s="3">
        <f t="shared" si="7"/>
        <v>0</v>
      </c>
      <c r="BA83" s="1" t="b">
        <f t="shared" si="8"/>
        <v>1</v>
      </c>
      <c r="BB83"/>
    </row>
    <row r="84" spans="1:54" s="1" customFormat="1" hidden="1" x14ac:dyDescent="0.35">
      <c r="A84" s="3">
        <v>79</v>
      </c>
      <c r="B84" s="7"/>
      <c r="C84" s="7"/>
      <c r="D84" s="72"/>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f t="shared" si="6"/>
        <v>0</v>
      </c>
      <c r="AX84" s="66"/>
      <c r="AY84" s="3"/>
      <c r="AZ84" s="3">
        <f t="shared" si="7"/>
        <v>0</v>
      </c>
      <c r="BA84" s="1" t="b">
        <f t="shared" si="8"/>
        <v>1</v>
      </c>
      <c r="BB84"/>
    </row>
    <row r="85" spans="1:54" s="1" customFormat="1" hidden="1" x14ac:dyDescent="0.35">
      <c r="A85" s="3"/>
      <c r="B85" s="3"/>
      <c r="C85" s="3"/>
      <c r="D85" s="72"/>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f t="shared" si="6"/>
        <v>0</v>
      </c>
      <c r="AX85" s="66"/>
      <c r="AY85" s="3"/>
      <c r="AZ85" s="3"/>
      <c r="BA85" s="1" t="b">
        <f t="shared" si="8"/>
        <v>1</v>
      </c>
      <c r="BB85"/>
    </row>
    <row r="86" spans="1:54" hidden="1" x14ac:dyDescent="0.35">
      <c r="A86" s="3"/>
      <c r="B86" s="2"/>
      <c r="C86" s="2"/>
      <c r="D86" s="9"/>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f t="shared" si="6"/>
        <v>0</v>
      </c>
      <c r="AX86" s="67"/>
      <c r="AY86" s="2"/>
      <c r="AZ86" s="2"/>
      <c r="BA86" s="1" t="b">
        <f t="shared" si="8"/>
        <v>1</v>
      </c>
    </row>
    <row r="87" spans="1:54" hidden="1" x14ac:dyDescent="0.35">
      <c r="A87" s="2"/>
      <c r="B87" s="2"/>
      <c r="C87" s="2"/>
      <c r="D87" s="9"/>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f t="shared" si="6"/>
        <v>0</v>
      </c>
      <c r="AX87" s="67"/>
      <c r="AY87" s="2"/>
      <c r="AZ87" s="2"/>
      <c r="BA87" s="1" t="b">
        <f t="shared" si="8"/>
        <v>1</v>
      </c>
    </row>
    <row r="88" spans="1:54" x14ac:dyDescent="0.35">
      <c r="A88" s="2"/>
      <c r="B88" s="2"/>
      <c r="C88" s="2"/>
      <c r="D88" s="9"/>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63">
        <f>SUM(AW5:AW87)</f>
        <v>47854000</v>
      </c>
      <c r="AX88" s="63">
        <f>SUM(AX5:AX87)</f>
        <v>5441000</v>
      </c>
      <c r="AY88" s="63">
        <f>SUM(AY5:AY87)</f>
        <v>42413000</v>
      </c>
      <c r="AZ88" s="63">
        <f>SUM(AZ5:AZ87)</f>
        <v>47854000</v>
      </c>
      <c r="BA88" s="1" t="b">
        <f t="shared" si="8"/>
        <v>1</v>
      </c>
    </row>
    <row r="89" spans="1:54" x14ac:dyDescent="0.35">
      <c r="D89" s="13"/>
      <c r="E89" s="14"/>
      <c r="F89" s="14"/>
      <c r="G89" s="14"/>
      <c r="H89" s="14"/>
      <c r="I89" s="14"/>
      <c r="J89" s="14"/>
      <c r="K89" s="14"/>
      <c r="L89" s="14"/>
      <c r="M89" s="14"/>
      <c r="N89" s="14"/>
      <c r="O89" s="14"/>
      <c r="P89" s="14"/>
      <c r="Q89" s="14"/>
      <c r="R89" s="14"/>
      <c r="S89" s="14"/>
      <c r="T89" s="14"/>
      <c r="U89" s="14"/>
      <c r="V89" s="14"/>
      <c r="W89" s="14"/>
      <c r="X89" s="14"/>
      <c r="Y89" s="14"/>
      <c r="Z89" s="14"/>
      <c r="AA89" s="25"/>
      <c r="AB89" s="68"/>
      <c r="AC89" s="14"/>
      <c r="AD89" s="69"/>
      <c r="AE89" s="68"/>
      <c r="AF89" s="14"/>
      <c r="AG89" s="69"/>
      <c r="AH89" s="68"/>
      <c r="AI89" s="14"/>
      <c r="AJ89" s="69"/>
      <c r="AK89" s="23"/>
      <c r="AL89" s="23"/>
      <c r="AM89" s="19"/>
      <c r="AN89" s="23"/>
      <c r="AO89" s="23"/>
      <c r="AP89" s="19"/>
      <c r="AQ89" s="19"/>
      <c r="AR89" s="19"/>
      <c r="AS89" s="19"/>
      <c r="AT89" s="19"/>
      <c r="AU89" s="19"/>
      <c r="AV89" s="19"/>
      <c r="AW89" s="14"/>
      <c r="AX89" s="21"/>
      <c r="AY89" s="21"/>
      <c r="AZ89" s="14">
        <f>46324000+830000</f>
        <v>47154000</v>
      </c>
      <c r="BA89" s="1"/>
    </row>
    <row r="90" spans="1:54" x14ac:dyDescent="0.35">
      <c r="D90" s="9"/>
      <c r="E90" s="10"/>
      <c r="F90" s="10"/>
      <c r="G90" s="10"/>
      <c r="H90" s="10"/>
      <c r="I90" s="10"/>
      <c r="J90" s="10"/>
      <c r="K90" s="10"/>
      <c r="L90" s="10"/>
      <c r="M90" s="10"/>
      <c r="N90" s="10"/>
      <c r="O90" s="10"/>
      <c r="P90" s="10"/>
      <c r="Q90" s="10"/>
      <c r="R90" s="10"/>
      <c r="S90" s="10"/>
      <c r="T90" s="10"/>
      <c r="U90" s="10"/>
      <c r="V90" s="10"/>
      <c r="W90" s="10"/>
      <c r="X90" s="10"/>
      <c r="Y90" s="10"/>
      <c r="Z90" s="10"/>
      <c r="AA90" s="26"/>
      <c r="AB90" s="16"/>
      <c r="AC90" s="10"/>
      <c r="AD90" s="15"/>
      <c r="AE90" s="16"/>
      <c r="AF90" s="10"/>
      <c r="AG90" s="15"/>
      <c r="AH90" s="16"/>
      <c r="AI90" s="10"/>
      <c r="AJ90" s="15"/>
      <c r="AK90" s="24"/>
      <c r="AL90" s="24"/>
      <c r="AM90" s="12"/>
      <c r="AN90" s="24"/>
      <c r="AO90" s="24"/>
      <c r="AP90" s="12"/>
      <c r="AQ90" s="12"/>
      <c r="AR90" s="12"/>
      <c r="AS90" s="12"/>
      <c r="AT90" s="12"/>
      <c r="AU90" s="12"/>
      <c r="AV90" s="12"/>
      <c r="AW90" s="10"/>
      <c r="AX90" s="2"/>
      <c r="AY90" s="2" t="s">
        <v>30</v>
      </c>
      <c r="AZ90" s="22">
        <f>AZ88-AZ89</f>
        <v>700000</v>
      </c>
      <c r="BA90" s="1"/>
    </row>
    <row r="91" spans="1:54" x14ac:dyDescent="0.35">
      <c r="D91" s="9"/>
      <c r="E91" s="10"/>
      <c r="F91" s="10"/>
      <c r="G91" s="10"/>
      <c r="H91" s="10"/>
      <c r="I91" s="10"/>
      <c r="J91" s="10"/>
      <c r="K91" s="10"/>
      <c r="L91" s="10"/>
      <c r="M91" s="10"/>
      <c r="N91" s="10"/>
      <c r="O91" s="10"/>
      <c r="P91" s="10"/>
      <c r="Q91" s="10"/>
      <c r="R91" s="10"/>
      <c r="S91" s="10"/>
      <c r="T91" s="10"/>
      <c r="U91" s="10"/>
      <c r="V91" s="10"/>
      <c r="W91" s="10"/>
      <c r="X91" s="10"/>
      <c r="Y91" s="10"/>
      <c r="Z91" s="10"/>
      <c r="AA91" s="26"/>
      <c r="AB91" s="16"/>
      <c r="AC91" s="10"/>
      <c r="AD91" s="15"/>
      <c r="AE91" s="16"/>
      <c r="AF91" s="10"/>
      <c r="AG91" s="15"/>
      <c r="AH91" s="16"/>
      <c r="AI91" s="10"/>
      <c r="AJ91" s="15"/>
      <c r="AK91" s="24"/>
      <c r="AL91" s="24"/>
      <c r="AM91" s="12"/>
      <c r="AN91" s="24"/>
      <c r="AO91" s="24"/>
      <c r="AP91" s="12"/>
      <c r="AQ91" s="12"/>
      <c r="AR91" s="12"/>
      <c r="AS91" s="12"/>
      <c r="AT91" s="12"/>
      <c r="AU91" s="12"/>
      <c r="AV91" s="12"/>
      <c r="AW91" s="10"/>
      <c r="AX91" s="2"/>
      <c r="AY91" s="2"/>
      <c r="AZ91" s="2"/>
      <c r="BA91" s="1"/>
    </row>
    <row r="92" spans="1:54" ht="15" customHeight="1" x14ac:dyDescent="0.35"/>
  </sheetData>
  <sortState xmlns:xlrd2="http://schemas.microsoft.com/office/spreadsheetml/2017/richdata2" ref="A6:BA90">
    <sortCondition ref="A6:A90"/>
  </sortState>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1A54F-E604-42D7-BE96-4179BAA26C6F}">
  <dimension ref="B2:D4"/>
  <sheetViews>
    <sheetView workbookViewId="0">
      <selection activeCell="D5" sqref="D5"/>
    </sheetView>
  </sheetViews>
  <sheetFormatPr defaultRowHeight="14.5" x14ac:dyDescent="0.35"/>
  <cols>
    <col min="2" max="2" width="14.7265625" customWidth="1"/>
    <col min="3" max="3" width="16.26953125" customWidth="1"/>
    <col min="4" max="4" width="11.1796875" bestFit="1" customWidth="1"/>
  </cols>
  <sheetData>
    <row r="2" spans="2:4" x14ac:dyDescent="0.35">
      <c r="B2" t="s">
        <v>122</v>
      </c>
    </row>
    <row r="3" spans="2:4" x14ac:dyDescent="0.35">
      <c r="B3" t="s">
        <v>2</v>
      </c>
      <c r="C3" t="s">
        <v>123</v>
      </c>
      <c r="D3" t="s">
        <v>124</v>
      </c>
    </row>
    <row r="4" spans="2:4" x14ac:dyDescent="0.35">
      <c r="B4" s="175">
        <f>'DETAILS (sorted)'!AE45</f>
        <v>0</v>
      </c>
      <c r="C4" t="str">
        <f>'DETAILS (sorted)'!B45</f>
        <v>Abduel Kitururu</v>
      </c>
      <c r="D4" s="176">
        <f>'DETAILS (sorted)'!AF45</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95091-22D7-40F3-97DE-5ADC8D5CC09E}">
  <dimension ref="A1:U116"/>
  <sheetViews>
    <sheetView topLeftCell="A65" zoomScale="90" zoomScaleNormal="90" workbookViewId="0">
      <selection activeCell="H90" sqref="H90"/>
    </sheetView>
  </sheetViews>
  <sheetFormatPr defaultColWidth="8.81640625" defaultRowHeight="14.5" x14ac:dyDescent="0.35"/>
  <cols>
    <col min="1" max="1" width="5.453125" customWidth="1"/>
    <col min="2" max="2" width="29.54296875" customWidth="1"/>
    <col min="3" max="3" width="16.453125" customWidth="1"/>
    <col min="4" max="4" width="13.81640625" customWidth="1"/>
    <col min="5" max="5" width="12.1796875" customWidth="1"/>
    <col min="6" max="8" width="15.453125" customWidth="1"/>
    <col min="9" max="9" width="16.453125" customWidth="1"/>
    <col min="10" max="10" width="16.453125" hidden="1" customWidth="1"/>
    <col min="11" max="12" width="14" customWidth="1"/>
    <col min="13" max="13" width="16.54296875" hidden="1" customWidth="1"/>
    <col min="14" max="14" width="14.453125" hidden="1" customWidth="1"/>
    <col min="15" max="15" width="14.453125" style="58" hidden="1" customWidth="1"/>
    <col min="16" max="16" width="14.453125" hidden="1" customWidth="1"/>
    <col min="17" max="43" width="14.453125" customWidth="1"/>
  </cols>
  <sheetData>
    <row r="1" spans="1:21" ht="23.5" x14ac:dyDescent="0.55000000000000004">
      <c r="A1" s="720" t="s">
        <v>125</v>
      </c>
      <c r="B1" s="720"/>
      <c r="C1" s="720"/>
      <c r="D1" s="720"/>
      <c r="E1" s="720"/>
      <c r="F1" s="720"/>
      <c r="G1" s="720"/>
      <c r="H1" s="720"/>
      <c r="I1" s="720"/>
      <c r="J1" s="720"/>
      <c r="K1" s="720"/>
      <c r="L1" s="720"/>
      <c r="M1" s="720"/>
    </row>
    <row r="2" spans="1:21" ht="21" x14ac:dyDescent="0.5">
      <c r="A2" s="27"/>
      <c r="B2" s="27"/>
      <c r="C2" s="27"/>
      <c r="D2" s="27"/>
      <c r="E2" s="27"/>
      <c r="F2" s="27"/>
      <c r="G2" s="27"/>
      <c r="H2" s="27"/>
      <c r="I2" s="27"/>
      <c r="J2" s="27"/>
      <c r="K2" s="27"/>
      <c r="L2" s="27"/>
    </row>
    <row r="3" spans="1:21" ht="21" x14ac:dyDescent="0.5">
      <c r="A3" s="721" t="s">
        <v>126</v>
      </c>
      <c r="B3" s="721"/>
      <c r="C3" s="721"/>
      <c r="D3" s="721"/>
      <c r="E3" s="721"/>
      <c r="F3" s="721"/>
      <c r="G3" s="721"/>
      <c r="H3" s="721"/>
      <c r="I3" s="721"/>
      <c r="J3" s="721"/>
      <c r="K3" s="721"/>
      <c r="L3" s="721"/>
      <c r="M3" s="721"/>
    </row>
    <row r="6" spans="1:21" ht="28" customHeight="1" x14ac:dyDescent="0.35">
      <c r="A6" s="722" t="s">
        <v>127</v>
      </c>
      <c r="B6" s="722" t="s">
        <v>0</v>
      </c>
      <c r="C6" s="725" t="s">
        <v>128</v>
      </c>
      <c r="D6" s="726"/>
      <c r="E6" s="726"/>
      <c r="F6" s="727"/>
      <c r="G6" s="104"/>
      <c r="H6" s="76"/>
      <c r="I6" s="728" t="s">
        <v>129</v>
      </c>
      <c r="J6" s="77"/>
      <c r="K6" s="731" t="s">
        <v>130</v>
      </c>
      <c r="L6" s="78"/>
      <c r="M6" s="734" t="s">
        <v>131</v>
      </c>
      <c r="N6" s="737" t="s">
        <v>132</v>
      </c>
    </row>
    <row r="7" spans="1:21" ht="29.15" customHeight="1" x14ac:dyDescent="0.35">
      <c r="A7" s="723"/>
      <c r="B7" s="723"/>
      <c r="C7" s="735" t="s">
        <v>133</v>
      </c>
      <c r="D7" s="76" t="s">
        <v>134</v>
      </c>
      <c r="E7" s="76" t="s">
        <v>135</v>
      </c>
      <c r="F7" s="722" t="s">
        <v>136</v>
      </c>
      <c r="G7" s="101"/>
      <c r="H7" s="76" t="s">
        <v>137</v>
      </c>
      <c r="I7" s="729"/>
      <c r="J7" s="77"/>
      <c r="K7" s="732"/>
      <c r="L7" s="78"/>
      <c r="M7" s="734"/>
      <c r="N7" s="737"/>
      <c r="P7" s="2"/>
      <c r="Q7" s="115" t="s">
        <v>138</v>
      </c>
      <c r="R7" s="115" t="s">
        <v>139</v>
      </c>
      <c r="S7" s="115" t="s">
        <v>140</v>
      </c>
      <c r="T7" s="115" t="s">
        <v>141</v>
      </c>
      <c r="U7" s="115" t="s">
        <v>142</v>
      </c>
    </row>
    <row r="8" spans="1:21" ht="26.15" customHeight="1" x14ac:dyDescent="0.35">
      <c r="A8" s="724"/>
      <c r="B8" s="724"/>
      <c r="C8" s="736"/>
      <c r="D8" s="76" t="s">
        <v>143</v>
      </c>
      <c r="E8" s="76" t="s">
        <v>143</v>
      </c>
      <c r="F8" s="724"/>
      <c r="G8" s="102"/>
      <c r="H8" s="76" t="s">
        <v>144</v>
      </c>
      <c r="I8" s="730"/>
      <c r="J8" s="77"/>
      <c r="K8" s="733"/>
      <c r="L8" s="78" t="s">
        <v>145</v>
      </c>
      <c r="M8" s="734"/>
      <c r="N8" s="737"/>
      <c r="P8" s="2"/>
      <c r="Q8" s="2"/>
      <c r="R8" s="2"/>
      <c r="S8" s="2"/>
      <c r="T8" s="2"/>
      <c r="U8" s="2"/>
    </row>
    <row r="9" spans="1:21" s="29" customFormat="1" ht="16" x14ac:dyDescent="0.4">
      <c r="A9" s="84">
        <v>1</v>
      </c>
      <c r="B9" s="84" t="s">
        <v>146</v>
      </c>
      <c r="C9" s="84">
        <v>100000</v>
      </c>
      <c r="D9" s="84"/>
      <c r="E9" s="84"/>
      <c r="F9" s="84">
        <f t="shared" ref="F9:F40" si="0">SUM(C9:E9)</f>
        <v>100000</v>
      </c>
      <c r="G9" s="84" t="b">
        <f>F9=H9</f>
        <v>1</v>
      </c>
      <c r="H9" s="88">
        <f>DETAILS!AZ17</f>
        <v>100000</v>
      </c>
      <c r="I9" s="84">
        <v>1200000</v>
      </c>
      <c r="J9" s="85">
        <f t="shared" ref="J9:J40" si="1">H9/I9</f>
        <v>8.3333333333333329E-2</v>
      </c>
      <c r="K9" s="90">
        <f t="shared" ref="K9:K40" si="2">MAX(I9-H9,0)</f>
        <v>1100000</v>
      </c>
      <c r="L9" s="91">
        <f>100%-J9</f>
        <v>0.91666666666666663</v>
      </c>
      <c r="M9" s="738" t="s">
        <v>147</v>
      </c>
      <c r="N9" s="79"/>
      <c r="O9" s="59" t="b">
        <f t="shared" ref="O9:O40" si="3">F9=H9</f>
        <v>1</v>
      </c>
      <c r="P9" s="301"/>
      <c r="Q9" s="301"/>
      <c r="R9" s="301"/>
      <c r="S9" s="301"/>
      <c r="T9" s="301"/>
      <c r="U9" s="301"/>
    </row>
    <row r="10" spans="1:21" s="29" customFormat="1" ht="16" x14ac:dyDescent="0.4">
      <c r="A10" s="84">
        <f t="shared" ref="A10:A83" si="4">A9+1</f>
        <v>2</v>
      </c>
      <c r="B10" s="84" t="s">
        <v>148</v>
      </c>
      <c r="C10" s="84">
        <v>200000</v>
      </c>
      <c r="D10" s="84">
        <v>100000</v>
      </c>
      <c r="E10" s="84">
        <v>330000</v>
      </c>
      <c r="F10" s="84">
        <f t="shared" si="0"/>
        <v>630000</v>
      </c>
      <c r="G10" s="84" t="b">
        <f t="shared" ref="G10:G73" si="5">F10=H10</f>
        <v>1</v>
      </c>
      <c r="H10" s="88">
        <f>DETAILS!AZ35</f>
        <v>630000</v>
      </c>
      <c r="I10" s="84">
        <v>1200000</v>
      </c>
      <c r="J10" s="85">
        <f t="shared" si="1"/>
        <v>0.52500000000000002</v>
      </c>
      <c r="K10" s="90">
        <f t="shared" si="2"/>
        <v>570000</v>
      </c>
      <c r="L10" s="91">
        <f t="shared" ref="L10:L83" si="6">100%-J10</f>
        <v>0.47499999999999998</v>
      </c>
      <c r="M10" s="738"/>
      <c r="N10" s="79"/>
      <c r="O10" s="59" t="b">
        <f t="shared" si="3"/>
        <v>1</v>
      </c>
      <c r="P10" s="301"/>
      <c r="Q10" s="301"/>
      <c r="R10" s="301"/>
      <c r="S10" s="301"/>
      <c r="T10" s="301"/>
      <c r="U10" s="301"/>
    </row>
    <row r="11" spans="1:21" s="29" customFormat="1" ht="16" x14ac:dyDescent="0.4">
      <c r="A11" s="84">
        <f t="shared" si="4"/>
        <v>3</v>
      </c>
      <c r="B11" s="84" t="s">
        <v>149</v>
      </c>
      <c r="C11" s="84">
        <v>200000</v>
      </c>
      <c r="D11" s="84">
        <v>100000</v>
      </c>
      <c r="E11" s="84">
        <v>700000</v>
      </c>
      <c r="F11" s="84">
        <f t="shared" si="0"/>
        <v>1000000</v>
      </c>
      <c r="G11" s="84" t="b">
        <f t="shared" si="5"/>
        <v>1</v>
      </c>
      <c r="H11" s="88">
        <f>DETAILS!AZ34</f>
        <v>1000000</v>
      </c>
      <c r="I11" s="84">
        <v>1200000</v>
      </c>
      <c r="J11" s="85">
        <f t="shared" si="1"/>
        <v>0.83333333333333337</v>
      </c>
      <c r="K11" s="57">
        <f t="shared" si="2"/>
        <v>200000</v>
      </c>
      <c r="L11" s="95">
        <f t="shared" si="6"/>
        <v>0.16666666666666663</v>
      </c>
      <c r="M11" s="738"/>
      <c r="N11" s="79"/>
      <c r="O11" s="59" t="b">
        <f t="shared" si="3"/>
        <v>1</v>
      </c>
      <c r="P11" s="301">
        <v>1</v>
      </c>
      <c r="Q11" s="301"/>
      <c r="R11" s="301"/>
      <c r="S11" s="301"/>
      <c r="T11" s="301"/>
      <c r="U11" s="301"/>
    </row>
    <row r="12" spans="1:21" s="30" customFormat="1" ht="16" x14ac:dyDescent="0.4">
      <c r="A12" s="84">
        <f t="shared" si="4"/>
        <v>4</v>
      </c>
      <c r="B12" s="84" t="s">
        <v>150</v>
      </c>
      <c r="C12" s="84">
        <v>200000</v>
      </c>
      <c r="D12" s="84">
        <v>100000</v>
      </c>
      <c r="E12" s="84">
        <v>700000</v>
      </c>
      <c r="F12" s="84">
        <f t="shared" si="0"/>
        <v>1000000</v>
      </c>
      <c r="G12" s="84" t="b">
        <f t="shared" si="5"/>
        <v>1</v>
      </c>
      <c r="H12" s="88">
        <f>DETAILS!AW56</f>
        <v>1000000</v>
      </c>
      <c r="I12" s="84">
        <v>1200000</v>
      </c>
      <c r="J12" s="85">
        <f t="shared" si="1"/>
        <v>0.83333333333333337</v>
      </c>
      <c r="K12" s="57">
        <f t="shared" si="2"/>
        <v>200000</v>
      </c>
      <c r="L12" s="95">
        <f t="shared" si="6"/>
        <v>0.16666666666666663</v>
      </c>
      <c r="M12" s="738"/>
      <c r="N12" s="79"/>
      <c r="O12" s="59" t="b">
        <f t="shared" si="3"/>
        <v>1</v>
      </c>
      <c r="P12" s="96">
        <v>1</v>
      </c>
      <c r="Q12" s="96"/>
      <c r="R12" s="96"/>
      <c r="S12" s="96"/>
      <c r="T12" s="96"/>
      <c r="U12" s="96"/>
    </row>
    <row r="13" spans="1:21" s="29" customFormat="1" ht="16" x14ac:dyDescent="0.4">
      <c r="A13" s="84">
        <f t="shared" si="4"/>
        <v>5</v>
      </c>
      <c r="B13" s="84" t="s">
        <v>151</v>
      </c>
      <c r="C13" s="84">
        <v>200000</v>
      </c>
      <c r="D13" s="84">
        <v>100000</v>
      </c>
      <c r="E13" s="84">
        <v>700000</v>
      </c>
      <c r="F13" s="84">
        <f t="shared" si="0"/>
        <v>1000000</v>
      </c>
      <c r="G13" s="84" t="b">
        <f t="shared" si="5"/>
        <v>1</v>
      </c>
      <c r="H13" s="88">
        <f>DETAILS!AW42</f>
        <v>1000000</v>
      </c>
      <c r="I13" s="84">
        <v>1200000</v>
      </c>
      <c r="J13" s="85">
        <f t="shared" si="1"/>
        <v>0.83333333333333337</v>
      </c>
      <c r="K13" s="57">
        <f t="shared" si="2"/>
        <v>200000</v>
      </c>
      <c r="L13" s="95">
        <f t="shared" ref="L13" si="7">100%-J13</f>
        <v>0.16666666666666663</v>
      </c>
      <c r="M13" s="738"/>
      <c r="N13" s="79"/>
      <c r="O13" s="59" t="b">
        <f t="shared" si="3"/>
        <v>1</v>
      </c>
      <c r="P13" s="301">
        <v>1</v>
      </c>
      <c r="Q13" s="301"/>
      <c r="R13" s="301"/>
      <c r="S13" s="301"/>
      <c r="T13" s="301"/>
      <c r="U13" s="301"/>
    </row>
    <row r="14" spans="1:21" s="29" customFormat="1" ht="16" x14ac:dyDescent="0.4">
      <c r="A14" s="84">
        <f t="shared" si="4"/>
        <v>6</v>
      </c>
      <c r="B14" s="84" t="s">
        <v>152</v>
      </c>
      <c r="C14" s="84">
        <v>200000</v>
      </c>
      <c r="D14" s="84">
        <v>100000</v>
      </c>
      <c r="E14" s="84">
        <v>700000</v>
      </c>
      <c r="F14" s="84">
        <f t="shared" si="0"/>
        <v>1000000</v>
      </c>
      <c r="G14" s="84" t="b">
        <f t="shared" si="5"/>
        <v>1</v>
      </c>
      <c r="H14" s="88">
        <f>DETAILS!AW38</f>
        <v>1000000</v>
      </c>
      <c r="I14" s="84">
        <v>1200000</v>
      </c>
      <c r="J14" s="85">
        <f t="shared" si="1"/>
        <v>0.83333333333333337</v>
      </c>
      <c r="K14" s="57">
        <f t="shared" si="2"/>
        <v>200000</v>
      </c>
      <c r="L14" s="95">
        <f t="shared" si="6"/>
        <v>0.16666666666666663</v>
      </c>
      <c r="M14" s="738"/>
      <c r="N14" s="79"/>
      <c r="O14" s="59" t="b">
        <f t="shared" si="3"/>
        <v>1</v>
      </c>
      <c r="P14" s="301">
        <v>1</v>
      </c>
      <c r="Q14" s="301"/>
      <c r="R14" s="301"/>
      <c r="S14" s="301"/>
      <c r="T14" s="301"/>
      <c r="U14" s="301"/>
    </row>
    <row r="15" spans="1:21" s="29" customFormat="1" ht="16" x14ac:dyDescent="0.4">
      <c r="A15" s="84">
        <f t="shared" si="4"/>
        <v>7</v>
      </c>
      <c r="B15" s="84" t="s">
        <v>153</v>
      </c>
      <c r="C15" s="84">
        <v>200000</v>
      </c>
      <c r="D15" s="84">
        <v>100000</v>
      </c>
      <c r="E15" s="84">
        <v>920000</v>
      </c>
      <c r="F15" s="84">
        <f t="shared" si="0"/>
        <v>1220000</v>
      </c>
      <c r="G15" s="84" t="b">
        <f t="shared" si="5"/>
        <v>1</v>
      </c>
      <c r="H15" s="88">
        <f>DETAILS!AW14</f>
        <v>1220000</v>
      </c>
      <c r="I15" s="84">
        <v>1200000</v>
      </c>
      <c r="J15" s="85">
        <f t="shared" si="1"/>
        <v>1.0166666666666666</v>
      </c>
      <c r="K15" s="88">
        <f t="shared" si="2"/>
        <v>0</v>
      </c>
      <c r="L15" s="89">
        <f t="shared" si="6"/>
        <v>-1.6666666666666607E-2</v>
      </c>
      <c r="M15" s="738"/>
      <c r="N15" s="79">
        <v>10000</v>
      </c>
      <c r="O15" s="59" t="b">
        <f t="shared" si="3"/>
        <v>1</v>
      </c>
      <c r="P15" s="301">
        <v>1</v>
      </c>
      <c r="Q15" s="301"/>
      <c r="R15" s="301"/>
      <c r="S15" s="301"/>
      <c r="T15" s="301"/>
      <c r="U15" s="301"/>
    </row>
    <row r="16" spans="1:21" s="29" customFormat="1" ht="16" x14ac:dyDescent="0.4">
      <c r="A16" s="84">
        <f t="shared" si="4"/>
        <v>8</v>
      </c>
      <c r="B16" s="84" t="s">
        <v>46</v>
      </c>
      <c r="C16" s="84">
        <v>200000</v>
      </c>
      <c r="D16" s="84">
        <v>100000</v>
      </c>
      <c r="E16" s="84">
        <v>700000</v>
      </c>
      <c r="F16" s="84">
        <f t="shared" si="0"/>
        <v>1000000</v>
      </c>
      <c r="G16" s="84" t="b">
        <f t="shared" si="5"/>
        <v>1</v>
      </c>
      <c r="H16" s="88">
        <f>DETAILS!AW23</f>
        <v>1000000</v>
      </c>
      <c r="I16" s="84">
        <v>1200000</v>
      </c>
      <c r="J16" s="85">
        <f t="shared" si="1"/>
        <v>0.83333333333333337</v>
      </c>
      <c r="K16" s="90">
        <f t="shared" si="2"/>
        <v>200000</v>
      </c>
      <c r="L16" s="91">
        <f t="shared" ref="L16" si="8">100%-J16</f>
        <v>0.16666666666666663</v>
      </c>
      <c r="M16" s="738"/>
      <c r="N16" s="79"/>
      <c r="O16" s="59" t="b">
        <f t="shared" si="3"/>
        <v>1</v>
      </c>
      <c r="P16" s="3">
        <v>1</v>
      </c>
      <c r="Q16" s="301"/>
      <c r="R16" s="301"/>
      <c r="S16" s="301"/>
      <c r="T16" s="301"/>
      <c r="U16" s="301"/>
    </row>
    <row r="17" spans="1:21" s="29" customFormat="1" ht="16" x14ac:dyDescent="0.4">
      <c r="A17" s="84">
        <f t="shared" si="4"/>
        <v>9</v>
      </c>
      <c r="B17" s="84" t="s">
        <v>51</v>
      </c>
      <c r="C17" s="84">
        <v>200000</v>
      </c>
      <c r="D17" s="84">
        <v>100000</v>
      </c>
      <c r="E17" s="84">
        <v>700000</v>
      </c>
      <c r="F17" s="84">
        <f t="shared" si="0"/>
        <v>1000000</v>
      </c>
      <c r="G17" s="84" t="b">
        <f t="shared" si="5"/>
        <v>1</v>
      </c>
      <c r="H17" s="88">
        <f>DETAILS!AW28</f>
        <v>1000000</v>
      </c>
      <c r="I17" s="84">
        <v>1200000</v>
      </c>
      <c r="J17" s="85">
        <f t="shared" si="1"/>
        <v>0.83333333333333337</v>
      </c>
      <c r="K17" s="90">
        <f t="shared" si="2"/>
        <v>200000</v>
      </c>
      <c r="L17" s="91">
        <f t="shared" si="6"/>
        <v>0.16666666666666663</v>
      </c>
      <c r="M17" s="738"/>
      <c r="N17" s="79"/>
      <c r="O17" s="59" t="b">
        <f t="shared" si="3"/>
        <v>1</v>
      </c>
      <c r="P17" s="301">
        <v>1</v>
      </c>
      <c r="Q17" s="301"/>
      <c r="R17" s="301"/>
      <c r="S17" s="301"/>
      <c r="T17" s="301"/>
      <c r="U17" s="301"/>
    </row>
    <row r="18" spans="1:21" s="29" customFormat="1" ht="16" x14ac:dyDescent="0.4">
      <c r="A18" s="84">
        <f t="shared" si="4"/>
        <v>10</v>
      </c>
      <c r="B18" s="84" t="s">
        <v>33</v>
      </c>
      <c r="C18" s="84">
        <v>200000</v>
      </c>
      <c r="D18" s="84">
        <v>100000</v>
      </c>
      <c r="E18" s="84">
        <v>1000000</v>
      </c>
      <c r="F18" s="84">
        <f t="shared" si="0"/>
        <v>1300000</v>
      </c>
      <c r="G18" s="84" t="b">
        <f t="shared" si="5"/>
        <v>1</v>
      </c>
      <c r="H18" s="88">
        <f>DETAILS!AW10</f>
        <v>1300000</v>
      </c>
      <c r="I18" s="84">
        <v>1200000</v>
      </c>
      <c r="J18" s="85">
        <f t="shared" si="1"/>
        <v>1.0833333333333333</v>
      </c>
      <c r="K18" s="88">
        <f t="shared" si="2"/>
        <v>0</v>
      </c>
      <c r="L18" s="89">
        <f t="shared" si="6"/>
        <v>-8.3333333333333259E-2</v>
      </c>
      <c r="M18" s="738"/>
      <c r="N18" s="79"/>
      <c r="O18" s="59" t="b">
        <f t="shared" si="3"/>
        <v>1</v>
      </c>
      <c r="P18" s="301">
        <v>1</v>
      </c>
      <c r="Q18" s="301"/>
      <c r="R18" s="301"/>
      <c r="S18" s="301"/>
      <c r="T18" s="301"/>
      <c r="U18" s="301"/>
    </row>
    <row r="19" spans="1:21" s="29" customFormat="1" ht="16" x14ac:dyDescent="0.4">
      <c r="A19" s="84">
        <f t="shared" si="4"/>
        <v>11</v>
      </c>
      <c r="B19" s="84" t="s">
        <v>82</v>
      </c>
      <c r="C19" s="84">
        <v>200000</v>
      </c>
      <c r="D19" s="84">
        <v>100000</v>
      </c>
      <c r="E19" s="84">
        <v>700000</v>
      </c>
      <c r="F19" s="84">
        <f t="shared" si="0"/>
        <v>1000000</v>
      </c>
      <c r="G19" s="84" t="b">
        <f t="shared" si="5"/>
        <v>1</v>
      </c>
      <c r="H19" s="88">
        <f>DETAILS!AW58</f>
        <v>1000000</v>
      </c>
      <c r="I19" s="84">
        <v>1200000</v>
      </c>
      <c r="J19" s="85">
        <f t="shared" si="1"/>
        <v>0.83333333333333337</v>
      </c>
      <c r="K19" s="90">
        <f t="shared" si="2"/>
        <v>200000</v>
      </c>
      <c r="L19" s="91">
        <f t="shared" ref="L19" si="9">100%-J19</f>
        <v>0.16666666666666663</v>
      </c>
      <c r="M19" s="738"/>
      <c r="N19" s="79"/>
      <c r="O19" s="59" t="b">
        <f t="shared" si="3"/>
        <v>1</v>
      </c>
      <c r="P19" s="301">
        <v>1</v>
      </c>
      <c r="Q19" s="301"/>
      <c r="R19" s="301"/>
      <c r="S19" s="301"/>
      <c r="T19" s="301"/>
      <c r="U19" s="301"/>
    </row>
    <row r="20" spans="1:21" s="29" customFormat="1" ht="16" x14ac:dyDescent="0.4">
      <c r="A20" s="84">
        <f t="shared" si="4"/>
        <v>12</v>
      </c>
      <c r="B20" s="84" t="s">
        <v>50</v>
      </c>
      <c r="C20" s="84">
        <v>200000</v>
      </c>
      <c r="D20" s="84">
        <v>100000</v>
      </c>
      <c r="E20" s="84">
        <v>1000000</v>
      </c>
      <c r="F20" s="84">
        <f t="shared" si="0"/>
        <v>1300000</v>
      </c>
      <c r="G20" s="84" t="b">
        <f t="shared" si="5"/>
        <v>1</v>
      </c>
      <c r="H20" s="88">
        <f>DETAILS!AW27</f>
        <v>1300000</v>
      </c>
      <c r="I20" s="84">
        <v>1200000</v>
      </c>
      <c r="J20" s="85">
        <f t="shared" si="1"/>
        <v>1.0833333333333333</v>
      </c>
      <c r="K20" s="88">
        <f t="shared" si="2"/>
        <v>0</v>
      </c>
      <c r="L20" s="89">
        <f t="shared" si="6"/>
        <v>-8.3333333333333259E-2</v>
      </c>
      <c r="M20" s="738"/>
      <c r="N20" s="79"/>
      <c r="O20" s="59" t="b">
        <f t="shared" si="3"/>
        <v>1</v>
      </c>
      <c r="P20" s="301">
        <v>1</v>
      </c>
      <c r="Q20" s="301"/>
      <c r="R20" s="301"/>
      <c r="S20" s="301"/>
      <c r="T20" s="301"/>
      <c r="U20" s="301"/>
    </row>
    <row r="21" spans="1:21" s="29" customFormat="1" ht="16" x14ac:dyDescent="0.4">
      <c r="A21" s="84">
        <f t="shared" si="4"/>
        <v>13</v>
      </c>
      <c r="B21" s="84" t="s">
        <v>154</v>
      </c>
      <c r="C21" s="84">
        <v>200000</v>
      </c>
      <c r="D21" s="84">
        <v>100000</v>
      </c>
      <c r="E21" s="84">
        <v>500000</v>
      </c>
      <c r="F21" s="84">
        <f t="shared" si="0"/>
        <v>800000</v>
      </c>
      <c r="G21" s="84" t="b">
        <f t="shared" si="5"/>
        <v>1</v>
      </c>
      <c r="H21" s="88">
        <f>DETAILS!AW31</f>
        <v>800000</v>
      </c>
      <c r="I21" s="84">
        <v>1200000</v>
      </c>
      <c r="J21" s="85">
        <f t="shared" si="1"/>
        <v>0.66666666666666663</v>
      </c>
      <c r="K21" s="90">
        <f t="shared" si="2"/>
        <v>400000</v>
      </c>
      <c r="L21" s="91">
        <f t="shared" si="6"/>
        <v>0.33333333333333337</v>
      </c>
      <c r="M21" s="738"/>
      <c r="N21" s="79"/>
      <c r="O21" s="59" t="b">
        <f t="shared" si="3"/>
        <v>1</v>
      </c>
      <c r="P21" s="301"/>
      <c r="Q21" s="301"/>
      <c r="R21" s="301"/>
      <c r="S21" s="301"/>
      <c r="T21" s="301"/>
      <c r="U21" s="301"/>
    </row>
    <row r="22" spans="1:21" s="29" customFormat="1" ht="16" x14ac:dyDescent="0.4">
      <c r="A22" s="84">
        <f t="shared" si="4"/>
        <v>14</v>
      </c>
      <c r="B22" s="84" t="s">
        <v>155</v>
      </c>
      <c r="C22" s="84">
        <v>200000</v>
      </c>
      <c r="D22" s="84">
        <v>100000</v>
      </c>
      <c r="E22" s="84">
        <v>700000</v>
      </c>
      <c r="F22" s="84">
        <f t="shared" si="0"/>
        <v>1000000</v>
      </c>
      <c r="G22" s="84" t="b">
        <f t="shared" si="5"/>
        <v>1</v>
      </c>
      <c r="H22" s="88">
        <f>DETAILS!AW9</f>
        <v>1000000</v>
      </c>
      <c r="I22" s="84">
        <v>1200000</v>
      </c>
      <c r="J22" s="85">
        <f t="shared" si="1"/>
        <v>0.83333333333333337</v>
      </c>
      <c r="K22" s="90">
        <f t="shared" si="2"/>
        <v>200000</v>
      </c>
      <c r="L22" s="91">
        <f t="shared" si="6"/>
        <v>0.16666666666666663</v>
      </c>
      <c r="M22" s="738"/>
      <c r="N22" s="79"/>
      <c r="O22" s="59" t="b">
        <f t="shared" si="3"/>
        <v>1</v>
      </c>
      <c r="P22" s="301">
        <v>1</v>
      </c>
      <c r="Q22" s="301"/>
      <c r="R22" s="301"/>
      <c r="S22" s="301"/>
      <c r="T22" s="301"/>
      <c r="U22" s="301"/>
    </row>
    <row r="23" spans="1:21" s="29" customFormat="1" ht="16" x14ac:dyDescent="0.4">
      <c r="A23" s="84">
        <f t="shared" si="4"/>
        <v>15</v>
      </c>
      <c r="B23" s="84" t="s">
        <v>156</v>
      </c>
      <c r="C23" s="84">
        <v>200000</v>
      </c>
      <c r="D23" s="84">
        <v>100000</v>
      </c>
      <c r="E23" s="84">
        <v>700000</v>
      </c>
      <c r="F23" s="84">
        <f t="shared" si="0"/>
        <v>1000000</v>
      </c>
      <c r="G23" s="84" t="b">
        <f t="shared" si="5"/>
        <v>1</v>
      </c>
      <c r="H23" s="88">
        <f>DETAILS!AW51</f>
        <v>1000000</v>
      </c>
      <c r="I23" s="84">
        <v>1200000</v>
      </c>
      <c r="J23" s="85">
        <f t="shared" si="1"/>
        <v>0.83333333333333337</v>
      </c>
      <c r="K23" s="90">
        <f t="shared" si="2"/>
        <v>200000</v>
      </c>
      <c r="L23" s="91">
        <f t="shared" si="6"/>
        <v>0.16666666666666663</v>
      </c>
      <c r="M23" s="738"/>
      <c r="N23" s="79">
        <v>10000</v>
      </c>
      <c r="O23" s="59" t="b">
        <f t="shared" si="3"/>
        <v>1</v>
      </c>
      <c r="P23" s="301">
        <v>1</v>
      </c>
      <c r="Q23" s="301"/>
      <c r="R23" s="301"/>
      <c r="S23" s="301"/>
      <c r="T23" s="301"/>
      <c r="U23" s="301"/>
    </row>
    <row r="24" spans="1:21" s="29" customFormat="1" ht="16" x14ac:dyDescent="0.4">
      <c r="A24" s="84">
        <f t="shared" si="4"/>
        <v>16</v>
      </c>
      <c r="B24" s="84" t="s">
        <v>157</v>
      </c>
      <c r="C24" s="84">
        <v>200000</v>
      </c>
      <c r="D24" s="84">
        <v>100000</v>
      </c>
      <c r="E24" s="84">
        <v>700000</v>
      </c>
      <c r="F24" s="84">
        <f t="shared" si="0"/>
        <v>1000000</v>
      </c>
      <c r="G24" s="84" t="b">
        <f t="shared" si="5"/>
        <v>1</v>
      </c>
      <c r="H24" s="88">
        <f>DETAILS!AW12</f>
        <v>1000000</v>
      </c>
      <c r="I24" s="84">
        <v>1200000</v>
      </c>
      <c r="J24" s="85">
        <f t="shared" si="1"/>
        <v>0.83333333333333337</v>
      </c>
      <c r="K24" s="90">
        <f t="shared" si="2"/>
        <v>200000</v>
      </c>
      <c r="L24" s="91">
        <f t="shared" si="6"/>
        <v>0.16666666666666663</v>
      </c>
      <c r="M24" s="738"/>
      <c r="N24" s="79"/>
      <c r="O24" s="59" t="b">
        <f t="shared" si="3"/>
        <v>1</v>
      </c>
      <c r="P24" s="301">
        <v>1</v>
      </c>
      <c r="Q24" s="301"/>
      <c r="R24" s="301"/>
      <c r="S24" s="301"/>
      <c r="T24" s="301"/>
      <c r="U24" s="301"/>
    </row>
    <row r="25" spans="1:21" s="29" customFormat="1" ht="16" x14ac:dyDescent="0.4">
      <c r="A25" s="84">
        <f t="shared" si="4"/>
        <v>17</v>
      </c>
      <c r="B25" s="84" t="s">
        <v>158</v>
      </c>
      <c r="C25" s="84">
        <v>200000</v>
      </c>
      <c r="D25" s="84">
        <v>100000</v>
      </c>
      <c r="E25" s="84">
        <v>950000</v>
      </c>
      <c r="F25" s="84">
        <f t="shared" si="0"/>
        <v>1250000</v>
      </c>
      <c r="G25" s="84" t="b">
        <f t="shared" si="5"/>
        <v>1</v>
      </c>
      <c r="H25" s="88">
        <f>DETAILS!AW43</f>
        <v>1250000</v>
      </c>
      <c r="I25" s="84">
        <v>1200000</v>
      </c>
      <c r="J25" s="85">
        <f t="shared" si="1"/>
        <v>1.0416666666666667</v>
      </c>
      <c r="K25" s="57">
        <f t="shared" si="2"/>
        <v>0</v>
      </c>
      <c r="L25" s="95">
        <f t="shared" si="6"/>
        <v>-4.1666666666666741E-2</v>
      </c>
      <c r="M25" s="738"/>
      <c r="N25" s="79"/>
      <c r="O25" s="59" t="b">
        <f t="shared" si="3"/>
        <v>1</v>
      </c>
      <c r="P25" s="301">
        <v>1</v>
      </c>
      <c r="Q25" s="301"/>
      <c r="R25" s="301"/>
      <c r="S25" s="301"/>
      <c r="T25" s="301"/>
      <c r="U25" s="301"/>
    </row>
    <row r="26" spans="1:21" s="29" customFormat="1" ht="16" x14ac:dyDescent="0.4">
      <c r="A26" s="84">
        <f t="shared" si="4"/>
        <v>18</v>
      </c>
      <c r="B26" s="84" t="s">
        <v>159</v>
      </c>
      <c r="C26" s="84">
        <v>200000</v>
      </c>
      <c r="D26" s="84">
        <v>100000</v>
      </c>
      <c r="E26" s="84">
        <v>700000</v>
      </c>
      <c r="F26" s="84">
        <f t="shared" si="0"/>
        <v>1000000</v>
      </c>
      <c r="G26" s="84" t="b">
        <f t="shared" si="5"/>
        <v>1</v>
      </c>
      <c r="H26" s="88">
        <f>DETAILS!AW8</f>
        <v>1000000</v>
      </c>
      <c r="I26" s="84">
        <v>1200000</v>
      </c>
      <c r="J26" s="85">
        <f t="shared" si="1"/>
        <v>0.83333333333333337</v>
      </c>
      <c r="K26" s="90">
        <f t="shared" si="2"/>
        <v>200000</v>
      </c>
      <c r="L26" s="91">
        <f t="shared" si="6"/>
        <v>0.16666666666666663</v>
      </c>
      <c r="M26" s="738"/>
      <c r="N26" s="79"/>
      <c r="O26" s="59" t="b">
        <f t="shared" si="3"/>
        <v>1</v>
      </c>
      <c r="P26" s="301">
        <v>1</v>
      </c>
      <c r="Q26" s="301"/>
      <c r="R26" s="301"/>
      <c r="S26" s="301"/>
      <c r="T26" s="301"/>
      <c r="U26" s="301"/>
    </row>
    <row r="27" spans="1:21" s="29" customFormat="1" ht="16" x14ac:dyDescent="0.4">
      <c r="A27" s="84">
        <f t="shared" si="4"/>
        <v>19</v>
      </c>
      <c r="B27" s="84" t="s">
        <v>39</v>
      </c>
      <c r="C27" s="84">
        <v>200000</v>
      </c>
      <c r="D27" s="84">
        <v>100000</v>
      </c>
      <c r="E27" s="84">
        <v>700000</v>
      </c>
      <c r="F27" s="84">
        <f t="shared" si="0"/>
        <v>1000000</v>
      </c>
      <c r="G27" s="84" t="b">
        <f t="shared" si="5"/>
        <v>1</v>
      </c>
      <c r="H27" s="88">
        <f>DETAILS!AW16</f>
        <v>1000000</v>
      </c>
      <c r="I27" s="84">
        <v>1200000</v>
      </c>
      <c r="J27" s="85">
        <f t="shared" si="1"/>
        <v>0.83333333333333337</v>
      </c>
      <c r="K27" s="90">
        <f t="shared" si="2"/>
        <v>200000</v>
      </c>
      <c r="L27" s="91">
        <f t="shared" ref="L27" si="10">100%-J27</f>
        <v>0.16666666666666663</v>
      </c>
      <c r="M27" s="738"/>
      <c r="N27" s="79"/>
      <c r="O27" s="59" t="b">
        <f t="shared" si="3"/>
        <v>1</v>
      </c>
      <c r="P27" s="3">
        <v>1</v>
      </c>
      <c r="Q27" s="301"/>
      <c r="R27" s="301"/>
      <c r="S27" s="301"/>
      <c r="T27" s="301"/>
      <c r="U27" s="301"/>
    </row>
    <row r="28" spans="1:21" s="29" customFormat="1" ht="16" x14ac:dyDescent="0.4">
      <c r="A28" s="84">
        <f t="shared" si="4"/>
        <v>20</v>
      </c>
      <c r="B28" s="84" t="s">
        <v>42</v>
      </c>
      <c r="C28" s="84">
        <v>200000</v>
      </c>
      <c r="D28" s="84">
        <v>100000</v>
      </c>
      <c r="E28" s="84">
        <v>710000</v>
      </c>
      <c r="F28" s="84">
        <f t="shared" si="0"/>
        <v>1010000</v>
      </c>
      <c r="G28" s="84" t="b">
        <f t="shared" si="5"/>
        <v>1</v>
      </c>
      <c r="H28" s="88">
        <f>DETAILS!AW19</f>
        <v>1010000</v>
      </c>
      <c r="I28" s="84">
        <v>1200000</v>
      </c>
      <c r="J28" s="85">
        <f t="shared" si="1"/>
        <v>0.84166666666666667</v>
      </c>
      <c r="K28" s="90">
        <f t="shared" si="2"/>
        <v>190000</v>
      </c>
      <c r="L28" s="91">
        <f t="shared" si="6"/>
        <v>0.15833333333333333</v>
      </c>
      <c r="M28" s="738"/>
      <c r="N28" s="79"/>
      <c r="O28" s="59" t="b">
        <f t="shared" si="3"/>
        <v>1</v>
      </c>
      <c r="P28" s="3">
        <v>1</v>
      </c>
      <c r="Q28" s="301">
        <v>235000</v>
      </c>
      <c r="R28" s="301"/>
      <c r="S28" s="301"/>
      <c r="T28" s="301"/>
      <c r="U28" s="301"/>
    </row>
    <row r="29" spans="1:21" s="1" customFormat="1" ht="16" x14ac:dyDescent="0.4">
      <c r="A29" s="84">
        <f t="shared" si="4"/>
        <v>21</v>
      </c>
      <c r="B29" s="84" t="s">
        <v>71</v>
      </c>
      <c r="C29" s="84">
        <v>200000</v>
      </c>
      <c r="D29" s="84">
        <v>100000</v>
      </c>
      <c r="E29" s="84">
        <v>700000</v>
      </c>
      <c r="F29" s="84">
        <f t="shared" si="0"/>
        <v>1000000</v>
      </c>
      <c r="G29" s="84" t="b">
        <f t="shared" si="5"/>
        <v>1</v>
      </c>
      <c r="H29" s="88">
        <f>DETAILS!AW48</f>
        <v>1000000</v>
      </c>
      <c r="I29" s="84">
        <v>1200000</v>
      </c>
      <c r="J29" s="85">
        <f t="shared" si="1"/>
        <v>0.83333333333333337</v>
      </c>
      <c r="K29" s="90">
        <f t="shared" si="2"/>
        <v>200000</v>
      </c>
      <c r="L29" s="91">
        <f t="shared" ref="L29" si="11">100%-J29</f>
        <v>0.16666666666666663</v>
      </c>
      <c r="M29" s="739" t="s">
        <v>160</v>
      </c>
      <c r="N29" s="80"/>
      <c r="O29" s="59" t="b">
        <f t="shared" si="3"/>
        <v>1</v>
      </c>
      <c r="P29" s="3">
        <v>1</v>
      </c>
      <c r="Q29" s="3"/>
      <c r="R29" s="3"/>
      <c r="S29" s="3"/>
      <c r="T29" s="3"/>
      <c r="U29" s="3"/>
    </row>
    <row r="30" spans="1:21" s="1" customFormat="1" ht="16" x14ac:dyDescent="0.4">
      <c r="A30" s="84">
        <f t="shared" si="4"/>
        <v>22</v>
      </c>
      <c r="B30" s="84" t="s">
        <v>43</v>
      </c>
      <c r="C30" s="84">
        <v>200000</v>
      </c>
      <c r="D30" s="84">
        <v>100000</v>
      </c>
      <c r="E30" s="84">
        <v>740000</v>
      </c>
      <c r="F30" s="84">
        <f t="shared" si="0"/>
        <v>1040000</v>
      </c>
      <c r="G30" s="84" t="b">
        <f t="shared" si="5"/>
        <v>1</v>
      </c>
      <c r="H30" s="88">
        <f>DETAILS!AW20</f>
        <v>1040000</v>
      </c>
      <c r="I30" s="84">
        <v>1200000</v>
      </c>
      <c r="J30" s="85">
        <f t="shared" si="1"/>
        <v>0.8666666666666667</v>
      </c>
      <c r="K30" s="90">
        <f t="shared" si="2"/>
        <v>160000</v>
      </c>
      <c r="L30" s="91">
        <f t="shared" si="6"/>
        <v>0.1333333333333333</v>
      </c>
      <c r="M30" s="739"/>
      <c r="N30" s="80"/>
      <c r="O30" s="59" t="b">
        <f t="shared" si="3"/>
        <v>1</v>
      </c>
      <c r="P30" s="3">
        <v>1</v>
      </c>
      <c r="Q30" s="3"/>
      <c r="R30" s="3"/>
      <c r="S30" s="3"/>
      <c r="T30" s="3"/>
      <c r="U30" s="3"/>
    </row>
    <row r="31" spans="1:21" s="1" customFormat="1" ht="16" x14ac:dyDescent="0.4">
      <c r="A31" s="84">
        <f t="shared" si="4"/>
        <v>23</v>
      </c>
      <c r="B31" s="84" t="s">
        <v>73</v>
      </c>
      <c r="C31" s="84">
        <v>200000</v>
      </c>
      <c r="D31" s="84">
        <v>100000</v>
      </c>
      <c r="E31" s="84">
        <v>700000</v>
      </c>
      <c r="F31" s="84">
        <f t="shared" si="0"/>
        <v>1000000</v>
      </c>
      <c r="G31" s="84" t="b">
        <f t="shared" si="5"/>
        <v>1</v>
      </c>
      <c r="H31" s="88">
        <f>DETAILS!AW50</f>
        <v>1000000</v>
      </c>
      <c r="I31" s="84">
        <v>1200000</v>
      </c>
      <c r="J31" s="85">
        <f t="shared" si="1"/>
        <v>0.83333333333333337</v>
      </c>
      <c r="K31" s="90">
        <f t="shared" si="2"/>
        <v>200000</v>
      </c>
      <c r="L31" s="91">
        <f t="shared" si="6"/>
        <v>0.16666666666666663</v>
      </c>
      <c r="M31" s="739"/>
      <c r="N31" s="80"/>
      <c r="O31" s="59" t="b">
        <f t="shared" si="3"/>
        <v>1</v>
      </c>
      <c r="P31" s="3">
        <v>1</v>
      </c>
      <c r="Q31" s="3"/>
      <c r="R31" s="3"/>
      <c r="S31" s="3"/>
      <c r="T31" s="3"/>
      <c r="U31" s="3"/>
    </row>
    <row r="32" spans="1:21" s="1" customFormat="1" ht="16" x14ac:dyDescent="0.4">
      <c r="A32" s="84">
        <f t="shared" si="4"/>
        <v>24</v>
      </c>
      <c r="B32" s="84" t="s">
        <v>60</v>
      </c>
      <c r="C32" s="84">
        <v>200000</v>
      </c>
      <c r="D32" s="84">
        <v>100000</v>
      </c>
      <c r="E32" s="84">
        <v>800000</v>
      </c>
      <c r="F32" s="84">
        <f t="shared" si="0"/>
        <v>1100000</v>
      </c>
      <c r="G32" s="84" t="b">
        <f t="shared" si="5"/>
        <v>1</v>
      </c>
      <c r="H32" s="88">
        <f>DETAILS!AW37</f>
        <v>1100000</v>
      </c>
      <c r="I32" s="84">
        <v>1200000</v>
      </c>
      <c r="J32" s="85">
        <f t="shared" si="1"/>
        <v>0.91666666666666663</v>
      </c>
      <c r="K32" s="90">
        <f t="shared" si="2"/>
        <v>100000</v>
      </c>
      <c r="L32" s="91">
        <f t="shared" ref="L32" si="12">100%-J32</f>
        <v>8.333333333333337E-2</v>
      </c>
      <c r="M32" s="739"/>
      <c r="N32" s="80"/>
      <c r="O32" s="59" t="b">
        <f t="shared" si="3"/>
        <v>1</v>
      </c>
      <c r="P32" s="3">
        <v>1</v>
      </c>
      <c r="Q32" s="3"/>
      <c r="R32" s="3"/>
      <c r="S32" s="3"/>
      <c r="T32" s="3"/>
      <c r="U32" s="3"/>
    </row>
    <row r="33" spans="1:21" s="1" customFormat="1" ht="16" x14ac:dyDescent="0.4">
      <c r="A33" s="84">
        <f t="shared" si="4"/>
        <v>25</v>
      </c>
      <c r="B33" s="84" t="s">
        <v>63</v>
      </c>
      <c r="C33" s="84">
        <v>200000</v>
      </c>
      <c r="D33" s="84">
        <v>100000</v>
      </c>
      <c r="E33" s="84">
        <v>700000</v>
      </c>
      <c r="F33" s="84">
        <f t="shared" si="0"/>
        <v>1000000</v>
      </c>
      <c r="G33" s="84" t="b">
        <f t="shared" si="5"/>
        <v>1</v>
      </c>
      <c r="H33" s="88">
        <f>DETAILS!AW40</f>
        <v>1000000</v>
      </c>
      <c r="I33" s="84">
        <v>1200000</v>
      </c>
      <c r="J33" s="85">
        <f t="shared" si="1"/>
        <v>0.83333333333333337</v>
      </c>
      <c r="K33" s="90">
        <f t="shared" si="2"/>
        <v>200000</v>
      </c>
      <c r="L33" s="91">
        <f t="shared" si="6"/>
        <v>0.16666666666666663</v>
      </c>
      <c r="M33" s="739"/>
      <c r="N33" s="80"/>
      <c r="O33" s="59" t="b">
        <f t="shared" si="3"/>
        <v>1</v>
      </c>
      <c r="P33" s="3">
        <v>1</v>
      </c>
      <c r="Q33" s="3"/>
      <c r="R33" s="3"/>
      <c r="S33" s="3"/>
      <c r="T33" s="3"/>
      <c r="U33" s="3"/>
    </row>
    <row r="34" spans="1:21" s="1" customFormat="1" ht="16" x14ac:dyDescent="0.4">
      <c r="A34" s="84">
        <f t="shared" si="4"/>
        <v>26</v>
      </c>
      <c r="B34" s="84" t="s">
        <v>75</v>
      </c>
      <c r="C34" s="84">
        <v>200000</v>
      </c>
      <c r="D34" s="84">
        <v>100000</v>
      </c>
      <c r="E34" s="84">
        <v>400000</v>
      </c>
      <c r="F34" s="84">
        <f t="shared" si="0"/>
        <v>700000</v>
      </c>
      <c r="G34" s="84" t="b">
        <f t="shared" si="5"/>
        <v>1</v>
      </c>
      <c r="H34" s="88">
        <f>DETAILS!AW52</f>
        <v>700000</v>
      </c>
      <c r="I34" s="84">
        <v>1200000</v>
      </c>
      <c r="J34" s="85">
        <f t="shared" si="1"/>
        <v>0.58333333333333337</v>
      </c>
      <c r="K34" s="90">
        <f t="shared" si="2"/>
        <v>500000</v>
      </c>
      <c r="L34" s="91">
        <f t="shared" si="6"/>
        <v>0.41666666666666663</v>
      </c>
      <c r="M34" s="739"/>
      <c r="N34" s="80"/>
      <c r="O34" s="59" t="b">
        <f t="shared" si="3"/>
        <v>1</v>
      </c>
      <c r="P34" s="3"/>
      <c r="Q34" s="3"/>
      <c r="R34" s="3"/>
      <c r="S34" s="3"/>
      <c r="T34" s="3"/>
      <c r="U34" s="3"/>
    </row>
    <row r="35" spans="1:21" s="1" customFormat="1" ht="16" x14ac:dyDescent="0.4">
      <c r="A35" s="84">
        <f t="shared" si="4"/>
        <v>27</v>
      </c>
      <c r="B35" s="84" t="s">
        <v>47</v>
      </c>
      <c r="C35" s="84">
        <v>100000</v>
      </c>
      <c r="D35" s="84"/>
      <c r="E35" s="84"/>
      <c r="F35" s="84">
        <f t="shared" si="0"/>
        <v>100000</v>
      </c>
      <c r="G35" s="84" t="b">
        <f t="shared" si="5"/>
        <v>1</v>
      </c>
      <c r="H35" s="88">
        <f>DETAILS!AW24</f>
        <v>100000</v>
      </c>
      <c r="I35" s="84">
        <v>1200000</v>
      </c>
      <c r="J35" s="85">
        <f t="shared" si="1"/>
        <v>8.3333333333333329E-2</v>
      </c>
      <c r="K35" s="90">
        <f t="shared" si="2"/>
        <v>1100000</v>
      </c>
      <c r="L35" s="91">
        <f t="shared" si="6"/>
        <v>0.91666666666666663</v>
      </c>
      <c r="M35" s="739"/>
      <c r="N35" s="80"/>
      <c r="O35" s="59" t="b">
        <f t="shared" si="3"/>
        <v>1</v>
      </c>
      <c r="P35" s="3"/>
      <c r="Q35" s="3"/>
      <c r="R35" s="3"/>
      <c r="S35" s="3"/>
      <c r="T35" s="3"/>
      <c r="U35" s="3"/>
    </row>
    <row r="36" spans="1:21" s="1" customFormat="1" ht="16" x14ac:dyDescent="0.4">
      <c r="A36" s="84">
        <f t="shared" si="4"/>
        <v>28</v>
      </c>
      <c r="B36" s="84" t="s">
        <v>67</v>
      </c>
      <c r="C36" s="84">
        <v>200000</v>
      </c>
      <c r="D36" s="84">
        <v>100000</v>
      </c>
      <c r="E36" s="84">
        <v>213000</v>
      </c>
      <c r="F36" s="84">
        <f t="shared" si="0"/>
        <v>513000</v>
      </c>
      <c r="G36" s="84" t="b">
        <f t="shared" si="5"/>
        <v>1</v>
      </c>
      <c r="H36" s="88">
        <f>DETAILS!AW44</f>
        <v>513000</v>
      </c>
      <c r="I36" s="84">
        <v>1200000</v>
      </c>
      <c r="J36" s="85">
        <f t="shared" si="1"/>
        <v>0.42749999999999999</v>
      </c>
      <c r="K36" s="90">
        <f t="shared" si="2"/>
        <v>687000</v>
      </c>
      <c r="L36" s="91">
        <f t="shared" si="6"/>
        <v>0.57250000000000001</v>
      </c>
      <c r="M36" s="739"/>
      <c r="N36" s="80"/>
      <c r="O36" s="59" t="b">
        <f t="shared" si="3"/>
        <v>1</v>
      </c>
      <c r="P36" s="3"/>
      <c r="Q36" s="3"/>
      <c r="R36" s="3"/>
      <c r="S36" s="3"/>
      <c r="T36" s="3"/>
      <c r="U36" s="3"/>
    </row>
    <row r="37" spans="1:21" s="1" customFormat="1" ht="16" x14ac:dyDescent="0.4">
      <c r="A37" s="84">
        <f t="shared" si="4"/>
        <v>29</v>
      </c>
      <c r="B37" s="84" t="s">
        <v>36</v>
      </c>
      <c r="C37" s="84">
        <v>200000</v>
      </c>
      <c r="D37" s="84">
        <v>100000</v>
      </c>
      <c r="E37" s="84">
        <v>700000</v>
      </c>
      <c r="F37" s="84">
        <f t="shared" si="0"/>
        <v>1000000</v>
      </c>
      <c r="G37" s="84" t="b">
        <f t="shared" si="5"/>
        <v>1</v>
      </c>
      <c r="H37" s="88">
        <f>DETAILS!AW13</f>
        <v>1000000</v>
      </c>
      <c r="I37" s="84">
        <v>1200000</v>
      </c>
      <c r="J37" s="85">
        <f t="shared" si="1"/>
        <v>0.83333333333333337</v>
      </c>
      <c r="K37" s="90">
        <f t="shared" si="2"/>
        <v>200000</v>
      </c>
      <c r="L37" s="91">
        <f t="shared" si="6"/>
        <v>0.16666666666666663</v>
      </c>
      <c r="M37" s="739"/>
      <c r="N37" s="80"/>
      <c r="O37" s="59" t="b">
        <f t="shared" si="3"/>
        <v>1</v>
      </c>
      <c r="P37" s="3">
        <v>1</v>
      </c>
      <c r="Q37" s="3"/>
      <c r="R37" s="3"/>
      <c r="S37" s="3"/>
      <c r="T37" s="3"/>
      <c r="U37" s="3"/>
    </row>
    <row r="38" spans="1:21" s="1" customFormat="1" ht="16" x14ac:dyDescent="0.4">
      <c r="A38" s="84">
        <f t="shared" si="4"/>
        <v>30</v>
      </c>
      <c r="B38" s="84" t="s">
        <v>23</v>
      </c>
      <c r="C38" s="84">
        <v>141000</v>
      </c>
      <c r="D38" s="84"/>
      <c r="E38" s="84"/>
      <c r="F38" s="84">
        <f t="shared" si="0"/>
        <v>141000</v>
      </c>
      <c r="G38" s="84" t="b">
        <f t="shared" si="5"/>
        <v>1</v>
      </c>
      <c r="H38" s="88">
        <f>DETAILS!AW6</f>
        <v>141000</v>
      </c>
      <c r="I38" s="84">
        <v>1200000</v>
      </c>
      <c r="J38" s="85">
        <f t="shared" si="1"/>
        <v>0.11749999999999999</v>
      </c>
      <c r="K38" s="90">
        <f t="shared" si="2"/>
        <v>1059000</v>
      </c>
      <c r="L38" s="91">
        <f t="shared" si="6"/>
        <v>0.88250000000000006</v>
      </c>
      <c r="M38" s="739"/>
      <c r="N38" s="80"/>
      <c r="O38" s="59" t="b">
        <f t="shared" si="3"/>
        <v>1</v>
      </c>
      <c r="P38" s="3"/>
      <c r="Q38" s="3"/>
      <c r="R38" s="3"/>
      <c r="S38" s="3"/>
      <c r="T38" s="3"/>
      <c r="U38" s="3"/>
    </row>
    <row r="39" spans="1:21" s="1" customFormat="1" ht="16" x14ac:dyDescent="0.4">
      <c r="A39" s="84">
        <f t="shared" si="4"/>
        <v>31</v>
      </c>
      <c r="B39" s="84" t="s">
        <v>64</v>
      </c>
      <c r="C39" s="84">
        <v>200000</v>
      </c>
      <c r="D39" s="84">
        <v>100000</v>
      </c>
      <c r="E39" s="84">
        <v>70000</v>
      </c>
      <c r="F39" s="84">
        <f t="shared" si="0"/>
        <v>370000</v>
      </c>
      <c r="G39" s="84" t="b">
        <f t="shared" si="5"/>
        <v>1</v>
      </c>
      <c r="H39" s="88">
        <f>DETAILS!AW41</f>
        <v>370000</v>
      </c>
      <c r="I39" s="84">
        <v>1200000</v>
      </c>
      <c r="J39" s="85">
        <f t="shared" si="1"/>
        <v>0.30833333333333335</v>
      </c>
      <c r="K39" s="90">
        <f t="shared" si="2"/>
        <v>830000</v>
      </c>
      <c r="L39" s="91">
        <f t="shared" si="6"/>
        <v>0.69166666666666665</v>
      </c>
      <c r="M39" s="739"/>
      <c r="N39" s="80"/>
      <c r="O39" s="59" t="b">
        <f t="shared" si="3"/>
        <v>1</v>
      </c>
      <c r="P39" s="3"/>
      <c r="Q39" s="3"/>
      <c r="R39" s="3"/>
      <c r="S39" s="3"/>
      <c r="T39" s="3"/>
      <c r="U39" s="3"/>
    </row>
    <row r="40" spans="1:21" s="1" customFormat="1" ht="16" x14ac:dyDescent="0.4">
      <c r="A40" s="84">
        <f t="shared" si="4"/>
        <v>32</v>
      </c>
      <c r="B40" s="84" t="s">
        <v>76</v>
      </c>
      <c r="C40" s="84">
        <v>200000</v>
      </c>
      <c r="D40" s="84">
        <v>100000</v>
      </c>
      <c r="E40" s="84">
        <v>700000</v>
      </c>
      <c r="F40" s="84">
        <f t="shared" si="0"/>
        <v>1000000</v>
      </c>
      <c r="G40" s="84" t="b">
        <f t="shared" si="5"/>
        <v>1</v>
      </c>
      <c r="H40" s="88">
        <f>DETAILS!AW53</f>
        <v>1000000</v>
      </c>
      <c r="I40" s="84">
        <v>1200000</v>
      </c>
      <c r="J40" s="85">
        <f t="shared" si="1"/>
        <v>0.83333333333333337</v>
      </c>
      <c r="K40" s="90">
        <f t="shared" si="2"/>
        <v>200000</v>
      </c>
      <c r="L40" s="91">
        <f t="shared" si="6"/>
        <v>0.16666666666666663</v>
      </c>
      <c r="M40" s="739"/>
      <c r="N40" s="80"/>
      <c r="O40" s="59" t="b">
        <f t="shared" si="3"/>
        <v>1</v>
      </c>
      <c r="P40" s="3">
        <v>1</v>
      </c>
      <c r="Q40" s="3"/>
      <c r="R40" s="3"/>
      <c r="S40" s="3"/>
      <c r="T40" s="3"/>
      <c r="U40" s="3"/>
    </row>
    <row r="41" spans="1:21" s="1" customFormat="1" ht="16" x14ac:dyDescent="0.4">
      <c r="A41" s="84">
        <f t="shared" si="4"/>
        <v>33</v>
      </c>
      <c r="B41" s="84" t="s">
        <v>48</v>
      </c>
      <c r="C41" s="84">
        <v>200000</v>
      </c>
      <c r="D41" s="84">
        <v>100000</v>
      </c>
      <c r="E41" s="84">
        <v>700000</v>
      </c>
      <c r="F41" s="84">
        <f t="shared" ref="F41:F67" si="13">SUM(C41:E41)</f>
        <v>1000000</v>
      </c>
      <c r="G41" s="84" t="b">
        <f t="shared" si="5"/>
        <v>1</v>
      </c>
      <c r="H41" s="88">
        <f>DETAILS!AW25</f>
        <v>1000000</v>
      </c>
      <c r="I41" s="84">
        <v>1200000</v>
      </c>
      <c r="J41" s="85">
        <f t="shared" ref="J41:J67" si="14">H41/I41</f>
        <v>0.83333333333333337</v>
      </c>
      <c r="K41" s="90">
        <f t="shared" ref="K41:K67" si="15">MAX(I41-H41,0)</f>
        <v>200000</v>
      </c>
      <c r="L41" s="91">
        <f t="shared" si="6"/>
        <v>0.16666666666666663</v>
      </c>
      <c r="M41" s="739"/>
      <c r="N41" s="80"/>
      <c r="O41" s="59" t="b">
        <f t="shared" ref="O41:O62" si="16">F41=H41</f>
        <v>1</v>
      </c>
      <c r="P41" s="3">
        <v>1</v>
      </c>
      <c r="Q41" s="3"/>
      <c r="R41" s="3"/>
      <c r="S41" s="3"/>
      <c r="T41" s="3"/>
      <c r="U41" s="3"/>
    </row>
    <row r="42" spans="1:21" s="1" customFormat="1" ht="16" x14ac:dyDescent="0.4">
      <c r="A42" s="84">
        <f t="shared" si="4"/>
        <v>34</v>
      </c>
      <c r="B42" s="84" t="s">
        <v>34</v>
      </c>
      <c r="C42" s="84">
        <v>160000</v>
      </c>
      <c r="D42" s="84"/>
      <c r="E42" s="84"/>
      <c r="F42" s="84">
        <f t="shared" si="13"/>
        <v>160000</v>
      </c>
      <c r="G42" s="84" t="b">
        <f t="shared" si="5"/>
        <v>1</v>
      </c>
      <c r="H42" s="88">
        <f>DETAILS!AW11</f>
        <v>160000</v>
      </c>
      <c r="I42" s="84">
        <v>1200000</v>
      </c>
      <c r="J42" s="85">
        <f t="shared" si="14"/>
        <v>0.13333333333333333</v>
      </c>
      <c r="K42" s="90">
        <f t="shared" si="15"/>
        <v>1040000</v>
      </c>
      <c r="L42" s="91">
        <f t="shared" si="6"/>
        <v>0.8666666666666667</v>
      </c>
      <c r="M42" s="739"/>
      <c r="N42" s="80"/>
      <c r="O42" s="59" t="b">
        <f t="shared" si="16"/>
        <v>1</v>
      </c>
      <c r="P42" s="3"/>
      <c r="Q42" s="3"/>
      <c r="R42" s="3"/>
      <c r="S42" s="3"/>
      <c r="T42" s="3"/>
      <c r="U42" s="3"/>
    </row>
    <row r="43" spans="1:21" s="1" customFormat="1" ht="16" x14ac:dyDescent="0.4">
      <c r="A43" s="84">
        <f t="shared" si="4"/>
        <v>35</v>
      </c>
      <c r="B43" s="84" t="s">
        <v>41</v>
      </c>
      <c r="C43" s="84">
        <v>200000</v>
      </c>
      <c r="D43" s="84">
        <v>100000</v>
      </c>
      <c r="E43" s="84">
        <v>1300000</v>
      </c>
      <c r="F43" s="84">
        <f t="shared" si="13"/>
        <v>1600000</v>
      </c>
      <c r="G43" s="84" t="b">
        <f t="shared" si="5"/>
        <v>1</v>
      </c>
      <c r="H43" s="88">
        <f>DETAILS!AW18</f>
        <v>1600000</v>
      </c>
      <c r="I43" s="84">
        <v>1200000</v>
      </c>
      <c r="J43" s="85">
        <f t="shared" si="14"/>
        <v>1.3333333333333333</v>
      </c>
      <c r="K43" s="88">
        <f t="shared" si="15"/>
        <v>0</v>
      </c>
      <c r="L43" s="89">
        <f t="shared" si="6"/>
        <v>-0.33333333333333326</v>
      </c>
      <c r="M43" s="739"/>
      <c r="N43" s="80"/>
      <c r="O43" s="59" t="b">
        <f t="shared" si="16"/>
        <v>1</v>
      </c>
      <c r="P43" s="3">
        <v>1</v>
      </c>
      <c r="Q43" s="3"/>
      <c r="R43" s="3"/>
      <c r="S43" s="3"/>
      <c r="T43" s="3"/>
      <c r="U43" s="3"/>
    </row>
    <row r="44" spans="1:21" s="1" customFormat="1" ht="16" x14ac:dyDescent="0.4">
      <c r="A44" s="84">
        <f t="shared" si="4"/>
        <v>36</v>
      </c>
      <c r="B44" s="84" t="s">
        <v>68</v>
      </c>
      <c r="C44" s="84">
        <v>200000</v>
      </c>
      <c r="D44" s="84">
        <v>100000</v>
      </c>
      <c r="E44" s="84">
        <v>700000</v>
      </c>
      <c r="F44" s="84">
        <f t="shared" si="13"/>
        <v>1000000</v>
      </c>
      <c r="G44" s="84" t="b">
        <f t="shared" si="5"/>
        <v>1</v>
      </c>
      <c r="H44" s="88">
        <f>DETAILS!AW45</f>
        <v>1000000</v>
      </c>
      <c r="I44" s="84">
        <v>1200000</v>
      </c>
      <c r="J44" s="85">
        <f t="shared" si="14"/>
        <v>0.83333333333333337</v>
      </c>
      <c r="K44" s="90">
        <f t="shared" si="15"/>
        <v>200000</v>
      </c>
      <c r="L44" s="91">
        <f t="shared" si="6"/>
        <v>0.16666666666666663</v>
      </c>
      <c r="M44" s="739"/>
      <c r="N44" s="80"/>
      <c r="O44" s="59" t="b">
        <f t="shared" si="16"/>
        <v>1</v>
      </c>
      <c r="P44" s="3">
        <v>1</v>
      </c>
      <c r="Q44" s="3"/>
      <c r="R44" s="3"/>
      <c r="S44" s="3"/>
      <c r="T44" s="3"/>
      <c r="U44" s="3"/>
    </row>
    <row r="45" spans="1:21" s="1" customFormat="1" ht="16" x14ac:dyDescent="0.4">
      <c r="A45" s="84">
        <f t="shared" si="4"/>
        <v>37</v>
      </c>
      <c r="B45" s="84" t="s">
        <v>52</v>
      </c>
      <c r="C45" s="84">
        <v>200000</v>
      </c>
      <c r="D45" s="84">
        <v>100000</v>
      </c>
      <c r="E45" s="84">
        <v>120000</v>
      </c>
      <c r="F45" s="84">
        <f t="shared" si="13"/>
        <v>420000</v>
      </c>
      <c r="G45" s="84" t="b">
        <f t="shared" si="5"/>
        <v>1</v>
      </c>
      <c r="H45" s="88">
        <f>DETAILS!AW29</f>
        <v>420000</v>
      </c>
      <c r="I45" s="84">
        <v>1200000</v>
      </c>
      <c r="J45" s="85">
        <f t="shared" si="14"/>
        <v>0.35</v>
      </c>
      <c r="K45" s="90">
        <f t="shared" si="15"/>
        <v>780000</v>
      </c>
      <c r="L45" s="91">
        <f t="shared" si="6"/>
        <v>0.65</v>
      </c>
      <c r="M45" s="739"/>
      <c r="N45" s="80"/>
      <c r="O45" s="59" t="b">
        <f t="shared" si="16"/>
        <v>1</v>
      </c>
      <c r="P45" s="3"/>
      <c r="Q45" s="3"/>
      <c r="R45" s="3"/>
      <c r="S45" s="3"/>
      <c r="T45" s="3"/>
      <c r="U45" s="3"/>
    </row>
    <row r="46" spans="1:21" s="1" customFormat="1" ht="16" x14ac:dyDescent="0.4">
      <c r="A46" s="84">
        <f t="shared" si="4"/>
        <v>38</v>
      </c>
      <c r="B46" s="84" t="s">
        <v>72</v>
      </c>
      <c r="C46" s="84">
        <v>200000</v>
      </c>
      <c r="D46" s="84">
        <v>100000</v>
      </c>
      <c r="E46" s="84">
        <v>700000</v>
      </c>
      <c r="F46" s="84">
        <f t="shared" si="13"/>
        <v>1000000</v>
      </c>
      <c r="G46" s="84" t="b">
        <f t="shared" si="5"/>
        <v>1</v>
      </c>
      <c r="H46" s="88">
        <f>DETAILS!AW49</f>
        <v>1000000</v>
      </c>
      <c r="I46" s="84">
        <v>1200000</v>
      </c>
      <c r="J46" s="85">
        <f t="shared" si="14"/>
        <v>0.83333333333333337</v>
      </c>
      <c r="K46" s="90">
        <f t="shared" si="15"/>
        <v>200000</v>
      </c>
      <c r="L46" s="91">
        <f t="shared" si="6"/>
        <v>0.16666666666666663</v>
      </c>
      <c r="M46" s="739"/>
      <c r="N46" s="80"/>
      <c r="O46" s="59" t="b">
        <f t="shared" si="16"/>
        <v>1</v>
      </c>
      <c r="P46" s="3">
        <v>1</v>
      </c>
      <c r="Q46" s="3"/>
      <c r="R46" s="3"/>
      <c r="S46" s="3"/>
      <c r="T46" s="3"/>
      <c r="U46" s="3"/>
    </row>
    <row r="47" spans="1:21" s="1" customFormat="1" ht="16" x14ac:dyDescent="0.4">
      <c r="A47" s="84">
        <f t="shared" si="4"/>
        <v>39</v>
      </c>
      <c r="B47" s="84" t="s">
        <v>53</v>
      </c>
      <c r="C47" s="84">
        <v>200000</v>
      </c>
      <c r="D47" s="84">
        <v>100000</v>
      </c>
      <c r="E47" s="84">
        <v>50000</v>
      </c>
      <c r="F47" s="84">
        <f t="shared" si="13"/>
        <v>350000</v>
      </c>
      <c r="G47" s="84" t="b">
        <f t="shared" si="5"/>
        <v>1</v>
      </c>
      <c r="H47" s="88">
        <f>DETAILS!AW30</f>
        <v>350000</v>
      </c>
      <c r="I47" s="84">
        <v>1200000</v>
      </c>
      <c r="J47" s="85">
        <f t="shared" si="14"/>
        <v>0.29166666666666669</v>
      </c>
      <c r="K47" s="90">
        <f t="shared" si="15"/>
        <v>850000</v>
      </c>
      <c r="L47" s="91">
        <f t="shared" si="6"/>
        <v>0.70833333333333326</v>
      </c>
      <c r="M47" s="739"/>
      <c r="N47" s="80"/>
      <c r="O47" s="59" t="b">
        <f t="shared" si="16"/>
        <v>1</v>
      </c>
      <c r="P47" s="3"/>
      <c r="Q47" s="3"/>
      <c r="R47" s="3"/>
      <c r="S47" s="3"/>
      <c r="T47" s="3"/>
      <c r="U47" s="3"/>
    </row>
    <row r="48" spans="1:21" s="1" customFormat="1" ht="16" x14ac:dyDescent="0.4">
      <c r="A48" s="84">
        <f t="shared" si="4"/>
        <v>40</v>
      </c>
      <c r="B48" s="84" t="s">
        <v>59</v>
      </c>
      <c r="C48" s="84">
        <v>200000</v>
      </c>
      <c r="D48" s="84">
        <v>100000</v>
      </c>
      <c r="E48" s="84">
        <v>700000</v>
      </c>
      <c r="F48" s="84">
        <f t="shared" si="13"/>
        <v>1000000</v>
      </c>
      <c r="G48" s="84" t="b">
        <f t="shared" si="5"/>
        <v>1</v>
      </c>
      <c r="H48" s="88">
        <f>DETAILS!AW36</f>
        <v>1000000</v>
      </c>
      <c r="I48" s="84">
        <v>1200000</v>
      </c>
      <c r="J48" s="85">
        <f t="shared" si="14"/>
        <v>0.83333333333333337</v>
      </c>
      <c r="K48" s="90">
        <f t="shared" si="15"/>
        <v>200000</v>
      </c>
      <c r="L48" s="91">
        <f t="shared" si="6"/>
        <v>0.16666666666666663</v>
      </c>
      <c r="M48" s="739"/>
      <c r="N48" s="80"/>
      <c r="O48" s="59" t="b">
        <f t="shared" si="16"/>
        <v>1</v>
      </c>
      <c r="P48" s="3">
        <v>1</v>
      </c>
      <c r="Q48" s="3"/>
      <c r="R48" s="3"/>
      <c r="S48" s="3"/>
      <c r="T48" s="3"/>
      <c r="U48" s="3"/>
    </row>
    <row r="49" spans="1:21" s="1" customFormat="1" ht="16" x14ac:dyDescent="0.4">
      <c r="A49" s="84">
        <f t="shared" si="4"/>
        <v>41</v>
      </c>
      <c r="B49" s="84" t="s">
        <v>62</v>
      </c>
      <c r="C49" s="84">
        <v>50000</v>
      </c>
      <c r="D49" s="84"/>
      <c r="E49" s="84"/>
      <c r="F49" s="84">
        <f t="shared" si="13"/>
        <v>50000</v>
      </c>
      <c r="G49" s="84" t="b">
        <f t="shared" si="5"/>
        <v>1</v>
      </c>
      <c r="H49" s="88">
        <f>DETAILS!AW39</f>
        <v>50000</v>
      </c>
      <c r="I49" s="84">
        <v>1200000</v>
      </c>
      <c r="J49" s="85">
        <f t="shared" si="14"/>
        <v>4.1666666666666664E-2</v>
      </c>
      <c r="K49" s="90">
        <f t="shared" si="15"/>
        <v>1150000</v>
      </c>
      <c r="L49" s="91">
        <f t="shared" si="6"/>
        <v>0.95833333333333337</v>
      </c>
      <c r="M49" s="739"/>
      <c r="N49" s="80"/>
      <c r="O49" s="59" t="b">
        <f t="shared" si="16"/>
        <v>1</v>
      </c>
      <c r="P49" s="3"/>
      <c r="Q49" s="3"/>
      <c r="R49" s="3"/>
      <c r="S49" s="3"/>
      <c r="T49" s="3"/>
      <c r="U49" s="3"/>
    </row>
    <row r="50" spans="1:21" s="1" customFormat="1" ht="16" x14ac:dyDescent="0.4">
      <c r="A50" s="84">
        <f t="shared" si="4"/>
        <v>42</v>
      </c>
      <c r="B50" s="84" t="s">
        <v>70</v>
      </c>
      <c r="C50" s="84">
        <v>200000</v>
      </c>
      <c r="D50" s="84">
        <v>100000</v>
      </c>
      <c r="E50" s="84">
        <v>710000</v>
      </c>
      <c r="F50" s="84">
        <f t="shared" si="13"/>
        <v>1010000</v>
      </c>
      <c r="G50" s="84" t="b">
        <f t="shared" si="5"/>
        <v>1</v>
      </c>
      <c r="H50" s="88">
        <f>DETAILS!AW47</f>
        <v>1010000</v>
      </c>
      <c r="I50" s="84">
        <v>1200000</v>
      </c>
      <c r="J50" s="85">
        <f t="shared" si="14"/>
        <v>0.84166666666666667</v>
      </c>
      <c r="K50" s="90">
        <f t="shared" si="15"/>
        <v>190000</v>
      </c>
      <c r="L50" s="91">
        <f t="shared" si="6"/>
        <v>0.15833333333333333</v>
      </c>
      <c r="M50" s="739"/>
      <c r="N50" s="80">
        <v>10000</v>
      </c>
      <c r="O50" s="59" t="b">
        <f t="shared" si="16"/>
        <v>1</v>
      </c>
      <c r="P50" s="3">
        <v>1</v>
      </c>
      <c r="Q50" s="3"/>
      <c r="R50" s="3"/>
      <c r="S50" s="3"/>
      <c r="T50" s="3"/>
      <c r="U50" s="3"/>
    </row>
    <row r="51" spans="1:21" s="1" customFormat="1" ht="16" x14ac:dyDescent="0.4">
      <c r="A51" s="84">
        <f t="shared" si="4"/>
        <v>43</v>
      </c>
      <c r="B51" s="84" t="s">
        <v>28</v>
      </c>
      <c r="C51" s="84">
        <v>200000</v>
      </c>
      <c r="D51" s="84">
        <v>100000</v>
      </c>
      <c r="E51" s="84">
        <v>900000</v>
      </c>
      <c r="F51" s="84">
        <f t="shared" si="13"/>
        <v>1200000</v>
      </c>
      <c r="G51" s="84" t="b">
        <f t="shared" si="5"/>
        <v>1</v>
      </c>
      <c r="H51" s="88">
        <f>DETAILS!AW7</f>
        <v>1200000</v>
      </c>
      <c r="I51" s="84">
        <v>1200000</v>
      </c>
      <c r="J51" s="85">
        <f t="shared" si="14"/>
        <v>1</v>
      </c>
      <c r="K51" s="88">
        <f t="shared" si="15"/>
        <v>0</v>
      </c>
      <c r="L51" s="89">
        <f t="shared" si="6"/>
        <v>0</v>
      </c>
      <c r="M51" s="739"/>
      <c r="N51" s="80"/>
      <c r="O51" s="59" t="b">
        <f t="shared" si="16"/>
        <v>1</v>
      </c>
      <c r="P51" s="3">
        <v>1</v>
      </c>
      <c r="Q51" s="3"/>
      <c r="R51" s="3"/>
      <c r="S51" s="3"/>
      <c r="T51" s="3"/>
      <c r="U51" s="3"/>
    </row>
    <row r="52" spans="1:21" s="1" customFormat="1" ht="16" x14ac:dyDescent="0.4">
      <c r="A52" s="84">
        <f t="shared" si="4"/>
        <v>44</v>
      </c>
      <c r="B52" s="84" t="s">
        <v>49</v>
      </c>
      <c r="C52" s="84">
        <v>50000</v>
      </c>
      <c r="D52" s="84"/>
      <c r="E52" s="84"/>
      <c r="F52" s="84">
        <f t="shared" si="13"/>
        <v>50000</v>
      </c>
      <c r="G52" s="84" t="b">
        <f t="shared" si="5"/>
        <v>1</v>
      </c>
      <c r="H52" s="88">
        <f>DETAILS!AW26</f>
        <v>50000</v>
      </c>
      <c r="I52" s="84">
        <v>1200000</v>
      </c>
      <c r="J52" s="85">
        <f t="shared" si="14"/>
        <v>4.1666666666666664E-2</v>
      </c>
      <c r="K52" s="90">
        <f t="shared" si="15"/>
        <v>1150000</v>
      </c>
      <c r="L52" s="91">
        <f t="shared" si="6"/>
        <v>0.95833333333333337</v>
      </c>
      <c r="M52" s="739"/>
      <c r="N52" s="80"/>
      <c r="O52" s="59" t="b">
        <f t="shared" si="16"/>
        <v>1</v>
      </c>
      <c r="P52" s="3"/>
      <c r="Q52" s="3"/>
      <c r="R52" s="3"/>
      <c r="S52" s="3"/>
      <c r="T52" s="3"/>
      <c r="U52" s="3"/>
    </row>
    <row r="53" spans="1:21" s="1" customFormat="1" ht="16" x14ac:dyDescent="0.4">
      <c r="A53" s="84">
        <f t="shared" si="4"/>
        <v>45</v>
      </c>
      <c r="B53" s="84" t="s">
        <v>45</v>
      </c>
      <c r="C53" s="84">
        <v>100000</v>
      </c>
      <c r="D53" s="84"/>
      <c r="E53" s="84"/>
      <c r="F53" s="84">
        <f t="shared" si="13"/>
        <v>100000</v>
      </c>
      <c r="G53" s="84" t="b">
        <f t="shared" si="5"/>
        <v>1</v>
      </c>
      <c r="H53" s="88">
        <f>DETAILS!AW22</f>
        <v>100000</v>
      </c>
      <c r="I53" s="84">
        <v>1200000</v>
      </c>
      <c r="J53" s="85">
        <f t="shared" si="14"/>
        <v>8.3333333333333329E-2</v>
      </c>
      <c r="K53" s="90">
        <f t="shared" si="15"/>
        <v>1100000</v>
      </c>
      <c r="L53" s="91">
        <f t="shared" si="6"/>
        <v>0.91666666666666663</v>
      </c>
      <c r="M53" s="739"/>
      <c r="N53" s="80"/>
      <c r="O53" s="59" t="b">
        <f t="shared" si="16"/>
        <v>1</v>
      </c>
      <c r="P53" s="3"/>
      <c r="Q53" s="3"/>
      <c r="R53" s="3"/>
      <c r="S53" s="3"/>
      <c r="T53" s="3"/>
      <c r="U53" s="3"/>
    </row>
    <row r="54" spans="1:21" s="1" customFormat="1" ht="16" x14ac:dyDescent="0.4">
      <c r="A54" s="84">
        <f t="shared" si="4"/>
        <v>46</v>
      </c>
      <c r="B54" s="84" t="s">
        <v>44</v>
      </c>
      <c r="C54" s="84">
        <v>100000</v>
      </c>
      <c r="D54" s="84"/>
      <c r="E54" s="84"/>
      <c r="F54" s="84">
        <f t="shared" si="13"/>
        <v>100000</v>
      </c>
      <c r="G54" s="84" t="b">
        <f t="shared" si="5"/>
        <v>1</v>
      </c>
      <c r="H54" s="88">
        <f>DETAILS!AW21</f>
        <v>100000</v>
      </c>
      <c r="I54" s="84">
        <v>1200000</v>
      </c>
      <c r="J54" s="85">
        <f t="shared" si="14"/>
        <v>8.3333333333333329E-2</v>
      </c>
      <c r="K54" s="90">
        <f t="shared" si="15"/>
        <v>1100000</v>
      </c>
      <c r="L54" s="91">
        <f t="shared" si="6"/>
        <v>0.91666666666666663</v>
      </c>
      <c r="M54" s="739"/>
      <c r="N54" s="80"/>
      <c r="O54" s="59" t="b">
        <f t="shared" si="16"/>
        <v>1</v>
      </c>
      <c r="P54" s="3"/>
      <c r="Q54" s="3"/>
      <c r="R54" s="3"/>
      <c r="S54" s="3"/>
      <c r="T54" s="3"/>
      <c r="U54" s="3"/>
    </row>
    <row r="55" spans="1:21" s="1" customFormat="1" ht="16" x14ac:dyDescent="0.4">
      <c r="A55" s="84">
        <f t="shared" si="4"/>
        <v>47</v>
      </c>
      <c r="B55" s="84" t="s">
        <v>80</v>
      </c>
      <c r="C55" s="84">
        <v>200000</v>
      </c>
      <c r="D55" s="84"/>
      <c r="E55" s="84"/>
      <c r="F55" s="84">
        <f t="shared" si="13"/>
        <v>200000</v>
      </c>
      <c r="G55" s="84" t="b">
        <f t="shared" si="5"/>
        <v>1</v>
      </c>
      <c r="H55" s="88">
        <f>DETAILS!AW57</f>
        <v>200000</v>
      </c>
      <c r="I55" s="84">
        <v>1200000</v>
      </c>
      <c r="J55" s="85">
        <f t="shared" si="14"/>
        <v>0.16666666666666666</v>
      </c>
      <c r="K55" s="90">
        <f t="shared" si="15"/>
        <v>1000000</v>
      </c>
      <c r="L55" s="91">
        <f t="shared" si="6"/>
        <v>0.83333333333333337</v>
      </c>
      <c r="M55" s="739"/>
      <c r="N55" s="80"/>
      <c r="O55" s="59" t="b">
        <f t="shared" si="16"/>
        <v>1</v>
      </c>
      <c r="P55" s="3"/>
      <c r="Q55" s="3"/>
      <c r="R55" s="3"/>
      <c r="S55" s="3"/>
      <c r="T55" s="3"/>
      <c r="U55" s="3"/>
    </row>
    <row r="56" spans="1:21" s="1" customFormat="1" ht="16" x14ac:dyDescent="0.4">
      <c r="A56" s="84">
        <f t="shared" si="4"/>
        <v>48</v>
      </c>
      <c r="B56" s="84" t="s">
        <v>77</v>
      </c>
      <c r="C56" s="84">
        <v>100000</v>
      </c>
      <c r="D56" s="84"/>
      <c r="E56" s="84"/>
      <c r="F56" s="84">
        <f t="shared" si="13"/>
        <v>100000</v>
      </c>
      <c r="G56" s="84" t="b">
        <f t="shared" si="5"/>
        <v>1</v>
      </c>
      <c r="H56" s="88">
        <f>DETAILS!AW54</f>
        <v>100000</v>
      </c>
      <c r="I56" s="84">
        <v>1200000</v>
      </c>
      <c r="J56" s="85">
        <f t="shared" si="14"/>
        <v>8.3333333333333329E-2</v>
      </c>
      <c r="K56" s="90">
        <f t="shared" si="15"/>
        <v>1100000</v>
      </c>
      <c r="L56" s="91">
        <f t="shared" si="6"/>
        <v>0.91666666666666663</v>
      </c>
      <c r="M56" s="739"/>
      <c r="N56" s="80"/>
      <c r="O56" s="59" t="b">
        <f t="shared" si="16"/>
        <v>1</v>
      </c>
      <c r="P56" s="3"/>
      <c r="Q56" s="3">
        <v>10000</v>
      </c>
      <c r="R56" s="3"/>
      <c r="S56" s="3"/>
      <c r="T56" s="3"/>
      <c r="U56" s="3"/>
    </row>
    <row r="57" spans="1:21" s="1" customFormat="1" ht="16" x14ac:dyDescent="0.4">
      <c r="A57" s="84">
        <f t="shared" si="4"/>
        <v>49</v>
      </c>
      <c r="B57" s="84" t="s">
        <v>78</v>
      </c>
      <c r="C57" s="84">
        <v>200000</v>
      </c>
      <c r="D57" s="84">
        <v>100000</v>
      </c>
      <c r="E57" s="84">
        <v>500000</v>
      </c>
      <c r="F57" s="84">
        <f t="shared" si="13"/>
        <v>800000</v>
      </c>
      <c r="G57" s="84" t="b">
        <f t="shared" si="5"/>
        <v>1</v>
      </c>
      <c r="H57" s="88">
        <f>DETAILS!AW55</f>
        <v>800000</v>
      </c>
      <c r="I57" s="84">
        <v>1200000</v>
      </c>
      <c r="J57" s="85">
        <f t="shared" si="14"/>
        <v>0.66666666666666663</v>
      </c>
      <c r="K57" s="90">
        <f t="shared" si="15"/>
        <v>400000</v>
      </c>
      <c r="L57" s="91">
        <f>100%-J57</f>
        <v>0.33333333333333337</v>
      </c>
      <c r="M57" s="739"/>
      <c r="N57" s="80"/>
      <c r="O57" s="59" t="b">
        <f t="shared" si="16"/>
        <v>1</v>
      </c>
      <c r="P57" s="3"/>
      <c r="Q57" s="3"/>
      <c r="R57" s="3"/>
      <c r="S57" s="3"/>
      <c r="T57" s="3"/>
      <c r="U57" s="3"/>
    </row>
    <row r="58" spans="1:21" s="1" customFormat="1" ht="16" x14ac:dyDescent="0.4">
      <c r="A58" s="84">
        <f t="shared" si="4"/>
        <v>50</v>
      </c>
      <c r="B58" s="84" t="s">
        <v>56</v>
      </c>
      <c r="C58" s="84">
        <v>120000</v>
      </c>
      <c r="D58" s="84"/>
      <c r="E58" s="84"/>
      <c r="F58" s="84">
        <f t="shared" si="13"/>
        <v>120000</v>
      </c>
      <c r="G58" s="84" t="b">
        <f t="shared" si="5"/>
        <v>1</v>
      </c>
      <c r="H58" s="88">
        <f>DETAILS!AW33</f>
        <v>120000</v>
      </c>
      <c r="I58" s="84">
        <v>1200000</v>
      </c>
      <c r="J58" s="85">
        <f t="shared" si="14"/>
        <v>0.1</v>
      </c>
      <c r="K58" s="90">
        <f t="shared" si="15"/>
        <v>1080000</v>
      </c>
      <c r="L58" s="91">
        <f t="shared" si="6"/>
        <v>0.9</v>
      </c>
      <c r="M58" s="739"/>
      <c r="N58" s="80"/>
      <c r="O58" s="59" t="b">
        <f t="shared" si="16"/>
        <v>1</v>
      </c>
      <c r="P58" s="3"/>
      <c r="Q58" s="3"/>
      <c r="R58" s="3"/>
      <c r="S58" s="3"/>
      <c r="T58" s="3"/>
      <c r="U58" s="3"/>
    </row>
    <row r="59" spans="1:21" s="1" customFormat="1" ht="16" x14ac:dyDescent="0.4">
      <c r="A59" s="84">
        <f t="shared" si="4"/>
        <v>51</v>
      </c>
      <c r="B59" s="84" t="s">
        <v>38</v>
      </c>
      <c r="C59" s="84">
        <v>200000</v>
      </c>
      <c r="D59" s="84">
        <v>100000</v>
      </c>
      <c r="E59" s="84">
        <v>720000</v>
      </c>
      <c r="F59" s="84">
        <f t="shared" si="13"/>
        <v>1020000</v>
      </c>
      <c r="G59" s="84" t="b">
        <f t="shared" si="5"/>
        <v>1</v>
      </c>
      <c r="H59" s="88">
        <f>DETAILS!AW15</f>
        <v>1020000</v>
      </c>
      <c r="I59" s="84">
        <v>1200000</v>
      </c>
      <c r="J59" s="85">
        <f t="shared" si="14"/>
        <v>0.85</v>
      </c>
      <c r="K59" s="57">
        <f t="shared" si="15"/>
        <v>180000</v>
      </c>
      <c r="L59" s="95">
        <f t="shared" si="6"/>
        <v>0.15000000000000002</v>
      </c>
      <c r="M59" s="739"/>
      <c r="N59" s="80"/>
      <c r="O59" s="59" t="b">
        <f t="shared" si="16"/>
        <v>1</v>
      </c>
      <c r="P59" s="3">
        <v>1</v>
      </c>
      <c r="Q59" s="3"/>
      <c r="R59" s="3"/>
      <c r="S59" s="3"/>
      <c r="T59" s="3"/>
      <c r="U59" s="3"/>
    </row>
    <row r="60" spans="1:21" s="1" customFormat="1" ht="16" x14ac:dyDescent="0.4">
      <c r="A60" s="84">
        <f t="shared" si="4"/>
        <v>52</v>
      </c>
      <c r="B60" s="84" t="s">
        <v>55</v>
      </c>
      <c r="C60" s="84">
        <v>200000</v>
      </c>
      <c r="D60" s="84">
        <v>100000</v>
      </c>
      <c r="E60" s="84">
        <v>500000</v>
      </c>
      <c r="F60" s="84">
        <f t="shared" si="13"/>
        <v>800000</v>
      </c>
      <c r="G60" s="84" t="b">
        <f t="shared" si="5"/>
        <v>1</v>
      </c>
      <c r="H60" s="88">
        <f>DETAILS!AW32</f>
        <v>800000</v>
      </c>
      <c r="I60" s="84">
        <v>1200000</v>
      </c>
      <c r="J60" s="85">
        <f t="shared" si="14"/>
        <v>0.66666666666666663</v>
      </c>
      <c r="K60" s="90">
        <f t="shared" si="15"/>
        <v>400000</v>
      </c>
      <c r="L60" s="91">
        <f t="shared" si="6"/>
        <v>0.33333333333333337</v>
      </c>
      <c r="M60" s="739"/>
      <c r="N60" s="80"/>
      <c r="O60" s="59" t="b">
        <f t="shared" si="16"/>
        <v>1</v>
      </c>
      <c r="P60" s="3"/>
      <c r="Q60" s="3"/>
      <c r="R60" s="3"/>
      <c r="S60" s="3"/>
      <c r="T60" s="3"/>
      <c r="U60" s="3"/>
    </row>
    <row r="61" spans="1:21" s="1" customFormat="1" ht="16" x14ac:dyDescent="0.4">
      <c r="A61" s="84">
        <f t="shared" si="4"/>
        <v>53</v>
      </c>
      <c r="B61" s="84" t="s">
        <v>69</v>
      </c>
      <c r="C61" s="84">
        <v>200000</v>
      </c>
      <c r="D61" s="84">
        <v>100000</v>
      </c>
      <c r="E61" s="84">
        <v>500000</v>
      </c>
      <c r="F61" s="84">
        <f t="shared" si="13"/>
        <v>800000</v>
      </c>
      <c r="G61" s="84" t="b">
        <f t="shared" si="5"/>
        <v>1</v>
      </c>
      <c r="H61" s="88">
        <f>DETAILS!AW46</f>
        <v>800000</v>
      </c>
      <c r="I61" s="84">
        <v>1200000</v>
      </c>
      <c r="J61" s="85">
        <f t="shared" si="14"/>
        <v>0.66666666666666663</v>
      </c>
      <c r="K61" s="90">
        <f t="shared" si="15"/>
        <v>400000</v>
      </c>
      <c r="L61" s="91">
        <f t="shared" si="6"/>
        <v>0.33333333333333337</v>
      </c>
      <c r="M61" s="739"/>
      <c r="N61" s="80"/>
      <c r="O61" s="59" t="b">
        <f t="shared" si="16"/>
        <v>1</v>
      </c>
      <c r="P61" s="3"/>
      <c r="Q61" s="3"/>
      <c r="R61" s="3"/>
      <c r="S61" s="3"/>
      <c r="T61" s="3"/>
      <c r="U61" s="3"/>
    </row>
    <row r="62" spans="1:21" s="1" customFormat="1" ht="16" x14ac:dyDescent="0.4">
      <c r="A62" s="84">
        <f t="shared" si="4"/>
        <v>54</v>
      </c>
      <c r="B62" s="84" t="s">
        <v>84</v>
      </c>
      <c r="C62" s="84">
        <v>200000</v>
      </c>
      <c r="D62" s="84">
        <v>100000</v>
      </c>
      <c r="E62" s="84">
        <v>900000</v>
      </c>
      <c r="F62" s="84">
        <f t="shared" si="13"/>
        <v>1200000</v>
      </c>
      <c r="G62" s="84" t="b">
        <f t="shared" si="5"/>
        <v>1</v>
      </c>
      <c r="H62" s="88">
        <f>DETAILS!AW59</f>
        <v>1200000</v>
      </c>
      <c r="I62" s="84">
        <v>1200000</v>
      </c>
      <c r="J62" s="85">
        <f t="shared" si="14"/>
        <v>1</v>
      </c>
      <c r="K62" s="57">
        <f t="shared" si="15"/>
        <v>0</v>
      </c>
      <c r="L62" s="95">
        <f t="shared" si="6"/>
        <v>0</v>
      </c>
      <c r="M62" s="302"/>
      <c r="N62" s="80"/>
      <c r="O62" s="59" t="b">
        <f t="shared" si="16"/>
        <v>1</v>
      </c>
      <c r="P62" s="3">
        <v>1</v>
      </c>
      <c r="Q62" s="3"/>
      <c r="R62" s="3"/>
      <c r="S62" s="3"/>
      <c r="T62" s="3"/>
      <c r="U62" s="3"/>
    </row>
    <row r="63" spans="1:21" s="1" customFormat="1" ht="16" x14ac:dyDescent="0.4">
      <c r="A63" s="84">
        <f t="shared" si="4"/>
        <v>55</v>
      </c>
      <c r="B63" s="84" t="s">
        <v>86</v>
      </c>
      <c r="C63" s="84">
        <v>200000</v>
      </c>
      <c r="D63" s="84">
        <v>100000</v>
      </c>
      <c r="E63" s="84">
        <v>700000</v>
      </c>
      <c r="F63" s="84">
        <f t="shared" si="13"/>
        <v>1000000</v>
      </c>
      <c r="G63" s="84" t="b">
        <f t="shared" si="5"/>
        <v>1</v>
      </c>
      <c r="H63" s="88">
        <f>DETAILS!AW60</f>
        <v>1000000</v>
      </c>
      <c r="I63" s="84">
        <v>1200000</v>
      </c>
      <c r="J63" s="85">
        <f t="shared" si="14"/>
        <v>0.83333333333333337</v>
      </c>
      <c r="K63" s="90">
        <f t="shared" si="15"/>
        <v>200000</v>
      </c>
      <c r="L63" s="91">
        <f t="shared" si="6"/>
        <v>0.16666666666666663</v>
      </c>
      <c r="M63" s="302"/>
      <c r="N63" s="80"/>
      <c r="O63" s="59"/>
      <c r="P63" s="3">
        <v>1</v>
      </c>
      <c r="Q63" s="3"/>
      <c r="R63" s="3"/>
      <c r="S63" s="3"/>
      <c r="T63" s="3"/>
      <c r="U63" s="3"/>
    </row>
    <row r="64" spans="1:21" s="1" customFormat="1" ht="16" x14ac:dyDescent="0.4">
      <c r="A64" s="84">
        <f t="shared" si="4"/>
        <v>56</v>
      </c>
      <c r="B64" s="84" t="s">
        <v>87</v>
      </c>
      <c r="C64" s="84">
        <v>200000</v>
      </c>
      <c r="D64" s="84">
        <v>100000</v>
      </c>
      <c r="E64" s="84">
        <v>700000</v>
      </c>
      <c r="F64" s="84">
        <f t="shared" si="13"/>
        <v>1000000</v>
      </c>
      <c r="G64" s="84" t="b">
        <f t="shared" si="5"/>
        <v>1</v>
      </c>
      <c r="H64" s="88">
        <f>DETAILS!E61</f>
        <v>1000000</v>
      </c>
      <c r="I64" s="84">
        <v>1200000</v>
      </c>
      <c r="J64" s="85">
        <f t="shared" si="14"/>
        <v>0.83333333333333337</v>
      </c>
      <c r="K64" s="90">
        <f t="shared" si="15"/>
        <v>200000</v>
      </c>
      <c r="L64" s="91">
        <f t="shared" si="6"/>
        <v>0.16666666666666663</v>
      </c>
      <c r="M64" s="302"/>
      <c r="N64" s="80"/>
      <c r="O64" s="59"/>
      <c r="P64" s="3">
        <v>1</v>
      </c>
      <c r="Q64" s="3"/>
      <c r="R64" s="3"/>
      <c r="S64" s="3"/>
      <c r="T64" s="3"/>
      <c r="U64" s="3"/>
    </row>
    <row r="65" spans="1:21" s="1" customFormat="1" ht="16" x14ac:dyDescent="0.4">
      <c r="A65" s="84">
        <f t="shared" si="4"/>
        <v>57</v>
      </c>
      <c r="B65" s="84" t="s">
        <v>88</v>
      </c>
      <c r="C65" s="84">
        <v>200000</v>
      </c>
      <c r="D65" s="84">
        <v>100000</v>
      </c>
      <c r="E65" s="84">
        <v>700000</v>
      </c>
      <c r="F65" s="84">
        <f t="shared" si="13"/>
        <v>1000000</v>
      </c>
      <c r="G65" s="84" t="b">
        <f t="shared" si="5"/>
        <v>1</v>
      </c>
      <c r="H65" s="88">
        <f>DETAILS!E62</f>
        <v>1000000</v>
      </c>
      <c r="I65" s="84">
        <v>1200000</v>
      </c>
      <c r="J65" s="85">
        <f t="shared" si="14"/>
        <v>0.83333333333333337</v>
      </c>
      <c r="K65" s="90">
        <f t="shared" si="15"/>
        <v>200000</v>
      </c>
      <c r="L65" s="91">
        <f t="shared" ref="L65:L66" si="17">100%-J65</f>
        <v>0.16666666666666663</v>
      </c>
      <c r="M65" s="302"/>
      <c r="N65" s="80"/>
      <c r="O65" s="59"/>
      <c r="P65" s="3">
        <v>1</v>
      </c>
      <c r="Q65" s="3"/>
      <c r="R65" s="3"/>
      <c r="S65" s="3"/>
      <c r="T65" s="3"/>
      <c r="U65" s="3"/>
    </row>
    <row r="66" spans="1:21" s="99" customFormat="1" ht="16" x14ac:dyDescent="0.4">
      <c r="A66" s="84">
        <f t="shared" si="4"/>
        <v>58</v>
      </c>
      <c r="B66" s="84" t="s">
        <v>90</v>
      </c>
      <c r="C66" s="84">
        <v>200000</v>
      </c>
      <c r="D66" s="84">
        <v>100000</v>
      </c>
      <c r="E66" s="84">
        <v>700000</v>
      </c>
      <c r="F66" s="84">
        <f t="shared" si="13"/>
        <v>1000000</v>
      </c>
      <c r="G66" s="84" t="b">
        <f t="shared" si="5"/>
        <v>1</v>
      </c>
      <c r="H66" s="88">
        <f>DETAILS!E63</f>
        <v>1000000</v>
      </c>
      <c r="I66" s="84">
        <v>1200000</v>
      </c>
      <c r="J66" s="85">
        <f t="shared" si="14"/>
        <v>0.83333333333333337</v>
      </c>
      <c r="K66" s="90">
        <f t="shared" si="15"/>
        <v>200000</v>
      </c>
      <c r="L66" s="91">
        <f t="shared" si="17"/>
        <v>0.16666666666666663</v>
      </c>
      <c r="M66" s="302"/>
      <c r="N66" s="84"/>
      <c r="O66" s="98"/>
      <c r="P66" s="7">
        <v>1</v>
      </c>
      <c r="Q66" s="7"/>
      <c r="R66" s="7"/>
      <c r="S66" s="7"/>
      <c r="T66" s="7"/>
      <c r="U66" s="7"/>
    </row>
    <row r="67" spans="1:21" s="99" customFormat="1" ht="16" x14ac:dyDescent="0.4">
      <c r="A67" s="84">
        <f t="shared" si="4"/>
        <v>59</v>
      </c>
      <c r="B67" s="84" t="s">
        <v>91</v>
      </c>
      <c r="C67" s="84">
        <v>200000</v>
      </c>
      <c r="D67" s="84">
        <v>100000</v>
      </c>
      <c r="E67" s="84">
        <v>900000</v>
      </c>
      <c r="F67" s="84">
        <f t="shared" si="13"/>
        <v>1200000</v>
      </c>
      <c r="G67" s="84" t="b">
        <f t="shared" si="5"/>
        <v>1</v>
      </c>
      <c r="H67" s="88">
        <f>DETAILS!AW64</f>
        <v>1200000</v>
      </c>
      <c r="I67" s="84">
        <v>1200000</v>
      </c>
      <c r="J67" s="85">
        <f t="shared" si="14"/>
        <v>1</v>
      </c>
      <c r="K67" s="57">
        <f t="shared" si="15"/>
        <v>0</v>
      </c>
      <c r="L67" s="95">
        <f t="shared" ref="L67" si="18">100%-J67</f>
        <v>0</v>
      </c>
      <c r="M67" s="302"/>
      <c r="N67" s="84"/>
      <c r="O67" s="98"/>
      <c r="P67" s="7">
        <v>1</v>
      </c>
      <c r="Q67" s="7"/>
      <c r="R67" s="7"/>
      <c r="S67" s="7"/>
      <c r="T67" s="7"/>
      <c r="U67" s="7"/>
    </row>
    <row r="68" spans="1:21" s="99" customFormat="1" ht="16" hidden="1" x14ac:dyDescent="0.4">
      <c r="A68" s="84"/>
      <c r="B68" s="84"/>
      <c r="C68" s="84"/>
      <c r="D68" s="84"/>
      <c r="E68" s="84"/>
      <c r="F68" s="84"/>
      <c r="G68" s="84" t="b">
        <f t="shared" si="5"/>
        <v>1</v>
      </c>
      <c r="H68" s="84"/>
      <c r="I68" s="84"/>
      <c r="J68" s="85"/>
      <c r="K68" s="84"/>
      <c r="L68" s="85"/>
      <c r="M68" s="302"/>
      <c r="N68" s="84"/>
      <c r="O68" s="98"/>
      <c r="P68" s="7"/>
      <c r="Q68" s="7"/>
      <c r="R68" s="7"/>
      <c r="S68" s="7"/>
      <c r="T68" s="7"/>
      <c r="U68" s="7"/>
    </row>
    <row r="69" spans="1:21" s="99" customFormat="1" ht="16" hidden="1" x14ac:dyDescent="0.4">
      <c r="A69" s="84"/>
      <c r="B69" s="84"/>
      <c r="C69" s="84"/>
      <c r="D69" s="84"/>
      <c r="E69" s="84"/>
      <c r="F69" s="84"/>
      <c r="G69" s="84" t="b">
        <f t="shared" si="5"/>
        <v>1</v>
      </c>
      <c r="H69" s="84"/>
      <c r="I69" s="84"/>
      <c r="J69" s="85"/>
      <c r="K69" s="84"/>
      <c r="L69" s="85"/>
      <c r="M69" s="302"/>
      <c r="N69" s="84"/>
      <c r="O69" s="98"/>
      <c r="P69" s="7"/>
      <c r="Q69" s="7"/>
      <c r="R69" s="7"/>
      <c r="S69" s="7"/>
      <c r="T69" s="7"/>
      <c r="U69" s="7"/>
    </row>
    <row r="70" spans="1:21" s="99" customFormat="1" ht="16" hidden="1" x14ac:dyDescent="0.4">
      <c r="A70" s="84"/>
      <c r="B70" s="84"/>
      <c r="C70" s="84"/>
      <c r="D70" s="84"/>
      <c r="E70" s="84"/>
      <c r="F70" s="84"/>
      <c r="G70" s="84" t="b">
        <f t="shared" si="5"/>
        <v>1</v>
      </c>
      <c r="H70" s="84"/>
      <c r="I70" s="84"/>
      <c r="J70" s="85"/>
      <c r="K70" s="84"/>
      <c r="L70" s="85"/>
      <c r="M70" s="302"/>
      <c r="N70" s="84"/>
      <c r="O70" s="98"/>
      <c r="P70" s="7"/>
      <c r="Q70" s="7"/>
      <c r="R70" s="7"/>
      <c r="S70" s="7"/>
      <c r="T70" s="7"/>
      <c r="U70" s="7"/>
    </row>
    <row r="71" spans="1:21" s="99" customFormat="1" ht="16" hidden="1" x14ac:dyDescent="0.4">
      <c r="A71" s="84"/>
      <c r="B71" s="84"/>
      <c r="C71" s="84"/>
      <c r="D71" s="84"/>
      <c r="E71" s="84"/>
      <c r="F71" s="84"/>
      <c r="G71" s="84" t="b">
        <f t="shared" si="5"/>
        <v>1</v>
      </c>
      <c r="H71" s="84"/>
      <c r="I71" s="84"/>
      <c r="J71" s="85"/>
      <c r="K71" s="84"/>
      <c r="L71" s="85"/>
      <c r="M71" s="302"/>
      <c r="N71" s="84"/>
      <c r="O71" s="98"/>
      <c r="P71" s="7"/>
      <c r="Q71" s="7"/>
      <c r="R71" s="7"/>
      <c r="S71" s="7"/>
      <c r="T71" s="7"/>
      <c r="U71" s="7"/>
    </row>
    <row r="72" spans="1:21" s="29" customFormat="1" ht="16" hidden="1" x14ac:dyDescent="0.4">
      <c r="A72" s="84">
        <f>A66+1</f>
        <v>59</v>
      </c>
      <c r="B72" s="84" t="s">
        <v>161</v>
      </c>
      <c r="C72" s="84"/>
      <c r="D72" s="84"/>
      <c r="E72" s="84"/>
      <c r="F72" s="84">
        <f t="shared" ref="F72:F87" si="19">SUM(C72:E72)</f>
        <v>0</v>
      </c>
      <c r="G72" s="84" t="b">
        <f t="shared" si="5"/>
        <v>1</v>
      </c>
      <c r="H72" s="92"/>
      <c r="I72" s="84">
        <v>1000000</v>
      </c>
      <c r="J72" s="85">
        <f t="shared" ref="J72:J88" si="20">H72/I72</f>
        <v>0</v>
      </c>
      <c r="K72" s="92">
        <f>MAX(I72-H72,0)</f>
        <v>1000000</v>
      </c>
      <c r="L72" s="93">
        <f t="shared" ref="L72" si="21">100%-J72</f>
        <v>1</v>
      </c>
      <c r="M72" s="302"/>
      <c r="N72" s="79"/>
      <c r="O72" s="59" t="b">
        <f t="shared" ref="O72:O83" si="22">F72=H72</f>
        <v>1</v>
      </c>
      <c r="P72" s="301"/>
      <c r="Q72" s="301"/>
      <c r="R72" s="301"/>
      <c r="S72" s="301"/>
      <c r="T72" s="301"/>
      <c r="U72" s="301"/>
    </row>
    <row r="73" spans="1:21" s="1" customFormat="1" ht="16" hidden="1" x14ac:dyDescent="0.4">
      <c r="A73" s="84">
        <f t="shared" si="4"/>
        <v>60</v>
      </c>
      <c r="B73" s="84" t="s">
        <v>93</v>
      </c>
      <c r="C73" s="84">
        <v>0</v>
      </c>
      <c r="D73" s="84">
        <v>0</v>
      </c>
      <c r="E73" s="84"/>
      <c r="F73" s="84">
        <f t="shared" si="19"/>
        <v>0</v>
      </c>
      <c r="G73" s="84" t="b">
        <f t="shared" si="5"/>
        <v>1</v>
      </c>
      <c r="H73" s="92"/>
      <c r="I73" s="84">
        <v>1000000</v>
      </c>
      <c r="J73" s="85">
        <f t="shared" si="20"/>
        <v>0</v>
      </c>
      <c r="K73" s="92">
        <f t="shared" ref="K73:K87" si="23">MAX(I73-F73,0)</f>
        <v>1000000</v>
      </c>
      <c r="L73" s="93">
        <f t="shared" si="6"/>
        <v>1</v>
      </c>
      <c r="M73" s="738" t="s">
        <v>162</v>
      </c>
      <c r="N73" s="81"/>
      <c r="O73" s="59" t="b">
        <f t="shared" si="22"/>
        <v>1</v>
      </c>
      <c r="P73" s="3"/>
      <c r="Q73" s="3"/>
      <c r="R73" s="3"/>
      <c r="S73" s="3"/>
      <c r="T73" s="3"/>
      <c r="U73" s="3"/>
    </row>
    <row r="74" spans="1:21" s="1" customFormat="1" ht="16" hidden="1" x14ac:dyDescent="0.4">
      <c r="A74" s="84">
        <f t="shared" si="4"/>
        <v>61</v>
      </c>
      <c r="B74" s="84" t="s">
        <v>95</v>
      </c>
      <c r="C74" s="84">
        <v>0</v>
      </c>
      <c r="D74" s="84">
        <v>0</v>
      </c>
      <c r="E74" s="84"/>
      <c r="F74" s="84">
        <f t="shared" si="19"/>
        <v>0</v>
      </c>
      <c r="G74" s="84" t="b">
        <f t="shared" ref="G74:G89" si="24">F74=H74</f>
        <v>1</v>
      </c>
      <c r="H74" s="92"/>
      <c r="I74" s="84">
        <v>1000000</v>
      </c>
      <c r="J74" s="85">
        <f t="shared" si="20"/>
        <v>0</v>
      </c>
      <c r="K74" s="92">
        <f t="shared" si="23"/>
        <v>1000000</v>
      </c>
      <c r="L74" s="93">
        <f t="shared" si="6"/>
        <v>1</v>
      </c>
      <c r="M74" s="738"/>
      <c r="N74" s="81"/>
      <c r="O74" s="59" t="b">
        <f t="shared" si="22"/>
        <v>1</v>
      </c>
      <c r="P74" s="3"/>
      <c r="Q74" s="3"/>
      <c r="R74" s="3"/>
      <c r="S74" s="3"/>
      <c r="T74" s="3"/>
      <c r="U74" s="3"/>
    </row>
    <row r="75" spans="1:21" s="1" customFormat="1" ht="16" hidden="1" x14ac:dyDescent="0.4">
      <c r="A75" s="84">
        <f t="shared" si="4"/>
        <v>62</v>
      </c>
      <c r="B75" s="84" t="s">
        <v>97</v>
      </c>
      <c r="C75" s="84">
        <v>0</v>
      </c>
      <c r="D75" s="84">
        <v>0</v>
      </c>
      <c r="E75" s="84"/>
      <c r="F75" s="84">
        <f t="shared" si="19"/>
        <v>0</v>
      </c>
      <c r="G75" s="84" t="b">
        <f t="shared" si="24"/>
        <v>1</v>
      </c>
      <c r="H75" s="92"/>
      <c r="I75" s="84">
        <v>1000000</v>
      </c>
      <c r="J75" s="85">
        <f t="shared" si="20"/>
        <v>0</v>
      </c>
      <c r="K75" s="92">
        <f t="shared" si="23"/>
        <v>1000000</v>
      </c>
      <c r="L75" s="93">
        <f t="shared" si="6"/>
        <v>1</v>
      </c>
      <c r="M75" s="738"/>
      <c r="N75" s="81"/>
      <c r="O75" s="59" t="b">
        <f t="shared" si="22"/>
        <v>1</v>
      </c>
      <c r="P75" s="3"/>
      <c r="Q75" s="3"/>
      <c r="R75" s="3"/>
      <c r="S75" s="3"/>
      <c r="T75" s="3"/>
      <c r="U75" s="3"/>
    </row>
    <row r="76" spans="1:21" s="1" customFormat="1" ht="16" hidden="1" x14ac:dyDescent="0.4">
      <c r="A76" s="84">
        <f t="shared" si="4"/>
        <v>63</v>
      </c>
      <c r="B76" s="84" t="s">
        <v>99</v>
      </c>
      <c r="C76" s="84">
        <v>0</v>
      </c>
      <c r="D76" s="84">
        <v>0</v>
      </c>
      <c r="E76" s="84"/>
      <c r="F76" s="84">
        <f t="shared" si="19"/>
        <v>0</v>
      </c>
      <c r="G76" s="84" t="b">
        <f t="shared" si="24"/>
        <v>1</v>
      </c>
      <c r="H76" s="92"/>
      <c r="I76" s="84">
        <v>1000000</v>
      </c>
      <c r="J76" s="85">
        <f t="shared" si="20"/>
        <v>0</v>
      </c>
      <c r="K76" s="92">
        <f t="shared" si="23"/>
        <v>1000000</v>
      </c>
      <c r="L76" s="93">
        <f t="shared" si="6"/>
        <v>1</v>
      </c>
      <c r="M76" s="738"/>
      <c r="N76" s="81"/>
      <c r="O76" s="59" t="b">
        <f t="shared" si="22"/>
        <v>1</v>
      </c>
      <c r="P76" s="3"/>
      <c r="Q76" s="3"/>
      <c r="R76" s="3"/>
      <c r="S76" s="3"/>
      <c r="T76" s="3"/>
      <c r="U76" s="3"/>
    </row>
    <row r="77" spans="1:21" s="1" customFormat="1" ht="16" hidden="1" x14ac:dyDescent="0.4">
      <c r="A77" s="84">
        <f t="shared" si="4"/>
        <v>64</v>
      </c>
      <c r="B77" s="84" t="s">
        <v>101</v>
      </c>
      <c r="C77" s="84">
        <v>0</v>
      </c>
      <c r="D77" s="84">
        <v>0</v>
      </c>
      <c r="E77" s="84"/>
      <c r="F77" s="84">
        <f t="shared" si="19"/>
        <v>0</v>
      </c>
      <c r="G77" s="84" t="b">
        <f t="shared" si="24"/>
        <v>1</v>
      </c>
      <c r="H77" s="92"/>
      <c r="I77" s="84">
        <v>1000000</v>
      </c>
      <c r="J77" s="85">
        <f t="shared" si="20"/>
        <v>0</v>
      </c>
      <c r="K77" s="92">
        <f t="shared" si="23"/>
        <v>1000000</v>
      </c>
      <c r="L77" s="93">
        <f t="shared" si="6"/>
        <v>1</v>
      </c>
      <c r="M77" s="738"/>
      <c r="N77" s="81"/>
      <c r="O77" s="59" t="b">
        <f t="shared" si="22"/>
        <v>1</v>
      </c>
      <c r="P77" s="3"/>
      <c r="Q77" s="3"/>
      <c r="R77" s="3"/>
      <c r="S77" s="3"/>
      <c r="T77" s="3"/>
      <c r="U77" s="3"/>
    </row>
    <row r="78" spans="1:21" s="1" customFormat="1" ht="16" hidden="1" x14ac:dyDescent="0.4">
      <c r="A78" s="84">
        <f t="shared" si="4"/>
        <v>65</v>
      </c>
      <c r="B78" s="84" t="s">
        <v>103</v>
      </c>
      <c r="C78" s="84">
        <v>0</v>
      </c>
      <c r="D78" s="84">
        <v>0</v>
      </c>
      <c r="E78" s="84"/>
      <c r="F78" s="84">
        <f t="shared" si="19"/>
        <v>0</v>
      </c>
      <c r="G78" s="84" t="b">
        <f t="shared" si="24"/>
        <v>1</v>
      </c>
      <c r="H78" s="92"/>
      <c r="I78" s="84">
        <v>1000000</v>
      </c>
      <c r="J78" s="85">
        <f t="shared" si="20"/>
        <v>0</v>
      </c>
      <c r="K78" s="92">
        <f t="shared" si="23"/>
        <v>1000000</v>
      </c>
      <c r="L78" s="93">
        <f t="shared" si="6"/>
        <v>1</v>
      </c>
      <c r="M78" s="738"/>
      <c r="N78" s="81"/>
      <c r="O78" s="59" t="b">
        <f t="shared" si="22"/>
        <v>1</v>
      </c>
      <c r="P78" s="3"/>
      <c r="Q78" s="3"/>
      <c r="R78" s="3"/>
      <c r="S78" s="3"/>
      <c r="T78" s="3"/>
      <c r="U78" s="3"/>
    </row>
    <row r="79" spans="1:21" s="1" customFormat="1" ht="16" hidden="1" x14ac:dyDescent="0.4">
      <c r="A79" s="84">
        <f t="shared" si="4"/>
        <v>66</v>
      </c>
      <c r="B79" s="84" t="s">
        <v>105</v>
      </c>
      <c r="C79" s="84">
        <v>0</v>
      </c>
      <c r="D79" s="84">
        <v>0</v>
      </c>
      <c r="E79" s="84"/>
      <c r="F79" s="84">
        <f t="shared" si="19"/>
        <v>0</v>
      </c>
      <c r="G79" s="84" t="b">
        <f t="shared" si="24"/>
        <v>1</v>
      </c>
      <c r="H79" s="92"/>
      <c r="I79" s="84">
        <v>1000000</v>
      </c>
      <c r="J79" s="85">
        <f t="shared" si="20"/>
        <v>0</v>
      </c>
      <c r="K79" s="92">
        <f t="shared" si="23"/>
        <v>1000000</v>
      </c>
      <c r="L79" s="93">
        <f t="shared" si="6"/>
        <v>1</v>
      </c>
      <c r="M79" s="738"/>
      <c r="N79" s="81"/>
      <c r="O79" s="59" t="b">
        <f t="shared" si="22"/>
        <v>1</v>
      </c>
      <c r="P79" s="3"/>
      <c r="Q79" s="3"/>
      <c r="R79" s="3"/>
      <c r="S79" s="3"/>
      <c r="T79" s="3"/>
      <c r="U79" s="3"/>
    </row>
    <row r="80" spans="1:21" s="1" customFormat="1" ht="16" hidden="1" x14ac:dyDescent="0.4">
      <c r="A80" s="84">
        <f t="shared" si="4"/>
        <v>67</v>
      </c>
      <c r="B80" s="84" t="s">
        <v>87</v>
      </c>
      <c r="C80" s="84">
        <v>0</v>
      </c>
      <c r="D80" s="84">
        <v>0</v>
      </c>
      <c r="E80" s="84"/>
      <c r="F80" s="84">
        <f t="shared" si="19"/>
        <v>0</v>
      </c>
      <c r="G80" s="84" t="b">
        <f t="shared" si="24"/>
        <v>1</v>
      </c>
      <c r="H80" s="92"/>
      <c r="I80" s="84">
        <v>1000000</v>
      </c>
      <c r="J80" s="85">
        <f t="shared" si="20"/>
        <v>0</v>
      </c>
      <c r="K80" s="92">
        <f t="shared" si="23"/>
        <v>1000000</v>
      </c>
      <c r="L80" s="93">
        <f t="shared" si="6"/>
        <v>1</v>
      </c>
      <c r="M80" s="738"/>
      <c r="N80" s="81"/>
      <c r="O80" s="59" t="b">
        <f t="shared" si="22"/>
        <v>1</v>
      </c>
      <c r="P80" s="3"/>
      <c r="Q80" s="3"/>
      <c r="R80" s="3"/>
      <c r="S80" s="3"/>
      <c r="T80" s="3"/>
      <c r="U80" s="3"/>
    </row>
    <row r="81" spans="1:21" s="1" customFormat="1" ht="16" hidden="1" x14ac:dyDescent="0.4">
      <c r="A81" s="84">
        <f t="shared" si="4"/>
        <v>68</v>
      </c>
      <c r="B81" s="84" t="s">
        <v>108</v>
      </c>
      <c r="C81" s="84">
        <v>0</v>
      </c>
      <c r="D81" s="84">
        <v>0</v>
      </c>
      <c r="E81" s="84"/>
      <c r="F81" s="84">
        <f t="shared" si="19"/>
        <v>0</v>
      </c>
      <c r="G81" s="84" t="b">
        <f t="shared" si="24"/>
        <v>1</v>
      </c>
      <c r="H81" s="92"/>
      <c r="I81" s="84">
        <v>1000000</v>
      </c>
      <c r="J81" s="85">
        <f t="shared" si="20"/>
        <v>0</v>
      </c>
      <c r="K81" s="92">
        <f t="shared" si="23"/>
        <v>1000000</v>
      </c>
      <c r="L81" s="93">
        <f t="shared" si="6"/>
        <v>1</v>
      </c>
      <c r="M81" s="738"/>
      <c r="N81" s="81"/>
      <c r="O81" s="59" t="b">
        <f t="shared" si="22"/>
        <v>1</v>
      </c>
      <c r="P81" s="3"/>
      <c r="Q81" s="3"/>
      <c r="R81" s="3"/>
      <c r="S81" s="3"/>
      <c r="T81" s="3"/>
      <c r="U81" s="3"/>
    </row>
    <row r="82" spans="1:21" s="1" customFormat="1" ht="16" hidden="1" x14ac:dyDescent="0.4">
      <c r="A82" s="84">
        <f t="shared" si="4"/>
        <v>69</v>
      </c>
      <c r="B82" s="84" t="s">
        <v>110</v>
      </c>
      <c r="C82" s="84">
        <v>0</v>
      </c>
      <c r="D82" s="84">
        <v>0</v>
      </c>
      <c r="E82" s="84"/>
      <c r="F82" s="84">
        <f t="shared" si="19"/>
        <v>0</v>
      </c>
      <c r="G82" s="84" t="b">
        <f t="shared" si="24"/>
        <v>1</v>
      </c>
      <c r="H82" s="92"/>
      <c r="I82" s="84">
        <v>1000000</v>
      </c>
      <c r="J82" s="85">
        <f t="shared" si="20"/>
        <v>0</v>
      </c>
      <c r="K82" s="92">
        <f t="shared" si="23"/>
        <v>1000000</v>
      </c>
      <c r="L82" s="93">
        <f t="shared" si="6"/>
        <v>1</v>
      </c>
      <c r="M82" s="738"/>
      <c r="N82" s="81"/>
      <c r="O82" s="59" t="b">
        <f t="shared" si="22"/>
        <v>1</v>
      </c>
      <c r="P82" s="3"/>
      <c r="Q82" s="3"/>
      <c r="R82" s="3"/>
      <c r="S82" s="3"/>
      <c r="T82" s="3"/>
      <c r="U82" s="3"/>
    </row>
    <row r="83" spans="1:21" s="1" customFormat="1" ht="16" hidden="1" x14ac:dyDescent="0.4">
      <c r="A83" s="84">
        <f t="shared" si="4"/>
        <v>70</v>
      </c>
      <c r="B83" s="84" t="s">
        <v>112</v>
      </c>
      <c r="C83" s="84">
        <v>0</v>
      </c>
      <c r="D83" s="84">
        <v>0</v>
      </c>
      <c r="E83" s="84">
        <v>0</v>
      </c>
      <c r="F83" s="84">
        <f t="shared" si="19"/>
        <v>0</v>
      </c>
      <c r="G83" s="84" t="b">
        <f t="shared" si="24"/>
        <v>1</v>
      </c>
      <c r="H83" s="92"/>
      <c r="I83" s="84">
        <v>1000000</v>
      </c>
      <c r="J83" s="85">
        <f t="shared" si="20"/>
        <v>0</v>
      </c>
      <c r="K83" s="92">
        <f t="shared" si="23"/>
        <v>1000000</v>
      </c>
      <c r="L83" s="93">
        <f t="shared" si="6"/>
        <v>1</v>
      </c>
      <c r="M83" s="738"/>
      <c r="N83" s="81"/>
      <c r="O83" s="59" t="b">
        <f t="shared" si="22"/>
        <v>1</v>
      </c>
      <c r="P83" s="3"/>
      <c r="Q83" s="3"/>
      <c r="R83" s="3"/>
      <c r="S83" s="3"/>
      <c r="T83" s="3"/>
      <c r="U83" s="3"/>
    </row>
    <row r="84" spans="1:21" s="1" customFormat="1" ht="16" hidden="1" x14ac:dyDescent="0.4">
      <c r="A84" s="84">
        <f t="shared" ref="A84:A87" si="25">A83+1</f>
        <v>71</v>
      </c>
      <c r="B84" s="84" t="s">
        <v>114</v>
      </c>
      <c r="C84" s="84">
        <v>0</v>
      </c>
      <c r="D84" s="84">
        <v>0</v>
      </c>
      <c r="E84" s="84"/>
      <c r="F84" s="84">
        <f t="shared" si="19"/>
        <v>0</v>
      </c>
      <c r="G84" s="84" t="b">
        <f t="shared" si="24"/>
        <v>1</v>
      </c>
      <c r="H84" s="92"/>
      <c r="I84" s="84">
        <v>1000000</v>
      </c>
      <c r="J84" s="85">
        <f t="shared" si="20"/>
        <v>0</v>
      </c>
      <c r="K84" s="92">
        <f t="shared" si="23"/>
        <v>1000000</v>
      </c>
      <c r="L84" s="93">
        <f t="shared" ref="L84:L87" si="26">100%-J84</f>
        <v>1</v>
      </c>
      <c r="M84" s="738"/>
      <c r="N84" s="81"/>
      <c r="O84" s="59" t="b">
        <f t="shared" ref="O84:O89" si="27">F84=H84</f>
        <v>1</v>
      </c>
      <c r="P84" s="3"/>
      <c r="Q84" s="3"/>
      <c r="R84" s="3"/>
      <c r="S84" s="3"/>
      <c r="T84" s="3"/>
      <c r="U84" s="3"/>
    </row>
    <row r="85" spans="1:21" ht="16" hidden="1" x14ac:dyDescent="0.4">
      <c r="A85" s="84">
        <f t="shared" si="25"/>
        <v>72</v>
      </c>
      <c r="B85" s="84" t="s">
        <v>116</v>
      </c>
      <c r="C85" s="84">
        <v>0</v>
      </c>
      <c r="D85" s="84">
        <v>0</v>
      </c>
      <c r="E85" s="84"/>
      <c r="F85" s="84">
        <f t="shared" si="19"/>
        <v>0</v>
      </c>
      <c r="G85" s="84" t="b">
        <f t="shared" si="24"/>
        <v>1</v>
      </c>
      <c r="H85" s="92"/>
      <c r="I85" s="84">
        <v>1000000</v>
      </c>
      <c r="J85" s="85">
        <f t="shared" si="20"/>
        <v>0</v>
      </c>
      <c r="K85" s="92">
        <f t="shared" si="23"/>
        <v>1000000</v>
      </c>
      <c r="L85" s="93">
        <f t="shared" si="26"/>
        <v>1</v>
      </c>
      <c r="M85" s="738"/>
      <c r="N85" s="82"/>
      <c r="O85" s="59" t="b">
        <f t="shared" si="27"/>
        <v>1</v>
      </c>
      <c r="P85" s="2"/>
      <c r="Q85" s="2"/>
      <c r="R85" s="2"/>
      <c r="S85" s="2"/>
      <c r="T85" s="2"/>
      <c r="U85" s="2"/>
    </row>
    <row r="86" spans="1:21" ht="16" hidden="1" x14ac:dyDescent="0.4">
      <c r="A86" s="84">
        <f t="shared" si="25"/>
        <v>73</v>
      </c>
      <c r="B86" s="84" t="s">
        <v>118</v>
      </c>
      <c r="C86" s="84">
        <v>0</v>
      </c>
      <c r="D86" s="84">
        <v>0</v>
      </c>
      <c r="E86" s="84"/>
      <c r="F86" s="84">
        <f t="shared" si="19"/>
        <v>0</v>
      </c>
      <c r="G86" s="84" t="b">
        <f t="shared" si="24"/>
        <v>1</v>
      </c>
      <c r="H86" s="92"/>
      <c r="I86" s="84">
        <v>1000000</v>
      </c>
      <c r="J86" s="85">
        <f t="shared" si="20"/>
        <v>0</v>
      </c>
      <c r="K86" s="92">
        <f t="shared" si="23"/>
        <v>1000000</v>
      </c>
      <c r="L86" s="93">
        <f t="shared" si="26"/>
        <v>1</v>
      </c>
      <c r="M86" s="738"/>
      <c r="N86" s="82"/>
      <c r="O86" s="59" t="b">
        <f t="shared" si="27"/>
        <v>1</v>
      </c>
      <c r="P86" s="2"/>
      <c r="Q86" s="2"/>
      <c r="R86" s="2"/>
      <c r="S86" s="2"/>
      <c r="T86" s="2"/>
      <c r="U86" s="2"/>
    </row>
    <row r="87" spans="1:21" ht="16" hidden="1" x14ac:dyDescent="0.4">
      <c r="A87" s="84">
        <f t="shared" si="25"/>
        <v>74</v>
      </c>
      <c r="B87" s="84" t="s">
        <v>120</v>
      </c>
      <c r="C87" s="84">
        <v>0</v>
      </c>
      <c r="D87" s="84">
        <v>0</v>
      </c>
      <c r="E87" s="84"/>
      <c r="F87" s="84">
        <f t="shared" si="19"/>
        <v>0</v>
      </c>
      <c r="G87" s="84" t="b">
        <f t="shared" si="24"/>
        <v>1</v>
      </c>
      <c r="H87" s="92"/>
      <c r="I87" s="84">
        <v>1000000</v>
      </c>
      <c r="J87" s="85">
        <f t="shared" si="20"/>
        <v>0</v>
      </c>
      <c r="K87" s="92">
        <f t="shared" si="23"/>
        <v>1000000</v>
      </c>
      <c r="L87" s="93">
        <f t="shared" si="26"/>
        <v>1</v>
      </c>
      <c r="M87" s="738"/>
      <c r="N87" s="82"/>
      <c r="O87" s="59" t="b">
        <f t="shared" si="27"/>
        <v>1</v>
      </c>
      <c r="P87" s="2"/>
      <c r="Q87" s="2"/>
      <c r="R87" s="2"/>
      <c r="S87" s="2"/>
      <c r="T87" s="2"/>
      <c r="U87" s="2"/>
    </row>
    <row r="88" spans="1:21" ht="16" hidden="1" x14ac:dyDescent="0.4">
      <c r="A88" s="84"/>
      <c r="B88" s="84"/>
      <c r="C88" s="84"/>
      <c r="D88" s="84"/>
      <c r="E88" s="84"/>
      <c r="F88" s="84"/>
      <c r="G88" s="84" t="b">
        <f t="shared" si="24"/>
        <v>1</v>
      </c>
      <c r="H88" s="92"/>
      <c r="I88" s="84"/>
      <c r="J88" s="85" t="e">
        <f t="shared" si="20"/>
        <v>#DIV/0!</v>
      </c>
      <c r="K88" s="92"/>
      <c r="L88" s="92"/>
      <c r="M88" s="300"/>
      <c r="N88" s="82"/>
      <c r="O88" s="59" t="b">
        <f t="shared" si="27"/>
        <v>1</v>
      </c>
      <c r="P88" s="2"/>
      <c r="Q88" s="2"/>
      <c r="R88" s="2"/>
      <c r="S88" s="2"/>
      <c r="T88" s="2"/>
      <c r="U88" s="2"/>
    </row>
    <row r="89" spans="1:21" ht="16" x14ac:dyDescent="0.4">
      <c r="A89" s="86"/>
      <c r="B89" s="87" t="s">
        <v>163</v>
      </c>
      <c r="C89" s="83">
        <f>SUM(C9:C88)</f>
        <v>10821000</v>
      </c>
      <c r="D89" s="83">
        <f t="shared" ref="D89:E89" si="28">SUM(D9:D88)</f>
        <v>4800000</v>
      </c>
      <c r="E89" s="83">
        <f t="shared" si="28"/>
        <v>32233000</v>
      </c>
      <c r="F89" s="83">
        <f>SUM(F9:F88)</f>
        <v>47854000</v>
      </c>
      <c r="G89" s="84" t="b">
        <f t="shared" si="24"/>
        <v>1</v>
      </c>
      <c r="H89" s="106">
        <f>SUM(H9:H88)</f>
        <v>47854000</v>
      </c>
      <c r="I89" s="83">
        <f>SUM(I9:I88)</f>
        <v>86800000</v>
      </c>
      <c r="J89" s="83"/>
      <c r="K89" s="83">
        <f>SUM(K9:K88)</f>
        <v>39616000</v>
      </c>
      <c r="L89" s="83"/>
      <c r="M89" s="7"/>
      <c r="N89" s="83">
        <f>SUM(N9:N87)</f>
        <v>30000</v>
      </c>
      <c r="O89" s="59" t="b">
        <f t="shared" si="27"/>
        <v>1</v>
      </c>
      <c r="P89" s="2"/>
      <c r="Q89" s="2"/>
      <c r="R89" s="2"/>
      <c r="S89" s="2"/>
      <c r="T89" s="2"/>
      <c r="U89" s="2"/>
    </row>
    <row r="90" spans="1:21" ht="16" x14ac:dyDescent="0.4">
      <c r="B90" s="105" t="s">
        <v>164</v>
      </c>
      <c r="F90" s="28"/>
      <c r="G90" s="28"/>
      <c r="H90" s="28">
        <v>46524000</v>
      </c>
      <c r="P90" s="97">
        <f>SUM(P11:P89)</f>
        <v>38</v>
      </c>
      <c r="Q90" s="94">
        <f>P90/P91</f>
        <v>0.55072463768115942</v>
      </c>
    </row>
    <row r="91" spans="1:21" ht="16" x14ac:dyDescent="0.4">
      <c r="B91" s="105" t="s">
        <v>165</v>
      </c>
      <c r="F91" s="28"/>
      <c r="G91" s="28"/>
      <c r="H91" s="28">
        <v>830000</v>
      </c>
      <c r="P91" s="2">
        <v>69</v>
      </c>
    </row>
    <row r="92" spans="1:21" ht="16" x14ac:dyDescent="0.4">
      <c r="B92" s="105" t="s">
        <v>166</v>
      </c>
      <c r="F92" s="28"/>
      <c r="G92" s="28"/>
      <c r="H92" s="132">
        <f>DETAILS!Z7+DETAILS!Q27+DETAILS!AC7</f>
        <v>500000</v>
      </c>
      <c r="P92" s="2"/>
    </row>
    <row r="93" spans="1:21" ht="16" x14ac:dyDescent="0.4">
      <c r="B93" s="105" t="s">
        <v>167</v>
      </c>
      <c r="F93" s="28"/>
      <c r="G93" s="28"/>
      <c r="H93" s="107">
        <f>SUM(H90:H92)</f>
        <v>47854000</v>
      </c>
      <c r="P93" s="2"/>
    </row>
    <row r="94" spans="1:21" x14ac:dyDescent="0.35">
      <c r="F94" s="28"/>
      <c r="G94" s="28"/>
      <c r="H94" s="28">
        <f>H93-H89</f>
        <v>0</v>
      </c>
      <c r="P94" s="2"/>
    </row>
    <row r="95" spans="1:21" x14ac:dyDescent="0.35">
      <c r="F95" s="28"/>
      <c r="G95" s="28"/>
      <c r="H95" s="28"/>
      <c r="P95" s="2"/>
    </row>
    <row r="96" spans="1:21" x14ac:dyDescent="0.35">
      <c r="P96" s="2"/>
    </row>
    <row r="97" spans="2:16" ht="15.5" x14ac:dyDescent="0.35">
      <c r="B97" s="31" t="s">
        <v>168</v>
      </c>
      <c r="C97" s="32"/>
      <c r="D97" s="740" t="s">
        <v>169</v>
      </c>
      <c r="P97" s="2"/>
    </row>
    <row r="98" spans="2:16" ht="15.5" x14ac:dyDescent="0.35">
      <c r="B98" s="33" t="s">
        <v>170</v>
      </c>
      <c r="C98" s="34"/>
      <c r="D98" s="740"/>
      <c r="P98" s="2"/>
    </row>
    <row r="99" spans="2:16" ht="31" x14ac:dyDescent="0.35">
      <c r="B99" s="40" t="s">
        <v>171</v>
      </c>
      <c r="C99" s="34">
        <v>75000</v>
      </c>
      <c r="D99" s="740"/>
      <c r="P99" s="2"/>
    </row>
    <row r="100" spans="2:16" ht="46.5" x14ac:dyDescent="0.35">
      <c r="B100" s="40" t="s">
        <v>172</v>
      </c>
      <c r="C100" s="34"/>
      <c r="D100" s="740"/>
      <c r="P100" s="2"/>
    </row>
    <row r="101" spans="2:16" ht="31" x14ac:dyDescent="0.35">
      <c r="B101" s="40" t="s">
        <v>173</v>
      </c>
      <c r="C101" s="34">
        <v>10000</v>
      </c>
      <c r="D101" s="740"/>
      <c r="P101" s="2"/>
    </row>
    <row r="102" spans="2:16" ht="31" x14ac:dyDescent="0.35">
      <c r="B102" s="40" t="s">
        <v>174</v>
      </c>
      <c r="C102" s="34">
        <v>10000</v>
      </c>
      <c r="D102" s="740"/>
      <c r="P102" s="2"/>
    </row>
    <row r="103" spans="2:16" ht="31" x14ac:dyDescent="0.35">
      <c r="B103" s="40" t="s">
        <v>175</v>
      </c>
      <c r="C103" s="34">
        <v>10000</v>
      </c>
      <c r="D103" s="740"/>
      <c r="P103" s="2"/>
    </row>
    <row r="104" spans="2:16" ht="31" x14ac:dyDescent="0.35">
      <c r="B104" s="40" t="s">
        <v>176</v>
      </c>
      <c r="C104" s="34">
        <v>10000</v>
      </c>
      <c r="D104" s="740"/>
      <c r="P104" s="2"/>
    </row>
    <row r="105" spans="2:16" ht="31" x14ac:dyDescent="0.35">
      <c r="B105" s="40" t="s">
        <v>177</v>
      </c>
      <c r="C105" s="34">
        <v>10000</v>
      </c>
      <c r="D105" s="740"/>
      <c r="P105" s="2"/>
    </row>
    <row r="106" spans="2:16" ht="15" x14ac:dyDescent="0.35">
      <c r="B106" s="53" t="s">
        <v>136</v>
      </c>
      <c r="C106" s="35">
        <f>SUM(C99:C105)</f>
        <v>125000</v>
      </c>
      <c r="D106" s="740"/>
      <c r="P106" s="2"/>
    </row>
    <row r="107" spans="2:16" ht="139.5" x14ac:dyDescent="0.35">
      <c r="B107" s="36" t="s">
        <v>178</v>
      </c>
      <c r="C107" s="37"/>
      <c r="D107" s="740"/>
      <c r="P107" s="2"/>
    </row>
    <row r="108" spans="2:16" ht="15" x14ac:dyDescent="0.35">
      <c r="B108" s="38" t="s">
        <v>179</v>
      </c>
      <c r="C108" s="39"/>
      <c r="D108" s="4"/>
    </row>
    <row r="109" spans="2:16" ht="93" x14ac:dyDescent="0.35">
      <c r="B109" s="40" t="s">
        <v>180</v>
      </c>
      <c r="C109" s="41"/>
      <c r="D109" s="4"/>
    </row>
    <row r="110" spans="2:16" ht="15.5" x14ac:dyDescent="0.35">
      <c r="B110" s="31"/>
      <c r="C110" s="32"/>
      <c r="D110" s="4"/>
    </row>
    <row r="111" spans="2:16" ht="16" thickBot="1" x14ac:dyDescent="0.4">
      <c r="B111" s="42" t="s">
        <v>181</v>
      </c>
      <c r="C111" s="43"/>
      <c r="D111" s="44"/>
    </row>
    <row r="112" spans="2:16" x14ac:dyDescent="0.35">
      <c r="B112" s="45"/>
      <c r="C112" s="46"/>
      <c r="D112" s="47"/>
    </row>
    <row r="113" spans="2:4" ht="15" x14ac:dyDescent="0.35">
      <c r="B113" s="48" t="s">
        <v>182</v>
      </c>
      <c r="C113" s="49"/>
      <c r="D113" s="50"/>
    </row>
    <row r="114" spans="2:4" ht="15" x14ac:dyDescent="0.35">
      <c r="B114" s="38" t="s">
        <v>183</v>
      </c>
      <c r="C114" s="39"/>
      <c r="D114" s="718" t="s">
        <v>169</v>
      </c>
    </row>
    <row r="115" spans="2:4" ht="16" thickBot="1" x14ac:dyDescent="0.4">
      <c r="B115" s="51" t="s">
        <v>184</v>
      </c>
      <c r="C115" s="52">
        <v>150000</v>
      </c>
      <c r="D115" s="719"/>
    </row>
    <row r="116" spans="2:4" ht="16.5" thickBot="1" x14ac:dyDescent="0.45">
      <c r="B116" s="54" t="s">
        <v>136</v>
      </c>
      <c r="C116" s="55">
        <f>C106+C115</f>
        <v>275000</v>
      </c>
      <c r="D116" s="56"/>
    </row>
  </sheetData>
  <autoFilter ref="A7:O91" xr:uid="{78C95091-22D7-40F3-97DE-5ADC8D5CC09E}"/>
  <mergeCells count="16">
    <mergeCell ref="N6:N8"/>
    <mergeCell ref="M9:M28"/>
    <mergeCell ref="M29:M61"/>
    <mergeCell ref="M73:M87"/>
    <mergeCell ref="D97:D107"/>
    <mergeCell ref="D114:D115"/>
    <mergeCell ref="A1:M1"/>
    <mergeCell ref="A3:M3"/>
    <mergeCell ref="A6:A8"/>
    <mergeCell ref="B6:B8"/>
    <mergeCell ref="C6:F6"/>
    <mergeCell ref="I6:I8"/>
    <mergeCell ref="K6:K8"/>
    <mergeCell ref="M6:M8"/>
    <mergeCell ref="C7:C8"/>
    <mergeCell ref="F7:F8"/>
  </mergeCells>
  <phoneticPr fontId="3" type="noConversion"/>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56113-83E3-48F6-A270-A2F23EE405D3}">
  <dimension ref="A1:U118"/>
  <sheetViews>
    <sheetView topLeftCell="A53" zoomScale="90" zoomScaleNormal="90" workbookViewId="0">
      <selection activeCell="H92" sqref="H92"/>
    </sheetView>
  </sheetViews>
  <sheetFormatPr defaultColWidth="8.81640625" defaultRowHeight="14.5" x14ac:dyDescent="0.35"/>
  <cols>
    <col min="1" max="1" width="5.453125" customWidth="1"/>
    <col min="2" max="2" width="29.54296875" customWidth="1"/>
    <col min="3" max="3" width="16.453125" customWidth="1"/>
    <col min="4" max="4" width="13.81640625" customWidth="1"/>
    <col min="5" max="5" width="12.1796875" customWidth="1"/>
    <col min="6" max="8" width="15.453125" customWidth="1"/>
    <col min="9" max="9" width="16.453125" customWidth="1"/>
    <col min="10" max="10" width="16.453125" hidden="1" customWidth="1"/>
    <col min="11" max="12" width="14" customWidth="1"/>
    <col min="13" max="13" width="16.54296875" hidden="1" customWidth="1"/>
    <col min="14" max="14" width="14.453125" hidden="1" customWidth="1"/>
    <col min="15" max="15" width="14.453125" style="58" hidden="1" customWidth="1"/>
    <col min="16" max="16" width="14.453125" hidden="1" customWidth="1"/>
    <col min="17" max="43" width="14.453125" customWidth="1"/>
  </cols>
  <sheetData>
    <row r="1" spans="1:21" ht="23.5" x14ac:dyDescent="0.55000000000000004">
      <c r="A1" s="100" t="s">
        <v>125</v>
      </c>
      <c r="B1" s="100"/>
      <c r="C1" s="100"/>
      <c r="D1" s="100"/>
      <c r="E1" s="100"/>
      <c r="F1" s="100"/>
      <c r="G1" s="100"/>
      <c r="H1" s="100"/>
      <c r="I1" s="100"/>
      <c r="J1" s="100"/>
      <c r="K1" s="100"/>
      <c r="L1" s="100"/>
      <c r="M1" s="100"/>
    </row>
    <row r="2" spans="1:21" ht="21" x14ac:dyDescent="0.5">
      <c r="A2" s="27"/>
      <c r="B2" s="27"/>
      <c r="C2" s="27"/>
      <c r="D2" s="27"/>
      <c r="E2" s="27"/>
      <c r="F2" s="27"/>
      <c r="G2" s="27"/>
      <c r="H2" s="27"/>
      <c r="I2" s="27"/>
      <c r="J2" s="27"/>
      <c r="K2" s="27"/>
      <c r="L2" s="27"/>
    </row>
    <row r="3" spans="1:21" ht="21" x14ac:dyDescent="0.5">
      <c r="A3" s="27" t="s">
        <v>126</v>
      </c>
      <c r="B3" s="27"/>
      <c r="C3" s="27"/>
      <c r="D3" s="27"/>
      <c r="E3" s="27"/>
      <c r="F3" s="27"/>
      <c r="G3" s="27"/>
      <c r="H3" s="27"/>
      <c r="I3" s="27"/>
      <c r="J3" s="27"/>
      <c r="K3" s="27"/>
      <c r="L3" s="27"/>
      <c r="M3" s="27"/>
    </row>
    <row r="6" spans="1:21" ht="28" customHeight="1" x14ac:dyDescent="0.35">
      <c r="A6" s="101" t="s">
        <v>127</v>
      </c>
      <c r="B6" s="101" t="s">
        <v>0</v>
      </c>
      <c r="C6" s="103" t="s">
        <v>128</v>
      </c>
      <c r="D6" s="111"/>
      <c r="E6" s="111"/>
      <c r="F6" s="104"/>
      <c r="G6" s="104"/>
      <c r="H6" s="76"/>
      <c r="I6" s="112" t="s">
        <v>129</v>
      </c>
      <c r="J6" s="77"/>
      <c r="K6" s="113" t="s">
        <v>130</v>
      </c>
      <c r="L6" s="78"/>
      <c r="M6" s="101" t="s">
        <v>131</v>
      </c>
      <c r="N6" s="299" t="s">
        <v>132</v>
      </c>
    </row>
    <row r="7" spans="1:21" ht="28" customHeight="1" x14ac:dyDescent="0.35">
      <c r="A7" s="110"/>
      <c r="B7" s="110"/>
      <c r="C7" s="114" t="s">
        <v>133</v>
      </c>
      <c r="D7" s="76" t="s">
        <v>134</v>
      </c>
      <c r="E7" s="76" t="s">
        <v>135</v>
      </c>
      <c r="F7" s="76" t="s">
        <v>136</v>
      </c>
      <c r="G7" s="76"/>
      <c r="H7" s="76" t="s">
        <v>137</v>
      </c>
      <c r="I7" s="77"/>
      <c r="J7" s="77"/>
      <c r="K7" s="78"/>
      <c r="L7" s="78"/>
      <c r="M7" s="76"/>
      <c r="N7" s="114"/>
      <c r="P7" s="2"/>
      <c r="Q7" s="115" t="s">
        <v>138</v>
      </c>
    </row>
    <row r="8" spans="1:21" ht="28" customHeight="1" x14ac:dyDescent="0.35">
      <c r="A8" s="110"/>
      <c r="B8" s="110"/>
      <c r="C8" s="114"/>
      <c r="D8" s="76" t="s">
        <v>143</v>
      </c>
      <c r="E8" s="76" t="s">
        <v>143</v>
      </c>
      <c r="F8" s="76"/>
      <c r="G8" s="76"/>
      <c r="H8" s="76" t="s">
        <v>144</v>
      </c>
      <c r="I8" s="77"/>
      <c r="J8" s="77"/>
      <c r="K8" s="78"/>
      <c r="L8" s="78" t="s">
        <v>145</v>
      </c>
      <c r="M8" s="76"/>
      <c r="N8" s="114"/>
      <c r="P8" s="2"/>
      <c r="Q8" s="2"/>
    </row>
    <row r="9" spans="1:21" ht="29.15" customHeight="1" x14ac:dyDescent="0.4">
      <c r="A9" s="137">
        <v>1</v>
      </c>
      <c r="B9" s="137" t="s">
        <v>146</v>
      </c>
      <c r="C9" s="162">
        <v>100000</v>
      </c>
      <c r="D9" s="134"/>
      <c r="E9" s="134"/>
      <c r="F9" s="162">
        <f t="shared" ref="F9:F40" si="0">SUM(C9:E9)</f>
        <v>100000</v>
      </c>
      <c r="G9" s="162" t="b">
        <f t="shared" ref="G9:G40" si="1">F9=H9</f>
        <v>0</v>
      </c>
      <c r="H9" s="145">
        <f>'DETAILS (sorted)'!BI2</f>
        <v>2200000</v>
      </c>
      <c r="I9" s="137">
        <v>1700000</v>
      </c>
      <c r="J9" s="146">
        <f t="shared" ref="J9:J40" si="2">H9/I9</f>
        <v>1.2941176470588236</v>
      </c>
      <c r="K9" s="163">
        <f t="shared" ref="K9:K40" si="3">MAX(I9-H9,0)</f>
        <v>0</v>
      </c>
      <c r="L9" s="148">
        <f t="shared" ref="L9:L40" si="4">100%-J9</f>
        <v>-0.29411764705882359</v>
      </c>
      <c r="M9" s="303" t="s">
        <v>147</v>
      </c>
      <c r="N9" s="167"/>
      <c r="O9" s="136" t="b">
        <f>F9=H9</f>
        <v>0</v>
      </c>
      <c r="P9" s="304"/>
      <c r="Q9" s="304"/>
      <c r="R9" s="115" t="s">
        <v>139</v>
      </c>
      <c r="S9" s="115" t="s">
        <v>140</v>
      </c>
      <c r="T9" s="115" t="s">
        <v>141</v>
      </c>
      <c r="U9" s="115" t="s">
        <v>142</v>
      </c>
    </row>
    <row r="10" spans="1:21" ht="26.15" customHeight="1" x14ac:dyDescent="0.4">
      <c r="A10" s="161">
        <f t="shared" ref="A10:A41" si="5">A9+1</f>
        <v>2</v>
      </c>
      <c r="B10" s="161" t="s">
        <v>71</v>
      </c>
      <c r="C10" s="161">
        <v>200000</v>
      </c>
      <c r="D10" s="134">
        <v>100000</v>
      </c>
      <c r="E10" s="134">
        <v>700000</v>
      </c>
      <c r="F10" s="161">
        <f t="shared" si="0"/>
        <v>1000000</v>
      </c>
      <c r="G10" s="161" t="b">
        <f t="shared" si="1"/>
        <v>0</v>
      </c>
      <c r="H10" s="145">
        <f>'DETAILS (sorted)'!BI3</f>
        <v>3500000</v>
      </c>
      <c r="I10" s="137">
        <v>1700000</v>
      </c>
      <c r="J10" s="146">
        <f t="shared" si="2"/>
        <v>2.0588235294117645</v>
      </c>
      <c r="K10" s="164">
        <f t="shared" si="3"/>
        <v>0</v>
      </c>
      <c r="L10" s="148">
        <f t="shared" si="4"/>
        <v>-1.0588235294117645</v>
      </c>
      <c r="M10" s="305" t="s">
        <v>160</v>
      </c>
      <c r="N10" s="168"/>
      <c r="O10" s="136" t="b">
        <f>F10=H10</f>
        <v>0</v>
      </c>
      <c r="P10" s="154">
        <v>1</v>
      </c>
      <c r="Q10" s="154"/>
      <c r="R10" s="2"/>
      <c r="S10" s="2"/>
      <c r="T10" s="2"/>
      <c r="U10" s="2"/>
    </row>
    <row r="11" spans="1:21" ht="26.15" customHeight="1" x14ac:dyDescent="0.4">
      <c r="A11" s="161">
        <f t="shared" si="5"/>
        <v>3</v>
      </c>
      <c r="B11" s="161" t="s">
        <v>148</v>
      </c>
      <c r="C11" s="161">
        <v>200000</v>
      </c>
      <c r="D11" s="134">
        <v>100000</v>
      </c>
      <c r="E11" s="134">
        <v>330000</v>
      </c>
      <c r="F11" s="161">
        <f t="shared" si="0"/>
        <v>630000</v>
      </c>
      <c r="G11" s="161" t="b">
        <f t="shared" si="1"/>
        <v>0</v>
      </c>
      <c r="H11" s="145">
        <f>'DETAILS (sorted)'!BI4</f>
        <v>1900000</v>
      </c>
      <c r="I11" s="137">
        <v>1700000</v>
      </c>
      <c r="J11" s="146">
        <f t="shared" si="2"/>
        <v>1.1176470588235294</v>
      </c>
      <c r="K11" s="164">
        <f t="shared" si="3"/>
        <v>0</v>
      </c>
      <c r="L11" s="148">
        <f t="shared" si="4"/>
        <v>-0.11764705882352944</v>
      </c>
      <c r="M11" s="303"/>
      <c r="N11" s="170"/>
      <c r="O11" s="136" t="b">
        <f>F11=H11</f>
        <v>0</v>
      </c>
      <c r="P11" s="304"/>
      <c r="Q11" s="304"/>
      <c r="R11" s="2"/>
      <c r="S11" s="2"/>
      <c r="T11" s="2"/>
      <c r="U11" s="2"/>
    </row>
    <row r="12" spans="1:21" s="61" customFormat="1" ht="16" x14ac:dyDescent="0.4">
      <c r="A12" s="134">
        <f t="shared" si="5"/>
        <v>4</v>
      </c>
      <c r="B12" s="134" t="s">
        <v>149</v>
      </c>
      <c r="C12" s="134">
        <v>200000</v>
      </c>
      <c r="D12" s="134">
        <v>100000</v>
      </c>
      <c r="E12" s="134">
        <v>700000</v>
      </c>
      <c r="F12" s="134">
        <f t="shared" si="0"/>
        <v>1000000</v>
      </c>
      <c r="G12" s="134" t="b">
        <f t="shared" si="1"/>
        <v>1</v>
      </c>
      <c r="H12" s="145">
        <f>'DETAILS (sorted)'!BI5</f>
        <v>1000000</v>
      </c>
      <c r="I12" s="137">
        <v>1700000</v>
      </c>
      <c r="J12" s="146">
        <f t="shared" si="2"/>
        <v>0.58823529411764708</v>
      </c>
      <c r="K12" s="150">
        <f t="shared" si="3"/>
        <v>700000</v>
      </c>
      <c r="L12" s="151">
        <f t="shared" si="4"/>
        <v>0.41176470588235292</v>
      </c>
      <c r="M12" s="306"/>
      <c r="N12" s="149"/>
      <c r="O12" s="136" t="b">
        <f>F12=H12</f>
        <v>1</v>
      </c>
      <c r="P12" s="304">
        <v>1</v>
      </c>
      <c r="Q12" s="304"/>
      <c r="R12" s="304"/>
      <c r="S12" s="304"/>
      <c r="T12" s="304"/>
      <c r="U12" s="304"/>
    </row>
    <row r="13" spans="1:21" s="61" customFormat="1" ht="16" x14ac:dyDescent="0.4">
      <c r="A13" s="134">
        <f t="shared" si="5"/>
        <v>5</v>
      </c>
      <c r="B13" s="134" t="s">
        <v>150</v>
      </c>
      <c r="C13" s="134">
        <v>200000</v>
      </c>
      <c r="D13" s="134">
        <v>100000</v>
      </c>
      <c r="E13" s="134">
        <v>700000</v>
      </c>
      <c r="F13" s="134">
        <f t="shared" si="0"/>
        <v>1000000</v>
      </c>
      <c r="G13" s="134" t="b">
        <f t="shared" si="1"/>
        <v>0</v>
      </c>
      <c r="H13" s="145">
        <f>'DETAILS (sorted)'!BI6</f>
        <v>2000000</v>
      </c>
      <c r="I13" s="137">
        <v>1700000</v>
      </c>
      <c r="J13" s="146">
        <f t="shared" si="2"/>
        <v>1.1764705882352942</v>
      </c>
      <c r="K13" s="150">
        <f t="shared" si="3"/>
        <v>0</v>
      </c>
      <c r="L13" s="151">
        <f t="shared" si="4"/>
        <v>-0.17647058823529416</v>
      </c>
      <c r="M13" s="303"/>
      <c r="N13" s="149"/>
      <c r="O13" s="136" t="b">
        <f>F13=H13</f>
        <v>0</v>
      </c>
      <c r="P13" s="152">
        <v>1</v>
      </c>
      <c r="Q13" s="152"/>
      <c r="R13" s="304"/>
      <c r="S13" s="304"/>
      <c r="T13" s="304"/>
      <c r="U13" s="304"/>
    </row>
    <row r="14" spans="1:21" s="61" customFormat="1" ht="16" x14ac:dyDescent="0.4">
      <c r="A14" s="134">
        <f t="shared" si="5"/>
        <v>6</v>
      </c>
      <c r="B14" s="134" t="s">
        <v>88</v>
      </c>
      <c r="C14" s="134">
        <v>200000</v>
      </c>
      <c r="D14" s="134">
        <v>100000</v>
      </c>
      <c r="E14" s="134">
        <v>700000</v>
      </c>
      <c r="F14" s="134">
        <f t="shared" si="0"/>
        <v>1000000</v>
      </c>
      <c r="G14" s="134" t="b">
        <f t="shared" si="1"/>
        <v>0</v>
      </c>
      <c r="H14" s="145">
        <f>'DETAILS (sorted)'!BI7</f>
        <v>2000000</v>
      </c>
      <c r="I14" s="137">
        <v>1700000</v>
      </c>
      <c r="J14" s="146">
        <f t="shared" si="2"/>
        <v>1.1764705882352942</v>
      </c>
      <c r="K14" s="147">
        <f t="shared" si="3"/>
        <v>0</v>
      </c>
      <c r="L14" s="148">
        <f t="shared" si="4"/>
        <v>-0.17647058823529416</v>
      </c>
      <c r="M14" s="307"/>
      <c r="N14" s="155"/>
      <c r="O14" s="136"/>
      <c r="P14" s="154">
        <v>1</v>
      </c>
      <c r="Q14" s="154"/>
      <c r="R14" s="304"/>
      <c r="S14" s="304"/>
      <c r="T14" s="304"/>
      <c r="U14" s="304"/>
    </row>
    <row r="15" spans="1:21" s="62" customFormat="1" ht="16" x14ac:dyDescent="0.4">
      <c r="A15" s="134">
        <f t="shared" si="5"/>
        <v>7</v>
      </c>
      <c r="B15" s="134" t="s">
        <v>43</v>
      </c>
      <c r="C15" s="134">
        <v>200000</v>
      </c>
      <c r="D15" s="134">
        <v>100000</v>
      </c>
      <c r="E15" s="134">
        <v>740000</v>
      </c>
      <c r="F15" s="134">
        <f t="shared" si="0"/>
        <v>1040000</v>
      </c>
      <c r="G15" s="134" t="b">
        <f t="shared" si="1"/>
        <v>0</v>
      </c>
      <c r="H15" s="145">
        <f>'DETAILS (sorted)'!BI8</f>
        <v>2300000</v>
      </c>
      <c r="I15" s="137">
        <v>1700000</v>
      </c>
      <c r="J15" s="146">
        <f t="shared" si="2"/>
        <v>1.3529411764705883</v>
      </c>
      <c r="K15" s="147">
        <f t="shared" si="3"/>
        <v>0</v>
      </c>
      <c r="L15" s="148">
        <f t="shared" si="4"/>
        <v>-0.35294117647058831</v>
      </c>
      <c r="M15" s="307"/>
      <c r="N15" s="155"/>
      <c r="O15" s="136" t="b">
        <f t="shared" ref="O15:O39" si="6">F15=H15</f>
        <v>0</v>
      </c>
      <c r="P15" s="154">
        <v>1</v>
      </c>
      <c r="Q15" s="154"/>
      <c r="R15" s="152"/>
      <c r="S15" s="152"/>
      <c r="T15" s="152"/>
      <c r="U15" s="152"/>
    </row>
    <row r="16" spans="1:21" s="61" customFormat="1" ht="16" x14ac:dyDescent="0.4">
      <c r="A16" s="134">
        <f t="shared" si="5"/>
        <v>8</v>
      </c>
      <c r="B16" s="134" t="s">
        <v>73</v>
      </c>
      <c r="C16" s="134">
        <v>200000</v>
      </c>
      <c r="D16" s="134">
        <v>100000</v>
      </c>
      <c r="E16" s="134">
        <v>700000</v>
      </c>
      <c r="F16" s="134">
        <f t="shared" si="0"/>
        <v>1000000</v>
      </c>
      <c r="G16" s="134" t="b">
        <f t="shared" si="1"/>
        <v>0</v>
      </c>
      <c r="H16" s="145">
        <f>'DETAILS (sorted)'!BI9</f>
        <v>141000</v>
      </c>
      <c r="I16" s="137">
        <v>1700000</v>
      </c>
      <c r="J16" s="146">
        <f t="shared" si="2"/>
        <v>8.294117647058824E-2</v>
      </c>
      <c r="K16" s="147">
        <f t="shared" si="3"/>
        <v>1559000</v>
      </c>
      <c r="L16" s="148">
        <f t="shared" si="4"/>
        <v>0.9170588235294117</v>
      </c>
      <c r="M16" s="307"/>
      <c r="N16" s="155"/>
      <c r="O16" s="136" t="b">
        <f t="shared" si="6"/>
        <v>0</v>
      </c>
      <c r="P16" s="154">
        <v>1</v>
      </c>
      <c r="Q16" s="154"/>
      <c r="R16" s="304"/>
      <c r="S16" s="304"/>
      <c r="T16" s="304"/>
      <c r="U16" s="304"/>
    </row>
    <row r="17" spans="1:21" s="61" customFormat="1" ht="16" x14ac:dyDescent="0.4">
      <c r="A17" s="134">
        <f t="shared" si="5"/>
        <v>9</v>
      </c>
      <c r="B17" s="134" t="s">
        <v>151</v>
      </c>
      <c r="C17" s="134">
        <v>200000</v>
      </c>
      <c r="D17" s="134">
        <v>100000</v>
      </c>
      <c r="E17" s="134">
        <v>700000</v>
      </c>
      <c r="F17" s="134">
        <f t="shared" si="0"/>
        <v>1000000</v>
      </c>
      <c r="G17" s="134" t="b">
        <f t="shared" si="1"/>
        <v>0</v>
      </c>
      <c r="H17" s="145">
        <f>'DETAILS (sorted)'!BI10</f>
        <v>1170000</v>
      </c>
      <c r="I17" s="137">
        <v>1700000</v>
      </c>
      <c r="J17" s="146">
        <f t="shared" si="2"/>
        <v>0.68823529411764706</v>
      </c>
      <c r="K17" s="150">
        <f t="shared" si="3"/>
        <v>530000</v>
      </c>
      <c r="L17" s="151">
        <f t="shared" si="4"/>
        <v>0.31176470588235294</v>
      </c>
      <c r="M17" s="303"/>
      <c r="N17" s="149"/>
      <c r="O17" s="136" t="b">
        <f t="shared" si="6"/>
        <v>0</v>
      </c>
      <c r="P17" s="304">
        <v>1</v>
      </c>
      <c r="Q17" s="304"/>
      <c r="R17" s="304"/>
      <c r="S17" s="304"/>
      <c r="T17" s="304"/>
      <c r="U17" s="304"/>
    </row>
    <row r="18" spans="1:21" s="61" customFormat="1" ht="16" x14ac:dyDescent="0.4">
      <c r="A18" s="134">
        <f t="shared" si="5"/>
        <v>10</v>
      </c>
      <c r="B18" s="134" t="s">
        <v>152</v>
      </c>
      <c r="C18" s="134">
        <v>200000</v>
      </c>
      <c r="D18" s="134">
        <v>100000</v>
      </c>
      <c r="E18" s="134">
        <v>700000</v>
      </c>
      <c r="F18" s="134">
        <f t="shared" si="0"/>
        <v>1000000</v>
      </c>
      <c r="G18" s="134" t="b">
        <f t="shared" si="1"/>
        <v>0</v>
      </c>
      <c r="H18" s="145">
        <f>'DETAILS (sorted)'!BI11</f>
        <v>2000000</v>
      </c>
      <c r="I18" s="137">
        <v>1700000</v>
      </c>
      <c r="J18" s="146">
        <f t="shared" si="2"/>
        <v>1.1764705882352942</v>
      </c>
      <c r="K18" s="150">
        <f t="shared" si="3"/>
        <v>0</v>
      </c>
      <c r="L18" s="151">
        <f t="shared" si="4"/>
        <v>-0.17647058823529416</v>
      </c>
      <c r="M18" s="303"/>
      <c r="N18" s="149"/>
      <c r="O18" s="136" t="b">
        <f t="shared" si="6"/>
        <v>0</v>
      </c>
      <c r="P18" s="304">
        <v>1</v>
      </c>
      <c r="Q18" s="304"/>
      <c r="R18" s="304"/>
      <c r="S18" s="304"/>
      <c r="T18" s="304"/>
      <c r="U18" s="304"/>
    </row>
    <row r="19" spans="1:21" s="61" customFormat="1" ht="16" x14ac:dyDescent="0.4">
      <c r="A19" s="134">
        <f t="shared" si="5"/>
        <v>11</v>
      </c>
      <c r="B19" s="134" t="s">
        <v>60</v>
      </c>
      <c r="C19" s="134">
        <v>200000</v>
      </c>
      <c r="D19" s="134">
        <v>100000</v>
      </c>
      <c r="E19" s="134">
        <v>800000</v>
      </c>
      <c r="F19" s="134">
        <f t="shared" si="0"/>
        <v>1100000</v>
      </c>
      <c r="G19" s="134" t="b">
        <f t="shared" si="1"/>
        <v>0</v>
      </c>
      <c r="H19" s="145">
        <f>'DETAILS (sorted)'!BI12</f>
        <v>2400000</v>
      </c>
      <c r="I19" s="137">
        <v>1700000</v>
      </c>
      <c r="J19" s="146">
        <f t="shared" si="2"/>
        <v>1.411764705882353</v>
      </c>
      <c r="K19" s="147">
        <f t="shared" si="3"/>
        <v>0</v>
      </c>
      <c r="L19" s="148">
        <f t="shared" si="4"/>
        <v>-0.41176470588235303</v>
      </c>
      <c r="M19" s="307"/>
      <c r="N19" s="155"/>
      <c r="O19" s="136" t="b">
        <f t="shared" si="6"/>
        <v>0</v>
      </c>
      <c r="P19" s="154">
        <v>1</v>
      </c>
      <c r="Q19" s="154"/>
      <c r="R19" s="304"/>
      <c r="S19" s="304"/>
      <c r="T19" s="304"/>
      <c r="U19" s="304"/>
    </row>
    <row r="20" spans="1:21" s="61" customFormat="1" ht="16" x14ac:dyDescent="0.4">
      <c r="A20" s="134">
        <f t="shared" si="5"/>
        <v>12</v>
      </c>
      <c r="B20" s="134" t="s">
        <v>63</v>
      </c>
      <c r="C20" s="134">
        <v>200000</v>
      </c>
      <c r="D20" s="134">
        <v>100000</v>
      </c>
      <c r="E20" s="134">
        <v>700000</v>
      </c>
      <c r="F20" s="134">
        <f t="shared" si="0"/>
        <v>1000000</v>
      </c>
      <c r="G20" s="134" t="b">
        <f t="shared" si="1"/>
        <v>0</v>
      </c>
      <c r="H20" s="145">
        <f>'DETAILS (sorted)'!BI13</f>
        <v>1900000</v>
      </c>
      <c r="I20" s="137">
        <v>1700000</v>
      </c>
      <c r="J20" s="146">
        <f t="shared" si="2"/>
        <v>1.1176470588235294</v>
      </c>
      <c r="K20" s="147">
        <f t="shared" si="3"/>
        <v>0</v>
      </c>
      <c r="L20" s="148">
        <f t="shared" si="4"/>
        <v>-0.11764705882352944</v>
      </c>
      <c r="M20" s="307"/>
      <c r="N20" s="155"/>
      <c r="O20" s="136" t="b">
        <f t="shared" si="6"/>
        <v>0</v>
      </c>
      <c r="P20" s="154">
        <v>1</v>
      </c>
      <c r="Q20" s="154"/>
      <c r="R20" s="304"/>
      <c r="S20" s="304"/>
      <c r="T20" s="304"/>
      <c r="U20" s="304"/>
    </row>
    <row r="21" spans="1:21" s="61" customFormat="1" ht="16" x14ac:dyDescent="0.4">
      <c r="A21" s="134">
        <f t="shared" si="5"/>
        <v>13</v>
      </c>
      <c r="B21" s="134" t="s">
        <v>75</v>
      </c>
      <c r="C21" s="134">
        <v>200000</v>
      </c>
      <c r="D21" s="134">
        <v>100000</v>
      </c>
      <c r="E21" s="134">
        <v>400000</v>
      </c>
      <c r="F21" s="134">
        <f t="shared" si="0"/>
        <v>700000</v>
      </c>
      <c r="G21" s="134" t="b">
        <f t="shared" si="1"/>
        <v>0</v>
      </c>
      <c r="H21" s="145">
        <f>'DETAILS (sorted)'!BI14</f>
        <v>1500000</v>
      </c>
      <c r="I21" s="137">
        <v>1700000</v>
      </c>
      <c r="J21" s="146">
        <f t="shared" si="2"/>
        <v>0.88235294117647056</v>
      </c>
      <c r="K21" s="147">
        <f t="shared" si="3"/>
        <v>200000</v>
      </c>
      <c r="L21" s="148">
        <f t="shared" si="4"/>
        <v>0.11764705882352944</v>
      </c>
      <c r="M21" s="307"/>
      <c r="N21" s="155"/>
      <c r="O21" s="136" t="b">
        <f t="shared" si="6"/>
        <v>0</v>
      </c>
      <c r="P21" s="154"/>
      <c r="Q21" s="154"/>
      <c r="R21" s="304"/>
      <c r="S21" s="304"/>
      <c r="T21" s="304"/>
      <c r="U21" s="304"/>
    </row>
    <row r="22" spans="1:21" s="61" customFormat="1" ht="16" x14ac:dyDescent="0.4">
      <c r="A22" s="134">
        <f t="shared" si="5"/>
        <v>14</v>
      </c>
      <c r="B22" s="134" t="s">
        <v>47</v>
      </c>
      <c r="C22" s="134">
        <v>100000</v>
      </c>
      <c r="D22" s="134"/>
      <c r="E22" s="134"/>
      <c r="F22" s="134">
        <f t="shared" si="0"/>
        <v>100000</v>
      </c>
      <c r="G22" s="134" t="b">
        <f t="shared" si="1"/>
        <v>0</v>
      </c>
      <c r="H22" s="145">
        <f>'DETAILS (sorted)'!BI15</f>
        <v>2000000</v>
      </c>
      <c r="I22" s="137">
        <v>1700000</v>
      </c>
      <c r="J22" s="146">
        <f t="shared" si="2"/>
        <v>1.1764705882352942</v>
      </c>
      <c r="K22" s="147">
        <f t="shared" si="3"/>
        <v>0</v>
      </c>
      <c r="L22" s="148">
        <f t="shared" si="4"/>
        <v>-0.17647058823529416</v>
      </c>
      <c r="M22" s="307"/>
      <c r="N22" s="155"/>
      <c r="O22" s="136" t="b">
        <f t="shared" si="6"/>
        <v>0</v>
      </c>
      <c r="P22" s="154"/>
      <c r="Q22" s="154"/>
      <c r="R22" s="304"/>
      <c r="S22" s="304"/>
      <c r="T22" s="304"/>
      <c r="U22" s="304"/>
    </row>
    <row r="23" spans="1:21" s="61" customFormat="1" ht="16" x14ac:dyDescent="0.4">
      <c r="A23" s="134">
        <f t="shared" si="5"/>
        <v>15</v>
      </c>
      <c r="B23" s="134" t="s">
        <v>153</v>
      </c>
      <c r="C23" s="134">
        <v>200000</v>
      </c>
      <c r="D23" s="134">
        <v>100000</v>
      </c>
      <c r="E23" s="134">
        <v>920000</v>
      </c>
      <c r="F23" s="134">
        <f t="shared" si="0"/>
        <v>1220000</v>
      </c>
      <c r="G23" s="134" t="b">
        <f t="shared" si="1"/>
        <v>0</v>
      </c>
      <c r="H23" s="145">
        <f>'DETAILS (sorted)'!BI16</f>
        <v>1600000</v>
      </c>
      <c r="I23" s="137">
        <v>1700000</v>
      </c>
      <c r="J23" s="146">
        <f t="shared" si="2"/>
        <v>0.94117647058823528</v>
      </c>
      <c r="K23" s="145">
        <f t="shared" si="3"/>
        <v>100000</v>
      </c>
      <c r="L23" s="153">
        <f t="shared" si="4"/>
        <v>5.8823529411764719E-2</v>
      </c>
      <c r="M23" s="303"/>
      <c r="N23" s="149">
        <v>10000</v>
      </c>
      <c r="O23" s="136" t="b">
        <f t="shared" si="6"/>
        <v>0</v>
      </c>
      <c r="P23" s="304">
        <v>1</v>
      </c>
      <c r="Q23" s="304"/>
      <c r="R23" s="304"/>
      <c r="S23" s="304"/>
      <c r="T23" s="304"/>
      <c r="U23" s="304"/>
    </row>
    <row r="24" spans="1:21" s="61" customFormat="1" ht="16" x14ac:dyDescent="0.4">
      <c r="A24" s="134">
        <f t="shared" si="5"/>
        <v>16</v>
      </c>
      <c r="B24" s="134" t="s">
        <v>46</v>
      </c>
      <c r="C24" s="134">
        <v>200000</v>
      </c>
      <c r="D24" s="134">
        <v>100000</v>
      </c>
      <c r="E24" s="134">
        <v>700000</v>
      </c>
      <c r="F24" s="134">
        <f t="shared" si="0"/>
        <v>1000000</v>
      </c>
      <c r="G24" s="134" t="b">
        <f t="shared" si="1"/>
        <v>1</v>
      </c>
      <c r="H24" s="145">
        <f>'DETAILS (sorted)'!BI17</f>
        <v>1000000</v>
      </c>
      <c r="I24" s="137">
        <v>1700000</v>
      </c>
      <c r="J24" s="146">
        <f t="shared" si="2"/>
        <v>0.58823529411764708</v>
      </c>
      <c r="K24" s="147">
        <f t="shared" si="3"/>
        <v>700000</v>
      </c>
      <c r="L24" s="148">
        <f t="shared" si="4"/>
        <v>0.41176470588235292</v>
      </c>
      <c r="M24" s="303"/>
      <c r="N24" s="149"/>
      <c r="O24" s="136" t="b">
        <f t="shared" si="6"/>
        <v>1</v>
      </c>
      <c r="P24" s="154">
        <v>1</v>
      </c>
      <c r="Q24" s="304"/>
      <c r="R24" s="304"/>
      <c r="S24" s="304"/>
      <c r="T24" s="304"/>
      <c r="U24" s="304"/>
    </row>
    <row r="25" spans="1:21" s="61" customFormat="1" ht="16" x14ac:dyDescent="0.4">
      <c r="A25" s="134">
        <f t="shared" si="5"/>
        <v>17</v>
      </c>
      <c r="B25" s="134" t="s">
        <v>84</v>
      </c>
      <c r="C25" s="134">
        <v>200000</v>
      </c>
      <c r="D25" s="134">
        <v>100000</v>
      </c>
      <c r="E25" s="134">
        <v>900000</v>
      </c>
      <c r="F25" s="134">
        <f t="shared" si="0"/>
        <v>1200000</v>
      </c>
      <c r="G25" s="134" t="b">
        <f t="shared" si="1"/>
        <v>0</v>
      </c>
      <c r="H25" s="145">
        <f>'DETAILS (sorted)'!BI18</f>
        <v>1800000</v>
      </c>
      <c r="I25" s="137">
        <v>1700000</v>
      </c>
      <c r="J25" s="146">
        <f t="shared" si="2"/>
        <v>1.0588235294117647</v>
      </c>
      <c r="K25" s="150">
        <f t="shared" si="3"/>
        <v>0</v>
      </c>
      <c r="L25" s="151">
        <f t="shared" si="4"/>
        <v>-5.8823529411764719E-2</v>
      </c>
      <c r="M25" s="307"/>
      <c r="N25" s="155"/>
      <c r="O25" s="136" t="b">
        <f t="shared" si="6"/>
        <v>0</v>
      </c>
      <c r="P25" s="154">
        <v>1</v>
      </c>
      <c r="Q25" s="154"/>
      <c r="R25" s="304"/>
      <c r="S25" s="304"/>
      <c r="T25" s="304"/>
      <c r="U25" s="304"/>
    </row>
    <row r="26" spans="1:21" s="61" customFormat="1" ht="16" x14ac:dyDescent="0.4">
      <c r="A26" s="134">
        <f t="shared" si="5"/>
        <v>18</v>
      </c>
      <c r="B26" s="134" t="s">
        <v>51</v>
      </c>
      <c r="C26" s="134">
        <v>200000</v>
      </c>
      <c r="D26" s="134">
        <v>100000</v>
      </c>
      <c r="E26" s="134">
        <v>700000</v>
      </c>
      <c r="F26" s="134">
        <f t="shared" si="0"/>
        <v>1000000</v>
      </c>
      <c r="G26" s="134" t="b">
        <f t="shared" si="1"/>
        <v>1</v>
      </c>
      <c r="H26" s="145">
        <f>'DETAILS (sorted)'!BI19</f>
        <v>1000000</v>
      </c>
      <c r="I26" s="137">
        <v>1700000</v>
      </c>
      <c r="J26" s="146">
        <f t="shared" si="2"/>
        <v>0.58823529411764708</v>
      </c>
      <c r="K26" s="147">
        <f t="shared" si="3"/>
        <v>700000</v>
      </c>
      <c r="L26" s="148">
        <f t="shared" si="4"/>
        <v>0.41176470588235292</v>
      </c>
      <c r="M26" s="303"/>
      <c r="N26" s="149"/>
      <c r="O26" s="136" t="b">
        <f t="shared" si="6"/>
        <v>1</v>
      </c>
      <c r="P26" s="304">
        <v>1</v>
      </c>
      <c r="Q26" s="304"/>
      <c r="R26" s="304"/>
      <c r="S26" s="304"/>
      <c r="T26" s="304"/>
      <c r="U26" s="304"/>
    </row>
    <row r="27" spans="1:21" s="61" customFormat="1" ht="16" x14ac:dyDescent="0.4">
      <c r="A27" s="134">
        <f t="shared" si="5"/>
        <v>19</v>
      </c>
      <c r="B27" s="134" t="s">
        <v>33</v>
      </c>
      <c r="C27" s="134">
        <v>200000</v>
      </c>
      <c r="D27" s="134">
        <v>100000</v>
      </c>
      <c r="E27" s="134">
        <v>1000000</v>
      </c>
      <c r="F27" s="134">
        <f t="shared" si="0"/>
        <v>1300000</v>
      </c>
      <c r="G27" s="134" t="b">
        <f t="shared" si="1"/>
        <v>0</v>
      </c>
      <c r="H27" s="145">
        <f>'DETAILS (sorted)'!BI20</f>
        <v>1500000</v>
      </c>
      <c r="I27" s="137">
        <v>1700000</v>
      </c>
      <c r="J27" s="146">
        <f t="shared" si="2"/>
        <v>0.88235294117647056</v>
      </c>
      <c r="K27" s="145">
        <f t="shared" si="3"/>
        <v>200000</v>
      </c>
      <c r="L27" s="153">
        <f t="shared" si="4"/>
        <v>0.11764705882352944</v>
      </c>
      <c r="M27" s="303"/>
      <c r="N27" s="149"/>
      <c r="O27" s="136" t="b">
        <f t="shared" si="6"/>
        <v>0</v>
      </c>
      <c r="P27" s="304">
        <v>1</v>
      </c>
      <c r="Q27" s="304"/>
      <c r="R27" s="304"/>
      <c r="S27" s="304"/>
      <c r="T27" s="304"/>
      <c r="U27" s="304"/>
    </row>
    <row r="28" spans="1:21" s="61" customFormat="1" ht="16" x14ac:dyDescent="0.4">
      <c r="A28" s="134">
        <f t="shared" si="5"/>
        <v>20</v>
      </c>
      <c r="B28" s="134" t="s">
        <v>82</v>
      </c>
      <c r="C28" s="134">
        <v>200000</v>
      </c>
      <c r="D28" s="134">
        <v>100000</v>
      </c>
      <c r="E28" s="134">
        <v>700000</v>
      </c>
      <c r="F28" s="134">
        <f t="shared" si="0"/>
        <v>1000000</v>
      </c>
      <c r="G28" s="134" t="b">
        <f t="shared" si="1"/>
        <v>0</v>
      </c>
      <c r="H28" s="145">
        <f>'DETAILS (sorted)'!BI21</f>
        <v>1900000</v>
      </c>
      <c r="I28" s="137">
        <v>1700000</v>
      </c>
      <c r="J28" s="146">
        <f t="shared" si="2"/>
        <v>1.1176470588235294</v>
      </c>
      <c r="K28" s="147">
        <f t="shared" si="3"/>
        <v>0</v>
      </c>
      <c r="L28" s="148">
        <f t="shared" si="4"/>
        <v>-0.11764705882352944</v>
      </c>
      <c r="M28" s="303"/>
      <c r="N28" s="149"/>
      <c r="O28" s="136" t="b">
        <f t="shared" si="6"/>
        <v>0</v>
      </c>
      <c r="P28" s="304">
        <v>1</v>
      </c>
      <c r="Q28" s="304"/>
      <c r="R28" s="304"/>
      <c r="S28" s="304"/>
      <c r="T28" s="304"/>
      <c r="U28" s="304"/>
    </row>
    <row r="29" spans="1:21" s="61" customFormat="1" ht="16" x14ac:dyDescent="0.4">
      <c r="A29" s="134">
        <f t="shared" si="5"/>
        <v>21</v>
      </c>
      <c r="B29" s="134" t="s">
        <v>67</v>
      </c>
      <c r="C29" s="134">
        <v>200000</v>
      </c>
      <c r="D29" s="134">
        <v>100000</v>
      </c>
      <c r="E29" s="134">
        <v>213000</v>
      </c>
      <c r="F29" s="134">
        <f t="shared" si="0"/>
        <v>513000</v>
      </c>
      <c r="G29" s="134" t="b">
        <f t="shared" si="1"/>
        <v>0</v>
      </c>
      <c r="H29" s="145">
        <f>'DETAILS (sorted)'!BI22</f>
        <v>1900000</v>
      </c>
      <c r="I29" s="137">
        <v>1700000</v>
      </c>
      <c r="J29" s="146">
        <f t="shared" si="2"/>
        <v>1.1176470588235294</v>
      </c>
      <c r="K29" s="147">
        <f t="shared" si="3"/>
        <v>0</v>
      </c>
      <c r="L29" s="148">
        <f t="shared" si="4"/>
        <v>-0.11764705882352944</v>
      </c>
      <c r="M29" s="307"/>
      <c r="N29" s="155"/>
      <c r="O29" s="136" t="b">
        <f t="shared" si="6"/>
        <v>0</v>
      </c>
      <c r="P29" s="154"/>
      <c r="Q29" s="154"/>
      <c r="R29" s="304"/>
      <c r="S29" s="304"/>
      <c r="T29" s="304"/>
      <c r="U29" s="304"/>
    </row>
    <row r="30" spans="1:21" s="61" customFormat="1" ht="16" x14ac:dyDescent="0.4">
      <c r="A30" s="134">
        <f t="shared" si="5"/>
        <v>22</v>
      </c>
      <c r="B30" s="134" t="s">
        <v>50</v>
      </c>
      <c r="C30" s="134">
        <v>200000</v>
      </c>
      <c r="D30" s="134">
        <v>100000</v>
      </c>
      <c r="E30" s="134">
        <v>1000000</v>
      </c>
      <c r="F30" s="134">
        <f t="shared" si="0"/>
        <v>1300000</v>
      </c>
      <c r="G30" s="134" t="b">
        <f t="shared" si="1"/>
        <v>0</v>
      </c>
      <c r="H30" s="145">
        <f>'DETAILS (sorted)'!BI23</f>
        <v>1500000</v>
      </c>
      <c r="I30" s="137">
        <v>1700000</v>
      </c>
      <c r="J30" s="146">
        <f t="shared" si="2"/>
        <v>0.88235294117647056</v>
      </c>
      <c r="K30" s="145">
        <f t="shared" si="3"/>
        <v>200000</v>
      </c>
      <c r="L30" s="153">
        <f t="shared" si="4"/>
        <v>0.11764705882352944</v>
      </c>
      <c r="M30" s="303"/>
      <c r="N30" s="149"/>
      <c r="O30" s="136" t="b">
        <f t="shared" si="6"/>
        <v>0</v>
      </c>
      <c r="P30" s="304">
        <v>1</v>
      </c>
      <c r="Q30" s="304"/>
      <c r="R30" s="304"/>
      <c r="S30" s="304"/>
      <c r="T30" s="304"/>
      <c r="U30" s="304"/>
    </row>
    <row r="31" spans="1:21" s="61" customFormat="1" ht="16" x14ac:dyDescent="0.4">
      <c r="A31" s="134">
        <f t="shared" si="5"/>
        <v>23</v>
      </c>
      <c r="B31" s="134" t="s">
        <v>154</v>
      </c>
      <c r="C31" s="134">
        <v>200000</v>
      </c>
      <c r="D31" s="134">
        <v>100000</v>
      </c>
      <c r="E31" s="134">
        <v>500000</v>
      </c>
      <c r="F31" s="134">
        <f t="shared" si="0"/>
        <v>800000</v>
      </c>
      <c r="G31" s="134" t="b">
        <f t="shared" si="1"/>
        <v>0</v>
      </c>
      <c r="H31" s="145">
        <f>'DETAILS (sorted)'!BI24</f>
        <v>2100000</v>
      </c>
      <c r="I31" s="137">
        <v>1700000</v>
      </c>
      <c r="J31" s="146">
        <f t="shared" si="2"/>
        <v>1.2352941176470589</v>
      </c>
      <c r="K31" s="147">
        <f t="shared" si="3"/>
        <v>0</v>
      </c>
      <c r="L31" s="148">
        <f t="shared" si="4"/>
        <v>-0.23529411764705888</v>
      </c>
      <c r="M31" s="308"/>
      <c r="N31" s="149"/>
      <c r="O31" s="136" t="b">
        <f t="shared" si="6"/>
        <v>0</v>
      </c>
      <c r="P31" s="304"/>
      <c r="Q31" s="304"/>
      <c r="R31" s="304"/>
      <c r="S31" s="304"/>
      <c r="T31" s="304"/>
      <c r="U31" s="304"/>
    </row>
    <row r="32" spans="1:21" s="60" customFormat="1" ht="16" x14ac:dyDescent="0.4">
      <c r="A32" s="134">
        <f t="shared" si="5"/>
        <v>24</v>
      </c>
      <c r="B32" s="134" t="s">
        <v>36</v>
      </c>
      <c r="C32" s="134">
        <v>200000</v>
      </c>
      <c r="D32" s="134">
        <v>100000</v>
      </c>
      <c r="E32" s="134">
        <v>700000</v>
      </c>
      <c r="F32" s="134">
        <f t="shared" si="0"/>
        <v>1000000</v>
      </c>
      <c r="G32" s="134" t="b">
        <f t="shared" si="1"/>
        <v>0</v>
      </c>
      <c r="H32" s="145">
        <f>'DETAILS (sorted)'!BI25</f>
        <v>2000000</v>
      </c>
      <c r="I32" s="137">
        <v>1700000</v>
      </c>
      <c r="J32" s="146">
        <f t="shared" si="2"/>
        <v>1.1764705882352942</v>
      </c>
      <c r="K32" s="147">
        <f t="shared" si="3"/>
        <v>0</v>
      </c>
      <c r="L32" s="148">
        <f t="shared" si="4"/>
        <v>-0.17647058823529416</v>
      </c>
      <c r="M32" s="309"/>
      <c r="N32" s="155"/>
      <c r="O32" s="136" t="b">
        <f t="shared" si="6"/>
        <v>0</v>
      </c>
      <c r="P32" s="154">
        <v>1</v>
      </c>
      <c r="Q32" s="154"/>
      <c r="R32" s="154"/>
      <c r="S32" s="154"/>
      <c r="T32" s="154"/>
      <c r="U32" s="154"/>
    </row>
    <row r="33" spans="1:21" s="60" customFormat="1" ht="16" x14ac:dyDescent="0.4">
      <c r="A33" s="134">
        <f t="shared" si="5"/>
        <v>25</v>
      </c>
      <c r="B33" s="134" t="s">
        <v>155</v>
      </c>
      <c r="C33" s="134">
        <v>200000</v>
      </c>
      <c r="D33" s="134">
        <v>100000</v>
      </c>
      <c r="E33" s="134">
        <v>700000</v>
      </c>
      <c r="F33" s="134">
        <f t="shared" si="0"/>
        <v>1000000</v>
      </c>
      <c r="G33" s="134" t="b">
        <f t="shared" si="1"/>
        <v>1</v>
      </c>
      <c r="H33" s="145">
        <f>'DETAILS (sorted)'!BI26</f>
        <v>1000000</v>
      </c>
      <c r="I33" s="137">
        <v>1700000</v>
      </c>
      <c r="J33" s="146">
        <f t="shared" si="2"/>
        <v>0.58823529411764708</v>
      </c>
      <c r="K33" s="147">
        <f t="shared" si="3"/>
        <v>700000</v>
      </c>
      <c r="L33" s="148">
        <f t="shared" si="4"/>
        <v>0.41176470588235292</v>
      </c>
      <c r="M33" s="303"/>
      <c r="N33" s="149"/>
      <c r="O33" s="136" t="b">
        <f t="shared" si="6"/>
        <v>1</v>
      </c>
      <c r="P33" s="304">
        <v>1</v>
      </c>
      <c r="Q33" s="304"/>
      <c r="R33" s="154"/>
      <c r="S33" s="154"/>
      <c r="T33" s="154"/>
      <c r="U33" s="154"/>
    </row>
    <row r="34" spans="1:21" s="60" customFormat="1" ht="16" x14ac:dyDescent="0.4">
      <c r="A34" s="134">
        <f t="shared" si="5"/>
        <v>26</v>
      </c>
      <c r="B34" s="134" t="s">
        <v>23</v>
      </c>
      <c r="C34" s="134">
        <v>141000</v>
      </c>
      <c r="D34" s="134"/>
      <c r="E34" s="134"/>
      <c r="F34" s="134">
        <f t="shared" si="0"/>
        <v>141000</v>
      </c>
      <c r="G34" s="134" t="b">
        <f t="shared" si="1"/>
        <v>0</v>
      </c>
      <c r="H34" s="145">
        <f>'DETAILS (sorted)'!BI27</f>
        <v>1900000</v>
      </c>
      <c r="I34" s="137">
        <v>1700000</v>
      </c>
      <c r="J34" s="146">
        <f t="shared" si="2"/>
        <v>1.1176470588235294</v>
      </c>
      <c r="K34" s="147">
        <f t="shared" si="3"/>
        <v>0</v>
      </c>
      <c r="L34" s="148">
        <f t="shared" si="4"/>
        <v>-0.11764705882352944</v>
      </c>
      <c r="M34" s="307"/>
      <c r="N34" s="155"/>
      <c r="O34" s="136" t="b">
        <f t="shared" si="6"/>
        <v>0</v>
      </c>
      <c r="P34" s="154"/>
      <c r="Q34" s="154"/>
      <c r="R34" s="154"/>
      <c r="S34" s="154"/>
      <c r="T34" s="154"/>
      <c r="U34" s="154"/>
    </row>
    <row r="35" spans="1:21" s="60" customFormat="1" ht="16" x14ac:dyDescent="0.4">
      <c r="A35" s="134">
        <f t="shared" si="5"/>
        <v>27</v>
      </c>
      <c r="B35" s="134" t="s">
        <v>156</v>
      </c>
      <c r="C35" s="134">
        <v>200000</v>
      </c>
      <c r="D35" s="134">
        <v>100000</v>
      </c>
      <c r="E35" s="134">
        <v>700000</v>
      </c>
      <c r="F35" s="134">
        <f t="shared" si="0"/>
        <v>1000000</v>
      </c>
      <c r="G35" s="134" t="b">
        <f t="shared" si="1"/>
        <v>1</v>
      </c>
      <c r="H35" s="145">
        <f>'DETAILS (sorted)'!BI28</f>
        <v>1000000</v>
      </c>
      <c r="I35" s="137">
        <v>1700000</v>
      </c>
      <c r="J35" s="146">
        <f t="shared" si="2"/>
        <v>0.58823529411764708</v>
      </c>
      <c r="K35" s="147">
        <f t="shared" si="3"/>
        <v>700000</v>
      </c>
      <c r="L35" s="148">
        <f t="shared" si="4"/>
        <v>0.41176470588235292</v>
      </c>
      <c r="M35" s="303"/>
      <c r="N35" s="149">
        <v>10000</v>
      </c>
      <c r="O35" s="136" t="b">
        <f t="shared" si="6"/>
        <v>1</v>
      </c>
      <c r="P35" s="304">
        <v>1</v>
      </c>
      <c r="Q35" s="304"/>
      <c r="R35" s="154"/>
      <c r="S35" s="154"/>
      <c r="T35" s="154"/>
      <c r="U35" s="154"/>
    </row>
    <row r="36" spans="1:21" s="60" customFormat="1" ht="16" x14ac:dyDescent="0.4">
      <c r="A36" s="134">
        <f t="shared" si="5"/>
        <v>28</v>
      </c>
      <c r="B36" s="134" t="s">
        <v>64</v>
      </c>
      <c r="C36" s="134">
        <v>200000</v>
      </c>
      <c r="D36" s="134">
        <v>100000</v>
      </c>
      <c r="E36" s="134">
        <v>70000</v>
      </c>
      <c r="F36" s="134">
        <f t="shared" si="0"/>
        <v>370000</v>
      </c>
      <c r="G36" s="134" t="b">
        <f t="shared" si="1"/>
        <v>0</v>
      </c>
      <c r="H36" s="145">
        <f>'DETAILS (sorted)'!BI29</f>
        <v>1700000</v>
      </c>
      <c r="I36" s="137">
        <v>1700000</v>
      </c>
      <c r="J36" s="146">
        <f t="shared" si="2"/>
        <v>1</v>
      </c>
      <c r="K36" s="147">
        <f t="shared" si="3"/>
        <v>0</v>
      </c>
      <c r="L36" s="148">
        <f t="shared" si="4"/>
        <v>0</v>
      </c>
      <c r="M36" s="307"/>
      <c r="N36" s="155"/>
      <c r="O36" s="136" t="b">
        <f t="shared" si="6"/>
        <v>0</v>
      </c>
      <c r="P36" s="154"/>
      <c r="Q36" s="154"/>
      <c r="R36" s="154"/>
      <c r="S36" s="154"/>
      <c r="T36" s="154"/>
      <c r="U36" s="154"/>
    </row>
    <row r="37" spans="1:21" s="60" customFormat="1" ht="16" x14ac:dyDescent="0.4">
      <c r="A37" s="134">
        <f t="shared" si="5"/>
        <v>29</v>
      </c>
      <c r="B37" s="134" t="s">
        <v>76</v>
      </c>
      <c r="C37" s="134">
        <v>200000</v>
      </c>
      <c r="D37" s="134">
        <v>100000</v>
      </c>
      <c r="E37" s="134">
        <v>700000</v>
      </c>
      <c r="F37" s="134">
        <f t="shared" si="0"/>
        <v>1000000</v>
      </c>
      <c r="G37" s="134" t="b">
        <f t="shared" si="1"/>
        <v>0</v>
      </c>
      <c r="H37" s="145">
        <f>'DETAILS (sorted)'!BI30</f>
        <v>1400000</v>
      </c>
      <c r="I37" s="137">
        <v>1700000</v>
      </c>
      <c r="J37" s="146">
        <f t="shared" si="2"/>
        <v>0.82352941176470584</v>
      </c>
      <c r="K37" s="147">
        <f t="shared" si="3"/>
        <v>300000</v>
      </c>
      <c r="L37" s="148">
        <f t="shared" si="4"/>
        <v>0.17647058823529416</v>
      </c>
      <c r="M37" s="307"/>
      <c r="N37" s="155"/>
      <c r="O37" s="136" t="b">
        <f t="shared" si="6"/>
        <v>0</v>
      </c>
      <c r="P37" s="154">
        <v>1</v>
      </c>
      <c r="Q37" s="154"/>
      <c r="R37" s="154"/>
      <c r="S37" s="154"/>
      <c r="T37" s="154"/>
      <c r="U37" s="154"/>
    </row>
    <row r="38" spans="1:21" s="60" customFormat="1" ht="16" x14ac:dyDescent="0.4">
      <c r="A38" s="134">
        <f t="shared" si="5"/>
        <v>30</v>
      </c>
      <c r="B38" s="134" t="s">
        <v>48</v>
      </c>
      <c r="C38" s="134">
        <v>200000</v>
      </c>
      <c r="D38" s="134">
        <v>100000</v>
      </c>
      <c r="E38" s="134">
        <v>700000</v>
      </c>
      <c r="F38" s="134">
        <f t="shared" si="0"/>
        <v>1000000</v>
      </c>
      <c r="G38" s="134" t="b">
        <f t="shared" si="1"/>
        <v>0</v>
      </c>
      <c r="H38" s="145">
        <f>'DETAILS (sorted)'!BI31</f>
        <v>1500000</v>
      </c>
      <c r="I38" s="137">
        <v>1700000</v>
      </c>
      <c r="J38" s="146">
        <f t="shared" si="2"/>
        <v>0.88235294117647056</v>
      </c>
      <c r="K38" s="147">
        <f t="shared" si="3"/>
        <v>200000</v>
      </c>
      <c r="L38" s="148">
        <f t="shared" si="4"/>
        <v>0.11764705882352944</v>
      </c>
      <c r="M38" s="307"/>
      <c r="N38" s="155"/>
      <c r="O38" s="136" t="b">
        <f t="shared" si="6"/>
        <v>0</v>
      </c>
      <c r="P38" s="154">
        <v>1</v>
      </c>
      <c r="Q38" s="154"/>
      <c r="R38" s="154"/>
      <c r="S38" s="154"/>
      <c r="T38" s="154"/>
      <c r="U38" s="154"/>
    </row>
    <row r="39" spans="1:21" s="60" customFormat="1" ht="16" x14ac:dyDescent="0.4">
      <c r="A39" s="134">
        <f t="shared" si="5"/>
        <v>31</v>
      </c>
      <c r="B39" s="134" t="s">
        <v>34</v>
      </c>
      <c r="C39" s="134">
        <v>160000</v>
      </c>
      <c r="D39" s="134"/>
      <c r="E39" s="134"/>
      <c r="F39" s="134">
        <f t="shared" si="0"/>
        <v>160000</v>
      </c>
      <c r="G39" s="134" t="b">
        <f t="shared" si="1"/>
        <v>0</v>
      </c>
      <c r="H39" s="145">
        <f>'DETAILS (sorted)'!BI32</f>
        <v>1020000</v>
      </c>
      <c r="I39" s="137">
        <v>1700000</v>
      </c>
      <c r="J39" s="146">
        <f t="shared" si="2"/>
        <v>0.6</v>
      </c>
      <c r="K39" s="147">
        <f t="shared" si="3"/>
        <v>680000</v>
      </c>
      <c r="L39" s="148">
        <f t="shared" si="4"/>
        <v>0.4</v>
      </c>
      <c r="M39" s="307"/>
      <c r="N39" s="155"/>
      <c r="O39" s="136" t="b">
        <f t="shared" si="6"/>
        <v>0</v>
      </c>
      <c r="P39" s="154"/>
      <c r="Q39" s="154"/>
      <c r="R39" s="154"/>
      <c r="S39" s="154"/>
      <c r="T39" s="154"/>
      <c r="U39" s="154"/>
    </row>
    <row r="40" spans="1:21" s="60" customFormat="1" ht="16" x14ac:dyDescent="0.4">
      <c r="A40" s="134">
        <f t="shared" si="5"/>
        <v>32</v>
      </c>
      <c r="B40" s="134" t="s">
        <v>86</v>
      </c>
      <c r="C40" s="134">
        <v>200000</v>
      </c>
      <c r="D40" s="134">
        <v>100000</v>
      </c>
      <c r="E40" s="134">
        <v>700000</v>
      </c>
      <c r="F40" s="134">
        <f t="shared" si="0"/>
        <v>1000000</v>
      </c>
      <c r="G40" s="134" t="b">
        <f t="shared" si="1"/>
        <v>0</v>
      </c>
      <c r="H40" s="145">
        <f>'DETAILS (sorted)'!BI33</f>
        <v>1200000</v>
      </c>
      <c r="I40" s="137">
        <v>1700000</v>
      </c>
      <c r="J40" s="146">
        <f t="shared" si="2"/>
        <v>0.70588235294117652</v>
      </c>
      <c r="K40" s="147">
        <f t="shared" si="3"/>
        <v>500000</v>
      </c>
      <c r="L40" s="148">
        <f t="shared" si="4"/>
        <v>0.29411764705882348</v>
      </c>
      <c r="M40" s="307"/>
      <c r="N40" s="155"/>
      <c r="O40" s="136"/>
      <c r="P40" s="154">
        <v>1</v>
      </c>
      <c r="Q40" s="154"/>
      <c r="R40" s="154"/>
      <c r="S40" s="154"/>
      <c r="T40" s="154"/>
      <c r="U40" s="154"/>
    </row>
    <row r="41" spans="1:21" s="60" customFormat="1" ht="16" x14ac:dyDescent="0.4">
      <c r="A41" s="134">
        <f t="shared" si="5"/>
        <v>33</v>
      </c>
      <c r="B41" s="134" t="s">
        <v>41</v>
      </c>
      <c r="C41" s="134">
        <v>200000</v>
      </c>
      <c r="D41" s="134">
        <v>100000</v>
      </c>
      <c r="E41" s="134">
        <v>1300000</v>
      </c>
      <c r="F41" s="134">
        <f t="shared" ref="F41:F67" si="7">SUM(C41:E41)</f>
        <v>1600000</v>
      </c>
      <c r="G41" s="134" t="b">
        <f t="shared" ref="G41:G72" si="8">F41=H41</f>
        <v>0</v>
      </c>
      <c r="H41" s="145">
        <f>'DETAILS (sorted)'!BI34</f>
        <v>1000000</v>
      </c>
      <c r="I41" s="137">
        <v>1700000</v>
      </c>
      <c r="J41" s="146">
        <f t="shared" ref="J41:J67" si="9">H41/I41</f>
        <v>0.58823529411764708</v>
      </c>
      <c r="K41" s="145">
        <f t="shared" ref="K41:K67" si="10">MAX(I41-H41,0)</f>
        <v>700000</v>
      </c>
      <c r="L41" s="153">
        <f t="shared" ref="L41:L67" si="11">100%-J41</f>
        <v>0.41176470588235292</v>
      </c>
      <c r="M41" s="307"/>
      <c r="N41" s="155"/>
      <c r="O41" s="136" t="b">
        <f t="shared" ref="O41:O56" si="12">F41=H41</f>
        <v>0</v>
      </c>
      <c r="P41" s="154">
        <v>1</v>
      </c>
      <c r="Q41" s="154"/>
      <c r="R41" s="154"/>
      <c r="S41" s="154"/>
      <c r="T41" s="154"/>
      <c r="U41" s="154"/>
    </row>
    <row r="42" spans="1:21" s="60" customFormat="1" ht="16" x14ac:dyDescent="0.4">
      <c r="A42" s="134">
        <f t="shared" ref="A42:A67" si="13">A41+1</f>
        <v>34</v>
      </c>
      <c r="B42" s="134" t="s">
        <v>68</v>
      </c>
      <c r="C42" s="134">
        <v>200000</v>
      </c>
      <c r="D42" s="134">
        <v>100000</v>
      </c>
      <c r="E42" s="134">
        <v>700000</v>
      </c>
      <c r="F42" s="134">
        <f t="shared" si="7"/>
        <v>1000000</v>
      </c>
      <c r="G42" s="134" t="b">
        <f t="shared" si="8"/>
        <v>1</v>
      </c>
      <c r="H42" s="145">
        <f>'DETAILS (sorted)'!BI35</f>
        <v>1000000</v>
      </c>
      <c r="I42" s="137">
        <v>1700000</v>
      </c>
      <c r="J42" s="146">
        <f t="shared" si="9"/>
        <v>0.58823529411764708</v>
      </c>
      <c r="K42" s="147">
        <f t="shared" si="10"/>
        <v>700000</v>
      </c>
      <c r="L42" s="148">
        <f t="shared" si="11"/>
        <v>0.41176470588235292</v>
      </c>
      <c r="M42" s="307"/>
      <c r="N42" s="155"/>
      <c r="O42" s="136" t="b">
        <f t="shared" si="12"/>
        <v>1</v>
      </c>
      <c r="P42" s="154">
        <v>1</v>
      </c>
      <c r="Q42" s="154"/>
      <c r="R42" s="154"/>
      <c r="S42" s="154"/>
      <c r="T42" s="154"/>
      <c r="U42" s="154"/>
    </row>
    <row r="43" spans="1:21" s="60" customFormat="1" ht="16" x14ac:dyDescent="0.4">
      <c r="A43" s="134">
        <f t="shared" si="13"/>
        <v>35</v>
      </c>
      <c r="B43" s="134" t="s">
        <v>157</v>
      </c>
      <c r="C43" s="134">
        <v>200000</v>
      </c>
      <c r="D43" s="134">
        <v>100000</v>
      </c>
      <c r="E43" s="134">
        <v>700000</v>
      </c>
      <c r="F43" s="134">
        <f t="shared" si="7"/>
        <v>1000000</v>
      </c>
      <c r="G43" s="134" t="b">
        <f t="shared" si="8"/>
        <v>1</v>
      </c>
      <c r="H43" s="145">
        <f>'DETAILS (sorted)'!BI36</f>
        <v>1000000</v>
      </c>
      <c r="I43" s="137">
        <v>1700000</v>
      </c>
      <c r="J43" s="146">
        <f t="shared" si="9"/>
        <v>0.58823529411764708</v>
      </c>
      <c r="K43" s="147">
        <f t="shared" si="10"/>
        <v>700000</v>
      </c>
      <c r="L43" s="148">
        <f t="shared" si="11"/>
        <v>0.41176470588235292</v>
      </c>
      <c r="M43" s="303"/>
      <c r="N43" s="149"/>
      <c r="O43" s="136" t="b">
        <f t="shared" si="12"/>
        <v>1</v>
      </c>
      <c r="P43" s="304">
        <v>1</v>
      </c>
      <c r="Q43" s="304"/>
      <c r="R43" s="154"/>
      <c r="S43" s="154"/>
      <c r="T43" s="154"/>
      <c r="U43" s="154"/>
    </row>
    <row r="44" spans="1:21" s="60" customFormat="1" ht="16" x14ac:dyDescent="0.4">
      <c r="A44" s="134">
        <f t="shared" si="13"/>
        <v>36</v>
      </c>
      <c r="B44" s="134" t="s">
        <v>52</v>
      </c>
      <c r="C44" s="134">
        <v>200000</v>
      </c>
      <c r="D44" s="134">
        <v>100000</v>
      </c>
      <c r="E44" s="134">
        <v>120000</v>
      </c>
      <c r="F44" s="134">
        <f t="shared" si="7"/>
        <v>420000</v>
      </c>
      <c r="G44" s="134" t="b">
        <f t="shared" si="8"/>
        <v>0</v>
      </c>
      <c r="H44" s="145">
        <f>'DETAILS (sorted)'!BI37</f>
        <v>1100000</v>
      </c>
      <c r="I44" s="137">
        <v>1700000</v>
      </c>
      <c r="J44" s="146">
        <f t="shared" si="9"/>
        <v>0.6470588235294118</v>
      </c>
      <c r="K44" s="147">
        <f t="shared" si="10"/>
        <v>600000</v>
      </c>
      <c r="L44" s="148">
        <f t="shared" si="11"/>
        <v>0.3529411764705882</v>
      </c>
      <c r="M44" s="307"/>
      <c r="N44" s="155"/>
      <c r="O44" s="136" t="b">
        <f t="shared" si="12"/>
        <v>0</v>
      </c>
      <c r="P44" s="154"/>
      <c r="Q44" s="154"/>
      <c r="R44" s="154"/>
      <c r="S44" s="154"/>
      <c r="T44" s="154"/>
      <c r="U44" s="154"/>
    </row>
    <row r="45" spans="1:21" s="60" customFormat="1" ht="16" x14ac:dyDescent="0.4">
      <c r="A45" s="134">
        <f t="shared" si="13"/>
        <v>37</v>
      </c>
      <c r="B45" s="134" t="s">
        <v>72</v>
      </c>
      <c r="C45" s="134">
        <v>200000</v>
      </c>
      <c r="D45" s="134">
        <v>100000</v>
      </c>
      <c r="E45" s="134">
        <v>700000</v>
      </c>
      <c r="F45" s="134">
        <f t="shared" si="7"/>
        <v>1000000</v>
      </c>
      <c r="G45" s="134" t="b">
        <f t="shared" si="8"/>
        <v>1</v>
      </c>
      <c r="H45" s="145">
        <f>'DETAILS (sorted)'!BI38</f>
        <v>1000000</v>
      </c>
      <c r="I45" s="137">
        <v>1700000</v>
      </c>
      <c r="J45" s="146">
        <f t="shared" si="9"/>
        <v>0.58823529411764708</v>
      </c>
      <c r="K45" s="147">
        <f t="shared" si="10"/>
        <v>700000</v>
      </c>
      <c r="L45" s="148">
        <f t="shared" si="11"/>
        <v>0.41176470588235292</v>
      </c>
      <c r="M45" s="307"/>
      <c r="N45" s="155"/>
      <c r="O45" s="136" t="b">
        <f t="shared" si="12"/>
        <v>1</v>
      </c>
      <c r="P45" s="154">
        <v>1</v>
      </c>
      <c r="Q45" s="154"/>
      <c r="R45" s="154"/>
      <c r="S45" s="154"/>
      <c r="T45" s="154"/>
      <c r="U45" s="154"/>
    </row>
    <row r="46" spans="1:21" s="60" customFormat="1" ht="16" x14ac:dyDescent="0.4">
      <c r="A46" s="134">
        <f t="shared" si="13"/>
        <v>38</v>
      </c>
      <c r="B46" s="134" t="s">
        <v>53</v>
      </c>
      <c r="C46" s="134">
        <v>200000</v>
      </c>
      <c r="D46" s="134">
        <v>100000</v>
      </c>
      <c r="E46" s="134">
        <v>50000</v>
      </c>
      <c r="F46" s="134">
        <f t="shared" si="7"/>
        <v>350000</v>
      </c>
      <c r="G46" s="134" t="b">
        <f t="shared" si="8"/>
        <v>0</v>
      </c>
      <c r="H46" s="145">
        <f>'DETAILS (sorted)'!BI39</f>
        <v>1000000</v>
      </c>
      <c r="I46" s="137">
        <v>1700000</v>
      </c>
      <c r="J46" s="146">
        <f t="shared" si="9"/>
        <v>0.58823529411764708</v>
      </c>
      <c r="K46" s="147">
        <f t="shared" si="10"/>
        <v>700000</v>
      </c>
      <c r="L46" s="148">
        <f t="shared" si="11"/>
        <v>0.41176470588235292</v>
      </c>
      <c r="M46" s="307"/>
      <c r="N46" s="155"/>
      <c r="O46" s="136" t="b">
        <f t="shared" si="12"/>
        <v>0</v>
      </c>
      <c r="P46" s="154"/>
      <c r="Q46" s="154"/>
      <c r="R46" s="154"/>
      <c r="S46" s="154"/>
      <c r="T46" s="154"/>
      <c r="U46" s="154"/>
    </row>
    <row r="47" spans="1:21" s="60" customFormat="1" ht="16" x14ac:dyDescent="0.4">
      <c r="A47" s="134">
        <f t="shared" si="13"/>
        <v>39</v>
      </c>
      <c r="B47" s="134" t="s">
        <v>59</v>
      </c>
      <c r="C47" s="134">
        <v>200000</v>
      </c>
      <c r="D47" s="134">
        <v>100000</v>
      </c>
      <c r="E47" s="134">
        <v>700000</v>
      </c>
      <c r="F47" s="134">
        <f t="shared" si="7"/>
        <v>1000000</v>
      </c>
      <c r="G47" s="134" t="b">
        <f t="shared" si="8"/>
        <v>1</v>
      </c>
      <c r="H47" s="145">
        <f>'DETAILS (sorted)'!BI40</f>
        <v>1000000</v>
      </c>
      <c r="I47" s="137">
        <v>1700000</v>
      </c>
      <c r="J47" s="146">
        <f t="shared" si="9"/>
        <v>0.58823529411764708</v>
      </c>
      <c r="K47" s="147">
        <f t="shared" si="10"/>
        <v>700000</v>
      </c>
      <c r="L47" s="148">
        <f t="shared" si="11"/>
        <v>0.41176470588235292</v>
      </c>
      <c r="M47" s="307"/>
      <c r="N47" s="155"/>
      <c r="O47" s="136" t="b">
        <f t="shared" si="12"/>
        <v>1</v>
      </c>
      <c r="P47" s="154">
        <v>1</v>
      </c>
      <c r="Q47" s="154"/>
      <c r="R47" s="154"/>
      <c r="S47" s="154"/>
      <c r="T47" s="154"/>
      <c r="U47" s="154"/>
    </row>
    <row r="48" spans="1:21" s="60" customFormat="1" ht="16" x14ac:dyDescent="0.4">
      <c r="A48" s="134">
        <f t="shared" si="13"/>
        <v>40</v>
      </c>
      <c r="B48" s="134" t="s">
        <v>158</v>
      </c>
      <c r="C48" s="134">
        <v>200000</v>
      </c>
      <c r="D48" s="134">
        <v>100000</v>
      </c>
      <c r="E48" s="134">
        <v>950000</v>
      </c>
      <c r="F48" s="134">
        <f t="shared" si="7"/>
        <v>1250000</v>
      </c>
      <c r="G48" s="134" t="b">
        <f t="shared" si="8"/>
        <v>0</v>
      </c>
      <c r="H48" s="145">
        <f>'DETAILS (sorted)'!BI41</f>
        <v>1040000</v>
      </c>
      <c r="I48" s="137">
        <v>1700000</v>
      </c>
      <c r="J48" s="146">
        <f t="shared" si="9"/>
        <v>0.61176470588235299</v>
      </c>
      <c r="K48" s="150">
        <f t="shared" si="10"/>
        <v>660000</v>
      </c>
      <c r="L48" s="151">
        <f t="shared" si="11"/>
        <v>0.38823529411764701</v>
      </c>
      <c r="M48" s="303"/>
      <c r="N48" s="149"/>
      <c r="O48" s="136" t="b">
        <f t="shared" si="12"/>
        <v>0</v>
      </c>
      <c r="P48" s="304">
        <v>1</v>
      </c>
      <c r="Q48" s="304"/>
      <c r="R48" s="154"/>
      <c r="S48" s="154"/>
      <c r="T48" s="154"/>
      <c r="U48" s="154"/>
    </row>
    <row r="49" spans="1:21" s="60" customFormat="1" ht="16" x14ac:dyDescent="0.4">
      <c r="A49" s="134">
        <f t="shared" si="13"/>
        <v>41</v>
      </c>
      <c r="B49" s="134" t="s">
        <v>159</v>
      </c>
      <c r="C49" s="134">
        <v>200000</v>
      </c>
      <c r="D49" s="134">
        <v>100000</v>
      </c>
      <c r="E49" s="134">
        <v>700000</v>
      </c>
      <c r="F49" s="134">
        <f t="shared" si="7"/>
        <v>1000000</v>
      </c>
      <c r="G49" s="134" t="b">
        <f t="shared" si="8"/>
        <v>0</v>
      </c>
      <c r="H49" s="145">
        <f>'DETAILS (sorted)'!BI42</f>
        <v>1920000</v>
      </c>
      <c r="I49" s="137">
        <v>1700000</v>
      </c>
      <c r="J49" s="146">
        <f t="shared" si="9"/>
        <v>1.1294117647058823</v>
      </c>
      <c r="K49" s="147">
        <f t="shared" si="10"/>
        <v>0</v>
      </c>
      <c r="L49" s="148">
        <f t="shared" si="11"/>
        <v>-0.12941176470588234</v>
      </c>
      <c r="M49" s="303"/>
      <c r="N49" s="149"/>
      <c r="O49" s="136" t="b">
        <f t="shared" si="12"/>
        <v>0</v>
      </c>
      <c r="P49" s="304">
        <v>1</v>
      </c>
      <c r="Q49" s="304"/>
      <c r="R49" s="154"/>
      <c r="S49" s="154"/>
      <c r="T49" s="154"/>
      <c r="U49" s="154"/>
    </row>
    <row r="50" spans="1:21" s="60" customFormat="1" ht="16" x14ac:dyDescent="0.4">
      <c r="A50" s="134">
        <f t="shared" si="13"/>
        <v>42</v>
      </c>
      <c r="B50" s="134" t="s">
        <v>39</v>
      </c>
      <c r="C50" s="134">
        <v>200000</v>
      </c>
      <c r="D50" s="134">
        <v>100000</v>
      </c>
      <c r="E50" s="134">
        <v>700000</v>
      </c>
      <c r="F50" s="134">
        <f t="shared" si="7"/>
        <v>1000000</v>
      </c>
      <c r="G50" s="134" t="b">
        <f t="shared" si="8"/>
        <v>1</v>
      </c>
      <c r="H50" s="145">
        <f>'DETAILS (sorted)'!BI43</f>
        <v>1000000</v>
      </c>
      <c r="I50" s="137">
        <v>1700000</v>
      </c>
      <c r="J50" s="146">
        <f t="shared" si="9"/>
        <v>0.58823529411764708</v>
      </c>
      <c r="K50" s="147">
        <f t="shared" si="10"/>
        <v>700000</v>
      </c>
      <c r="L50" s="148">
        <f t="shared" si="11"/>
        <v>0.41176470588235292</v>
      </c>
      <c r="M50" s="303"/>
      <c r="N50" s="149"/>
      <c r="O50" s="136" t="b">
        <f t="shared" si="12"/>
        <v>1</v>
      </c>
      <c r="P50" s="154">
        <v>1</v>
      </c>
      <c r="Q50" s="304"/>
      <c r="R50" s="154"/>
      <c r="S50" s="154"/>
      <c r="T50" s="154"/>
      <c r="U50" s="154"/>
    </row>
    <row r="51" spans="1:21" s="60" customFormat="1" ht="16" x14ac:dyDescent="0.4">
      <c r="A51" s="134">
        <f t="shared" si="13"/>
        <v>43</v>
      </c>
      <c r="B51" s="134" t="s">
        <v>62</v>
      </c>
      <c r="C51" s="134">
        <v>50000</v>
      </c>
      <c r="D51" s="134"/>
      <c r="E51" s="134"/>
      <c r="F51" s="134">
        <f t="shared" si="7"/>
        <v>50000</v>
      </c>
      <c r="G51" s="134" t="b">
        <f t="shared" si="8"/>
        <v>0</v>
      </c>
      <c r="H51" s="145">
        <f>'DETAILS (sorted)'!BI44</f>
        <v>1000000</v>
      </c>
      <c r="I51" s="137">
        <v>1700000</v>
      </c>
      <c r="J51" s="146">
        <f t="shared" si="9"/>
        <v>0.58823529411764708</v>
      </c>
      <c r="K51" s="147">
        <f t="shared" si="10"/>
        <v>700000</v>
      </c>
      <c r="L51" s="148">
        <f t="shared" si="11"/>
        <v>0.41176470588235292</v>
      </c>
      <c r="M51" s="307"/>
      <c r="N51" s="155"/>
      <c r="O51" s="136" t="b">
        <f t="shared" si="12"/>
        <v>0</v>
      </c>
      <c r="P51" s="154"/>
      <c r="Q51" s="154"/>
      <c r="R51" s="154"/>
      <c r="S51" s="154"/>
      <c r="T51" s="154"/>
      <c r="U51" s="154"/>
    </row>
    <row r="52" spans="1:21" s="60" customFormat="1" ht="16" x14ac:dyDescent="0.4">
      <c r="A52" s="134">
        <f t="shared" si="13"/>
        <v>44</v>
      </c>
      <c r="B52" s="134" t="s">
        <v>70</v>
      </c>
      <c r="C52" s="134">
        <v>200000</v>
      </c>
      <c r="D52" s="134">
        <v>100000</v>
      </c>
      <c r="E52" s="134">
        <v>710000</v>
      </c>
      <c r="F52" s="134">
        <f t="shared" si="7"/>
        <v>1010000</v>
      </c>
      <c r="G52" s="134" t="b">
        <f t="shared" si="8"/>
        <v>0</v>
      </c>
      <c r="H52" s="145">
        <f>'DETAILS (sorted)'!BI45</f>
        <v>630000</v>
      </c>
      <c r="I52" s="137">
        <v>1700000</v>
      </c>
      <c r="J52" s="146">
        <f t="shared" si="9"/>
        <v>0.37058823529411766</v>
      </c>
      <c r="K52" s="147">
        <f t="shared" si="10"/>
        <v>1070000</v>
      </c>
      <c r="L52" s="148">
        <f t="shared" si="11"/>
        <v>0.62941176470588234</v>
      </c>
      <c r="M52" s="307"/>
      <c r="N52" s="155">
        <v>10000</v>
      </c>
      <c r="O52" s="136" t="b">
        <f t="shared" si="12"/>
        <v>0</v>
      </c>
      <c r="P52" s="154">
        <v>1</v>
      </c>
      <c r="Q52" s="154"/>
      <c r="R52" s="154"/>
      <c r="S52" s="154"/>
      <c r="T52" s="154"/>
      <c r="U52" s="154"/>
    </row>
    <row r="53" spans="1:21" s="60" customFormat="1" ht="16" x14ac:dyDescent="0.4">
      <c r="A53" s="134">
        <f t="shared" si="13"/>
        <v>45</v>
      </c>
      <c r="B53" s="134" t="s">
        <v>28</v>
      </c>
      <c r="C53" s="134">
        <v>200000</v>
      </c>
      <c r="D53" s="134">
        <v>100000</v>
      </c>
      <c r="E53" s="134">
        <v>900000</v>
      </c>
      <c r="F53" s="134">
        <f t="shared" si="7"/>
        <v>1200000</v>
      </c>
      <c r="G53" s="134" t="b">
        <f t="shared" si="8"/>
        <v>0</v>
      </c>
      <c r="H53" s="145">
        <f>'DETAILS (sorted)'!BI46</f>
        <v>800000</v>
      </c>
      <c r="I53" s="137">
        <v>1700000</v>
      </c>
      <c r="J53" s="146">
        <f t="shared" si="9"/>
        <v>0.47058823529411764</v>
      </c>
      <c r="K53" s="145">
        <f t="shared" si="10"/>
        <v>900000</v>
      </c>
      <c r="L53" s="153">
        <f t="shared" si="11"/>
        <v>0.52941176470588236</v>
      </c>
      <c r="M53" s="307"/>
      <c r="N53" s="155"/>
      <c r="O53" s="136" t="b">
        <f t="shared" si="12"/>
        <v>0</v>
      </c>
      <c r="P53" s="154">
        <v>1</v>
      </c>
      <c r="Q53" s="154"/>
      <c r="R53" s="154"/>
      <c r="S53" s="154"/>
      <c r="T53" s="154"/>
      <c r="U53" s="154"/>
    </row>
    <row r="54" spans="1:21" s="60" customFormat="1" ht="16" x14ac:dyDescent="0.4">
      <c r="A54" s="134">
        <f t="shared" si="13"/>
        <v>46</v>
      </c>
      <c r="B54" s="134" t="s">
        <v>42</v>
      </c>
      <c r="C54" s="134">
        <v>200000</v>
      </c>
      <c r="D54" s="134">
        <v>100000</v>
      </c>
      <c r="E54" s="134">
        <v>710000</v>
      </c>
      <c r="F54" s="134">
        <f t="shared" si="7"/>
        <v>1010000</v>
      </c>
      <c r="G54" s="134" t="b">
        <f t="shared" si="8"/>
        <v>0</v>
      </c>
      <c r="H54" s="145">
        <f>'DETAILS (sorted)'!BI47</f>
        <v>1000000</v>
      </c>
      <c r="I54" s="137">
        <v>1700000</v>
      </c>
      <c r="J54" s="146">
        <f t="shared" si="9"/>
        <v>0.58823529411764708</v>
      </c>
      <c r="K54" s="147">
        <f t="shared" si="10"/>
        <v>700000</v>
      </c>
      <c r="L54" s="148">
        <f t="shared" si="11"/>
        <v>0.41176470588235292</v>
      </c>
      <c r="M54" s="303"/>
      <c r="N54" s="149"/>
      <c r="O54" s="136" t="b">
        <f t="shared" si="12"/>
        <v>0</v>
      </c>
      <c r="P54" s="154">
        <v>1</v>
      </c>
      <c r="Q54" s="304">
        <v>235000</v>
      </c>
      <c r="R54" s="154"/>
      <c r="S54" s="154"/>
      <c r="T54" s="154"/>
      <c r="U54" s="154"/>
    </row>
    <row r="55" spans="1:21" s="60" customFormat="1" ht="16" x14ac:dyDescent="0.4">
      <c r="A55" s="134">
        <f t="shared" si="13"/>
        <v>47</v>
      </c>
      <c r="B55" s="134" t="s">
        <v>49</v>
      </c>
      <c r="C55" s="134">
        <v>50000</v>
      </c>
      <c r="D55" s="134"/>
      <c r="E55" s="134"/>
      <c r="F55" s="134">
        <f t="shared" si="7"/>
        <v>50000</v>
      </c>
      <c r="G55" s="134" t="b">
        <f t="shared" si="8"/>
        <v>0</v>
      </c>
      <c r="H55" s="145">
        <f>'DETAILS (sorted)'!BI48</f>
        <v>713000</v>
      </c>
      <c r="I55" s="137">
        <v>1700000</v>
      </c>
      <c r="J55" s="146">
        <f t="shared" si="9"/>
        <v>0.41941176470588237</v>
      </c>
      <c r="K55" s="147">
        <f t="shared" si="10"/>
        <v>987000</v>
      </c>
      <c r="L55" s="148">
        <f t="shared" si="11"/>
        <v>0.58058823529411763</v>
      </c>
      <c r="M55" s="307"/>
      <c r="N55" s="155"/>
      <c r="O55" s="136" t="b">
        <f t="shared" si="12"/>
        <v>0</v>
      </c>
      <c r="P55" s="154"/>
      <c r="Q55" s="154"/>
      <c r="R55" s="154"/>
      <c r="S55" s="154"/>
      <c r="T55" s="154"/>
      <c r="U55" s="154"/>
    </row>
    <row r="56" spans="1:21" s="60" customFormat="1" ht="16" x14ac:dyDescent="0.4">
      <c r="A56" s="134">
        <f t="shared" si="13"/>
        <v>48</v>
      </c>
      <c r="B56" s="134" t="s">
        <v>45</v>
      </c>
      <c r="C56" s="134">
        <v>100000</v>
      </c>
      <c r="D56" s="134"/>
      <c r="E56" s="134"/>
      <c r="F56" s="134">
        <f t="shared" si="7"/>
        <v>100000</v>
      </c>
      <c r="G56" s="134" t="b">
        <f t="shared" si="8"/>
        <v>0</v>
      </c>
      <c r="H56" s="145">
        <f>'DETAILS (sorted)'!BI49</f>
        <v>1110000</v>
      </c>
      <c r="I56" s="137">
        <v>1700000</v>
      </c>
      <c r="J56" s="146">
        <f t="shared" si="9"/>
        <v>0.65294117647058825</v>
      </c>
      <c r="K56" s="147">
        <f t="shared" si="10"/>
        <v>590000</v>
      </c>
      <c r="L56" s="148">
        <f t="shared" si="11"/>
        <v>0.34705882352941175</v>
      </c>
      <c r="M56" s="307"/>
      <c r="N56" s="155"/>
      <c r="O56" s="136" t="b">
        <f t="shared" si="12"/>
        <v>0</v>
      </c>
      <c r="P56" s="154"/>
      <c r="Q56" s="154"/>
      <c r="R56" s="154"/>
      <c r="S56" s="154"/>
      <c r="T56" s="154"/>
      <c r="U56" s="154"/>
    </row>
    <row r="57" spans="1:21" s="60" customFormat="1" ht="16" x14ac:dyDescent="0.4">
      <c r="A57" s="134">
        <f t="shared" si="13"/>
        <v>49</v>
      </c>
      <c r="B57" s="134" t="s">
        <v>185</v>
      </c>
      <c r="C57" s="134">
        <v>200000</v>
      </c>
      <c r="D57" s="134">
        <v>100000</v>
      </c>
      <c r="E57" s="134">
        <v>900000</v>
      </c>
      <c r="F57" s="134">
        <f t="shared" si="7"/>
        <v>1200000</v>
      </c>
      <c r="G57" s="134" t="b">
        <f t="shared" si="8"/>
        <v>0</v>
      </c>
      <c r="H57" s="145">
        <f>'DETAILS (sorted)'!BI50</f>
        <v>700000</v>
      </c>
      <c r="I57" s="137">
        <v>1700000</v>
      </c>
      <c r="J57" s="146">
        <f t="shared" si="9"/>
        <v>0.41176470588235292</v>
      </c>
      <c r="K57" s="150">
        <f t="shared" si="10"/>
        <v>1000000</v>
      </c>
      <c r="L57" s="151">
        <f t="shared" si="11"/>
        <v>0.58823529411764708</v>
      </c>
      <c r="M57" s="307"/>
      <c r="N57" s="134"/>
      <c r="O57" s="156"/>
      <c r="P57" s="135">
        <v>1</v>
      </c>
      <c r="Q57" s="135"/>
      <c r="R57" s="154"/>
      <c r="S57" s="154"/>
      <c r="T57" s="154"/>
      <c r="U57" s="154"/>
    </row>
    <row r="58" spans="1:21" s="60" customFormat="1" ht="16" x14ac:dyDescent="0.4">
      <c r="A58" s="134">
        <f t="shared" si="13"/>
        <v>50</v>
      </c>
      <c r="B58" s="134" t="s">
        <v>44</v>
      </c>
      <c r="C58" s="134">
        <v>100000</v>
      </c>
      <c r="D58" s="134"/>
      <c r="E58" s="134"/>
      <c r="F58" s="134">
        <f t="shared" si="7"/>
        <v>100000</v>
      </c>
      <c r="G58" s="134" t="b">
        <f t="shared" si="8"/>
        <v>0</v>
      </c>
      <c r="H58" s="145">
        <f>'DETAILS (sorted)'!BI51</f>
        <v>800000</v>
      </c>
      <c r="I58" s="137">
        <v>1700000</v>
      </c>
      <c r="J58" s="146">
        <f t="shared" si="9"/>
        <v>0.47058823529411764</v>
      </c>
      <c r="K58" s="147">
        <f t="shared" si="10"/>
        <v>900000</v>
      </c>
      <c r="L58" s="148">
        <f t="shared" si="11"/>
        <v>0.52941176470588236</v>
      </c>
      <c r="M58" s="307"/>
      <c r="N58" s="155"/>
      <c r="O58" s="136" t="b">
        <f>F58=H58</f>
        <v>0</v>
      </c>
      <c r="P58" s="154"/>
      <c r="Q58" s="154"/>
      <c r="R58" s="154"/>
      <c r="S58" s="154"/>
      <c r="T58" s="154"/>
      <c r="U58" s="154"/>
    </row>
    <row r="59" spans="1:21" s="60" customFormat="1" ht="16" x14ac:dyDescent="0.4">
      <c r="A59" s="134">
        <f t="shared" si="13"/>
        <v>51</v>
      </c>
      <c r="B59" s="134" t="s">
        <v>80</v>
      </c>
      <c r="C59" s="134">
        <v>200000</v>
      </c>
      <c r="D59" s="134"/>
      <c r="E59" s="134"/>
      <c r="F59" s="134">
        <f t="shared" si="7"/>
        <v>200000</v>
      </c>
      <c r="G59" s="134" t="b">
        <f t="shared" si="8"/>
        <v>0</v>
      </c>
      <c r="H59" s="145">
        <f>'DETAILS (sorted)'!BI52</f>
        <v>50000</v>
      </c>
      <c r="I59" s="137">
        <v>1700000</v>
      </c>
      <c r="J59" s="146">
        <f t="shared" si="9"/>
        <v>2.9411764705882353E-2</v>
      </c>
      <c r="K59" s="147">
        <f t="shared" si="10"/>
        <v>1650000</v>
      </c>
      <c r="L59" s="148">
        <f t="shared" si="11"/>
        <v>0.97058823529411764</v>
      </c>
      <c r="M59" s="307"/>
      <c r="N59" s="155"/>
      <c r="O59" s="136" t="b">
        <f>F59=H59</f>
        <v>0</v>
      </c>
      <c r="P59" s="154"/>
      <c r="Q59" s="154"/>
      <c r="R59" s="154"/>
      <c r="S59" s="154"/>
      <c r="T59" s="154"/>
      <c r="U59" s="154"/>
    </row>
    <row r="60" spans="1:21" s="60" customFormat="1" ht="16" x14ac:dyDescent="0.4">
      <c r="A60" s="134">
        <f t="shared" si="13"/>
        <v>52</v>
      </c>
      <c r="B60" s="134" t="s">
        <v>90</v>
      </c>
      <c r="C60" s="134">
        <v>200000</v>
      </c>
      <c r="D60" s="134">
        <v>100000</v>
      </c>
      <c r="E60" s="134">
        <v>700000</v>
      </c>
      <c r="F60" s="134">
        <f t="shared" si="7"/>
        <v>1000000</v>
      </c>
      <c r="G60" s="134" t="b">
        <f t="shared" si="8"/>
        <v>0</v>
      </c>
      <c r="H60" s="145">
        <f>'DETAILS (sorted)'!BI53</f>
        <v>50000</v>
      </c>
      <c r="I60" s="137">
        <v>1700000</v>
      </c>
      <c r="J60" s="146">
        <f t="shared" si="9"/>
        <v>2.9411764705882353E-2</v>
      </c>
      <c r="K60" s="147">
        <f t="shared" si="10"/>
        <v>1650000</v>
      </c>
      <c r="L60" s="148">
        <f t="shared" si="11"/>
        <v>0.97058823529411764</v>
      </c>
      <c r="M60" s="307"/>
      <c r="N60" s="134"/>
      <c r="O60" s="156"/>
      <c r="P60" s="135">
        <v>1</v>
      </c>
      <c r="Q60" s="135"/>
      <c r="R60" s="154"/>
      <c r="S60" s="154"/>
      <c r="T60" s="154"/>
      <c r="U60" s="154"/>
    </row>
    <row r="61" spans="1:21" s="60" customFormat="1" ht="16" x14ac:dyDescent="0.4">
      <c r="A61" s="134">
        <f t="shared" si="13"/>
        <v>53</v>
      </c>
      <c r="B61" s="134" t="s">
        <v>77</v>
      </c>
      <c r="C61" s="134">
        <v>100000</v>
      </c>
      <c r="D61" s="134"/>
      <c r="E61" s="134"/>
      <c r="F61" s="134">
        <f t="shared" si="7"/>
        <v>100000</v>
      </c>
      <c r="G61" s="134" t="b">
        <f t="shared" si="8"/>
        <v>0</v>
      </c>
      <c r="H61" s="145">
        <f>'DETAILS (sorted)'!BI54</f>
        <v>200000</v>
      </c>
      <c r="I61" s="137">
        <v>1700000</v>
      </c>
      <c r="J61" s="146">
        <f t="shared" si="9"/>
        <v>0.11764705882352941</v>
      </c>
      <c r="K61" s="147">
        <f t="shared" si="10"/>
        <v>1500000</v>
      </c>
      <c r="L61" s="148">
        <f t="shared" si="11"/>
        <v>0.88235294117647056</v>
      </c>
      <c r="M61" s="307"/>
      <c r="N61" s="155"/>
      <c r="O61" s="136" t="b">
        <f>F61=H61</f>
        <v>0</v>
      </c>
      <c r="P61" s="154"/>
      <c r="Q61" s="154">
        <v>10000</v>
      </c>
      <c r="R61" s="154"/>
      <c r="S61" s="154"/>
      <c r="T61" s="154"/>
      <c r="U61" s="154"/>
    </row>
    <row r="62" spans="1:21" s="60" customFormat="1" ht="16" x14ac:dyDescent="0.4">
      <c r="A62" s="134">
        <f t="shared" si="13"/>
        <v>54</v>
      </c>
      <c r="B62" s="134" t="s">
        <v>87</v>
      </c>
      <c r="C62" s="134">
        <v>200000</v>
      </c>
      <c r="D62" s="134">
        <v>100000</v>
      </c>
      <c r="E62" s="134">
        <v>700000</v>
      </c>
      <c r="F62" s="134">
        <f t="shared" si="7"/>
        <v>1000000</v>
      </c>
      <c r="G62" s="134" t="b">
        <f t="shared" si="8"/>
        <v>0</v>
      </c>
      <c r="H62" s="145">
        <f>'DETAILS (sorted)'!BI55</f>
        <v>120000</v>
      </c>
      <c r="I62" s="137">
        <v>1700000</v>
      </c>
      <c r="J62" s="146">
        <f t="shared" si="9"/>
        <v>7.0588235294117646E-2</v>
      </c>
      <c r="K62" s="147">
        <f t="shared" si="10"/>
        <v>1580000</v>
      </c>
      <c r="L62" s="148">
        <f t="shared" si="11"/>
        <v>0.92941176470588238</v>
      </c>
      <c r="M62" s="307"/>
      <c r="N62" s="155"/>
      <c r="O62" s="136"/>
      <c r="P62" s="154">
        <v>1</v>
      </c>
      <c r="Q62" s="154"/>
      <c r="R62" s="154"/>
      <c r="S62" s="154"/>
      <c r="T62" s="154"/>
      <c r="U62" s="154"/>
    </row>
    <row r="63" spans="1:21" s="60" customFormat="1" ht="16" x14ac:dyDescent="0.4">
      <c r="A63" s="134">
        <f t="shared" si="13"/>
        <v>55</v>
      </c>
      <c r="B63" s="134" t="s">
        <v>78</v>
      </c>
      <c r="C63" s="134">
        <v>200000</v>
      </c>
      <c r="D63" s="134">
        <v>100000</v>
      </c>
      <c r="E63" s="134">
        <v>500000</v>
      </c>
      <c r="F63" s="134">
        <f t="shared" si="7"/>
        <v>800000</v>
      </c>
      <c r="G63" s="134" t="b">
        <f t="shared" si="8"/>
        <v>0</v>
      </c>
      <c r="H63" s="145">
        <f>'DETAILS (sorted)'!BI56</f>
        <v>100000</v>
      </c>
      <c r="I63" s="137">
        <v>1700000</v>
      </c>
      <c r="J63" s="146">
        <f t="shared" si="9"/>
        <v>5.8823529411764705E-2</v>
      </c>
      <c r="K63" s="147">
        <f t="shared" si="10"/>
        <v>1600000</v>
      </c>
      <c r="L63" s="148">
        <f t="shared" si="11"/>
        <v>0.94117647058823528</v>
      </c>
      <c r="M63" s="307"/>
      <c r="N63" s="155"/>
      <c r="O63" s="136" t="b">
        <f>F63=H63</f>
        <v>0</v>
      </c>
      <c r="P63" s="154"/>
      <c r="Q63" s="154"/>
      <c r="R63" s="154"/>
      <c r="S63" s="154"/>
      <c r="T63" s="154"/>
      <c r="U63" s="154"/>
    </row>
    <row r="64" spans="1:21" s="60" customFormat="1" ht="16" x14ac:dyDescent="0.4">
      <c r="A64" s="134">
        <f t="shared" si="13"/>
        <v>56</v>
      </c>
      <c r="B64" s="134" t="s">
        <v>56</v>
      </c>
      <c r="C64" s="134">
        <v>120000</v>
      </c>
      <c r="D64" s="134"/>
      <c r="E64" s="134"/>
      <c r="F64" s="134">
        <f t="shared" si="7"/>
        <v>120000</v>
      </c>
      <c r="G64" s="134" t="b">
        <f t="shared" si="8"/>
        <v>0</v>
      </c>
      <c r="H64" s="145">
        <f>'DETAILS (sorted)'!BI57</f>
        <v>100000</v>
      </c>
      <c r="I64" s="137">
        <v>1700000</v>
      </c>
      <c r="J64" s="146">
        <f t="shared" si="9"/>
        <v>5.8823529411764705E-2</v>
      </c>
      <c r="K64" s="147">
        <f t="shared" si="10"/>
        <v>1600000</v>
      </c>
      <c r="L64" s="148">
        <f t="shared" si="11"/>
        <v>0.94117647058823528</v>
      </c>
      <c r="M64" s="305"/>
      <c r="N64" s="155"/>
      <c r="O64" s="136" t="b">
        <f>F64=H64</f>
        <v>0</v>
      </c>
      <c r="P64" s="154"/>
      <c r="Q64" s="154"/>
      <c r="R64" s="154"/>
      <c r="S64" s="154"/>
      <c r="T64" s="154"/>
      <c r="U64" s="154"/>
    </row>
    <row r="65" spans="1:21" s="60" customFormat="1" ht="16" x14ac:dyDescent="0.4">
      <c r="A65" s="134">
        <f t="shared" si="13"/>
        <v>57</v>
      </c>
      <c r="B65" s="134" t="s">
        <v>38</v>
      </c>
      <c r="C65" s="134">
        <v>200000</v>
      </c>
      <c r="D65" s="134">
        <v>100000</v>
      </c>
      <c r="E65" s="134">
        <v>720000</v>
      </c>
      <c r="F65" s="134">
        <f t="shared" si="7"/>
        <v>1020000</v>
      </c>
      <c r="G65" s="134" t="b">
        <f t="shared" si="8"/>
        <v>0</v>
      </c>
      <c r="H65" s="145">
        <f>'DETAILS (sorted)'!BI58</f>
        <v>100000</v>
      </c>
      <c r="I65" s="137">
        <v>1700000</v>
      </c>
      <c r="J65" s="146">
        <f t="shared" si="9"/>
        <v>5.8823529411764705E-2</v>
      </c>
      <c r="K65" s="150">
        <f t="shared" si="10"/>
        <v>1600000</v>
      </c>
      <c r="L65" s="151">
        <f t="shared" si="11"/>
        <v>0.94117647058823528</v>
      </c>
      <c r="M65" s="302"/>
      <c r="N65" s="155"/>
      <c r="O65" s="136" t="b">
        <f>F65=H65</f>
        <v>0</v>
      </c>
      <c r="P65" s="154">
        <v>1</v>
      </c>
      <c r="Q65" s="154"/>
      <c r="R65" s="154"/>
      <c r="S65" s="154"/>
      <c r="T65" s="154"/>
      <c r="U65" s="154"/>
    </row>
    <row r="66" spans="1:21" s="60" customFormat="1" ht="16" x14ac:dyDescent="0.4">
      <c r="A66" s="134">
        <f t="shared" si="13"/>
        <v>58</v>
      </c>
      <c r="B66" s="134" t="s">
        <v>55</v>
      </c>
      <c r="C66" s="134">
        <v>200000</v>
      </c>
      <c r="D66" s="134">
        <v>100000</v>
      </c>
      <c r="E66" s="134">
        <v>500000</v>
      </c>
      <c r="F66" s="134">
        <f t="shared" si="7"/>
        <v>800000</v>
      </c>
      <c r="G66" s="134" t="b">
        <f t="shared" si="8"/>
        <v>0</v>
      </c>
      <c r="H66" s="145">
        <f>'DETAILS (sorted)'!BI59</f>
        <v>160000</v>
      </c>
      <c r="I66" s="137">
        <v>1700000</v>
      </c>
      <c r="J66" s="146">
        <f t="shared" si="9"/>
        <v>9.4117647058823528E-2</v>
      </c>
      <c r="K66" s="147">
        <f t="shared" si="10"/>
        <v>1540000</v>
      </c>
      <c r="L66" s="148">
        <f t="shared" si="11"/>
        <v>0.90588235294117647</v>
      </c>
      <c r="M66" s="302"/>
      <c r="N66" s="155"/>
      <c r="O66" s="136" t="b">
        <f>F66=H66</f>
        <v>0</v>
      </c>
      <c r="P66" s="154"/>
      <c r="Q66" s="154"/>
      <c r="R66" s="154"/>
      <c r="S66" s="154"/>
      <c r="T66" s="154"/>
      <c r="U66" s="154"/>
    </row>
    <row r="67" spans="1:21" s="60" customFormat="1" ht="16" x14ac:dyDescent="0.4">
      <c r="A67" s="134">
        <f t="shared" si="13"/>
        <v>59</v>
      </c>
      <c r="B67" s="134" t="s">
        <v>69</v>
      </c>
      <c r="C67" s="134">
        <v>200000</v>
      </c>
      <c r="D67" s="134">
        <v>100000</v>
      </c>
      <c r="E67" s="134">
        <v>500000</v>
      </c>
      <c r="F67" s="134">
        <f t="shared" si="7"/>
        <v>800000</v>
      </c>
      <c r="G67" s="134" t="b">
        <f t="shared" si="8"/>
        <v>0</v>
      </c>
      <c r="H67" s="145">
        <f>'DETAILS (sorted)'!BI60</f>
        <v>100000</v>
      </c>
      <c r="I67" s="137">
        <v>1700000</v>
      </c>
      <c r="J67" s="146">
        <f t="shared" si="9"/>
        <v>5.8823529411764705E-2</v>
      </c>
      <c r="K67" s="147">
        <f t="shared" si="10"/>
        <v>1600000</v>
      </c>
      <c r="L67" s="148">
        <f t="shared" si="11"/>
        <v>0.94117647058823528</v>
      </c>
      <c r="M67" s="302"/>
      <c r="N67" s="155"/>
      <c r="O67" s="136" t="b">
        <f>F67=H67</f>
        <v>0</v>
      </c>
      <c r="P67" s="154"/>
      <c r="Q67" s="154"/>
      <c r="R67" s="154"/>
      <c r="S67" s="154"/>
      <c r="T67" s="154"/>
      <c r="U67" s="154"/>
    </row>
    <row r="68" spans="1:21" s="157" customFormat="1" ht="16" x14ac:dyDescent="0.4">
      <c r="A68" s="134"/>
      <c r="B68" s="134"/>
      <c r="C68" s="134"/>
      <c r="D68" s="134"/>
      <c r="E68" s="134"/>
      <c r="F68" s="134"/>
      <c r="G68" s="134" t="b">
        <f t="shared" si="8"/>
        <v>1</v>
      </c>
      <c r="H68" s="134"/>
      <c r="I68" s="134"/>
      <c r="J68" s="146"/>
      <c r="K68" s="134"/>
      <c r="L68" s="146"/>
      <c r="M68" s="302"/>
      <c r="N68" s="134"/>
      <c r="O68" s="156"/>
      <c r="P68" s="135"/>
      <c r="Q68" s="135"/>
      <c r="R68" s="135"/>
      <c r="S68" s="135"/>
      <c r="T68" s="135"/>
      <c r="U68" s="135"/>
    </row>
    <row r="69" spans="1:21" s="157" customFormat="1" ht="16" hidden="1" x14ac:dyDescent="0.4">
      <c r="A69" s="134"/>
      <c r="B69" s="134"/>
      <c r="C69" s="134"/>
      <c r="D69" s="134"/>
      <c r="E69" s="134"/>
      <c r="F69" s="134"/>
      <c r="G69" s="134" t="b">
        <f t="shared" si="8"/>
        <v>1</v>
      </c>
      <c r="H69" s="134"/>
      <c r="I69" s="134"/>
      <c r="J69" s="146"/>
      <c r="K69" s="134"/>
      <c r="L69" s="146"/>
      <c r="M69" s="302"/>
      <c r="N69" s="134"/>
      <c r="O69" s="156"/>
      <c r="P69" s="135"/>
      <c r="Q69" s="135"/>
      <c r="R69" s="135"/>
      <c r="S69" s="135"/>
      <c r="T69" s="135"/>
      <c r="U69" s="135"/>
    </row>
    <row r="70" spans="1:21" s="157" customFormat="1" ht="16" hidden="1" x14ac:dyDescent="0.4">
      <c r="A70" s="134"/>
      <c r="B70" s="134"/>
      <c r="C70" s="134"/>
      <c r="D70" s="134"/>
      <c r="E70" s="134"/>
      <c r="F70" s="134"/>
      <c r="G70" s="134" t="b">
        <f t="shared" si="8"/>
        <v>1</v>
      </c>
      <c r="H70" s="134"/>
      <c r="I70" s="134"/>
      <c r="J70" s="146"/>
      <c r="K70" s="134"/>
      <c r="L70" s="146"/>
      <c r="M70" s="302"/>
      <c r="N70" s="134"/>
      <c r="O70" s="156"/>
      <c r="P70" s="135"/>
      <c r="Q70" s="135"/>
      <c r="R70" s="135"/>
      <c r="S70" s="135"/>
      <c r="T70" s="135"/>
      <c r="U70" s="135"/>
    </row>
    <row r="71" spans="1:21" s="157" customFormat="1" ht="16" hidden="1" x14ac:dyDescent="0.4">
      <c r="A71" s="134"/>
      <c r="B71" s="134"/>
      <c r="C71" s="134"/>
      <c r="D71" s="134"/>
      <c r="E71" s="134"/>
      <c r="F71" s="134"/>
      <c r="G71" s="134" t="b">
        <f t="shared" si="8"/>
        <v>1</v>
      </c>
      <c r="H71" s="134"/>
      <c r="I71" s="134"/>
      <c r="J71" s="146"/>
      <c r="K71" s="134"/>
      <c r="L71" s="146"/>
      <c r="M71" s="302"/>
      <c r="N71" s="134"/>
      <c r="O71" s="156"/>
      <c r="P71" s="135"/>
      <c r="Q71" s="135"/>
      <c r="R71" s="135"/>
      <c r="S71" s="135"/>
      <c r="T71" s="135"/>
      <c r="U71" s="135"/>
    </row>
    <row r="72" spans="1:21" s="61" customFormat="1" ht="16" hidden="1" x14ac:dyDescent="0.4">
      <c r="A72" s="134" t="e">
        <f>#REF!+1</f>
        <v>#REF!</v>
      </c>
      <c r="B72" s="134" t="s">
        <v>161</v>
      </c>
      <c r="C72" s="134"/>
      <c r="D72" s="134"/>
      <c r="E72" s="134"/>
      <c r="F72" s="134">
        <f t="shared" ref="F72:F87" si="14">SUM(C72:E72)</f>
        <v>0</v>
      </c>
      <c r="G72" s="134" t="b">
        <f t="shared" si="8"/>
        <v>1</v>
      </c>
      <c r="H72" s="158"/>
      <c r="I72" s="134">
        <v>1000000</v>
      </c>
      <c r="J72" s="146">
        <f t="shared" ref="J72:J88" si="15">H72/I72</f>
        <v>0</v>
      </c>
      <c r="K72" s="158">
        <f>MAX(I72-H72,0)</f>
        <v>1000000</v>
      </c>
      <c r="L72" s="159">
        <f t="shared" ref="L72:L87" si="16">100%-J72</f>
        <v>1</v>
      </c>
      <c r="M72" s="302"/>
      <c r="N72" s="149"/>
      <c r="O72" s="136" t="b">
        <f t="shared" ref="O72:O88" si="17">F72=H72</f>
        <v>1</v>
      </c>
      <c r="P72" s="304"/>
      <c r="Q72" s="304"/>
      <c r="R72" s="304"/>
      <c r="S72" s="304"/>
      <c r="T72" s="304"/>
      <c r="U72" s="304"/>
    </row>
    <row r="73" spans="1:21" s="60" customFormat="1" ht="128" hidden="1" x14ac:dyDescent="0.4">
      <c r="A73" s="134" t="e">
        <f t="shared" ref="A73:A87" si="18">A72+1</f>
        <v>#REF!</v>
      </c>
      <c r="B73" s="134" t="s">
        <v>93</v>
      </c>
      <c r="C73" s="134">
        <v>0</v>
      </c>
      <c r="D73" s="134">
        <v>0</v>
      </c>
      <c r="E73" s="134"/>
      <c r="F73" s="134">
        <f t="shared" si="14"/>
        <v>0</v>
      </c>
      <c r="G73" s="134" t="b">
        <f t="shared" ref="G73:G88" si="19">F73=H73</f>
        <v>1</v>
      </c>
      <c r="H73" s="158"/>
      <c r="I73" s="134">
        <v>1000000</v>
      </c>
      <c r="J73" s="146">
        <f t="shared" si="15"/>
        <v>0</v>
      </c>
      <c r="K73" s="158">
        <f t="shared" ref="K73:K87" si="20">MAX(I73-F73,0)</f>
        <v>1000000</v>
      </c>
      <c r="L73" s="159">
        <f t="shared" si="16"/>
        <v>1</v>
      </c>
      <c r="M73" s="306" t="s">
        <v>162</v>
      </c>
      <c r="N73" s="160"/>
      <c r="O73" s="136" t="b">
        <f t="shared" si="17"/>
        <v>1</v>
      </c>
      <c r="P73" s="154"/>
      <c r="Q73" s="154"/>
      <c r="R73" s="154"/>
      <c r="S73" s="154"/>
      <c r="T73" s="154"/>
      <c r="U73" s="154"/>
    </row>
    <row r="74" spans="1:21" s="60" customFormat="1" ht="16" hidden="1" x14ac:dyDescent="0.4">
      <c r="A74" s="134" t="e">
        <f t="shared" si="18"/>
        <v>#REF!</v>
      </c>
      <c r="B74" s="134" t="s">
        <v>95</v>
      </c>
      <c r="C74" s="134">
        <v>0</v>
      </c>
      <c r="D74" s="134">
        <v>0</v>
      </c>
      <c r="E74" s="134"/>
      <c r="F74" s="134">
        <f t="shared" si="14"/>
        <v>0</v>
      </c>
      <c r="G74" s="134" t="b">
        <f t="shared" si="19"/>
        <v>1</v>
      </c>
      <c r="H74" s="158"/>
      <c r="I74" s="134">
        <v>1000000</v>
      </c>
      <c r="J74" s="146">
        <f t="shared" si="15"/>
        <v>0</v>
      </c>
      <c r="K74" s="158">
        <f t="shared" si="20"/>
        <v>1000000</v>
      </c>
      <c r="L74" s="159">
        <f t="shared" si="16"/>
        <v>1</v>
      </c>
      <c r="M74" s="303"/>
      <c r="N74" s="160"/>
      <c r="O74" s="136" t="b">
        <f t="shared" si="17"/>
        <v>1</v>
      </c>
      <c r="P74" s="154"/>
      <c r="Q74" s="154"/>
      <c r="R74" s="154"/>
      <c r="S74" s="154"/>
      <c r="T74" s="154"/>
      <c r="U74" s="154"/>
    </row>
    <row r="75" spans="1:21" s="60" customFormat="1" ht="16" hidden="1" x14ac:dyDescent="0.4">
      <c r="A75" s="134" t="e">
        <f t="shared" si="18"/>
        <v>#REF!</v>
      </c>
      <c r="B75" s="134" t="s">
        <v>97</v>
      </c>
      <c r="C75" s="134">
        <v>0</v>
      </c>
      <c r="D75" s="134">
        <v>0</v>
      </c>
      <c r="E75" s="134"/>
      <c r="F75" s="134">
        <f t="shared" si="14"/>
        <v>0</v>
      </c>
      <c r="G75" s="134" t="b">
        <f t="shared" si="19"/>
        <v>1</v>
      </c>
      <c r="H75" s="158"/>
      <c r="I75" s="134">
        <v>1000000</v>
      </c>
      <c r="J75" s="146">
        <f t="shared" si="15"/>
        <v>0</v>
      </c>
      <c r="K75" s="158">
        <f t="shared" si="20"/>
        <v>1000000</v>
      </c>
      <c r="L75" s="159">
        <f t="shared" si="16"/>
        <v>1</v>
      </c>
      <c r="M75" s="303"/>
      <c r="N75" s="160"/>
      <c r="O75" s="136" t="b">
        <f t="shared" si="17"/>
        <v>1</v>
      </c>
      <c r="P75" s="154"/>
      <c r="Q75" s="154"/>
      <c r="R75" s="154"/>
      <c r="S75" s="154"/>
      <c r="T75" s="154"/>
      <c r="U75" s="154"/>
    </row>
    <row r="76" spans="1:21" s="60" customFormat="1" ht="16" hidden="1" x14ac:dyDescent="0.4">
      <c r="A76" s="134" t="e">
        <f t="shared" si="18"/>
        <v>#REF!</v>
      </c>
      <c r="B76" s="134" t="s">
        <v>99</v>
      </c>
      <c r="C76" s="134">
        <v>0</v>
      </c>
      <c r="D76" s="134">
        <v>0</v>
      </c>
      <c r="E76" s="134"/>
      <c r="F76" s="134">
        <f t="shared" si="14"/>
        <v>0</v>
      </c>
      <c r="G76" s="134" t="b">
        <f t="shared" si="19"/>
        <v>1</v>
      </c>
      <c r="H76" s="158"/>
      <c r="I76" s="134">
        <v>1000000</v>
      </c>
      <c r="J76" s="146">
        <f t="shared" si="15"/>
        <v>0</v>
      </c>
      <c r="K76" s="158">
        <f t="shared" si="20"/>
        <v>1000000</v>
      </c>
      <c r="L76" s="159">
        <f t="shared" si="16"/>
        <v>1</v>
      </c>
      <c r="M76" s="303"/>
      <c r="N76" s="160"/>
      <c r="O76" s="136" t="b">
        <f t="shared" si="17"/>
        <v>1</v>
      </c>
      <c r="P76" s="154"/>
      <c r="Q76" s="154"/>
      <c r="R76" s="154"/>
      <c r="S76" s="154"/>
      <c r="T76" s="154"/>
      <c r="U76" s="154"/>
    </row>
    <row r="77" spans="1:21" s="60" customFormat="1" ht="16" hidden="1" x14ac:dyDescent="0.4">
      <c r="A77" s="134" t="e">
        <f t="shared" si="18"/>
        <v>#REF!</v>
      </c>
      <c r="B77" s="134" t="s">
        <v>101</v>
      </c>
      <c r="C77" s="134">
        <v>0</v>
      </c>
      <c r="D77" s="134">
        <v>0</v>
      </c>
      <c r="E77" s="134"/>
      <c r="F77" s="134">
        <f t="shared" si="14"/>
        <v>0</v>
      </c>
      <c r="G77" s="134" t="b">
        <f t="shared" si="19"/>
        <v>1</v>
      </c>
      <c r="H77" s="158"/>
      <c r="I77" s="134">
        <v>1000000</v>
      </c>
      <c r="J77" s="146">
        <f t="shared" si="15"/>
        <v>0</v>
      </c>
      <c r="K77" s="158">
        <f t="shared" si="20"/>
        <v>1000000</v>
      </c>
      <c r="L77" s="159">
        <f t="shared" si="16"/>
        <v>1</v>
      </c>
      <c r="M77" s="303"/>
      <c r="N77" s="160"/>
      <c r="O77" s="136" t="b">
        <f t="shared" si="17"/>
        <v>1</v>
      </c>
      <c r="P77" s="154"/>
      <c r="Q77" s="154"/>
      <c r="R77" s="154"/>
      <c r="S77" s="154"/>
      <c r="T77" s="154"/>
      <c r="U77" s="154"/>
    </row>
    <row r="78" spans="1:21" s="60" customFormat="1" ht="16" hidden="1" x14ac:dyDescent="0.4">
      <c r="A78" s="134" t="e">
        <f t="shared" si="18"/>
        <v>#REF!</v>
      </c>
      <c r="B78" s="134" t="s">
        <v>103</v>
      </c>
      <c r="C78" s="134">
        <v>0</v>
      </c>
      <c r="D78" s="134">
        <v>0</v>
      </c>
      <c r="E78" s="134"/>
      <c r="F78" s="134">
        <f t="shared" si="14"/>
        <v>0</v>
      </c>
      <c r="G78" s="134" t="b">
        <f t="shared" si="19"/>
        <v>1</v>
      </c>
      <c r="H78" s="158"/>
      <c r="I78" s="134">
        <v>1000000</v>
      </c>
      <c r="J78" s="146">
        <f t="shared" si="15"/>
        <v>0</v>
      </c>
      <c r="K78" s="158">
        <f t="shared" si="20"/>
        <v>1000000</v>
      </c>
      <c r="L78" s="159">
        <f t="shared" si="16"/>
        <v>1</v>
      </c>
      <c r="M78" s="303"/>
      <c r="N78" s="160"/>
      <c r="O78" s="136" t="b">
        <f t="shared" si="17"/>
        <v>1</v>
      </c>
      <c r="P78" s="154"/>
      <c r="Q78" s="154"/>
      <c r="R78" s="154"/>
      <c r="S78" s="154"/>
      <c r="T78" s="154"/>
      <c r="U78" s="154"/>
    </row>
    <row r="79" spans="1:21" s="60" customFormat="1" ht="16" hidden="1" x14ac:dyDescent="0.4">
      <c r="A79" s="134" t="e">
        <f t="shared" si="18"/>
        <v>#REF!</v>
      </c>
      <c r="B79" s="134" t="s">
        <v>105</v>
      </c>
      <c r="C79" s="134">
        <v>0</v>
      </c>
      <c r="D79" s="134">
        <v>0</v>
      </c>
      <c r="E79" s="134"/>
      <c r="F79" s="134">
        <f t="shared" si="14"/>
        <v>0</v>
      </c>
      <c r="G79" s="134" t="b">
        <f t="shared" si="19"/>
        <v>1</v>
      </c>
      <c r="H79" s="158"/>
      <c r="I79" s="134">
        <v>1000000</v>
      </c>
      <c r="J79" s="146">
        <f t="shared" si="15"/>
        <v>0</v>
      </c>
      <c r="K79" s="158">
        <f t="shared" si="20"/>
        <v>1000000</v>
      </c>
      <c r="L79" s="159">
        <f t="shared" si="16"/>
        <v>1</v>
      </c>
      <c r="M79" s="303"/>
      <c r="N79" s="160"/>
      <c r="O79" s="136" t="b">
        <f t="shared" si="17"/>
        <v>1</v>
      </c>
      <c r="P79" s="154"/>
      <c r="Q79" s="154"/>
      <c r="R79" s="154"/>
      <c r="S79" s="154"/>
      <c r="T79" s="154"/>
      <c r="U79" s="154"/>
    </row>
    <row r="80" spans="1:21" s="60" customFormat="1" ht="16" hidden="1" x14ac:dyDescent="0.4">
      <c r="A80" s="134" t="e">
        <f t="shared" si="18"/>
        <v>#REF!</v>
      </c>
      <c r="B80" s="134" t="s">
        <v>87</v>
      </c>
      <c r="C80" s="134">
        <v>0</v>
      </c>
      <c r="D80" s="134">
        <v>0</v>
      </c>
      <c r="E80" s="134"/>
      <c r="F80" s="134">
        <f t="shared" si="14"/>
        <v>0</v>
      </c>
      <c r="G80" s="134" t="b">
        <f t="shared" si="19"/>
        <v>1</v>
      </c>
      <c r="H80" s="158"/>
      <c r="I80" s="134">
        <v>1000000</v>
      </c>
      <c r="J80" s="146">
        <f t="shared" si="15"/>
        <v>0</v>
      </c>
      <c r="K80" s="158">
        <f t="shared" si="20"/>
        <v>1000000</v>
      </c>
      <c r="L80" s="159">
        <f t="shared" si="16"/>
        <v>1</v>
      </c>
      <c r="M80" s="303"/>
      <c r="N80" s="160"/>
      <c r="O80" s="136" t="b">
        <f t="shared" si="17"/>
        <v>1</v>
      </c>
      <c r="P80" s="154"/>
      <c r="Q80" s="154"/>
      <c r="R80" s="154"/>
      <c r="S80" s="154"/>
      <c r="T80" s="154"/>
      <c r="U80" s="154"/>
    </row>
    <row r="81" spans="1:21" s="60" customFormat="1" ht="16" hidden="1" x14ac:dyDescent="0.4">
      <c r="A81" s="134" t="e">
        <f t="shared" si="18"/>
        <v>#REF!</v>
      </c>
      <c r="B81" s="134" t="s">
        <v>108</v>
      </c>
      <c r="C81" s="134">
        <v>0</v>
      </c>
      <c r="D81" s="134">
        <v>0</v>
      </c>
      <c r="E81" s="134"/>
      <c r="F81" s="134">
        <f t="shared" si="14"/>
        <v>0</v>
      </c>
      <c r="G81" s="134" t="b">
        <f t="shared" si="19"/>
        <v>1</v>
      </c>
      <c r="H81" s="158"/>
      <c r="I81" s="134">
        <v>1000000</v>
      </c>
      <c r="J81" s="146">
        <f t="shared" si="15"/>
        <v>0</v>
      </c>
      <c r="K81" s="158">
        <f t="shared" si="20"/>
        <v>1000000</v>
      </c>
      <c r="L81" s="159">
        <f t="shared" si="16"/>
        <v>1</v>
      </c>
      <c r="M81" s="303"/>
      <c r="N81" s="160"/>
      <c r="O81" s="136" t="b">
        <f t="shared" si="17"/>
        <v>1</v>
      </c>
      <c r="P81" s="154"/>
      <c r="Q81" s="154"/>
      <c r="R81" s="154"/>
      <c r="S81" s="154"/>
      <c r="T81" s="154"/>
      <c r="U81" s="154"/>
    </row>
    <row r="82" spans="1:21" s="60" customFormat="1" ht="16" hidden="1" x14ac:dyDescent="0.4">
      <c r="A82" s="134" t="e">
        <f t="shared" si="18"/>
        <v>#REF!</v>
      </c>
      <c r="B82" s="134" t="s">
        <v>110</v>
      </c>
      <c r="C82" s="134">
        <v>0</v>
      </c>
      <c r="D82" s="134">
        <v>0</v>
      </c>
      <c r="E82" s="134"/>
      <c r="F82" s="134">
        <f t="shared" si="14"/>
        <v>0</v>
      </c>
      <c r="G82" s="134" t="b">
        <f t="shared" si="19"/>
        <v>1</v>
      </c>
      <c r="H82" s="158"/>
      <c r="I82" s="134">
        <v>1000000</v>
      </c>
      <c r="J82" s="146">
        <f t="shared" si="15"/>
        <v>0</v>
      </c>
      <c r="K82" s="158">
        <f t="shared" si="20"/>
        <v>1000000</v>
      </c>
      <c r="L82" s="159">
        <f t="shared" si="16"/>
        <v>1</v>
      </c>
      <c r="M82" s="303"/>
      <c r="N82" s="160"/>
      <c r="O82" s="136" t="b">
        <f t="shared" si="17"/>
        <v>1</v>
      </c>
      <c r="P82" s="154"/>
      <c r="Q82" s="154"/>
      <c r="R82" s="154"/>
      <c r="S82" s="154"/>
      <c r="T82" s="154"/>
      <c r="U82" s="154"/>
    </row>
    <row r="83" spans="1:21" s="60" customFormat="1" ht="16" hidden="1" x14ac:dyDescent="0.4">
      <c r="A83" s="134" t="e">
        <f t="shared" si="18"/>
        <v>#REF!</v>
      </c>
      <c r="B83" s="134" t="s">
        <v>112</v>
      </c>
      <c r="C83" s="134">
        <v>0</v>
      </c>
      <c r="D83" s="134">
        <v>0</v>
      </c>
      <c r="E83" s="134">
        <v>0</v>
      </c>
      <c r="F83" s="134">
        <f t="shared" si="14"/>
        <v>0</v>
      </c>
      <c r="G83" s="134" t="b">
        <f t="shared" si="19"/>
        <v>1</v>
      </c>
      <c r="H83" s="158"/>
      <c r="I83" s="134">
        <v>1000000</v>
      </c>
      <c r="J83" s="146">
        <f t="shared" si="15"/>
        <v>0</v>
      </c>
      <c r="K83" s="158">
        <f t="shared" si="20"/>
        <v>1000000</v>
      </c>
      <c r="L83" s="159">
        <f t="shared" si="16"/>
        <v>1</v>
      </c>
      <c r="M83" s="303"/>
      <c r="N83" s="160"/>
      <c r="O83" s="136" t="b">
        <f t="shared" si="17"/>
        <v>1</v>
      </c>
      <c r="P83" s="154"/>
      <c r="Q83" s="154"/>
      <c r="R83" s="154"/>
      <c r="S83" s="154"/>
      <c r="T83" s="154"/>
      <c r="U83" s="154"/>
    </row>
    <row r="84" spans="1:21" s="60" customFormat="1" ht="16" hidden="1" x14ac:dyDescent="0.4">
      <c r="A84" s="134" t="e">
        <f t="shared" si="18"/>
        <v>#REF!</v>
      </c>
      <c r="B84" s="134" t="s">
        <v>114</v>
      </c>
      <c r="C84" s="134">
        <v>0</v>
      </c>
      <c r="D84" s="134">
        <v>0</v>
      </c>
      <c r="E84" s="134"/>
      <c r="F84" s="134">
        <f t="shared" si="14"/>
        <v>0</v>
      </c>
      <c r="G84" s="134" t="b">
        <f t="shared" si="19"/>
        <v>1</v>
      </c>
      <c r="H84" s="158"/>
      <c r="I84" s="134">
        <v>1000000</v>
      </c>
      <c r="J84" s="146">
        <f t="shared" si="15"/>
        <v>0</v>
      </c>
      <c r="K84" s="158">
        <f t="shared" si="20"/>
        <v>1000000</v>
      </c>
      <c r="L84" s="159">
        <f t="shared" si="16"/>
        <v>1</v>
      </c>
      <c r="M84" s="303"/>
      <c r="N84" s="160"/>
      <c r="O84" s="136" t="b">
        <f t="shared" si="17"/>
        <v>1</v>
      </c>
      <c r="P84" s="154"/>
      <c r="Q84" s="154"/>
      <c r="R84" s="154"/>
      <c r="S84" s="154"/>
      <c r="T84" s="154"/>
      <c r="U84" s="154"/>
    </row>
    <row r="85" spans="1:21" ht="16" hidden="1" x14ac:dyDescent="0.4">
      <c r="A85" s="134" t="e">
        <f t="shared" si="18"/>
        <v>#REF!</v>
      </c>
      <c r="B85" s="134" t="s">
        <v>116</v>
      </c>
      <c r="C85" s="134">
        <v>0</v>
      </c>
      <c r="D85" s="134">
        <v>0</v>
      </c>
      <c r="E85" s="134"/>
      <c r="F85" s="134">
        <f t="shared" si="14"/>
        <v>0</v>
      </c>
      <c r="G85" s="134" t="b">
        <f t="shared" si="19"/>
        <v>1</v>
      </c>
      <c r="H85" s="158"/>
      <c r="I85" s="134">
        <v>1000000</v>
      </c>
      <c r="J85" s="146">
        <f t="shared" si="15"/>
        <v>0</v>
      </c>
      <c r="K85" s="158">
        <f t="shared" si="20"/>
        <v>1000000</v>
      </c>
      <c r="L85" s="159">
        <f t="shared" si="16"/>
        <v>1</v>
      </c>
      <c r="M85" s="303"/>
      <c r="N85" s="82"/>
      <c r="O85" s="136" t="b">
        <f t="shared" si="17"/>
        <v>1</v>
      </c>
      <c r="P85" s="2"/>
      <c r="Q85" s="2"/>
      <c r="R85" s="2"/>
      <c r="S85" s="2"/>
      <c r="T85" s="2"/>
      <c r="U85" s="2"/>
    </row>
    <row r="86" spans="1:21" ht="16" hidden="1" x14ac:dyDescent="0.4">
      <c r="A86" s="134" t="e">
        <f t="shared" si="18"/>
        <v>#REF!</v>
      </c>
      <c r="B86" s="134" t="s">
        <v>118</v>
      </c>
      <c r="C86" s="134">
        <v>0</v>
      </c>
      <c r="D86" s="134">
        <v>0</v>
      </c>
      <c r="E86" s="134"/>
      <c r="F86" s="134">
        <f t="shared" si="14"/>
        <v>0</v>
      </c>
      <c r="G86" s="134" t="b">
        <f t="shared" si="19"/>
        <v>1</v>
      </c>
      <c r="H86" s="158"/>
      <c r="I86" s="134">
        <v>1000000</v>
      </c>
      <c r="J86" s="146">
        <f t="shared" si="15"/>
        <v>0</v>
      </c>
      <c r="K86" s="158">
        <f t="shared" si="20"/>
        <v>1000000</v>
      </c>
      <c r="L86" s="159">
        <f t="shared" si="16"/>
        <v>1</v>
      </c>
      <c r="M86" s="303"/>
      <c r="N86" s="82"/>
      <c r="O86" s="136" t="b">
        <f t="shared" si="17"/>
        <v>1</v>
      </c>
      <c r="P86" s="2"/>
      <c r="Q86" s="2"/>
      <c r="R86" s="2"/>
      <c r="S86" s="2"/>
      <c r="T86" s="2"/>
      <c r="U86" s="2"/>
    </row>
    <row r="87" spans="1:21" ht="16" hidden="1" x14ac:dyDescent="0.4">
      <c r="A87" s="134" t="e">
        <f t="shared" si="18"/>
        <v>#REF!</v>
      </c>
      <c r="B87" s="134" t="s">
        <v>120</v>
      </c>
      <c r="C87" s="134">
        <v>0</v>
      </c>
      <c r="D87" s="134">
        <v>0</v>
      </c>
      <c r="E87" s="134"/>
      <c r="F87" s="134">
        <f t="shared" si="14"/>
        <v>0</v>
      </c>
      <c r="G87" s="134" t="b">
        <f t="shared" si="19"/>
        <v>1</v>
      </c>
      <c r="H87" s="158"/>
      <c r="I87" s="134">
        <v>1000000</v>
      </c>
      <c r="J87" s="146">
        <f t="shared" si="15"/>
        <v>0</v>
      </c>
      <c r="K87" s="158">
        <f t="shared" si="20"/>
        <v>1000000</v>
      </c>
      <c r="L87" s="159">
        <f t="shared" si="16"/>
        <v>1</v>
      </c>
      <c r="M87" s="308"/>
      <c r="N87" s="82"/>
      <c r="O87" s="136" t="b">
        <f t="shared" si="17"/>
        <v>1</v>
      </c>
      <c r="P87" s="2"/>
      <c r="Q87" s="2"/>
      <c r="R87" s="2"/>
      <c r="S87" s="2"/>
      <c r="T87" s="2"/>
      <c r="U87" s="2"/>
    </row>
    <row r="88" spans="1:21" ht="16" hidden="1" x14ac:dyDescent="0.4">
      <c r="A88" s="134"/>
      <c r="B88" s="134"/>
      <c r="C88" s="134"/>
      <c r="D88" s="134"/>
      <c r="E88" s="134"/>
      <c r="F88" s="134"/>
      <c r="G88" s="134" t="b">
        <f t="shared" si="19"/>
        <v>1</v>
      </c>
      <c r="H88" s="158"/>
      <c r="I88" s="134"/>
      <c r="J88" s="146" t="e">
        <f t="shared" si="15"/>
        <v>#DIV/0!</v>
      </c>
      <c r="K88" s="158"/>
      <c r="L88" s="158"/>
      <c r="M88" s="300"/>
      <c r="N88" s="82"/>
      <c r="O88" s="136" t="b">
        <f t="shared" si="17"/>
        <v>1</v>
      </c>
      <c r="P88" s="2"/>
      <c r="Q88" s="2"/>
      <c r="R88" s="2"/>
      <c r="S88" s="2"/>
      <c r="T88" s="2"/>
      <c r="U88" s="2"/>
    </row>
    <row r="89" spans="1:21" ht="16" hidden="1" x14ac:dyDescent="0.4">
      <c r="A89" s="134"/>
      <c r="B89" s="134"/>
      <c r="C89" s="134"/>
      <c r="D89" s="134"/>
      <c r="E89" s="134"/>
      <c r="F89" s="134"/>
      <c r="G89" s="134"/>
      <c r="H89" s="158"/>
      <c r="I89" s="134"/>
      <c r="J89" s="146"/>
      <c r="K89" s="158"/>
      <c r="L89" s="158"/>
      <c r="M89" s="300"/>
      <c r="N89" s="82"/>
      <c r="O89" s="136"/>
      <c r="P89" s="2"/>
      <c r="Q89" s="2"/>
      <c r="R89" s="2"/>
      <c r="S89" s="2"/>
      <c r="T89" s="2"/>
      <c r="U89" s="2"/>
    </row>
    <row r="90" spans="1:21" ht="16" hidden="1" x14ac:dyDescent="0.4">
      <c r="A90" s="134"/>
      <c r="B90" s="134"/>
      <c r="C90" s="134"/>
      <c r="D90" s="134"/>
      <c r="E90" s="134"/>
      <c r="F90" s="134"/>
      <c r="G90" s="134"/>
      <c r="H90" s="158"/>
      <c r="I90" s="134"/>
      <c r="J90" s="146"/>
      <c r="K90" s="158"/>
      <c r="L90" s="158"/>
      <c r="M90" s="300"/>
      <c r="N90" s="82"/>
      <c r="O90" s="136"/>
      <c r="P90" s="2"/>
      <c r="Q90" s="2"/>
      <c r="R90" s="2"/>
      <c r="S90" s="2"/>
      <c r="T90" s="2"/>
      <c r="U90" s="2"/>
    </row>
    <row r="91" spans="1:21" ht="16" x14ac:dyDescent="0.4">
      <c r="A91" s="86"/>
      <c r="B91" s="87" t="s">
        <v>163</v>
      </c>
      <c r="C91" s="83">
        <f>SUM(C12:C88)</f>
        <v>10321000</v>
      </c>
      <c r="D91" s="83">
        <f>SUM(D12:D88)</f>
        <v>4600000</v>
      </c>
      <c r="E91" s="83">
        <f>SUM(E12:E88)</f>
        <v>31203000</v>
      </c>
      <c r="F91" s="83">
        <f>SUM(F12:F88)</f>
        <v>46124000</v>
      </c>
      <c r="G91" s="83">
        <f t="shared" ref="G91" si="21">SUM(G12:G88)</f>
        <v>0</v>
      </c>
      <c r="H91" s="83">
        <f>SUM(H12:H88)</f>
        <v>64224000</v>
      </c>
      <c r="I91" s="83">
        <f>SUM(I12:I88)</f>
        <v>111200000</v>
      </c>
      <c r="J91" s="83"/>
      <c r="K91" s="83">
        <f>SUM(K12:K88)</f>
        <v>51296000</v>
      </c>
      <c r="L91" s="83"/>
      <c r="M91" s="135"/>
      <c r="N91" s="83">
        <f>SUM(N12:N87)</f>
        <v>30000</v>
      </c>
      <c r="O91" s="136" t="b">
        <f>F91=H91</f>
        <v>0</v>
      </c>
      <c r="P91" s="2"/>
      <c r="Q91" s="2"/>
      <c r="R91" s="2"/>
      <c r="S91" s="2"/>
      <c r="T91" s="2"/>
      <c r="U91" s="2"/>
    </row>
    <row r="92" spans="1:21" ht="16" x14ac:dyDescent="0.4">
      <c r="B92" s="137" t="s">
        <v>164</v>
      </c>
      <c r="F92" s="28"/>
      <c r="G92" s="28"/>
      <c r="H92" s="28">
        <f>'DETAILS (sorted)'!BM155</f>
        <v>100000</v>
      </c>
      <c r="P92" s="97">
        <f>SUM(P14:P91)</f>
        <v>35</v>
      </c>
      <c r="Q92" s="169">
        <f>P92/P93</f>
        <v>0.50724637681159424</v>
      </c>
    </row>
    <row r="93" spans="1:21" ht="16" x14ac:dyDescent="0.4">
      <c r="B93" s="137" t="s">
        <v>165</v>
      </c>
      <c r="F93" s="28"/>
      <c r="G93" s="28"/>
      <c r="H93" s="28"/>
      <c r="P93" s="2">
        <v>69</v>
      </c>
    </row>
    <row r="94" spans="1:21" ht="16" x14ac:dyDescent="0.4">
      <c r="B94" s="137" t="s">
        <v>166</v>
      </c>
      <c r="F94" s="28"/>
      <c r="G94" s="28"/>
      <c r="H94" s="132" t="e">
        <f>'DETAILS (sorted)'!#REF!</f>
        <v>#REF!</v>
      </c>
      <c r="P94" s="2"/>
    </row>
    <row r="95" spans="1:21" ht="16" x14ac:dyDescent="0.4">
      <c r="B95" s="137" t="s">
        <v>167</v>
      </c>
      <c r="F95" s="28"/>
      <c r="G95" s="28"/>
      <c r="H95" s="107" t="e">
        <f>SUM(H92:H94)</f>
        <v>#REF!</v>
      </c>
      <c r="P95" s="2"/>
    </row>
    <row r="96" spans="1:21" x14ac:dyDescent="0.35">
      <c r="F96" s="28"/>
      <c r="G96" s="28"/>
      <c r="H96" s="28"/>
      <c r="P96" s="2"/>
    </row>
    <row r="97" spans="2:16" x14ac:dyDescent="0.35">
      <c r="F97" s="28"/>
      <c r="G97" s="28"/>
      <c r="H97" s="28">
        <f>H91</f>
        <v>64224000</v>
      </c>
      <c r="P97" s="2"/>
    </row>
    <row r="98" spans="2:16" x14ac:dyDescent="0.35">
      <c r="P98" s="2"/>
    </row>
    <row r="99" spans="2:16" ht="43.5" x14ac:dyDescent="0.35">
      <c r="B99" s="31" t="s">
        <v>168</v>
      </c>
      <c r="C99" s="32"/>
      <c r="D99" s="108" t="s">
        <v>169</v>
      </c>
      <c r="P99" s="2"/>
    </row>
    <row r="100" spans="2:16" ht="15.5" x14ac:dyDescent="0.35">
      <c r="B100" s="138" t="s">
        <v>170</v>
      </c>
      <c r="C100" s="139"/>
      <c r="D100" s="165"/>
      <c r="P100" s="2"/>
    </row>
    <row r="101" spans="2:16" ht="31" x14ac:dyDescent="0.35">
      <c r="B101" s="40" t="s">
        <v>171</v>
      </c>
      <c r="C101" s="139">
        <v>75000</v>
      </c>
      <c r="D101" s="165"/>
      <c r="P101" s="2"/>
    </row>
    <row r="102" spans="2:16" ht="46.5" x14ac:dyDescent="0.35">
      <c r="B102" s="40" t="s">
        <v>172</v>
      </c>
      <c r="C102" s="139"/>
      <c r="D102" s="165"/>
      <c r="P102" s="2"/>
    </row>
    <row r="103" spans="2:16" ht="31" x14ac:dyDescent="0.35">
      <c r="B103" s="40" t="s">
        <v>173</v>
      </c>
      <c r="C103" s="139">
        <v>10000</v>
      </c>
      <c r="D103" s="165"/>
      <c r="P103" s="2"/>
    </row>
    <row r="104" spans="2:16" ht="31" x14ac:dyDescent="0.35">
      <c r="B104" s="40" t="s">
        <v>174</v>
      </c>
      <c r="C104" s="139">
        <v>10000</v>
      </c>
      <c r="D104" s="165"/>
      <c r="P104" s="2"/>
    </row>
    <row r="105" spans="2:16" ht="31" x14ac:dyDescent="0.35">
      <c r="B105" s="40" t="s">
        <v>175</v>
      </c>
      <c r="C105" s="139">
        <v>10000</v>
      </c>
      <c r="D105" s="165"/>
      <c r="P105" s="2"/>
    </row>
    <row r="106" spans="2:16" ht="31" x14ac:dyDescent="0.35">
      <c r="B106" s="40" t="s">
        <v>176</v>
      </c>
      <c r="C106" s="139">
        <v>10000</v>
      </c>
      <c r="D106" s="165"/>
      <c r="P106" s="2"/>
    </row>
    <row r="107" spans="2:16" ht="31" x14ac:dyDescent="0.35">
      <c r="B107" s="40" t="s">
        <v>177</v>
      </c>
      <c r="C107" s="139">
        <v>10000</v>
      </c>
      <c r="D107" s="165"/>
      <c r="P107" s="2"/>
    </row>
    <row r="108" spans="2:16" ht="15" x14ac:dyDescent="0.35">
      <c r="B108" s="53" t="s">
        <v>136</v>
      </c>
      <c r="C108" s="140">
        <f>SUM(C101:C107)</f>
        <v>125000</v>
      </c>
      <c r="D108" s="165"/>
      <c r="P108" s="2"/>
    </row>
    <row r="109" spans="2:16" ht="139.5" x14ac:dyDescent="0.35">
      <c r="B109" s="36" t="s">
        <v>178</v>
      </c>
      <c r="C109" s="37"/>
      <c r="D109" s="166"/>
      <c r="P109" s="2"/>
    </row>
    <row r="110" spans="2:16" ht="15" x14ac:dyDescent="0.35">
      <c r="B110" s="141" t="s">
        <v>179</v>
      </c>
      <c r="C110" s="142"/>
      <c r="D110" s="4"/>
    </row>
    <row r="111" spans="2:16" ht="93" x14ac:dyDescent="0.35">
      <c r="B111" s="40" t="s">
        <v>180</v>
      </c>
      <c r="C111" s="41"/>
      <c r="D111" s="4"/>
    </row>
    <row r="112" spans="2:16" ht="15.5" x14ac:dyDescent="0.35">
      <c r="B112" s="31"/>
      <c r="C112" s="32"/>
      <c r="D112" s="4"/>
    </row>
    <row r="113" spans="2:4" ht="16" thickBot="1" x14ac:dyDescent="0.4">
      <c r="B113" s="42" t="s">
        <v>181</v>
      </c>
      <c r="C113" s="43"/>
      <c r="D113" s="44"/>
    </row>
    <row r="114" spans="2:4" x14ac:dyDescent="0.35">
      <c r="B114" s="45"/>
      <c r="C114" s="46"/>
      <c r="D114" s="47"/>
    </row>
    <row r="115" spans="2:4" ht="15" x14ac:dyDescent="0.35">
      <c r="B115" s="48" t="s">
        <v>182</v>
      </c>
      <c r="C115" s="49"/>
      <c r="D115" s="50"/>
    </row>
    <row r="116" spans="2:4" ht="43.5" x14ac:dyDescent="0.35">
      <c r="B116" s="141" t="s">
        <v>183</v>
      </c>
      <c r="C116" s="142"/>
      <c r="D116" s="108" t="s">
        <v>169</v>
      </c>
    </row>
    <row r="117" spans="2:4" ht="16" thickBot="1" x14ac:dyDescent="0.4">
      <c r="B117" s="143" t="s">
        <v>184</v>
      </c>
      <c r="C117" s="144">
        <v>150000</v>
      </c>
      <c r="D117" s="109"/>
    </row>
    <row r="118" spans="2:4" ht="16.5" thickBot="1" x14ac:dyDescent="0.45">
      <c r="B118" s="54" t="s">
        <v>136</v>
      </c>
      <c r="C118" s="55">
        <f>C108+C117</f>
        <v>275000</v>
      </c>
      <c r="D118" s="56"/>
    </row>
  </sheetData>
  <sortState xmlns:xlrd2="http://schemas.microsoft.com/office/spreadsheetml/2017/richdata2" ref="A9:Q67">
    <sortCondition ref="B12:B88"/>
  </sortState>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7ADCA-B586-4D81-A909-90331A5ACBE3}">
  <dimension ref="A1:Q116"/>
  <sheetViews>
    <sheetView topLeftCell="A65" workbookViewId="0">
      <selection activeCell="R95" sqref="R95"/>
    </sheetView>
  </sheetViews>
  <sheetFormatPr defaultColWidth="8.81640625" defaultRowHeight="16" x14ac:dyDescent="0.4"/>
  <cols>
    <col min="1" max="1" width="5.453125" customWidth="1"/>
    <col min="2" max="2" width="29.54296875" customWidth="1"/>
    <col min="3" max="3" width="16.453125" hidden="1" customWidth="1"/>
    <col min="4" max="4" width="13.81640625" hidden="1" customWidth="1"/>
    <col min="5" max="5" width="12.1796875" hidden="1" customWidth="1"/>
    <col min="6" max="7" width="15.453125" hidden="1" customWidth="1"/>
    <col min="8" max="8" width="15.453125" customWidth="1"/>
    <col min="9" max="10" width="16.453125" hidden="1" customWidth="1"/>
    <col min="11" max="15" width="14.453125" hidden="1" customWidth="1"/>
    <col min="16" max="16" width="14.453125" style="125" hidden="1" customWidth="1"/>
    <col min="17" max="37" width="14.453125" customWidth="1"/>
  </cols>
  <sheetData>
    <row r="1" spans="1:17" ht="23.5" x14ac:dyDescent="0.55000000000000004">
      <c r="A1" s="720" t="s">
        <v>125</v>
      </c>
      <c r="B1" s="720"/>
      <c r="C1" s="720"/>
      <c r="D1" s="720"/>
      <c r="E1" s="720"/>
      <c r="F1" s="720"/>
      <c r="G1" s="720"/>
      <c r="H1" s="720"/>
      <c r="I1" s="100"/>
      <c r="J1" s="100"/>
    </row>
    <row r="2" spans="1:17" ht="21" x14ac:dyDescent="0.5">
      <c r="A2" s="27"/>
      <c r="B2" s="27"/>
      <c r="C2" s="27"/>
      <c r="D2" s="27"/>
      <c r="E2" s="27"/>
      <c r="F2" s="27"/>
      <c r="G2" s="27"/>
      <c r="H2" s="27"/>
      <c r="I2" s="27"/>
      <c r="J2" s="27"/>
    </row>
    <row r="3" spans="1:17" ht="21" x14ac:dyDescent="0.5">
      <c r="A3" s="721" t="s">
        <v>126</v>
      </c>
      <c r="B3" s="721"/>
      <c r="C3" s="721"/>
      <c r="D3" s="721"/>
      <c r="E3" s="721"/>
      <c r="F3" s="721"/>
      <c r="G3" s="721"/>
      <c r="H3" s="721"/>
      <c r="I3" s="27"/>
      <c r="J3" s="27"/>
    </row>
    <row r="4" spans="1:17" x14ac:dyDescent="0.4">
      <c r="K4" s="131"/>
    </row>
    <row r="6" spans="1:17" ht="28" customHeight="1" x14ac:dyDescent="0.4">
      <c r="A6" s="722" t="s">
        <v>127</v>
      </c>
      <c r="B6" s="722" t="s">
        <v>0</v>
      </c>
      <c r="C6" s="725" t="s">
        <v>128</v>
      </c>
      <c r="D6" s="726"/>
      <c r="E6" s="726"/>
      <c r="F6" s="727"/>
      <c r="G6" s="104"/>
      <c r="H6" s="76"/>
      <c r="I6" s="116"/>
      <c r="J6" s="116"/>
    </row>
    <row r="7" spans="1:17" ht="29.15" customHeight="1" x14ac:dyDescent="0.4">
      <c r="A7" s="723"/>
      <c r="B7" s="723"/>
      <c r="C7" s="735" t="s">
        <v>133</v>
      </c>
      <c r="D7" s="76" t="s">
        <v>134</v>
      </c>
      <c r="E7" s="76" t="s">
        <v>135</v>
      </c>
      <c r="F7" s="722" t="s">
        <v>136</v>
      </c>
      <c r="G7" s="101"/>
      <c r="H7" s="103" t="s">
        <v>137</v>
      </c>
      <c r="I7" s="77" t="s">
        <v>133</v>
      </c>
      <c r="J7" s="77" t="s">
        <v>186</v>
      </c>
      <c r="K7" s="123" t="s">
        <v>138</v>
      </c>
      <c r="L7" s="123" t="s">
        <v>139</v>
      </c>
      <c r="M7" s="123" t="s">
        <v>140</v>
      </c>
      <c r="N7" s="123" t="s">
        <v>141</v>
      </c>
      <c r="O7" s="123" t="s">
        <v>142</v>
      </c>
      <c r="P7" s="82" t="s">
        <v>187</v>
      </c>
      <c r="Q7" s="123" t="s">
        <v>188</v>
      </c>
    </row>
    <row r="8" spans="1:17" ht="26.15" hidden="1" customHeight="1" x14ac:dyDescent="0.4">
      <c r="A8" s="724"/>
      <c r="B8" s="724"/>
      <c r="C8" s="736"/>
      <c r="D8" s="76" t="s">
        <v>143</v>
      </c>
      <c r="E8" s="76" t="s">
        <v>143</v>
      </c>
      <c r="F8" s="724"/>
      <c r="G8" s="102"/>
      <c r="H8" s="103" t="s">
        <v>144</v>
      </c>
      <c r="I8" s="77"/>
      <c r="J8" s="77"/>
      <c r="K8" s="2"/>
      <c r="L8" s="2"/>
      <c r="M8" s="2"/>
      <c r="N8" s="2"/>
      <c r="O8" s="2"/>
      <c r="P8" s="82"/>
      <c r="Q8" s="2"/>
    </row>
    <row r="9" spans="1:17" s="29" customFormat="1" x14ac:dyDescent="0.4">
      <c r="A9" s="84">
        <v>1</v>
      </c>
      <c r="B9" s="84" t="s">
        <v>146</v>
      </c>
      <c r="C9" s="84">
        <v>100000</v>
      </c>
      <c r="D9" s="84"/>
      <c r="E9" s="84"/>
      <c r="F9" s="84">
        <f t="shared" ref="F9:F40" si="0">SUM(C9:E9)</f>
        <v>100000</v>
      </c>
      <c r="G9" s="84" t="b">
        <f>F9=H9</f>
        <v>1</v>
      </c>
      <c r="H9" s="118">
        <f>Summary!H9</f>
        <v>100000</v>
      </c>
      <c r="I9" s="84">
        <v>200000</v>
      </c>
      <c r="J9" s="84">
        <v>500000</v>
      </c>
      <c r="K9" s="117">
        <v>100000</v>
      </c>
      <c r="L9" s="117">
        <v>100000</v>
      </c>
      <c r="M9" s="117">
        <v>100000</v>
      </c>
      <c r="N9" s="117">
        <v>100000</v>
      </c>
      <c r="O9" s="117">
        <v>100000</v>
      </c>
      <c r="P9" s="126">
        <f>SUM(I9:O9)</f>
        <v>1200000</v>
      </c>
      <c r="Q9" s="124">
        <f>H9-P9</f>
        <v>-1100000</v>
      </c>
    </row>
    <row r="10" spans="1:17" s="29" customFormat="1" x14ac:dyDescent="0.4">
      <c r="A10" s="84">
        <f t="shared" ref="A10:A73" si="1">A9+1</f>
        <v>2</v>
      </c>
      <c r="B10" s="84" t="s">
        <v>148</v>
      </c>
      <c r="C10" s="84">
        <v>200000</v>
      </c>
      <c r="D10" s="84">
        <v>100000</v>
      </c>
      <c r="E10" s="84">
        <v>330000</v>
      </c>
      <c r="F10" s="84">
        <f t="shared" si="0"/>
        <v>630000</v>
      </c>
      <c r="G10" s="84" t="b">
        <f t="shared" ref="G10:G73" si="2">F10=H10</f>
        <v>1</v>
      </c>
      <c r="H10" s="118">
        <f>Summary!H10</f>
        <v>630000</v>
      </c>
      <c r="I10" s="84">
        <v>200000</v>
      </c>
      <c r="J10" s="84">
        <v>500000</v>
      </c>
      <c r="K10" s="117">
        <v>100000</v>
      </c>
      <c r="L10" s="117">
        <v>100000</v>
      </c>
      <c r="M10" s="117">
        <v>100000</v>
      </c>
      <c r="N10" s="117">
        <v>100000</v>
      </c>
      <c r="O10" s="117">
        <v>100000</v>
      </c>
      <c r="P10" s="126">
        <f t="shared" ref="P10:P67" si="3">SUM(I10:O10)</f>
        <v>1200000</v>
      </c>
      <c r="Q10" s="124">
        <f t="shared" ref="Q10:Q73" si="4">H10-P10</f>
        <v>-570000</v>
      </c>
    </row>
    <row r="11" spans="1:17" s="29" customFormat="1" x14ac:dyDescent="0.4">
      <c r="A11" s="84">
        <f t="shared" si="1"/>
        <v>3</v>
      </c>
      <c r="B11" s="84" t="s">
        <v>149</v>
      </c>
      <c r="C11" s="84">
        <v>200000</v>
      </c>
      <c r="D11" s="84">
        <v>100000</v>
      </c>
      <c r="E11" s="84">
        <v>700000</v>
      </c>
      <c r="F11" s="84">
        <f t="shared" si="0"/>
        <v>1000000</v>
      </c>
      <c r="G11" s="84" t="b">
        <f t="shared" si="2"/>
        <v>1</v>
      </c>
      <c r="H11" s="118">
        <f>Summary!H11</f>
        <v>1000000</v>
      </c>
      <c r="I11" s="84">
        <v>200000</v>
      </c>
      <c r="J11" s="84">
        <v>500000</v>
      </c>
      <c r="K11" s="117">
        <v>100000</v>
      </c>
      <c r="L11" s="117">
        <v>100000</v>
      </c>
      <c r="M11" s="117">
        <v>100000</v>
      </c>
      <c r="N11" s="117">
        <v>100000</v>
      </c>
      <c r="O11" s="117">
        <v>100000</v>
      </c>
      <c r="P11" s="126">
        <f t="shared" si="3"/>
        <v>1200000</v>
      </c>
      <c r="Q11" s="124">
        <f t="shared" si="4"/>
        <v>-200000</v>
      </c>
    </row>
    <row r="12" spans="1:17" s="30" customFormat="1" x14ac:dyDescent="0.4">
      <c r="A12" s="84">
        <f t="shared" si="1"/>
        <v>4</v>
      </c>
      <c r="B12" s="84" t="s">
        <v>150</v>
      </c>
      <c r="C12" s="84">
        <v>200000</v>
      </c>
      <c r="D12" s="84">
        <v>100000</v>
      </c>
      <c r="E12" s="84">
        <v>700000</v>
      </c>
      <c r="F12" s="84">
        <f t="shared" si="0"/>
        <v>1000000</v>
      </c>
      <c r="G12" s="84" t="b">
        <f t="shared" si="2"/>
        <v>1</v>
      </c>
      <c r="H12" s="118">
        <f>Summary!H12</f>
        <v>1000000</v>
      </c>
      <c r="I12" s="84">
        <v>200000</v>
      </c>
      <c r="J12" s="84">
        <v>500000</v>
      </c>
      <c r="K12" s="117">
        <v>100000</v>
      </c>
      <c r="L12" s="117">
        <v>100000</v>
      </c>
      <c r="M12" s="117">
        <v>100000</v>
      </c>
      <c r="N12" s="117">
        <v>100000</v>
      </c>
      <c r="O12" s="117">
        <v>100000</v>
      </c>
      <c r="P12" s="126">
        <f t="shared" si="3"/>
        <v>1200000</v>
      </c>
      <c r="Q12" s="124">
        <f t="shared" si="4"/>
        <v>-200000</v>
      </c>
    </row>
    <row r="13" spans="1:17" s="29" customFormat="1" x14ac:dyDescent="0.4">
      <c r="A13" s="84">
        <f t="shared" si="1"/>
        <v>5</v>
      </c>
      <c r="B13" s="84" t="s">
        <v>151</v>
      </c>
      <c r="C13" s="84">
        <v>200000</v>
      </c>
      <c r="D13" s="84">
        <v>100000</v>
      </c>
      <c r="E13" s="84">
        <v>700000</v>
      </c>
      <c r="F13" s="84">
        <f t="shared" si="0"/>
        <v>1000000</v>
      </c>
      <c r="G13" s="84" t="b">
        <f t="shared" si="2"/>
        <v>1</v>
      </c>
      <c r="H13" s="118">
        <f>Summary!H13</f>
        <v>1000000</v>
      </c>
      <c r="I13" s="84">
        <v>200000</v>
      </c>
      <c r="J13" s="84">
        <v>500000</v>
      </c>
      <c r="K13" s="117">
        <v>100000</v>
      </c>
      <c r="L13" s="117">
        <v>100000</v>
      </c>
      <c r="M13" s="117">
        <v>100000</v>
      </c>
      <c r="N13" s="117">
        <v>100000</v>
      </c>
      <c r="O13" s="117">
        <v>100000</v>
      </c>
      <c r="P13" s="126">
        <f t="shared" si="3"/>
        <v>1200000</v>
      </c>
      <c r="Q13" s="124">
        <f t="shared" si="4"/>
        <v>-200000</v>
      </c>
    </row>
    <row r="14" spans="1:17" s="29" customFormat="1" x14ac:dyDescent="0.4">
      <c r="A14" s="84">
        <f t="shared" si="1"/>
        <v>6</v>
      </c>
      <c r="B14" s="84" t="s">
        <v>152</v>
      </c>
      <c r="C14" s="84">
        <v>200000</v>
      </c>
      <c r="D14" s="84">
        <v>100000</v>
      </c>
      <c r="E14" s="84">
        <v>700000</v>
      </c>
      <c r="F14" s="84">
        <f t="shared" si="0"/>
        <v>1000000</v>
      </c>
      <c r="G14" s="84" t="b">
        <f t="shared" si="2"/>
        <v>1</v>
      </c>
      <c r="H14" s="118">
        <f>Summary!H14</f>
        <v>1000000</v>
      </c>
      <c r="I14" s="84">
        <v>200000</v>
      </c>
      <c r="J14" s="84">
        <v>500000</v>
      </c>
      <c r="K14" s="117">
        <v>100000</v>
      </c>
      <c r="L14" s="117">
        <v>100000</v>
      </c>
      <c r="M14" s="117">
        <v>100000</v>
      </c>
      <c r="N14" s="117">
        <v>100000</v>
      </c>
      <c r="O14" s="117">
        <v>100000</v>
      </c>
      <c r="P14" s="126">
        <f t="shared" si="3"/>
        <v>1200000</v>
      </c>
      <c r="Q14" s="124">
        <f t="shared" si="4"/>
        <v>-200000</v>
      </c>
    </row>
    <row r="15" spans="1:17" s="29" customFormat="1" x14ac:dyDescent="0.4">
      <c r="A15" s="84">
        <f t="shared" si="1"/>
        <v>7</v>
      </c>
      <c r="B15" s="84" t="s">
        <v>153</v>
      </c>
      <c r="C15" s="84">
        <v>200000</v>
      </c>
      <c r="D15" s="84">
        <v>100000</v>
      </c>
      <c r="E15" s="84">
        <v>920000</v>
      </c>
      <c r="F15" s="84">
        <f t="shared" si="0"/>
        <v>1220000</v>
      </c>
      <c r="G15" s="84" t="b">
        <f t="shared" si="2"/>
        <v>1</v>
      </c>
      <c r="H15" s="118">
        <f>Summary!H15</f>
        <v>1220000</v>
      </c>
      <c r="I15" s="84">
        <v>200000</v>
      </c>
      <c r="J15" s="84">
        <v>500000</v>
      </c>
      <c r="K15" s="117">
        <v>100000</v>
      </c>
      <c r="L15" s="117">
        <v>100000</v>
      </c>
      <c r="M15" s="117">
        <v>100000</v>
      </c>
      <c r="N15" s="117">
        <v>100000</v>
      </c>
      <c r="O15" s="117">
        <v>100000</v>
      </c>
      <c r="P15" s="126">
        <f t="shared" si="3"/>
        <v>1200000</v>
      </c>
      <c r="Q15" s="129">
        <f t="shared" si="4"/>
        <v>20000</v>
      </c>
    </row>
    <row r="16" spans="1:17" s="29" customFormat="1" x14ac:dyDescent="0.4">
      <c r="A16" s="84">
        <f t="shared" si="1"/>
        <v>8</v>
      </c>
      <c r="B16" s="84" t="s">
        <v>46</v>
      </c>
      <c r="C16" s="84">
        <v>200000</v>
      </c>
      <c r="D16" s="84">
        <v>100000</v>
      </c>
      <c r="E16" s="84">
        <v>700000</v>
      </c>
      <c r="F16" s="84">
        <f t="shared" si="0"/>
        <v>1000000</v>
      </c>
      <c r="G16" s="84" t="b">
        <f t="shared" si="2"/>
        <v>1</v>
      </c>
      <c r="H16" s="118">
        <f>Summary!H16</f>
        <v>1000000</v>
      </c>
      <c r="I16" s="84">
        <v>200000</v>
      </c>
      <c r="J16" s="84">
        <v>500000</v>
      </c>
      <c r="K16" s="117">
        <v>100000</v>
      </c>
      <c r="L16" s="117">
        <v>100000</v>
      </c>
      <c r="M16" s="117">
        <v>100000</v>
      </c>
      <c r="N16" s="117">
        <v>100000</v>
      </c>
      <c r="O16" s="117">
        <v>100000</v>
      </c>
      <c r="P16" s="126">
        <f t="shared" si="3"/>
        <v>1200000</v>
      </c>
      <c r="Q16" s="124">
        <f t="shared" si="4"/>
        <v>-200000</v>
      </c>
    </row>
    <row r="17" spans="1:17" s="29" customFormat="1" x14ac:dyDescent="0.4">
      <c r="A17" s="84">
        <f t="shared" si="1"/>
        <v>9</v>
      </c>
      <c r="B17" s="84" t="s">
        <v>51</v>
      </c>
      <c r="C17" s="84">
        <v>200000</v>
      </c>
      <c r="D17" s="84">
        <v>100000</v>
      </c>
      <c r="E17" s="84">
        <v>700000</v>
      </c>
      <c r="F17" s="84">
        <f t="shared" si="0"/>
        <v>1000000</v>
      </c>
      <c r="G17" s="84" t="b">
        <f t="shared" si="2"/>
        <v>1</v>
      </c>
      <c r="H17" s="118">
        <f>Summary!H17</f>
        <v>1000000</v>
      </c>
      <c r="I17" s="84">
        <v>200000</v>
      </c>
      <c r="J17" s="84">
        <v>500000</v>
      </c>
      <c r="K17" s="117">
        <v>100000</v>
      </c>
      <c r="L17" s="117">
        <v>100000</v>
      </c>
      <c r="M17" s="117">
        <v>100000</v>
      </c>
      <c r="N17" s="117">
        <v>100000</v>
      </c>
      <c r="O17" s="117">
        <v>100000</v>
      </c>
      <c r="P17" s="126">
        <f t="shared" si="3"/>
        <v>1200000</v>
      </c>
      <c r="Q17" s="124">
        <f t="shared" si="4"/>
        <v>-200000</v>
      </c>
    </row>
    <row r="18" spans="1:17" s="29" customFormat="1" x14ac:dyDescent="0.4">
      <c r="A18" s="84">
        <f t="shared" si="1"/>
        <v>10</v>
      </c>
      <c r="B18" s="84" t="s">
        <v>33</v>
      </c>
      <c r="C18" s="84">
        <v>200000</v>
      </c>
      <c r="D18" s="84">
        <v>100000</v>
      </c>
      <c r="E18" s="84">
        <v>1000000</v>
      </c>
      <c r="F18" s="84">
        <f t="shared" si="0"/>
        <v>1300000</v>
      </c>
      <c r="G18" s="84" t="b">
        <f t="shared" si="2"/>
        <v>1</v>
      </c>
      <c r="H18" s="118">
        <f>Summary!H18</f>
        <v>1300000</v>
      </c>
      <c r="I18" s="84">
        <v>200000</v>
      </c>
      <c r="J18" s="84">
        <v>500000</v>
      </c>
      <c r="K18" s="117">
        <v>100000</v>
      </c>
      <c r="L18" s="117">
        <v>100000</v>
      </c>
      <c r="M18" s="117">
        <v>100000</v>
      </c>
      <c r="N18" s="117">
        <v>100000</v>
      </c>
      <c r="O18" s="117">
        <v>100000</v>
      </c>
      <c r="P18" s="126">
        <f t="shared" si="3"/>
        <v>1200000</v>
      </c>
      <c r="Q18" s="129">
        <f t="shared" si="4"/>
        <v>100000</v>
      </c>
    </row>
    <row r="19" spans="1:17" s="29" customFormat="1" x14ac:dyDescent="0.4">
      <c r="A19" s="84">
        <f t="shared" si="1"/>
        <v>11</v>
      </c>
      <c r="B19" s="84" t="s">
        <v>82</v>
      </c>
      <c r="C19" s="84">
        <v>200000</v>
      </c>
      <c r="D19" s="84">
        <v>100000</v>
      </c>
      <c r="E19" s="84">
        <v>700000</v>
      </c>
      <c r="F19" s="84">
        <f t="shared" si="0"/>
        <v>1000000</v>
      </c>
      <c r="G19" s="84" t="b">
        <f t="shared" si="2"/>
        <v>1</v>
      </c>
      <c r="H19" s="118">
        <f>Summary!H19</f>
        <v>1000000</v>
      </c>
      <c r="I19" s="84">
        <v>200000</v>
      </c>
      <c r="J19" s="84">
        <v>500000</v>
      </c>
      <c r="K19" s="117">
        <v>100000</v>
      </c>
      <c r="L19" s="117">
        <v>100000</v>
      </c>
      <c r="M19" s="117">
        <v>100000</v>
      </c>
      <c r="N19" s="117">
        <v>100000</v>
      </c>
      <c r="O19" s="117">
        <v>100000</v>
      </c>
      <c r="P19" s="126">
        <f t="shared" si="3"/>
        <v>1200000</v>
      </c>
      <c r="Q19" s="124">
        <f t="shared" si="4"/>
        <v>-200000</v>
      </c>
    </row>
    <row r="20" spans="1:17" s="29" customFormat="1" x14ac:dyDescent="0.4">
      <c r="A20" s="84">
        <f t="shared" si="1"/>
        <v>12</v>
      </c>
      <c r="B20" s="84" t="s">
        <v>50</v>
      </c>
      <c r="C20" s="84">
        <v>200000</v>
      </c>
      <c r="D20" s="84">
        <v>100000</v>
      </c>
      <c r="E20" s="84">
        <v>700000</v>
      </c>
      <c r="F20" s="84">
        <f t="shared" si="0"/>
        <v>1000000</v>
      </c>
      <c r="G20" s="84" t="b">
        <f t="shared" si="2"/>
        <v>0</v>
      </c>
      <c r="H20" s="118">
        <f>Summary!H20</f>
        <v>1300000</v>
      </c>
      <c r="I20" s="84">
        <v>200000</v>
      </c>
      <c r="J20" s="84">
        <v>500000</v>
      </c>
      <c r="K20" s="117">
        <v>100000</v>
      </c>
      <c r="L20" s="117">
        <v>100000</v>
      </c>
      <c r="M20" s="117">
        <v>100000</v>
      </c>
      <c r="N20" s="117">
        <v>100000</v>
      </c>
      <c r="O20" s="117">
        <v>100000</v>
      </c>
      <c r="P20" s="126">
        <f t="shared" si="3"/>
        <v>1200000</v>
      </c>
      <c r="Q20" s="133">
        <f t="shared" si="4"/>
        <v>100000</v>
      </c>
    </row>
    <row r="21" spans="1:17" s="29" customFormat="1" x14ac:dyDescent="0.4">
      <c r="A21" s="84">
        <f t="shared" si="1"/>
        <v>13</v>
      </c>
      <c r="B21" s="84" t="s">
        <v>154</v>
      </c>
      <c r="C21" s="84">
        <v>200000</v>
      </c>
      <c r="D21" s="84">
        <v>100000</v>
      </c>
      <c r="E21" s="84">
        <v>500000</v>
      </c>
      <c r="F21" s="84">
        <f t="shared" si="0"/>
        <v>800000</v>
      </c>
      <c r="G21" s="84" t="b">
        <f t="shared" si="2"/>
        <v>1</v>
      </c>
      <c r="H21" s="118">
        <f>Summary!H21</f>
        <v>800000</v>
      </c>
      <c r="I21" s="84">
        <v>200000</v>
      </c>
      <c r="J21" s="84">
        <v>500000</v>
      </c>
      <c r="K21" s="117">
        <v>100000</v>
      </c>
      <c r="L21" s="117">
        <v>100000</v>
      </c>
      <c r="M21" s="117">
        <v>100000</v>
      </c>
      <c r="N21" s="117">
        <v>100000</v>
      </c>
      <c r="O21" s="117">
        <v>100000</v>
      </c>
      <c r="P21" s="126">
        <f t="shared" si="3"/>
        <v>1200000</v>
      </c>
      <c r="Q21" s="124">
        <f t="shared" si="4"/>
        <v>-400000</v>
      </c>
    </row>
    <row r="22" spans="1:17" s="29" customFormat="1" x14ac:dyDescent="0.4">
      <c r="A22" s="84">
        <f t="shared" si="1"/>
        <v>14</v>
      </c>
      <c r="B22" s="84" t="s">
        <v>155</v>
      </c>
      <c r="C22" s="84">
        <v>200000</v>
      </c>
      <c r="D22" s="84">
        <v>100000</v>
      </c>
      <c r="E22" s="84">
        <v>700000</v>
      </c>
      <c r="F22" s="84">
        <f t="shared" si="0"/>
        <v>1000000</v>
      </c>
      <c r="G22" s="84" t="b">
        <f t="shared" si="2"/>
        <v>1</v>
      </c>
      <c r="H22" s="118">
        <f>Summary!H22</f>
        <v>1000000</v>
      </c>
      <c r="I22" s="84">
        <v>200000</v>
      </c>
      <c r="J22" s="84">
        <v>500000</v>
      </c>
      <c r="K22" s="117">
        <v>100000</v>
      </c>
      <c r="L22" s="117">
        <v>100000</v>
      </c>
      <c r="M22" s="117">
        <v>100000</v>
      </c>
      <c r="N22" s="117">
        <v>100000</v>
      </c>
      <c r="O22" s="117">
        <v>100000</v>
      </c>
      <c r="P22" s="126">
        <f t="shared" si="3"/>
        <v>1200000</v>
      </c>
      <c r="Q22" s="124">
        <f t="shared" si="4"/>
        <v>-200000</v>
      </c>
    </row>
    <row r="23" spans="1:17" s="29" customFormat="1" x14ac:dyDescent="0.4">
      <c r="A23" s="84">
        <f t="shared" si="1"/>
        <v>15</v>
      </c>
      <c r="B23" s="84" t="s">
        <v>156</v>
      </c>
      <c r="C23" s="84">
        <v>200000</v>
      </c>
      <c r="D23" s="84">
        <v>100000</v>
      </c>
      <c r="E23" s="84">
        <v>700000</v>
      </c>
      <c r="F23" s="84">
        <f t="shared" si="0"/>
        <v>1000000</v>
      </c>
      <c r="G23" s="84" t="b">
        <f t="shared" si="2"/>
        <v>1</v>
      </c>
      <c r="H23" s="118">
        <f>Summary!H23</f>
        <v>1000000</v>
      </c>
      <c r="I23" s="84">
        <v>200000</v>
      </c>
      <c r="J23" s="84">
        <v>500000</v>
      </c>
      <c r="K23" s="117">
        <v>100000</v>
      </c>
      <c r="L23" s="117">
        <v>100000</v>
      </c>
      <c r="M23" s="117">
        <v>100000</v>
      </c>
      <c r="N23" s="117">
        <v>100000</v>
      </c>
      <c r="O23" s="117">
        <v>100000</v>
      </c>
      <c r="P23" s="126">
        <f t="shared" si="3"/>
        <v>1200000</v>
      </c>
      <c r="Q23" s="124">
        <f t="shared" si="4"/>
        <v>-200000</v>
      </c>
    </row>
    <row r="24" spans="1:17" s="29" customFormat="1" x14ac:dyDescent="0.4">
      <c r="A24" s="84">
        <f t="shared" si="1"/>
        <v>16</v>
      </c>
      <c r="B24" s="84" t="s">
        <v>157</v>
      </c>
      <c r="C24" s="84">
        <v>200000</v>
      </c>
      <c r="D24" s="84">
        <v>100000</v>
      </c>
      <c r="E24" s="84">
        <v>700000</v>
      </c>
      <c r="F24" s="84">
        <f t="shared" si="0"/>
        <v>1000000</v>
      </c>
      <c r="G24" s="84" t="b">
        <f t="shared" si="2"/>
        <v>1</v>
      </c>
      <c r="H24" s="118">
        <f>Summary!H24</f>
        <v>1000000</v>
      </c>
      <c r="I24" s="84">
        <v>200000</v>
      </c>
      <c r="J24" s="84">
        <v>500000</v>
      </c>
      <c r="K24" s="117">
        <v>100000</v>
      </c>
      <c r="L24" s="117">
        <v>100000</v>
      </c>
      <c r="M24" s="117">
        <v>100000</v>
      </c>
      <c r="N24" s="117">
        <v>100000</v>
      </c>
      <c r="O24" s="117">
        <v>100000</v>
      </c>
      <c r="P24" s="126">
        <f t="shared" si="3"/>
        <v>1200000</v>
      </c>
      <c r="Q24" s="124">
        <f t="shared" si="4"/>
        <v>-200000</v>
      </c>
    </row>
    <row r="25" spans="1:17" s="29" customFormat="1" x14ac:dyDescent="0.4">
      <c r="A25" s="84">
        <f t="shared" si="1"/>
        <v>17</v>
      </c>
      <c r="B25" s="84" t="s">
        <v>158</v>
      </c>
      <c r="C25" s="84">
        <v>200000</v>
      </c>
      <c r="D25" s="84">
        <v>100000</v>
      </c>
      <c r="E25" s="84">
        <v>950000</v>
      </c>
      <c r="F25" s="84">
        <f t="shared" si="0"/>
        <v>1250000</v>
      </c>
      <c r="G25" s="84" t="b">
        <f t="shared" si="2"/>
        <v>1</v>
      </c>
      <c r="H25" s="118">
        <f>Summary!H25</f>
        <v>1250000</v>
      </c>
      <c r="I25" s="84">
        <v>200000</v>
      </c>
      <c r="J25" s="84">
        <v>500000</v>
      </c>
      <c r="K25" s="117">
        <v>100000</v>
      </c>
      <c r="L25" s="117">
        <v>100000</v>
      </c>
      <c r="M25" s="117">
        <v>100000</v>
      </c>
      <c r="N25" s="117">
        <v>100000</v>
      </c>
      <c r="O25" s="117">
        <v>100000</v>
      </c>
      <c r="P25" s="126">
        <f t="shared" si="3"/>
        <v>1200000</v>
      </c>
      <c r="Q25" s="129">
        <f t="shared" si="4"/>
        <v>50000</v>
      </c>
    </row>
    <row r="26" spans="1:17" s="29" customFormat="1" x14ac:dyDescent="0.4">
      <c r="A26" s="84">
        <f t="shared" si="1"/>
        <v>18</v>
      </c>
      <c r="B26" s="84" t="s">
        <v>159</v>
      </c>
      <c r="C26" s="84">
        <v>200000</v>
      </c>
      <c r="D26" s="84">
        <v>100000</v>
      </c>
      <c r="E26" s="84">
        <v>700000</v>
      </c>
      <c r="F26" s="84">
        <f t="shared" si="0"/>
        <v>1000000</v>
      </c>
      <c r="G26" s="84" t="b">
        <f t="shared" si="2"/>
        <v>1</v>
      </c>
      <c r="H26" s="118">
        <f>Summary!H26</f>
        <v>1000000</v>
      </c>
      <c r="I26" s="84">
        <v>200000</v>
      </c>
      <c r="J26" s="84">
        <v>500000</v>
      </c>
      <c r="K26" s="117">
        <v>100000</v>
      </c>
      <c r="L26" s="117">
        <v>100000</v>
      </c>
      <c r="M26" s="117">
        <v>100000</v>
      </c>
      <c r="N26" s="117">
        <v>100000</v>
      </c>
      <c r="O26" s="117">
        <v>100000</v>
      </c>
      <c r="P26" s="126">
        <f t="shared" si="3"/>
        <v>1200000</v>
      </c>
      <c r="Q26" s="124">
        <f t="shared" si="4"/>
        <v>-200000</v>
      </c>
    </row>
    <row r="27" spans="1:17" s="29" customFormat="1" x14ac:dyDescent="0.4">
      <c r="A27" s="84">
        <f t="shared" si="1"/>
        <v>19</v>
      </c>
      <c r="B27" s="84" t="s">
        <v>39</v>
      </c>
      <c r="C27" s="84">
        <v>200000</v>
      </c>
      <c r="D27" s="84">
        <v>100000</v>
      </c>
      <c r="E27" s="84">
        <v>700000</v>
      </c>
      <c r="F27" s="84">
        <f t="shared" si="0"/>
        <v>1000000</v>
      </c>
      <c r="G27" s="84" t="b">
        <f t="shared" si="2"/>
        <v>1</v>
      </c>
      <c r="H27" s="118">
        <f>Summary!H27</f>
        <v>1000000</v>
      </c>
      <c r="I27" s="84">
        <v>200000</v>
      </c>
      <c r="J27" s="84">
        <v>500000</v>
      </c>
      <c r="K27" s="117">
        <v>100000</v>
      </c>
      <c r="L27" s="117">
        <v>100000</v>
      </c>
      <c r="M27" s="117">
        <v>100000</v>
      </c>
      <c r="N27" s="117">
        <v>100000</v>
      </c>
      <c r="O27" s="117">
        <v>100000</v>
      </c>
      <c r="P27" s="126">
        <f t="shared" si="3"/>
        <v>1200000</v>
      </c>
      <c r="Q27" s="124">
        <f t="shared" si="4"/>
        <v>-200000</v>
      </c>
    </row>
    <row r="28" spans="1:17" s="29" customFormat="1" x14ac:dyDescent="0.4">
      <c r="A28" s="84">
        <f t="shared" si="1"/>
        <v>20</v>
      </c>
      <c r="B28" s="84" t="s">
        <v>42</v>
      </c>
      <c r="C28" s="84">
        <v>200000</v>
      </c>
      <c r="D28" s="84">
        <v>100000</v>
      </c>
      <c r="E28" s="84">
        <v>710000</v>
      </c>
      <c r="F28" s="84">
        <f t="shared" si="0"/>
        <v>1010000</v>
      </c>
      <c r="G28" s="84" t="b">
        <f t="shared" si="2"/>
        <v>1</v>
      </c>
      <c r="H28" s="118">
        <f>Summary!H28</f>
        <v>1010000</v>
      </c>
      <c r="I28" s="84">
        <v>200000</v>
      </c>
      <c r="J28" s="84">
        <v>500000</v>
      </c>
      <c r="K28" s="117">
        <v>100000</v>
      </c>
      <c r="L28" s="117">
        <v>100000</v>
      </c>
      <c r="M28" s="117">
        <v>100000</v>
      </c>
      <c r="N28" s="117">
        <v>100000</v>
      </c>
      <c r="O28" s="117">
        <v>100000</v>
      </c>
      <c r="P28" s="126">
        <f t="shared" si="3"/>
        <v>1200000</v>
      </c>
      <c r="Q28" s="124">
        <f t="shared" si="4"/>
        <v>-190000</v>
      </c>
    </row>
    <row r="29" spans="1:17" s="1" customFormat="1" x14ac:dyDescent="0.4">
      <c r="A29" s="84">
        <f t="shared" si="1"/>
        <v>21</v>
      </c>
      <c r="B29" s="84" t="s">
        <v>71</v>
      </c>
      <c r="C29" s="84">
        <v>200000</v>
      </c>
      <c r="D29" s="84">
        <v>100000</v>
      </c>
      <c r="E29" s="84">
        <v>700000</v>
      </c>
      <c r="F29" s="84">
        <f t="shared" si="0"/>
        <v>1000000</v>
      </c>
      <c r="G29" s="84" t="b">
        <f t="shared" si="2"/>
        <v>1</v>
      </c>
      <c r="H29" s="118">
        <f>Summary!H29</f>
        <v>1000000</v>
      </c>
      <c r="I29" s="84">
        <v>200000</v>
      </c>
      <c r="J29" s="84">
        <v>500000</v>
      </c>
      <c r="K29" s="117">
        <v>100000</v>
      </c>
      <c r="L29" s="117">
        <v>100000</v>
      </c>
      <c r="M29" s="117">
        <v>100000</v>
      </c>
      <c r="N29" s="117">
        <v>100000</v>
      </c>
      <c r="O29" s="117">
        <v>100000</v>
      </c>
      <c r="P29" s="126">
        <f t="shared" si="3"/>
        <v>1200000</v>
      </c>
      <c r="Q29" s="124">
        <f t="shared" si="4"/>
        <v>-200000</v>
      </c>
    </row>
    <row r="30" spans="1:17" s="1" customFormat="1" x14ac:dyDescent="0.4">
      <c r="A30" s="84">
        <f t="shared" si="1"/>
        <v>22</v>
      </c>
      <c r="B30" s="84" t="s">
        <v>43</v>
      </c>
      <c r="C30" s="84">
        <v>200000</v>
      </c>
      <c r="D30" s="84">
        <v>100000</v>
      </c>
      <c r="E30" s="84">
        <v>740000</v>
      </c>
      <c r="F30" s="84">
        <f t="shared" si="0"/>
        <v>1040000</v>
      </c>
      <c r="G30" s="84" t="b">
        <f t="shared" si="2"/>
        <v>1</v>
      </c>
      <c r="H30" s="118">
        <f>Summary!H30</f>
        <v>1040000</v>
      </c>
      <c r="I30" s="84">
        <v>200000</v>
      </c>
      <c r="J30" s="84">
        <v>500000</v>
      </c>
      <c r="K30" s="117">
        <v>100000</v>
      </c>
      <c r="L30" s="117">
        <v>100000</v>
      </c>
      <c r="M30" s="117">
        <v>100000</v>
      </c>
      <c r="N30" s="117">
        <v>100000</v>
      </c>
      <c r="O30" s="117">
        <v>100000</v>
      </c>
      <c r="P30" s="126">
        <f t="shared" si="3"/>
        <v>1200000</v>
      </c>
      <c r="Q30" s="124">
        <f t="shared" si="4"/>
        <v>-160000</v>
      </c>
    </row>
    <row r="31" spans="1:17" s="1" customFormat="1" x14ac:dyDescent="0.4">
      <c r="A31" s="84">
        <f t="shared" si="1"/>
        <v>23</v>
      </c>
      <c r="B31" s="84" t="s">
        <v>73</v>
      </c>
      <c r="C31" s="84">
        <v>200000</v>
      </c>
      <c r="D31" s="84">
        <v>100000</v>
      </c>
      <c r="E31" s="84">
        <v>700000</v>
      </c>
      <c r="F31" s="84">
        <f t="shared" si="0"/>
        <v>1000000</v>
      </c>
      <c r="G31" s="84" t="b">
        <f t="shared" si="2"/>
        <v>1</v>
      </c>
      <c r="H31" s="118">
        <f>Summary!H31</f>
        <v>1000000</v>
      </c>
      <c r="I31" s="84">
        <v>200000</v>
      </c>
      <c r="J31" s="84">
        <v>500000</v>
      </c>
      <c r="K31" s="117">
        <v>100000</v>
      </c>
      <c r="L31" s="117">
        <v>100000</v>
      </c>
      <c r="M31" s="117">
        <v>100000</v>
      </c>
      <c r="N31" s="117">
        <v>100000</v>
      </c>
      <c r="O31" s="117">
        <v>100000</v>
      </c>
      <c r="P31" s="126">
        <f t="shared" si="3"/>
        <v>1200000</v>
      </c>
      <c r="Q31" s="124">
        <f t="shared" si="4"/>
        <v>-200000</v>
      </c>
    </row>
    <row r="32" spans="1:17" s="1" customFormat="1" x14ac:dyDescent="0.4">
      <c r="A32" s="84">
        <f t="shared" si="1"/>
        <v>24</v>
      </c>
      <c r="B32" s="84" t="s">
        <v>60</v>
      </c>
      <c r="C32" s="84">
        <v>200000</v>
      </c>
      <c r="D32" s="84">
        <v>100000</v>
      </c>
      <c r="E32" s="84">
        <v>800000</v>
      </c>
      <c r="F32" s="84">
        <f t="shared" si="0"/>
        <v>1100000</v>
      </c>
      <c r="G32" s="84" t="b">
        <f t="shared" si="2"/>
        <v>1</v>
      </c>
      <c r="H32" s="118">
        <f>Summary!H32</f>
        <v>1100000</v>
      </c>
      <c r="I32" s="84">
        <v>200000</v>
      </c>
      <c r="J32" s="84">
        <v>500000</v>
      </c>
      <c r="K32" s="117">
        <v>100000</v>
      </c>
      <c r="L32" s="117">
        <v>100000</v>
      </c>
      <c r="M32" s="117">
        <v>100000</v>
      </c>
      <c r="N32" s="117">
        <v>100000</v>
      </c>
      <c r="O32" s="117">
        <v>100000</v>
      </c>
      <c r="P32" s="126">
        <f t="shared" si="3"/>
        <v>1200000</v>
      </c>
      <c r="Q32" s="124">
        <f t="shared" si="4"/>
        <v>-100000</v>
      </c>
    </row>
    <row r="33" spans="1:17" s="1" customFormat="1" x14ac:dyDescent="0.4">
      <c r="A33" s="84">
        <f t="shared" si="1"/>
        <v>25</v>
      </c>
      <c r="B33" s="84" t="s">
        <v>63</v>
      </c>
      <c r="C33" s="84">
        <v>200000</v>
      </c>
      <c r="D33" s="84">
        <v>100000</v>
      </c>
      <c r="E33" s="84">
        <v>700000</v>
      </c>
      <c r="F33" s="84">
        <f t="shared" si="0"/>
        <v>1000000</v>
      </c>
      <c r="G33" s="84" t="b">
        <f t="shared" si="2"/>
        <v>1</v>
      </c>
      <c r="H33" s="118">
        <f>Summary!H33</f>
        <v>1000000</v>
      </c>
      <c r="I33" s="84">
        <v>200000</v>
      </c>
      <c r="J33" s="84">
        <v>500000</v>
      </c>
      <c r="K33" s="117">
        <v>100000</v>
      </c>
      <c r="L33" s="117">
        <v>100000</v>
      </c>
      <c r="M33" s="117">
        <v>100000</v>
      </c>
      <c r="N33" s="117">
        <v>100000</v>
      </c>
      <c r="O33" s="117">
        <v>100000</v>
      </c>
      <c r="P33" s="126">
        <f t="shared" si="3"/>
        <v>1200000</v>
      </c>
      <c r="Q33" s="124">
        <f t="shared" si="4"/>
        <v>-200000</v>
      </c>
    </row>
    <row r="34" spans="1:17" s="1" customFormat="1" x14ac:dyDescent="0.4">
      <c r="A34" s="84">
        <f t="shared" si="1"/>
        <v>26</v>
      </c>
      <c r="B34" s="84" t="s">
        <v>75</v>
      </c>
      <c r="C34" s="84">
        <v>200000</v>
      </c>
      <c r="D34" s="84">
        <v>100000</v>
      </c>
      <c r="E34" s="84">
        <v>400000</v>
      </c>
      <c r="F34" s="84">
        <f t="shared" si="0"/>
        <v>700000</v>
      </c>
      <c r="G34" s="84" t="b">
        <f t="shared" si="2"/>
        <v>1</v>
      </c>
      <c r="H34" s="118">
        <f>Summary!H34</f>
        <v>700000</v>
      </c>
      <c r="I34" s="84">
        <v>200000</v>
      </c>
      <c r="J34" s="84">
        <v>500000</v>
      </c>
      <c r="K34" s="117">
        <v>100000</v>
      </c>
      <c r="L34" s="117">
        <v>100000</v>
      </c>
      <c r="M34" s="117">
        <v>100000</v>
      </c>
      <c r="N34" s="117">
        <v>100000</v>
      </c>
      <c r="O34" s="117">
        <v>100000</v>
      </c>
      <c r="P34" s="126">
        <f t="shared" si="3"/>
        <v>1200000</v>
      </c>
      <c r="Q34" s="124">
        <f t="shared" si="4"/>
        <v>-500000</v>
      </c>
    </row>
    <row r="35" spans="1:17" s="1" customFormat="1" x14ac:dyDescent="0.4">
      <c r="A35" s="84">
        <f t="shared" si="1"/>
        <v>27</v>
      </c>
      <c r="B35" s="84" t="s">
        <v>47</v>
      </c>
      <c r="C35" s="84">
        <v>100000</v>
      </c>
      <c r="D35" s="84"/>
      <c r="E35" s="84"/>
      <c r="F35" s="84">
        <f t="shared" si="0"/>
        <v>100000</v>
      </c>
      <c r="G35" s="84" t="b">
        <f t="shared" si="2"/>
        <v>1</v>
      </c>
      <c r="H35" s="118">
        <f>Summary!H35</f>
        <v>100000</v>
      </c>
      <c r="I35" s="84">
        <v>200000</v>
      </c>
      <c r="J35" s="84">
        <v>500000</v>
      </c>
      <c r="K35" s="117">
        <v>100000</v>
      </c>
      <c r="L35" s="117">
        <v>100000</v>
      </c>
      <c r="M35" s="117">
        <v>100000</v>
      </c>
      <c r="N35" s="117">
        <v>100000</v>
      </c>
      <c r="O35" s="117">
        <v>100000</v>
      </c>
      <c r="P35" s="126">
        <f t="shared" si="3"/>
        <v>1200000</v>
      </c>
      <c r="Q35" s="124">
        <f t="shared" si="4"/>
        <v>-1100000</v>
      </c>
    </row>
    <row r="36" spans="1:17" s="1" customFormat="1" x14ac:dyDescent="0.4">
      <c r="A36" s="84">
        <f t="shared" si="1"/>
        <v>28</v>
      </c>
      <c r="B36" s="84" t="s">
        <v>67</v>
      </c>
      <c r="C36" s="84">
        <v>200000</v>
      </c>
      <c r="D36" s="84">
        <v>100000</v>
      </c>
      <c r="E36" s="84">
        <v>213000</v>
      </c>
      <c r="F36" s="84">
        <f t="shared" si="0"/>
        <v>513000</v>
      </c>
      <c r="G36" s="84" t="b">
        <f t="shared" si="2"/>
        <v>1</v>
      </c>
      <c r="H36" s="118">
        <f>Summary!H36</f>
        <v>513000</v>
      </c>
      <c r="I36" s="84">
        <v>200000</v>
      </c>
      <c r="J36" s="84">
        <v>500000</v>
      </c>
      <c r="K36" s="117">
        <v>100000</v>
      </c>
      <c r="L36" s="117">
        <v>100000</v>
      </c>
      <c r="M36" s="117">
        <v>100000</v>
      </c>
      <c r="N36" s="117">
        <v>100000</v>
      </c>
      <c r="O36" s="117">
        <v>100000</v>
      </c>
      <c r="P36" s="126">
        <f t="shared" si="3"/>
        <v>1200000</v>
      </c>
      <c r="Q36" s="124">
        <f t="shared" si="4"/>
        <v>-687000</v>
      </c>
    </row>
    <row r="37" spans="1:17" s="1" customFormat="1" x14ac:dyDescent="0.4">
      <c r="A37" s="84">
        <f t="shared" si="1"/>
        <v>29</v>
      </c>
      <c r="B37" s="84" t="s">
        <v>36</v>
      </c>
      <c r="C37" s="84">
        <v>200000</v>
      </c>
      <c r="D37" s="84">
        <v>100000</v>
      </c>
      <c r="E37" s="84">
        <v>700000</v>
      </c>
      <c r="F37" s="84">
        <f t="shared" si="0"/>
        <v>1000000</v>
      </c>
      <c r="G37" s="84" t="b">
        <f t="shared" si="2"/>
        <v>1</v>
      </c>
      <c r="H37" s="118">
        <f>Summary!H37</f>
        <v>1000000</v>
      </c>
      <c r="I37" s="84">
        <v>200000</v>
      </c>
      <c r="J37" s="84">
        <v>500000</v>
      </c>
      <c r="K37" s="117">
        <v>100000</v>
      </c>
      <c r="L37" s="117">
        <v>100000</v>
      </c>
      <c r="M37" s="117">
        <v>100000</v>
      </c>
      <c r="N37" s="117">
        <v>100000</v>
      </c>
      <c r="O37" s="117">
        <v>100000</v>
      </c>
      <c r="P37" s="126">
        <f t="shared" si="3"/>
        <v>1200000</v>
      </c>
      <c r="Q37" s="124">
        <f t="shared" si="4"/>
        <v>-200000</v>
      </c>
    </row>
    <row r="38" spans="1:17" s="1" customFormat="1" x14ac:dyDescent="0.4">
      <c r="A38" s="84">
        <f t="shared" si="1"/>
        <v>30</v>
      </c>
      <c r="B38" s="84" t="s">
        <v>23</v>
      </c>
      <c r="C38" s="84">
        <v>141000</v>
      </c>
      <c r="D38" s="84"/>
      <c r="E38" s="84"/>
      <c r="F38" s="84">
        <f t="shared" si="0"/>
        <v>141000</v>
      </c>
      <c r="G38" s="84" t="b">
        <f t="shared" si="2"/>
        <v>1</v>
      </c>
      <c r="H38" s="118">
        <f>Summary!H38</f>
        <v>141000</v>
      </c>
      <c r="I38" s="84">
        <v>200000</v>
      </c>
      <c r="J38" s="84">
        <v>500000</v>
      </c>
      <c r="K38" s="117">
        <v>100000</v>
      </c>
      <c r="L38" s="117">
        <v>100000</v>
      </c>
      <c r="M38" s="117">
        <v>100000</v>
      </c>
      <c r="N38" s="117">
        <v>100000</v>
      </c>
      <c r="O38" s="117">
        <v>100000</v>
      </c>
      <c r="P38" s="126">
        <f t="shared" si="3"/>
        <v>1200000</v>
      </c>
      <c r="Q38" s="124">
        <f t="shared" si="4"/>
        <v>-1059000</v>
      </c>
    </row>
    <row r="39" spans="1:17" s="1" customFormat="1" x14ac:dyDescent="0.4">
      <c r="A39" s="84">
        <f t="shared" si="1"/>
        <v>31</v>
      </c>
      <c r="B39" s="84" t="s">
        <v>64</v>
      </c>
      <c r="C39" s="84">
        <v>200000</v>
      </c>
      <c r="D39" s="84">
        <v>100000</v>
      </c>
      <c r="E39" s="84">
        <v>70000</v>
      </c>
      <c r="F39" s="84">
        <f t="shared" si="0"/>
        <v>370000</v>
      </c>
      <c r="G39" s="84" t="b">
        <f t="shared" si="2"/>
        <v>1</v>
      </c>
      <c r="H39" s="118">
        <f>Summary!H39</f>
        <v>370000</v>
      </c>
      <c r="I39" s="84">
        <v>200000</v>
      </c>
      <c r="J39" s="84">
        <v>500000</v>
      </c>
      <c r="K39" s="117">
        <v>100000</v>
      </c>
      <c r="L39" s="117">
        <v>100000</v>
      </c>
      <c r="M39" s="117">
        <v>100000</v>
      </c>
      <c r="N39" s="117">
        <v>100000</v>
      </c>
      <c r="O39" s="117">
        <v>100000</v>
      </c>
      <c r="P39" s="126">
        <f t="shared" si="3"/>
        <v>1200000</v>
      </c>
      <c r="Q39" s="124">
        <f t="shared" si="4"/>
        <v>-830000</v>
      </c>
    </row>
    <row r="40" spans="1:17" s="1" customFormat="1" x14ac:dyDescent="0.4">
      <c r="A40" s="84">
        <f t="shared" si="1"/>
        <v>32</v>
      </c>
      <c r="B40" s="84" t="s">
        <v>76</v>
      </c>
      <c r="C40" s="84">
        <v>200000</v>
      </c>
      <c r="D40" s="84">
        <v>100000</v>
      </c>
      <c r="E40" s="84">
        <v>700000</v>
      </c>
      <c r="F40" s="84">
        <f t="shared" si="0"/>
        <v>1000000</v>
      </c>
      <c r="G40" s="84" t="b">
        <f t="shared" si="2"/>
        <v>1</v>
      </c>
      <c r="H40" s="118">
        <f>Summary!H40</f>
        <v>1000000</v>
      </c>
      <c r="I40" s="84">
        <v>200000</v>
      </c>
      <c r="J40" s="84">
        <v>500000</v>
      </c>
      <c r="K40" s="117">
        <v>100000</v>
      </c>
      <c r="L40" s="117">
        <v>100000</v>
      </c>
      <c r="M40" s="117">
        <v>100000</v>
      </c>
      <c r="N40" s="117">
        <v>100000</v>
      </c>
      <c r="O40" s="117">
        <v>100000</v>
      </c>
      <c r="P40" s="126">
        <f t="shared" si="3"/>
        <v>1200000</v>
      </c>
      <c r="Q40" s="124">
        <f t="shared" si="4"/>
        <v>-200000</v>
      </c>
    </row>
    <row r="41" spans="1:17" s="1" customFormat="1" x14ac:dyDescent="0.4">
      <c r="A41" s="84">
        <f t="shared" si="1"/>
        <v>33</v>
      </c>
      <c r="B41" s="84" t="s">
        <v>48</v>
      </c>
      <c r="C41" s="84">
        <v>200000</v>
      </c>
      <c r="D41" s="84">
        <v>100000</v>
      </c>
      <c r="E41" s="84">
        <v>700000</v>
      </c>
      <c r="F41" s="84">
        <f t="shared" ref="F41:F67" si="5">SUM(C41:E41)</f>
        <v>1000000</v>
      </c>
      <c r="G41" s="84" t="b">
        <f t="shared" si="2"/>
        <v>1</v>
      </c>
      <c r="H41" s="118">
        <f>Summary!H41</f>
        <v>1000000</v>
      </c>
      <c r="I41" s="84">
        <v>200000</v>
      </c>
      <c r="J41" s="84">
        <v>500000</v>
      </c>
      <c r="K41" s="117">
        <v>100000</v>
      </c>
      <c r="L41" s="117">
        <v>100000</v>
      </c>
      <c r="M41" s="117">
        <v>100000</v>
      </c>
      <c r="N41" s="117">
        <v>100000</v>
      </c>
      <c r="O41" s="117">
        <v>100000</v>
      </c>
      <c r="P41" s="126">
        <f t="shared" si="3"/>
        <v>1200000</v>
      </c>
      <c r="Q41" s="124">
        <f t="shared" si="4"/>
        <v>-200000</v>
      </c>
    </row>
    <row r="42" spans="1:17" s="1" customFormat="1" x14ac:dyDescent="0.4">
      <c r="A42" s="84">
        <f t="shared" si="1"/>
        <v>34</v>
      </c>
      <c r="B42" s="84" t="s">
        <v>34</v>
      </c>
      <c r="C42" s="84">
        <v>160000</v>
      </c>
      <c r="D42" s="84"/>
      <c r="E42" s="84"/>
      <c r="F42" s="84">
        <f t="shared" si="5"/>
        <v>160000</v>
      </c>
      <c r="G42" s="84" t="b">
        <f t="shared" si="2"/>
        <v>1</v>
      </c>
      <c r="H42" s="118">
        <f>Summary!H42</f>
        <v>160000</v>
      </c>
      <c r="I42" s="84">
        <v>200000</v>
      </c>
      <c r="J42" s="84">
        <v>500000</v>
      </c>
      <c r="K42" s="117">
        <v>100000</v>
      </c>
      <c r="L42" s="117">
        <v>100000</v>
      </c>
      <c r="M42" s="117">
        <v>100000</v>
      </c>
      <c r="N42" s="117">
        <v>100000</v>
      </c>
      <c r="O42" s="117">
        <v>100000</v>
      </c>
      <c r="P42" s="126">
        <f t="shared" si="3"/>
        <v>1200000</v>
      </c>
      <c r="Q42" s="124">
        <f t="shared" si="4"/>
        <v>-1040000</v>
      </c>
    </row>
    <row r="43" spans="1:17" s="1" customFormat="1" x14ac:dyDescent="0.4">
      <c r="A43" s="84">
        <f t="shared" si="1"/>
        <v>35</v>
      </c>
      <c r="B43" s="84" t="s">
        <v>41</v>
      </c>
      <c r="C43" s="84">
        <v>200000</v>
      </c>
      <c r="D43" s="84">
        <v>100000</v>
      </c>
      <c r="E43" s="84">
        <v>1300000</v>
      </c>
      <c r="F43" s="84">
        <f t="shared" si="5"/>
        <v>1600000</v>
      </c>
      <c r="G43" s="84" t="b">
        <f t="shared" si="2"/>
        <v>1</v>
      </c>
      <c r="H43" s="118">
        <f>Summary!H43</f>
        <v>1600000</v>
      </c>
      <c r="I43" s="84">
        <v>200000</v>
      </c>
      <c r="J43" s="84">
        <v>500000</v>
      </c>
      <c r="K43" s="117">
        <v>100000</v>
      </c>
      <c r="L43" s="117">
        <v>100000</v>
      </c>
      <c r="M43" s="117">
        <v>100000</v>
      </c>
      <c r="N43" s="117">
        <v>100000</v>
      </c>
      <c r="O43" s="117">
        <v>100000</v>
      </c>
      <c r="P43" s="126">
        <f t="shared" si="3"/>
        <v>1200000</v>
      </c>
      <c r="Q43" s="129">
        <f t="shared" si="4"/>
        <v>400000</v>
      </c>
    </row>
    <row r="44" spans="1:17" s="1" customFormat="1" x14ac:dyDescent="0.4">
      <c r="A44" s="84">
        <f t="shared" si="1"/>
        <v>36</v>
      </c>
      <c r="B44" s="84" t="s">
        <v>68</v>
      </c>
      <c r="C44" s="84">
        <v>200000</v>
      </c>
      <c r="D44" s="84">
        <v>100000</v>
      </c>
      <c r="E44" s="84">
        <v>700000</v>
      </c>
      <c r="F44" s="84">
        <f t="shared" si="5"/>
        <v>1000000</v>
      </c>
      <c r="G44" s="84" t="b">
        <f t="shared" si="2"/>
        <v>1</v>
      </c>
      <c r="H44" s="118">
        <f>Summary!H44</f>
        <v>1000000</v>
      </c>
      <c r="I44" s="84">
        <v>200000</v>
      </c>
      <c r="J44" s="84">
        <v>500000</v>
      </c>
      <c r="K44" s="117">
        <v>100000</v>
      </c>
      <c r="L44" s="117">
        <v>100000</v>
      </c>
      <c r="M44" s="117">
        <v>100000</v>
      </c>
      <c r="N44" s="117">
        <v>100000</v>
      </c>
      <c r="O44" s="117">
        <v>100000</v>
      </c>
      <c r="P44" s="126">
        <f t="shared" si="3"/>
        <v>1200000</v>
      </c>
      <c r="Q44" s="124">
        <f t="shared" si="4"/>
        <v>-200000</v>
      </c>
    </row>
    <row r="45" spans="1:17" s="1" customFormat="1" x14ac:dyDescent="0.4">
      <c r="A45" s="84">
        <f t="shared" si="1"/>
        <v>37</v>
      </c>
      <c r="B45" s="84" t="s">
        <v>52</v>
      </c>
      <c r="C45" s="84">
        <v>200000</v>
      </c>
      <c r="D45" s="84">
        <v>100000</v>
      </c>
      <c r="E45" s="84">
        <v>120000</v>
      </c>
      <c r="F45" s="84">
        <f t="shared" si="5"/>
        <v>420000</v>
      </c>
      <c r="G45" s="84" t="b">
        <f t="shared" si="2"/>
        <v>1</v>
      </c>
      <c r="H45" s="118">
        <f>Summary!H45</f>
        <v>420000</v>
      </c>
      <c r="I45" s="84">
        <v>200000</v>
      </c>
      <c r="J45" s="84">
        <v>500000</v>
      </c>
      <c r="K45" s="117">
        <v>100000</v>
      </c>
      <c r="L45" s="117">
        <v>100000</v>
      </c>
      <c r="M45" s="117">
        <v>100000</v>
      </c>
      <c r="N45" s="117">
        <v>100000</v>
      </c>
      <c r="O45" s="117">
        <v>100000</v>
      </c>
      <c r="P45" s="126">
        <f t="shared" si="3"/>
        <v>1200000</v>
      </c>
      <c r="Q45" s="124">
        <f t="shared" si="4"/>
        <v>-780000</v>
      </c>
    </row>
    <row r="46" spans="1:17" s="1" customFormat="1" x14ac:dyDescent="0.4">
      <c r="A46" s="84">
        <f t="shared" si="1"/>
        <v>38</v>
      </c>
      <c r="B46" s="84" t="s">
        <v>72</v>
      </c>
      <c r="C46" s="84">
        <v>200000</v>
      </c>
      <c r="D46" s="84">
        <v>100000</v>
      </c>
      <c r="E46" s="84">
        <v>700000</v>
      </c>
      <c r="F46" s="84">
        <f t="shared" si="5"/>
        <v>1000000</v>
      </c>
      <c r="G46" s="84" t="b">
        <f t="shared" si="2"/>
        <v>1</v>
      </c>
      <c r="H46" s="118">
        <f>Summary!H46</f>
        <v>1000000</v>
      </c>
      <c r="I46" s="84">
        <v>200000</v>
      </c>
      <c r="J46" s="84">
        <v>500000</v>
      </c>
      <c r="K46" s="117">
        <v>100000</v>
      </c>
      <c r="L46" s="117">
        <v>100000</v>
      </c>
      <c r="M46" s="117">
        <v>100000</v>
      </c>
      <c r="N46" s="117">
        <v>100000</v>
      </c>
      <c r="O46" s="117">
        <v>100000</v>
      </c>
      <c r="P46" s="126">
        <f t="shared" si="3"/>
        <v>1200000</v>
      </c>
      <c r="Q46" s="124">
        <f t="shared" si="4"/>
        <v>-200000</v>
      </c>
    </row>
    <row r="47" spans="1:17" s="1" customFormat="1" x14ac:dyDescent="0.4">
      <c r="A47" s="84">
        <f t="shared" si="1"/>
        <v>39</v>
      </c>
      <c r="B47" s="84" t="s">
        <v>53</v>
      </c>
      <c r="C47" s="84">
        <v>200000</v>
      </c>
      <c r="D47" s="84">
        <v>100000</v>
      </c>
      <c r="E47" s="84">
        <v>50000</v>
      </c>
      <c r="F47" s="84">
        <f t="shared" si="5"/>
        <v>350000</v>
      </c>
      <c r="G47" s="84" t="b">
        <f t="shared" si="2"/>
        <v>1</v>
      </c>
      <c r="H47" s="118">
        <f>Summary!H47</f>
        <v>350000</v>
      </c>
      <c r="I47" s="84">
        <v>200000</v>
      </c>
      <c r="J47" s="84">
        <v>500000</v>
      </c>
      <c r="K47" s="117">
        <v>100000</v>
      </c>
      <c r="L47" s="117">
        <v>100000</v>
      </c>
      <c r="M47" s="117">
        <v>100000</v>
      </c>
      <c r="N47" s="117">
        <v>100000</v>
      </c>
      <c r="O47" s="117">
        <v>100000</v>
      </c>
      <c r="P47" s="126">
        <f t="shared" si="3"/>
        <v>1200000</v>
      </c>
      <c r="Q47" s="124">
        <f t="shared" si="4"/>
        <v>-850000</v>
      </c>
    </row>
    <row r="48" spans="1:17" s="1" customFormat="1" x14ac:dyDescent="0.4">
      <c r="A48" s="84">
        <f t="shared" si="1"/>
        <v>40</v>
      </c>
      <c r="B48" s="84" t="s">
        <v>59</v>
      </c>
      <c r="C48" s="84">
        <v>200000</v>
      </c>
      <c r="D48" s="84">
        <v>100000</v>
      </c>
      <c r="E48" s="84">
        <v>700000</v>
      </c>
      <c r="F48" s="84">
        <f t="shared" si="5"/>
        <v>1000000</v>
      </c>
      <c r="G48" s="84" t="b">
        <f t="shared" si="2"/>
        <v>1</v>
      </c>
      <c r="H48" s="118">
        <f>Summary!H48</f>
        <v>1000000</v>
      </c>
      <c r="I48" s="84">
        <v>200000</v>
      </c>
      <c r="J48" s="84">
        <v>500000</v>
      </c>
      <c r="K48" s="117">
        <v>100000</v>
      </c>
      <c r="L48" s="117">
        <v>100000</v>
      </c>
      <c r="M48" s="117">
        <v>100000</v>
      </c>
      <c r="N48" s="117">
        <v>100000</v>
      </c>
      <c r="O48" s="117">
        <v>100000</v>
      </c>
      <c r="P48" s="126">
        <f t="shared" si="3"/>
        <v>1200000</v>
      </c>
      <c r="Q48" s="124">
        <f t="shared" si="4"/>
        <v>-200000</v>
      </c>
    </row>
    <row r="49" spans="1:17" s="1" customFormat="1" x14ac:dyDescent="0.4">
      <c r="A49" s="84">
        <f t="shared" si="1"/>
        <v>41</v>
      </c>
      <c r="B49" s="84" t="s">
        <v>62</v>
      </c>
      <c r="C49" s="84">
        <v>50000</v>
      </c>
      <c r="D49" s="84"/>
      <c r="E49" s="84"/>
      <c r="F49" s="84">
        <f t="shared" si="5"/>
        <v>50000</v>
      </c>
      <c r="G49" s="84" t="b">
        <f t="shared" si="2"/>
        <v>1</v>
      </c>
      <c r="H49" s="118">
        <f>Summary!H49</f>
        <v>50000</v>
      </c>
      <c r="I49" s="84">
        <v>200000</v>
      </c>
      <c r="J49" s="84">
        <v>500000</v>
      </c>
      <c r="K49" s="117">
        <v>100000</v>
      </c>
      <c r="L49" s="117">
        <v>100000</v>
      </c>
      <c r="M49" s="117">
        <v>100000</v>
      </c>
      <c r="N49" s="117">
        <v>100000</v>
      </c>
      <c r="O49" s="117">
        <v>100000</v>
      </c>
      <c r="P49" s="126">
        <f t="shared" si="3"/>
        <v>1200000</v>
      </c>
      <c r="Q49" s="124">
        <f t="shared" si="4"/>
        <v>-1150000</v>
      </c>
    </row>
    <row r="50" spans="1:17" s="1" customFormat="1" x14ac:dyDescent="0.4">
      <c r="A50" s="84">
        <f t="shared" si="1"/>
        <v>42</v>
      </c>
      <c r="B50" s="84" t="s">
        <v>70</v>
      </c>
      <c r="C50" s="84">
        <v>200000</v>
      </c>
      <c r="D50" s="84">
        <v>100000</v>
      </c>
      <c r="E50" s="84">
        <v>710000</v>
      </c>
      <c r="F50" s="84">
        <f t="shared" si="5"/>
        <v>1010000</v>
      </c>
      <c r="G50" s="84" t="b">
        <f t="shared" si="2"/>
        <v>1</v>
      </c>
      <c r="H50" s="118">
        <f>Summary!H50</f>
        <v>1010000</v>
      </c>
      <c r="I50" s="84">
        <v>200000</v>
      </c>
      <c r="J50" s="84">
        <v>500000</v>
      </c>
      <c r="K50" s="117">
        <v>100000</v>
      </c>
      <c r="L50" s="117">
        <v>100000</v>
      </c>
      <c r="M50" s="117">
        <v>100000</v>
      </c>
      <c r="N50" s="117">
        <v>100000</v>
      </c>
      <c r="O50" s="117">
        <v>100000</v>
      </c>
      <c r="P50" s="126">
        <f t="shared" si="3"/>
        <v>1200000</v>
      </c>
      <c r="Q50" s="124">
        <f t="shared" si="4"/>
        <v>-190000</v>
      </c>
    </row>
    <row r="51" spans="1:17" s="1" customFormat="1" x14ac:dyDescent="0.4">
      <c r="A51" s="84">
        <f t="shared" si="1"/>
        <v>43</v>
      </c>
      <c r="B51" s="84" t="s">
        <v>28</v>
      </c>
      <c r="C51" s="84">
        <v>200000</v>
      </c>
      <c r="D51" s="84">
        <v>100000</v>
      </c>
      <c r="E51" s="84">
        <v>700000</v>
      </c>
      <c r="F51" s="84">
        <f t="shared" si="5"/>
        <v>1000000</v>
      </c>
      <c r="G51" s="84" t="b">
        <f t="shared" si="2"/>
        <v>0</v>
      </c>
      <c r="H51" s="118">
        <f>Summary!H51</f>
        <v>1200000</v>
      </c>
      <c r="I51" s="84">
        <v>200000</v>
      </c>
      <c r="J51" s="84">
        <v>500000</v>
      </c>
      <c r="K51" s="117">
        <v>100000</v>
      </c>
      <c r="L51" s="117">
        <v>100000</v>
      </c>
      <c r="M51" s="117">
        <v>100000</v>
      </c>
      <c r="N51" s="117">
        <v>100000</v>
      </c>
      <c r="O51" s="117">
        <v>100000</v>
      </c>
      <c r="P51" s="126">
        <f t="shared" si="3"/>
        <v>1200000</v>
      </c>
      <c r="Q51" s="133">
        <f t="shared" si="4"/>
        <v>0</v>
      </c>
    </row>
    <row r="52" spans="1:17" s="1" customFormat="1" x14ac:dyDescent="0.4">
      <c r="A52" s="84">
        <f t="shared" si="1"/>
        <v>44</v>
      </c>
      <c r="B52" s="84" t="s">
        <v>49</v>
      </c>
      <c r="C52" s="84">
        <v>50000</v>
      </c>
      <c r="D52" s="84"/>
      <c r="E52" s="84"/>
      <c r="F52" s="84">
        <f t="shared" si="5"/>
        <v>50000</v>
      </c>
      <c r="G52" s="84" t="b">
        <f t="shared" si="2"/>
        <v>1</v>
      </c>
      <c r="H52" s="118">
        <f>Summary!H52</f>
        <v>50000</v>
      </c>
      <c r="I52" s="84">
        <v>200000</v>
      </c>
      <c r="J52" s="84">
        <v>500000</v>
      </c>
      <c r="K52" s="117">
        <v>100000</v>
      </c>
      <c r="L52" s="117">
        <v>100000</v>
      </c>
      <c r="M52" s="117">
        <v>100000</v>
      </c>
      <c r="N52" s="117">
        <v>100000</v>
      </c>
      <c r="O52" s="117">
        <v>100000</v>
      </c>
      <c r="P52" s="126">
        <f t="shared" si="3"/>
        <v>1200000</v>
      </c>
      <c r="Q52" s="124">
        <f t="shared" si="4"/>
        <v>-1150000</v>
      </c>
    </row>
    <row r="53" spans="1:17" s="1" customFormat="1" x14ac:dyDescent="0.4">
      <c r="A53" s="84">
        <f t="shared" si="1"/>
        <v>45</v>
      </c>
      <c r="B53" s="84" t="s">
        <v>45</v>
      </c>
      <c r="C53" s="84">
        <v>100000</v>
      </c>
      <c r="D53" s="84"/>
      <c r="E53" s="84"/>
      <c r="F53" s="84">
        <f t="shared" si="5"/>
        <v>100000</v>
      </c>
      <c r="G53" s="84" t="b">
        <f t="shared" si="2"/>
        <v>1</v>
      </c>
      <c r="H53" s="118">
        <f>Summary!H53</f>
        <v>100000</v>
      </c>
      <c r="I53" s="84">
        <v>200000</v>
      </c>
      <c r="J53" s="84">
        <v>500000</v>
      </c>
      <c r="K53" s="117">
        <v>100000</v>
      </c>
      <c r="L53" s="117">
        <v>100000</v>
      </c>
      <c r="M53" s="117">
        <v>100000</v>
      </c>
      <c r="N53" s="117">
        <v>100000</v>
      </c>
      <c r="O53" s="117">
        <v>100000</v>
      </c>
      <c r="P53" s="126">
        <f t="shared" si="3"/>
        <v>1200000</v>
      </c>
      <c r="Q53" s="124">
        <f t="shared" si="4"/>
        <v>-1100000</v>
      </c>
    </row>
    <row r="54" spans="1:17" s="1" customFormat="1" x14ac:dyDescent="0.4">
      <c r="A54" s="84">
        <f t="shared" si="1"/>
        <v>46</v>
      </c>
      <c r="B54" s="84" t="s">
        <v>44</v>
      </c>
      <c r="C54" s="84">
        <v>100000</v>
      </c>
      <c r="D54" s="84"/>
      <c r="E54" s="84"/>
      <c r="F54" s="84">
        <f t="shared" si="5"/>
        <v>100000</v>
      </c>
      <c r="G54" s="84" t="b">
        <f t="shared" si="2"/>
        <v>1</v>
      </c>
      <c r="H54" s="118">
        <f>Summary!H54</f>
        <v>100000</v>
      </c>
      <c r="I54" s="84">
        <v>200000</v>
      </c>
      <c r="J54" s="84">
        <v>500000</v>
      </c>
      <c r="K54" s="117">
        <v>100000</v>
      </c>
      <c r="L54" s="117">
        <v>100000</v>
      </c>
      <c r="M54" s="117">
        <v>100000</v>
      </c>
      <c r="N54" s="117">
        <v>100000</v>
      </c>
      <c r="O54" s="117">
        <v>100000</v>
      </c>
      <c r="P54" s="126">
        <f t="shared" si="3"/>
        <v>1200000</v>
      </c>
      <c r="Q54" s="124">
        <f t="shared" si="4"/>
        <v>-1100000</v>
      </c>
    </row>
    <row r="55" spans="1:17" s="1" customFormat="1" x14ac:dyDescent="0.4">
      <c r="A55" s="84">
        <f t="shared" si="1"/>
        <v>47</v>
      </c>
      <c r="B55" s="84" t="s">
        <v>80</v>
      </c>
      <c r="C55" s="84">
        <v>200000</v>
      </c>
      <c r="D55" s="84"/>
      <c r="E55" s="84"/>
      <c r="F55" s="84">
        <f t="shared" si="5"/>
        <v>200000</v>
      </c>
      <c r="G55" s="84" t="b">
        <f t="shared" si="2"/>
        <v>1</v>
      </c>
      <c r="H55" s="118">
        <f>Summary!H55</f>
        <v>200000</v>
      </c>
      <c r="I55" s="84">
        <v>200000</v>
      </c>
      <c r="J55" s="84">
        <v>500000</v>
      </c>
      <c r="K55" s="117">
        <v>100000</v>
      </c>
      <c r="L55" s="117">
        <v>100000</v>
      </c>
      <c r="M55" s="117">
        <v>100000</v>
      </c>
      <c r="N55" s="117">
        <v>100000</v>
      </c>
      <c r="O55" s="117">
        <v>100000</v>
      </c>
      <c r="P55" s="126">
        <f t="shared" si="3"/>
        <v>1200000</v>
      </c>
      <c r="Q55" s="124">
        <f t="shared" si="4"/>
        <v>-1000000</v>
      </c>
    </row>
    <row r="56" spans="1:17" s="1" customFormat="1" x14ac:dyDescent="0.4">
      <c r="A56" s="84">
        <f t="shared" si="1"/>
        <v>48</v>
      </c>
      <c r="B56" s="84" t="s">
        <v>77</v>
      </c>
      <c r="C56" s="84">
        <v>100000</v>
      </c>
      <c r="D56" s="84"/>
      <c r="E56" s="84"/>
      <c r="F56" s="84">
        <f t="shared" si="5"/>
        <v>100000</v>
      </c>
      <c r="G56" s="84" t="b">
        <f t="shared" si="2"/>
        <v>1</v>
      </c>
      <c r="H56" s="118">
        <f>Summary!H56</f>
        <v>100000</v>
      </c>
      <c r="I56" s="84">
        <v>200000</v>
      </c>
      <c r="J56" s="84">
        <v>500000</v>
      </c>
      <c r="K56" s="117">
        <v>100000</v>
      </c>
      <c r="L56" s="117">
        <v>100000</v>
      </c>
      <c r="M56" s="117">
        <v>100000</v>
      </c>
      <c r="N56" s="117">
        <v>100000</v>
      </c>
      <c r="O56" s="117">
        <v>100000</v>
      </c>
      <c r="P56" s="126">
        <f t="shared" si="3"/>
        <v>1200000</v>
      </c>
      <c r="Q56" s="124">
        <f t="shared" si="4"/>
        <v>-1100000</v>
      </c>
    </row>
    <row r="57" spans="1:17" s="1" customFormat="1" x14ac:dyDescent="0.4">
      <c r="A57" s="84">
        <f t="shared" si="1"/>
        <v>49</v>
      </c>
      <c r="B57" s="84" t="s">
        <v>78</v>
      </c>
      <c r="C57" s="84">
        <v>200000</v>
      </c>
      <c r="D57" s="84">
        <v>100000</v>
      </c>
      <c r="E57" s="84">
        <v>500000</v>
      </c>
      <c r="F57" s="84">
        <f t="shared" si="5"/>
        <v>800000</v>
      </c>
      <c r="G57" s="84" t="b">
        <f t="shared" si="2"/>
        <v>1</v>
      </c>
      <c r="H57" s="118">
        <f>Summary!H57</f>
        <v>800000</v>
      </c>
      <c r="I57" s="84">
        <v>200000</v>
      </c>
      <c r="J57" s="84">
        <v>500000</v>
      </c>
      <c r="K57" s="117">
        <v>100000</v>
      </c>
      <c r="L57" s="117">
        <v>100000</v>
      </c>
      <c r="M57" s="117">
        <v>100000</v>
      </c>
      <c r="N57" s="117">
        <v>100000</v>
      </c>
      <c r="O57" s="117">
        <v>100000</v>
      </c>
      <c r="P57" s="126">
        <f t="shared" si="3"/>
        <v>1200000</v>
      </c>
      <c r="Q57" s="124">
        <f t="shared" si="4"/>
        <v>-400000</v>
      </c>
    </row>
    <row r="58" spans="1:17" s="1" customFormat="1" x14ac:dyDescent="0.4">
      <c r="A58" s="84">
        <f t="shared" si="1"/>
        <v>50</v>
      </c>
      <c r="B58" s="84" t="s">
        <v>56</v>
      </c>
      <c r="C58" s="84">
        <v>120000</v>
      </c>
      <c r="D58" s="84"/>
      <c r="E58" s="84"/>
      <c r="F58" s="84">
        <f t="shared" si="5"/>
        <v>120000</v>
      </c>
      <c r="G58" s="84" t="b">
        <f t="shared" si="2"/>
        <v>1</v>
      </c>
      <c r="H58" s="118">
        <f>Summary!H58</f>
        <v>120000</v>
      </c>
      <c r="I58" s="84">
        <v>200000</v>
      </c>
      <c r="J58" s="84">
        <v>500000</v>
      </c>
      <c r="K58" s="117">
        <v>100000</v>
      </c>
      <c r="L58" s="117">
        <v>100000</v>
      </c>
      <c r="M58" s="117">
        <v>100000</v>
      </c>
      <c r="N58" s="117">
        <v>100000</v>
      </c>
      <c r="O58" s="117">
        <v>100000</v>
      </c>
      <c r="P58" s="126">
        <f t="shared" si="3"/>
        <v>1200000</v>
      </c>
      <c r="Q58" s="124">
        <f t="shared" si="4"/>
        <v>-1080000</v>
      </c>
    </row>
    <row r="59" spans="1:17" s="1" customFormat="1" x14ac:dyDescent="0.4">
      <c r="A59" s="84">
        <f t="shared" si="1"/>
        <v>51</v>
      </c>
      <c r="B59" s="84" t="s">
        <v>38</v>
      </c>
      <c r="C59" s="84">
        <v>200000</v>
      </c>
      <c r="D59" s="84">
        <v>100000</v>
      </c>
      <c r="E59" s="84">
        <v>720000</v>
      </c>
      <c r="F59" s="84">
        <f t="shared" si="5"/>
        <v>1020000</v>
      </c>
      <c r="G59" s="84" t="b">
        <f t="shared" si="2"/>
        <v>1</v>
      </c>
      <c r="H59" s="118">
        <f>Summary!H59</f>
        <v>1020000</v>
      </c>
      <c r="I59" s="84">
        <v>200000</v>
      </c>
      <c r="J59" s="84">
        <v>500000</v>
      </c>
      <c r="K59" s="117">
        <v>100000</v>
      </c>
      <c r="L59" s="117">
        <v>100000</v>
      </c>
      <c r="M59" s="117">
        <v>100000</v>
      </c>
      <c r="N59" s="117">
        <v>100000</v>
      </c>
      <c r="O59" s="117">
        <v>100000</v>
      </c>
      <c r="P59" s="126">
        <f t="shared" si="3"/>
        <v>1200000</v>
      </c>
      <c r="Q59" s="124">
        <f t="shared" si="4"/>
        <v>-180000</v>
      </c>
    </row>
    <row r="60" spans="1:17" s="1" customFormat="1" x14ac:dyDescent="0.4">
      <c r="A60" s="84">
        <f t="shared" si="1"/>
        <v>52</v>
      </c>
      <c r="B60" s="84" t="s">
        <v>55</v>
      </c>
      <c r="C60" s="84">
        <v>200000</v>
      </c>
      <c r="D60" s="84">
        <v>100000</v>
      </c>
      <c r="E60" s="84">
        <v>500000</v>
      </c>
      <c r="F60" s="84">
        <f t="shared" si="5"/>
        <v>800000</v>
      </c>
      <c r="G60" s="84" t="b">
        <f t="shared" si="2"/>
        <v>1</v>
      </c>
      <c r="H60" s="118">
        <f>Summary!H60</f>
        <v>800000</v>
      </c>
      <c r="I60" s="84">
        <v>200000</v>
      </c>
      <c r="J60" s="84">
        <v>500000</v>
      </c>
      <c r="K60" s="117">
        <v>100000</v>
      </c>
      <c r="L60" s="117">
        <v>100000</v>
      </c>
      <c r="M60" s="117">
        <v>100000</v>
      </c>
      <c r="N60" s="117">
        <v>100000</v>
      </c>
      <c r="O60" s="117">
        <v>100000</v>
      </c>
      <c r="P60" s="126">
        <f t="shared" si="3"/>
        <v>1200000</v>
      </c>
      <c r="Q60" s="124">
        <f t="shared" si="4"/>
        <v>-400000</v>
      </c>
    </row>
    <row r="61" spans="1:17" s="1" customFormat="1" x14ac:dyDescent="0.4">
      <c r="A61" s="84">
        <f t="shared" si="1"/>
        <v>53</v>
      </c>
      <c r="B61" s="84" t="s">
        <v>69</v>
      </c>
      <c r="C61" s="84">
        <v>200000</v>
      </c>
      <c r="D61" s="84">
        <v>100000</v>
      </c>
      <c r="E61" s="84">
        <v>500000</v>
      </c>
      <c r="F61" s="84">
        <f t="shared" si="5"/>
        <v>800000</v>
      </c>
      <c r="G61" s="84" t="b">
        <f t="shared" si="2"/>
        <v>1</v>
      </c>
      <c r="H61" s="118">
        <f>Summary!H61</f>
        <v>800000</v>
      </c>
      <c r="I61" s="84">
        <v>200000</v>
      </c>
      <c r="J61" s="84">
        <v>500000</v>
      </c>
      <c r="K61" s="117">
        <v>100000</v>
      </c>
      <c r="L61" s="117">
        <v>100000</v>
      </c>
      <c r="M61" s="117">
        <v>100000</v>
      </c>
      <c r="N61" s="117">
        <v>100000</v>
      </c>
      <c r="O61" s="117">
        <v>100000</v>
      </c>
      <c r="P61" s="126">
        <f t="shared" si="3"/>
        <v>1200000</v>
      </c>
      <c r="Q61" s="124">
        <f t="shared" si="4"/>
        <v>-400000</v>
      </c>
    </row>
    <row r="62" spans="1:17" s="1" customFormat="1" x14ac:dyDescent="0.4">
      <c r="A62" s="84">
        <f t="shared" si="1"/>
        <v>54</v>
      </c>
      <c r="B62" s="84" t="s">
        <v>84</v>
      </c>
      <c r="C62" s="84">
        <v>200000</v>
      </c>
      <c r="D62" s="84">
        <v>100000</v>
      </c>
      <c r="E62" s="84">
        <v>900000</v>
      </c>
      <c r="F62" s="84">
        <f t="shared" si="5"/>
        <v>1200000</v>
      </c>
      <c r="G62" s="84" t="b">
        <f t="shared" si="2"/>
        <v>1</v>
      </c>
      <c r="H62" s="118">
        <f>Summary!H62</f>
        <v>1200000</v>
      </c>
      <c r="I62" s="84">
        <v>200000</v>
      </c>
      <c r="J62" s="84">
        <v>500000</v>
      </c>
      <c r="K62" s="117">
        <v>100000</v>
      </c>
      <c r="L62" s="117">
        <v>100000</v>
      </c>
      <c r="M62" s="117">
        <v>100000</v>
      </c>
      <c r="N62" s="117">
        <v>100000</v>
      </c>
      <c r="O62" s="117">
        <v>100000</v>
      </c>
      <c r="P62" s="126">
        <f t="shared" si="3"/>
        <v>1200000</v>
      </c>
      <c r="Q62" s="129">
        <f t="shared" si="4"/>
        <v>0</v>
      </c>
    </row>
    <row r="63" spans="1:17" s="1" customFormat="1" x14ac:dyDescent="0.4">
      <c r="A63" s="84">
        <f t="shared" si="1"/>
        <v>55</v>
      </c>
      <c r="B63" s="84" t="s">
        <v>86</v>
      </c>
      <c r="C63" s="84">
        <v>200000</v>
      </c>
      <c r="D63" s="84">
        <v>100000</v>
      </c>
      <c r="E63" s="84">
        <v>700000</v>
      </c>
      <c r="F63" s="84">
        <f t="shared" si="5"/>
        <v>1000000</v>
      </c>
      <c r="G63" s="84" t="b">
        <f t="shared" si="2"/>
        <v>1</v>
      </c>
      <c r="H63" s="118">
        <f>Summary!H63</f>
        <v>1000000</v>
      </c>
      <c r="I63" s="84">
        <v>200000</v>
      </c>
      <c r="J63" s="84">
        <v>500000</v>
      </c>
      <c r="K63" s="117">
        <v>100000</v>
      </c>
      <c r="L63" s="117">
        <v>100000</v>
      </c>
      <c r="M63" s="117">
        <v>100000</v>
      </c>
      <c r="N63" s="117">
        <v>100000</v>
      </c>
      <c r="O63" s="117">
        <v>100000</v>
      </c>
      <c r="P63" s="126">
        <f t="shared" si="3"/>
        <v>1200000</v>
      </c>
      <c r="Q63" s="124">
        <f t="shared" si="4"/>
        <v>-200000</v>
      </c>
    </row>
    <row r="64" spans="1:17" s="1" customFormat="1" x14ac:dyDescent="0.4">
      <c r="A64" s="84">
        <f t="shared" si="1"/>
        <v>56</v>
      </c>
      <c r="B64" s="84" t="s">
        <v>87</v>
      </c>
      <c r="C64" s="84">
        <v>200000</v>
      </c>
      <c r="D64" s="84">
        <v>100000</v>
      </c>
      <c r="E64" s="84">
        <v>700000</v>
      </c>
      <c r="F64" s="84">
        <f t="shared" si="5"/>
        <v>1000000</v>
      </c>
      <c r="G64" s="84" t="b">
        <f t="shared" si="2"/>
        <v>1</v>
      </c>
      <c r="H64" s="118">
        <f>Summary!H64</f>
        <v>1000000</v>
      </c>
      <c r="I64" s="84">
        <v>200000</v>
      </c>
      <c r="J64" s="84">
        <v>500000</v>
      </c>
      <c r="K64" s="117">
        <v>100000</v>
      </c>
      <c r="L64" s="117">
        <v>100000</v>
      </c>
      <c r="M64" s="117">
        <v>100000</v>
      </c>
      <c r="N64" s="117">
        <v>100000</v>
      </c>
      <c r="O64" s="117">
        <v>100000</v>
      </c>
      <c r="P64" s="126">
        <f t="shared" si="3"/>
        <v>1200000</v>
      </c>
      <c r="Q64" s="124">
        <f t="shared" si="4"/>
        <v>-200000</v>
      </c>
    </row>
    <row r="65" spans="1:17" s="1" customFormat="1" x14ac:dyDescent="0.4">
      <c r="A65" s="84">
        <f t="shared" si="1"/>
        <v>57</v>
      </c>
      <c r="B65" s="84" t="s">
        <v>88</v>
      </c>
      <c r="C65" s="84">
        <v>200000</v>
      </c>
      <c r="D65" s="84">
        <v>100000</v>
      </c>
      <c r="E65" s="84">
        <v>700000</v>
      </c>
      <c r="F65" s="84">
        <f t="shared" si="5"/>
        <v>1000000</v>
      </c>
      <c r="G65" s="84" t="b">
        <f t="shared" si="2"/>
        <v>1</v>
      </c>
      <c r="H65" s="118">
        <f>Summary!H65</f>
        <v>1000000</v>
      </c>
      <c r="I65" s="84">
        <v>200000</v>
      </c>
      <c r="J65" s="84">
        <v>500000</v>
      </c>
      <c r="K65" s="117">
        <v>100000</v>
      </c>
      <c r="L65" s="117">
        <v>100000</v>
      </c>
      <c r="M65" s="117">
        <v>100000</v>
      </c>
      <c r="N65" s="117">
        <v>100000</v>
      </c>
      <c r="O65" s="117">
        <v>100000</v>
      </c>
      <c r="P65" s="126">
        <f t="shared" si="3"/>
        <v>1200000</v>
      </c>
      <c r="Q65" s="124">
        <f t="shared" si="4"/>
        <v>-200000</v>
      </c>
    </row>
    <row r="66" spans="1:17" s="99" customFormat="1" x14ac:dyDescent="0.4">
      <c r="A66" s="84">
        <f t="shared" si="1"/>
        <v>58</v>
      </c>
      <c r="B66" s="84" t="s">
        <v>90</v>
      </c>
      <c r="C66" s="84">
        <v>200000</v>
      </c>
      <c r="D66" s="84">
        <v>100000</v>
      </c>
      <c r="E66" s="84">
        <v>700000</v>
      </c>
      <c r="F66" s="84">
        <f t="shared" si="5"/>
        <v>1000000</v>
      </c>
      <c r="G66" s="84" t="b">
        <f t="shared" si="2"/>
        <v>1</v>
      </c>
      <c r="H66" s="118">
        <f>Summary!H66</f>
        <v>1000000</v>
      </c>
      <c r="I66" s="84">
        <v>200000</v>
      </c>
      <c r="J66" s="84">
        <v>500000</v>
      </c>
      <c r="K66" s="117">
        <v>100000</v>
      </c>
      <c r="L66" s="117">
        <v>100000</v>
      </c>
      <c r="M66" s="117">
        <v>100000</v>
      </c>
      <c r="N66" s="117">
        <v>100000</v>
      </c>
      <c r="O66" s="117">
        <v>100000</v>
      </c>
      <c r="P66" s="126">
        <f t="shared" si="3"/>
        <v>1200000</v>
      </c>
      <c r="Q66" s="124">
        <f t="shared" si="4"/>
        <v>-200000</v>
      </c>
    </row>
    <row r="67" spans="1:17" s="99" customFormat="1" x14ac:dyDescent="0.4">
      <c r="A67" s="84">
        <f t="shared" si="1"/>
        <v>59</v>
      </c>
      <c r="B67" s="84" t="s">
        <v>91</v>
      </c>
      <c r="C67" s="84">
        <v>200000</v>
      </c>
      <c r="D67" s="84">
        <v>100000</v>
      </c>
      <c r="E67" s="84">
        <v>700000</v>
      </c>
      <c r="F67" s="84">
        <f t="shared" si="5"/>
        <v>1000000</v>
      </c>
      <c r="G67" s="84" t="b">
        <f t="shared" si="2"/>
        <v>0</v>
      </c>
      <c r="H67" s="118">
        <f>Summary!H67</f>
        <v>1200000</v>
      </c>
      <c r="I67" s="84">
        <v>200000</v>
      </c>
      <c r="J67" s="84">
        <v>500000</v>
      </c>
      <c r="K67" s="117">
        <v>100000</v>
      </c>
      <c r="L67" s="117">
        <v>100000</v>
      </c>
      <c r="M67" s="117">
        <v>100000</v>
      </c>
      <c r="N67" s="117">
        <v>100000</v>
      </c>
      <c r="O67" s="117">
        <v>100000</v>
      </c>
      <c r="P67" s="126">
        <f t="shared" si="3"/>
        <v>1200000</v>
      </c>
      <c r="Q67" s="133">
        <f t="shared" si="4"/>
        <v>0</v>
      </c>
    </row>
    <row r="68" spans="1:17" s="99" customFormat="1" hidden="1" x14ac:dyDescent="0.4">
      <c r="A68" s="84"/>
      <c r="B68" s="84"/>
      <c r="C68" s="84"/>
      <c r="D68" s="84"/>
      <c r="E68" s="84"/>
      <c r="F68" s="84"/>
      <c r="G68" s="84" t="b">
        <f t="shared" si="2"/>
        <v>1</v>
      </c>
      <c r="H68" s="119"/>
      <c r="I68" s="84"/>
      <c r="J68" s="84"/>
      <c r="K68" s="7"/>
      <c r="L68" s="7"/>
      <c r="M68" s="7"/>
      <c r="N68" s="7"/>
      <c r="O68" s="7"/>
      <c r="P68" s="128"/>
      <c r="Q68" s="124">
        <f t="shared" si="4"/>
        <v>0</v>
      </c>
    </row>
    <row r="69" spans="1:17" s="99" customFormat="1" hidden="1" x14ac:dyDescent="0.4">
      <c r="A69" s="84"/>
      <c r="B69" s="84"/>
      <c r="C69" s="84"/>
      <c r="D69" s="84"/>
      <c r="E69" s="84"/>
      <c r="F69" s="84"/>
      <c r="G69" s="84" t="b">
        <f t="shared" si="2"/>
        <v>1</v>
      </c>
      <c r="H69" s="119"/>
      <c r="I69" s="84"/>
      <c r="J69" s="84"/>
      <c r="K69" s="7"/>
      <c r="L69" s="7"/>
      <c r="M69" s="7"/>
      <c r="N69" s="7"/>
      <c r="O69" s="7"/>
      <c r="P69" s="128"/>
      <c r="Q69" s="124">
        <f t="shared" si="4"/>
        <v>0</v>
      </c>
    </row>
    <row r="70" spans="1:17" s="99" customFormat="1" hidden="1" x14ac:dyDescent="0.4">
      <c r="A70" s="84"/>
      <c r="B70" s="84"/>
      <c r="C70" s="84"/>
      <c r="D70" s="84"/>
      <c r="E70" s="84"/>
      <c r="F70" s="84"/>
      <c r="G70" s="84" t="b">
        <f t="shared" si="2"/>
        <v>1</v>
      </c>
      <c r="H70" s="119"/>
      <c r="I70" s="84"/>
      <c r="J70" s="84"/>
      <c r="K70" s="7"/>
      <c r="L70" s="7"/>
      <c r="M70" s="7"/>
      <c r="N70" s="7"/>
      <c r="O70" s="7"/>
      <c r="P70" s="128"/>
      <c r="Q70" s="124">
        <f t="shared" si="4"/>
        <v>0</v>
      </c>
    </row>
    <row r="71" spans="1:17" s="99" customFormat="1" hidden="1" x14ac:dyDescent="0.4">
      <c r="A71" s="84"/>
      <c r="B71" s="84"/>
      <c r="C71" s="84"/>
      <c r="D71" s="84"/>
      <c r="E71" s="84"/>
      <c r="F71" s="84"/>
      <c r="G71" s="84" t="b">
        <f t="shared" si="2"/>
        <v>1</v>
      </c>
      <c r="H71" s="119"/>
      <c r="I71" s="84"/>
      <c r="J71" s="84"/>
      <c r="K71" s="7"/>
      <c r="L71" s="7"/>
      <c r="M71" s="7"/>
      <c r="N71" s="7"/>
      <c r="O71" s="7"/>
      <c r="P71" s="128"/>
      <c r="Q71" s="124">
        <f t="shared" si="4"/>
        <v>0</v>
      </c>
    </row>
    <row r="72" spans="1:17" s="29" customFormat="1" hidden="1" x14ac:dyDescent="0.4">
      <c r="A72" s="84">
        <f>A66+1</f>
        <v>59</v>
      </c>
      <c r="B72" s="84" t="s">
        <v>161</v>
      </c>
      <c r="C72" s="84"/>
      <c r="D72" s="84"/>
      <c r="E72" s="84"/>
      <c r="F72" s="84">
        <f t="shared" ref="F72:F87" si="6">SUM(C72:E72)</f>
        <v>0</v>
      </c>
      <c r="G72" s="84" t="b">
        <f t="shared" si="2"/>
        <v>1</v>
      </c>
      <c r="H72" s="120"/>
      <c r="I72" s="84"/>
      <c r="J72" s="84"/>
      <c r="K72" s="301"/>
      <c r="L72" s="301"/>
      <c r="M72" s="301"/>
      <c r="N72" s="301"/>
      <c r="O72" s="301"/>
      <c r="P72" s="127"/>
      <c r="Q72" s="124">
        <f t="shared" si="4"/>
        <v>0</v>
      </c>
    </row>
    <row r="73" spans="1:17" s="1" customFormat="1" hidden="1" x14ac:dyDescent="0.4">
      <c r="A73" s="84">
        <f t="shared" si="1"/>
        <v>60</v>
      </c>
      <c r="B73" s="84" t="s">
        <v>93</v>
      </c>
      <c r="C73" s="84">
        <v>0</v>
      </c>
      <c r="D73" s="84">
        <v>0</v>
      </c>
      <c r="E73" s="84"/>
      <c r="F73" s="84">
        <f t="shared" si="6"/>
        <v>0</v>
      </c>
      <c r="G73" s="84" t="b">
        <f t="shared" si="2"/>
        <v>1</v>
      </c>
      <c r="H73" s="120"/>
      <c r="I73" s="84"/>
      <c r="J73" s="84"/>
      <c r="K73" s="3"/>
      <c r="L73" s="3"/>
      <c r="M73" s="3"/>
      <c r="N73" s="3"/>
      <c r="O73" s="3"/>
      <c r="P73" s="81"/>
      <c r="Q73" s="124">
        <f t="shared" si="4"/>
        <v>0</v>
      </c>
    </row>
    <row r="74" spans="1:17" s="1" customFormat="1" hidden="1" x14ac:dyDescent="0.4">
      <c r="A74" s="84">
        <f t="shared" ref="A74:A87" si="7">A73+1</f>
        <v>61</v>
      </c>
      <c r="B74" s="84" t="s">
        <v>95</v>
      </c>
      <c r="C74" s="84">
        <v>0</v>
      </c>
      <c r="D74" s="84">
        <v>0</v>
      </c>
      <c r="E74" s="84"/>
      <c r="F74" s="84">
        <f t="shared" si="6"/>
        <v>0</v>
      </c>
      <c r="G74" s="84" t="b">
        <f t="shared" ref="G74:G89" si="8">F74=H74</f>
        <v>1</v>
      </c>
      <c r="H74" s="120"/>
      <c r="I74" s="84"/>
      <c r="J74" s="84"/>
      <c r="K74" s="3"/>
      <c r="L74" s="3"/>
      <c r="M74" s="3"/>
      <c r="N74" s="3"/>
      <c r="O74" s="3"/>
      <c r="P74" s="81"/>
      <c r="Q74" s="124">
        <f t="shared" ref="Q74:Q88" si="9">H74-P74</f>
        <v>0</v>
      </c>
    </row>
    <row r="75" spans="1:17" s="1" customFormat="1" hidden="1" x14ac:dyDescent="0.4">
      <c r="A75" s="84">
        <f t="shared" si="7"/>
        <v>62</v>
      </c>
      <c r="B75" s="84" t="s">
        <v>97</v>
      </c>
      <c r="C75" s="84">
        <v>0</v>
      </c>
      <c r="D75" s="84">
        <v>0</v>
      </c>
      <c r="E75" s="84"/>
      <c r="F75" s="84">
        <f t="shared" si="6"/>
        <v>0</v>
      </c>
      <c r="G75" s="84" t="b">
        <f t="shared" si="8"/>
        <v>1</v>
      </c>
      <c r="H75" s="120"/>
      <c r="I75" s="84"/>
      <c r="J75" s="84"/>
      <c r="K75" s="3"/>
      <c r="L75" s="3"/>
      <c r="M75" s="3"/>
      <c r="N75" s="3"/>
      <c r="O75" s="3"/>
      <c r="P75" s="81"/>
      <c r="Q75" s="124">
        <f t="shared" si="9"/>
        <v>0</v>
      </c>
    </row>
    <row r="76" spans="1:17" s="1" customFormat="1" hidden="1" x14ac:dyDescent="0.4">
      <c r="A76" s="84">
        <f t="shared" si="7"/>
        <v>63</v>
      </c>
      <c r="B76" s="84" t="s">
        <v>99</v>
      </c>
      <c r="C76" s="84">
        <v>0</v>
      </c>
      <c r="D76" s="84">
        <v>0</v>
      </c>
      <c r="E76" s="84"/>
      <c r="F76" s="84">
        <f t="shared" si="6"/>
        <v>0</v>
      </c>
      <c r="G76" s="84" t="b">
        <f t="shared" si="8"/>
        <v>1</v>
      </c>
      <c r="H76" s="120"/>
      <c r="I76" s="84"/>
      <c r="J76" s="84"/>
      <c r="K76" s="3"/>
      <c r="L76" s="3"/>
      <c r="M76" s="3"/>
      <c r="N76" s="3"/>
      <c r="O76" s="3"/>
      <c r="P76" s="81"/>
      <c r="Q76" s="124">
        <f t="shared" si="9"/>
        <v>0</v>
      </c>
    </row>
    <row r="77" spans="1:17" s="1" customFormat="1" hidden="1" x14ac:dyDescent="0.4">
      <c r="A77" s="84">
        <f t="shared" si="7"/>
        <v>64</v>
      </c>
      <c r="B77" s="84" t="s">
        <v>101</v>
      </c>
      <c r="C77" s="84">
        <v>0</v>
      </c>
      <c r="D77" s="84">
        <v>0</v>
      </c>
      <c r="E77" s="84"/>
      <c r="F77" s="84">
        <f t="shared" si="6"/>
        <v>0</v>
      </c>
      <c r="G77" s="84" t="b">
        <f t="shared" si="8"/>
        <v>1</v>
      </c>
      <c r="H77" s="120"/>
      <c r="I77" s="84"/>
      <c r="J77" s="84"/>
      <c r="K77" s="3"/>
      <c r="L77" s="3"/>
      <c r="M77" s="3"/>
      <c r="N77" s="3"/>
      <c r="O77" s="3"/>
      <c r="P77" s="81"/>
      <c r="Q77" s="124">
        <f t="shared" si="9"/>
        <v>0</v>
      </c>
    </row>
    <row r="78" spans="1:17" s="1" customFormat="1" hidden="1" x14ac:dyDescent="0.4">
      <c r="A78" s="84">
        <f t="shared" si="7"/>
        <v>65</v>
      </c>
      <c r="B78" s="84" t="s">
        <v>103</v>
      </c>
      <c r="C78" s="84">
        <v>0</v>
      </c>
      <c r="D78" s="84">
        <v>0</v>
      </c>
      <c r="E78" s="84"/>
      <c r="F78" s="84">
        <f t="shared" si="6"/>
        <v>0</v>
      </c>
      <c r="G78" s="84" t="b">
        <f t="shared" si="8"/>
        <v>1</v>
      </c>
      <c r="H78" s="120"/>
      <c r="I78" s="84"/>
      <c r="J78" s="84"/>
      <c r="K78" s="3"/>
      <c r="L78" s="3"/>
      <c r="M78" s="3"/>
      <c r="N78" s="3"/>
      <c r="O78" s="3"/>
      <c r="P78" s="81"/>
      <c r="Q78" s="124">
        <f t="shared" si="9"/>
        <v>0</v>
      </c>
    </row>
    <row r="79" spans="1:17" s="1" customFormat="1" hidden="1" x14ac:dyDescent="0.4">
      <c r="A79" s="84">
        <f t="shared" si="7"/>
        <v>66</v>
      </c>
      <c r="B79" s="84" t="s">
        <v>105</v>
      </c>
      <c r="C79" s="84">
        <v>0</v>
      </c>
      <c r="D79" s="84">
        <v>0</v>
      </c>
      <c r="E79" s="84"/>
      <c r="F79" s="84">
        <f t="shared" si="6"/>
        <v>0</v>
      </c>
      <c r="G79" s="84" t="b">
        <f t="shared" si="8"/>
        <v>1</v>
      </c>
      <c r="H79" s="120"/>
      <c r="I79" s="84"/>
      <c r="J79" s="84"/>
      <c r="K79" s="3"/>
      <c r="L79" s="3"/>
      <c r="M79" s="3"/>
      <c r="N79" s="3"/>
      <c r="O79" s="3"/>
      <c r="P79" s="81"/>
      <c r="Q79" s="124">
        <f t="shared" si="9"/>
        <v>0</v>
      </c>
    </row>
    <row r="80" spans="1:17" s="1" customFormat="1" hidden="1" x14ac:dyDescent="0.4">
      <c r="A80" s="84">
        <f t="shared" si="7"/>
        <v>67</v>
      </c>
      <c r="B80" s="84" t="s">
        <v>87</v>
      </c>
      <c r="C80" s="84">
        <v>0</v>
      </c>
      <c r="D80" s="84">
        <v>0</v>
      </c>
      <c r="E80" s="84"/>
      <c r="F80" s="84">
        <f t="shared" si="6"/>
        <v>0</v>
      </c>
      <c r="G80" s="84" t="b">
        <f t="shared" si="8"/>
        <v>1</v>
      </c>
      <c r="H80" s="120"/>
      <c r="I80" s="84"/>
      <c r="J80" s="84"/>
      <c r="K80" s="3"/>
      <c r="L80" s="3"/>
      <c r="M80" s="3"/>
      <c r="N80" s="3"/>
      <c r="O80" s="3"/>
      <c r="P80" s="81"/>
      <c r="Q80" s="124">
        <f t="shared" si="9"/>
        <v>0</v>
      </c>
    </row>
    <row r="81" spans="1:17" s="1" customFormat="1" hidden="1" x14ac:dyDescent="0.4">
      <c r="A81" s="84">
        <f t="shared" si="7"/>
        <v>68</v>
      </c>
      <c r="B81" s="84" t="s">
        <v>108</v>
      </c>
      <c r="C81" s="84">
        <v>0</v>
      </c>
      <c r="D81" s="84">
        <v>0</v>
      </c>
      <c r="E81" s="84"/>
      <c r="F81" s="84">
        <f t="shared" si="6"/>
        <v>0</v>
      </c>
      <c r="G81" s="84" t="b">
        <f t="shared" si="8"/>
        <v>1</v>
      </c>
      <c r="H81" s="120"/>
      <c r="I81" s="84"/>
      <c r="J81" s="84"/>
      <c r="K81" s="3"/>
      <c r="L81" s="3"/>
      <c r="M81" s="3"/>
      <c r="N81" s="3"/>
      <c r="O81" s="3"/>
      <c r="P81" s="81"/>
      <c r="Q81" s="124">
        <f t="shared" si="9"/>
        <v>0</v>
      </c>
    </row>
    <row r="82" spans="1:17" s="1" customFormat="1" hidden="1" x14ac:dyDescent="0.4">
      <c r="A82" s="84">
        <f t="shared" si="7"/>
        <v>69</v>
      </c>
      <c r="B82" s="84" t="s">
        <v>110</v>
      </c>
      <c r="C82" s="84">
        <v>0</v>
      </c>
      <c r="D82" s="84">
        <v>0</v>
      </c>
      <c r="E82" s="84"/>
      <c r="F82" s="84">
        <f t="shared" si="6"/>
        <v>0</v>
      </c>
      <c r="G82" s="84" t="b">
        <f t="shared" si="8"/>
        <v>1</v>
      </c>
      <c r="H82" s="120"/>
      <c r="I82" s="84"/>
      <c r="J82" s="84"/>
      <c r="K82" s="3"/>
      <c r="L82" s="3"/>
      <c r="M82" s="3"/>
      <c r="N82" s="3"/>
      <c r="O82" s="3"/>
      <c r="P82" s="81"/>
      <c r="Q82" s="124">
        <f t="shared" si="9"/>
        <v>0</v>
      </c>
    </row>
    <row r="83" spans="1:17" s="1" customFormat="1" hidden="1" x14ac:dyDescent="0.4">
      <c r="A83" s="84">
        <f t="shared" si="7"/>
        <v>70</v>
      </c>
      <c r="B83" s="84" t="s">
        <v>112</v>
      </c>
      <c r="C83" s="84">
        <v>0</v>
      </c>
      <c r="D83" s="84">
        <v>0</v>
      </c>
      <c r="E83" s="84">
        <v>0</v>
      </c>
      <c r="F83" s="84">
        <f t="shared" si="6"/>
        <v>0</v>
      </c>
      <c r="G83" s="84" t="b">
        <f t="shared" si="8"/>
        <v>1</v>
      </c>
      <c r="H83" s="120"/>
      <c r="I83" s="84"/>
      <c r="J83" s="84"/>
      <c r="K83" s="3"/>
      <c r="L83" s="3"/>
      <c r="M83" s="3"/>
      <c r="N83" s="3"/>
      <c r="O83" s="3"/>
      <c r="P83" s="81"/>
      <c r="Q83" s="124">
        <f t="shared" si="9"/>
        <v>0</v>
      </c>
    </row>
    <row r="84" spans="1:17" s="1" customFormat="1" hidden="1" x14ac:dyDescent="0.4">
      <c r="A84" s="84">
        <f t="shared" si="7"/>
        <v>71</v>
      </c>
      <c r="B84" s="84" t="s">
        <v>114</v>
      </c>
      <c r="C84" s="84">
        <v>0</v>
      </c>
      <c r="D84" s="84">
        <v>0</v>
      </c>
      <c r="E84" s="84"/>
      <c r="F84" s="84">
        <f t="shared" si="6"/>
        <v>0</v>
      </c>
      <c r="G84" s="84" t="b">
        <f t="shared" si="8"/>
        <v>1</v>
      </c>
      <c r="H84" s="120"/>
      <c r="I84" s="84"/>
      <c r="J84" s="84"/>
      <c r="K84" s="3"/>
      <c r="L84" s="3"/>
      <c r="M84" s="3"/>
      <c r="N84" s="3"/>
      <c r="O84" s="3"/>
      <c r="P84" s="81"/>
      <c r="Q84" s="124">
        <f t="shared" si="9"/>
        <v>0</v>
      </c>
    </row>
    <row r="85" spans="1:17" hidden="1" x14ac:dyDescent="0.4">
      <c r="A85" s="84">
        <f t="shared" si="7"/>
        <v>72</v>
      </c>
      <c r="B85" s="84" t="s">
        <v>116</v>
      </c>
      <c r="C85" s="84">
        <v>0</v>
      </c>
      <c r="D85" s="84">
        <v>0</v>
      </c>
      <c r="E85" s="84"/>
      <c r="F85" s="84">
        <f t="shared" si="6"/>
        <v>0</v>
      </c>
      <c r="G85" s="84" t="b">
        <f t="shared" si="8"/>
        <v>1</v>
      </c>
      <c r="H85" s="120"/>
      <c r="I85" s="84"/>
      <c r="J85" s="84"/>
      <c r="K85" s="2"/>
      <c r="L85" s="2"/>
      <c r="M85" s="2"/>
      <c r="N85" s="2"/>
      <c r="O85" s="2"/>
      <c r="P85" s="82"/>
      <c r="Q85" s="124">
        <f t="shared" si="9"/>
        <v>0</v>
      </c>
    </row>
    <row r="86" spans="1:17" hidden="1" x14ac:dyDescent="0.4">
      <c r="A86" s="84">
        <f t="shared" si="7"/>
        <v>73</v>
      </c>
      <c r="B86" s="84" t="s">
        <v>118</v>
      </c>
      <c r="C86" s="84">
        <v>0</v>
      </c>
      <c r="D86" s="84">
        <v>0</v>
      </c>
      <c r="E86" s="84"/>
      <c r="F86" s="84">
        <f t="shared" si="6"/>
        <v>0</v>
      </c>
      <c r="G86" s="84" t="b">
        <f t="shared" si="8"/>
        <v>1</v>
      </c>
      <c r="H86" s="120"/>
      <c r="I86" s="84"/>
      <c r="J86" s="84"/>
      <c r="K86" s="2"/>
      <c r="L86" s="2"/>
      <c r="M86" s="2"/>
      <c r="N86" s="2"/>
      <c r="O86" s="2"/>
      <c r="P86" s="82"/>
      <c r="Q86" s="124">
        <f t="shared" si="9"/>
        <v>0</v>
      </c>
    </row>
    <row r="87" spans="1:17" hidden="1" x14ac:dyDescent="0.4">
      <c r="A87" s="84">
        <f t="shared" si="7"/>
        <v>74</v>
      </c>
      <c r="B87" s="84" t="s">
        <v>120</v>
      </c>
      <c r="C87" s="84">
        <v>0</v>
      </c>
      <c r="D87" s="84">
        <v>0</v>
      </c>
      <c r="E87" s="84"/>
      <c r="F87" s="84">
        <f t="shared" si="6"/>
        <v>0</v>
      </c>
      <c r="G87" s="84" t="b">
        <f t="shared" si="8"/>
        <v>1</v>
      </c>
      <c r="H87" s="120"/>
      <c r="I87" s="84"/>
      <c r="J87" s="84"/>
      <c r="K87" s="2"/>
      <c r="L87" s="2"/>
      <c r="M87" s="2"/>
      <c r="N87" s="2"/>
      <c r="O87" s="2"/>
      <c r="P87" s="82"/>
      <c r="Q87" s="124">
        <f t="shared" si="9"/>
        <v>0</v>
      </c>
    </row>
    <row r="88" spans="1:17" hidden="1" x14ac:dyDescent="0.4">
      <c r="A88" s="84"/>
      <c r="B88" s="84"/>
      <c r="C88" s="84"/>
      <c r="D88" s="84"/>
      <c r="E88" s="84"/>
      <c r="F88" s="84"/>
      <c r="G88" s="84" t="b">
        <f t="shared" si="8"/>
        <v>1</v>
      </c>
      <c r="H88" s="120"/>
      <c r="I88" s="84"/>
      <c r="J88" s="84"/>
      <c r="K88" s="2"/>
      <c r="L88" s="2"/>
      <c r="M88" s="2"/>
      <c r="N88" s="2"/>
      <c r="O88" s="2"/>
      <c r="P88" s="82"/>
      <c r="Q88" s="124">
        <f t="shared" si="9"/>
        <v>0</v>
      </c>
    </row>
    <row r="89" spans="1:17" x14ac:dyDescent="0.4">
      <c r="A89" s="86"/>
      <c r="B89" s="87" t="s">
        <v>163</v>
      </c>
      <c r="C89" s="83">
        <f>SUM(C9:C88)</f>
        <v>10821000</v>
      </c>
      <c r="D89" s="83">
        <f t="shared" ref="D89:E89" si="10">SUM(D9:D88)</f>
        <v>4800000</v>
      </c>
      <c r="E89" s="83">
        <f t="shared" si="10"/>
        <v>31533000</v>
      </c>
      <c r="F89" s="83">
        <f>SUM(F9:F88)</f>
        <v>47154000</v>
      </c>
      <c r="G89" s="84" t="b">
        <f t="shared" si="8"/>
        <v>0</v>
      </c>
      <c r="H89" s="121">
        <f>SUM(H9:H88)</f>
        <v>47854000</v>
      </c>
      <c r="I89" s="83">
        <f t="shared" ref="I89:Q89" si="11">SUM(I9:I88)</f>
        <v>11800000</v>
      </c>
      <c r="J89" s="83">
        <f t="shared" si="11"/>
        <v>29500000</v>
      </c>
      <c r="K89" s="130">
        <f t="shared" si="11"/>
        <v>5900000</v>
      </c>
      <c r="L89" s="130">
        <f t="shared" si="11"/>
        <v>5900000</v>
      </c>
      <c r="M89" s="130">
        <f t="shared" si="11"/>
        <v>5900000</v>
      </c>
      <c r="N89" s="130">
        <f t="shared" si="11"/>
        <v>5900000</v>
      </c>
      <c r="O89" s="130">
        <f t="shared" si="11"/>
        <v>5900000</v>
      </c>
      <c r="P89" s="83">
        <f t="shared" si="11"/>
        <v>70800000</v>
      </c>
      <c r="Q89" s="130">
        <f t="shared" si="11"/>
        <v>-22946000</v>
      </c>
    </row>
    <row r="90" spans="1:17" x14ac:dyDescent="0.4">
      <c r="B90" s="105" t="s">
        <v>164</v>
      </c>
      <c r="F90" s="28"/>
      <c r="G90" s="28"/>
      <c r="H90" s="28">
        <v>46524000</v>
      </c>
      <c r="I90" s="2"/>
      <c r="J90" s="2"/>
      <c r="K90" s="122"/>
      <c r="L90" s="2"/>
      <c r="M90" s="2"/>
      <c r="N90" s="2"/>
      <c r="O90" s="2"/>
      <c r="P90" s="82"/>
      <c r="Q90" s="2"/>
    </row>
    <row r="91" spans="1:17" x14ac:dyDescent="0.4">
      <c r="B91" s="105" t="s">
        <v>165</v>
      </c>
      <c r="F91" s="28"/>
      <c r="G91" s="28"/>
      <c r="H91" s="28">
        <f>Summary!H91</f>
        <v>830000</v>
      </c>
      <c r="I91" s="2"/>
      <c r="J91" s="2"/>
      <c r="K91" s="2"/>
      <c r="L91" s="2"/>
      <c r="M91" s="2"/>
      <c r="N91" s="2"/>
      <c r="O91" s="2"/>
      <c r="P91" s="82"/>
      <c r="Q91" s="2"/>
    </row>
    <row r="92" spans="1:17" x14ac:dyDescent="0.4">
      <c r="B92" s="105" t="s">
        <v>189</v>
      </c>
      <c r="F92" s="28"/>
      <c r="G92" s="28"/>
      <c r="H92" s="28">
        <f>Summary!H92</f>
        <v>500000</v>
      </c>
      <c r="I92" s="2"/>
      <c r="J92" s="2"/>
      <c r="K92" s="2"/>
      <c r="L92" s="2"/>
      <c r="M92" s="2"/>
      <c r="N92" s="2"/>
      <c r="O92" s="2"/>
      <c r="P92" s="82"/>
      <c r="Q92" s="2"/>
    </row>
    <row r="93" spans="1:17" x14ac:dyDescent="0.4">
      <c r="B93" s="105" t="s">
        <v>167</v>
      </c>
      <c r="F93" s="28"/>
      <c r="G93" s="28"/>
      <c r="H93" s="107">
        <f>SUM(H90:P92)</f>
        <v>47854000</v>
      </c>
      <c r="I93" s="2"/>
      <c r="J93" s="2"/>
      <c r="K93" s="2"/>
      <c r="L93" s="2"/>
      <c r="M93" s="2"/>
      <c r="N93" s="2"/>
      <c r="O93" s="2"/>
      <c r="P93" s="82"/>
      <c r="Q93" s="2"/>
    </row>
    <row r="94" spans="1:17" x14ac:dyDescent="0.4">
      <c r="F94" s="28"/>
      <c r="G94" s="28"/>
      <c r="H94" s="28"/>
    </row>
    <row r="95" spans="1:17" x14ac:dyDescent="0.4">
      <c r="F95" s="28"/>
      <c r="G95" s="28"/>
      <c r="H95" s="28"/>
    </row>
    <row r="97" spans="2:4" x14ac:dyDescent="0.4">
      <c r="B97" s="31" t="s">
        <v>168</v>
      </c>
      <c r="C97" s="32"/>
      <c r="D97" s="740" t="s">
        <v>169</v>
      </c>
    </row>
    <row r="98" spans="2:4" x14ac:dyDescent="0.4">
      <c r="B98" s="33" t="s">
        <v>170</v>
      </c>
      <c r="C98" s="34"/>
      <c r="D98" s="740"/>
    </row>
    <row r="99" spans="2:4" ht="31" x14ac:dyDescent="0.4">
      <c r="B99" s="40" t="s">
        <v>171</v>
      </c>
      <c r="C99" s="34">
        <v>75000</v>
      </c>
      <c r="D99" s="740"/>
    </row>
    <row r="100" spans="2:4" ht="46.5" x14ac:dyDescent="0.4">
      <c r="B100" s="40" t="s">
        <v>172</v>
      </c>
      <c r="C100" s="34"/>
      <c r="D100" s="740"/>
    </row>
    <row r="101" spans="2:4" ht="31" x14ac:dyDescent="0.4">
      <c r="B101" s="40" t="s">
        <v>173</v>
      </c>
      <c r="C101" s="34">
        <v>10000</v>
      </c>
      <c r="D101" s="740"/>
    </row>
    <row r="102" spans="2:4" ht="31" x14ac:dyDescent="0.4">
      <c r="B102" s="40" t="s">
        <v>174</v>
      </c>
      <c r="C102" s="34">
        <v>10000</v>
      </c>
      <c r="D102" s="740"/>
    </row>
    <row r="103" spans="2:4" ht="31" x14ac:dyDescent="0.4">
      <c r="B103" s="40" t="s">
        <v>175</v>
      </c>
      <c r="C103" s="34">
        <v>10000</v>
      </c>
      <c r="D103" s="740"/>
    </row>
    <row r="104" spans="2:4" ht="31" x14ac:dyDescent="0.4">
      <c r="B104" s="40" t="s">
        <v>176</v>
      </c>
      <c r="C104" s="34">
        <v>10000</v>
      </c>
      <c r="D104" s="740"/>
    </row>
    <row r="105" spans="2:4" ht="31" x14ac:dyDescent="0.4">
      <c r="B105" s="40" t="s">
        <v>177</v>
      </c>
      <c r="C105" s="34">
        <v>10000</v>
      </c>
      <c r="D105" s="740"/>
    </row>
    <row r="106" spans="2:4" x14ac:dyDescent="0.4">
      <c r="B106" s="53" t="s">
        <v>136</v>
      </c>
      <c r="C106" s="35">
        <f>SUM(C99:C105)</f>
        <v>125000</v>
      </c>
      <c r="D106" s="740"/>
    </row>
    <row r="107" spans="2:4" ht="139.5" x14ac:dyDescent="0.4">
      <c r="B107" s="36" t="s">
        <v>178</v>
      </c>
      <c r="C107" s="37"/>
      <c r="D107" s="740"/>
    </row>
    <row r="108" spans="2:4" x14ac:dyDescent="0.4">
      <c r="B108" s="38" t="s">
        <v>179</v>
      </c>
      <c r="C108" s="39"/>
      <c r="D108" s="4"/>
    </row>
    <row r="109" spans="2:4" ht="93" x14ac:dyDescent="0.4">
      <c r="B109" s="40" t="s">
        <v>180</v>
      </c>
      <c r="C109" s="41"/>
      <c r="D109" s="4"/>
    </row>
    <row r="110" spans="2:4" x14ac:dyDescent="0.4">
      <c r="B110" s="31"/>
      <c r="C110" s="32"/>
      <c r="D110" s="4"/>
    </row>
    <row r="111" spans="2:4" ht="16.5" thickBot="1" x14ac:dyDescent="0.45">
      <c r="B111" s="42" t="s">
        <v>181</v>
      </c>
      <c r="C111" s="43"/>
      <c r="D111" s="44"/>
    </row>
    <row r="112" spans="2:4" x14ac:dyDescent="0.4">
      <c r="B112" s="45"/>
      <c r="C112" s="46"/>
      <c r="D112" s="47"/>
    </row>
    <row r="113" spans="2:4" x14ac:dyDescent="0.4">
      <c r="B113" s="48" t="s">
        <v>182</v>
      </c>
      <c r="C113" s="49"/>
      <c r="D113" s="50"/>
    </row>
    <row r="114" spans="2:4" x14ac:dyDescent="0.4">
      <c r="B114" s="38" t="s">
        <v>183</v>
      </c>
      <c r="C114" s="39"/>
      <c r="D114" s="718" t="s">
        <v>169</v>
      </c>
    </row>
    <row r="115" spans="2:4" ht="16.5" thickBot="1" x14ac:dyDescent="0.45">
      <c r="B115" s="51" t="s">
        <v>184</v>
      </c>
      <c r="C115" s="52">
        <v>150000</v>
      </c>
      <c r="D115" s="719"/>
    </row>
    <row r="116" spans="2:4" ht="16.5" thickBot="1" x14ac:dyDescent="0.45">
      <c r="B116" s="54" t="s">
        <v>136</v>
      </c>
      <c r="C116" s="55">
        <f>C106+C115</f>
        <v>275000</v>
      </c>
      <c r="D116" s="56"/>
    </row>
  </sheetData>
  <mergeCells count="9">
    <mergeCell ref="D97:D107"/>
    <mergeCell ref="D114:D115"/>
    <mergeCell ref="C7:C8"/>
    <mergeCell ref="F7:F8"/>
    <mergeCell ref="A1:H1"/>
    <mergeCell ref="A3:H3"/>
    <mergeCell ref="A6:A8"/>
    <mergeCell ref="B6:B8"/>
    <mergeCell ref="C6:F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86D43-18B4-44DC-9EFF-DD0CA0A291EC}">
  <sheetPr>
    <tabColor theme="5" tint="-0.249977111117893"/>
  </sheetPr>
  <dimension ref="A1:ED200"/>
  <sheetViews>
    <sheetView topLeftCell="DJ151" zoomScale="84" zoomScaleNormal="80" workbookViewId="0">
      <selection activeCell="DS156" sqref="DS156"/>
    </sheetView>
  </sheetViews>
  <sheetFormatPr defaultRowHeight="14.5" x14ac:dyDescent="0.35"/>
  <cols>
    <col min="1" max="1" width="17" customWidth="1"/>
    <col min="2" max="2" width="28.7265625" customWidth="1"/>
    <col min="3" max="3" width="13.1796875" hidden="1" customWidth="1"/>
    <col min="4" max="4" width="10.54296875" style="8" hidden="1" customWidth="1"/>
    <col min="5" max="5" width="13.08984375" style="6" hidden="1" customWidth="1"/>
    <col min="6" max="6" width="9.26953125" style="6" hidden="1" customWidth="1"/>
    <col min="7" max="7" width="10.54296875" style="6" hidden="1" customWidth="1"/>
    <col min="8" max="8" width="11.453125" style="6" hidden="1" customWidth="1"/>
    <col min="9" max="9" width="7.81640625" style="550" hidden="1" customWidth="1"/>
    <col min="10" max="10" width="10.54296875" style="550" hidden="1" customWidth="1"/>
    <col min="11" max="11" width="13.08984375" style="6" hidden="1" customWidth="1"/>
    <col min="12" max="12" width="8.1796875" style="6" hidden="1" customWidth="1"/>
    <col min="13" max="13" width="10.54296875" style="6" hidden="1" customWidth="1"/>
    <col min="14" max="14" width="11.453125" style="6" hidden="1" customWidth="1"/>
    <col min="15" max="15" width="8.1796875" style="6" hidden="1" customWidth="1"/>
    <col min="16" max="16" width="10.54296875" style="6" hidden="1" customWidth="1"/>
    <col min="17" max="17" width="13.08984375" style="6" hidden="1" customWidth="1"/>
    <col min="18" max="18" width="8.1796875" style="6" hidden="1" customWidth="1"/>
    <col min="19" max="19" width="10.54296875" style="6" hidden="1" customWidth="1"/>
    <col min="20" max="20" width="13.08984375" style="6" hidden="1" customWidth="1"/>
    <col min="21" max="21" width="8.1796875" style="6" hidden="1" customWidth="1"/>
    <col min="22" max="22" width="10.54296875" style="6" hidden="1" customWidth="1"/>
    <col min="23" max="23" width="11.453125" style="6" hidden="1" customWidth="1"/>
    <col min="24" max="24" width="8.1796875" style="6" hidden="1" customWidth="1"/>
    <col min="25" max="25" width="10.54296875" style="6" hidden="1" customWidth="1"/>
    <col min="26" max="26" width="11.453125" style="6" hidden="1" customWidth="1"/>
    <col min="27" max="27" width="8.1796875" style="6" hidden="1" customWidth="1"/>
    <col min="28" max="28" width="9.54296875" style="6" hidden="1" customWidth="1"/>
    <col min="29" max="29" width="11.453125" style="6" hidden="1" customWidth="1"/>
    <col min="30" max="30" width="8.1796875" style="6" hidden="1" customWidth="1"/>
    <col min="31" max="31" width="9.54296875" style="6" hidden="1" customWidth="1"/>
    <col min="32" max="32" width="11.453125" style="6" hidden="1" customWidth="1"/>
    <col min="33" max="33" width="8.1796875" style="6" hidden="1" customWidth="1"/>
    <col min="34" max="34" width="9.54296875" style="6" hidden="1" customWidth="1"/>
    <col min="35" max="35" width="11.453125" style="6" hidden="1" customWidth="1"/>
    <col min="36" max="36" width="8.1796875" style="6" hidden="1" customWidth="1"/>
    <col min="37" max="37" width="9.54296875" style="6" hidden="1" customWidth="1"/>
    <col min="38" max="38" width="11.453125" style="6" hidden="1" customWidth="1"/>
    <col min="39" max="39" width="7.1796875" style="6" hidden="1" customWidth="1"/>
    <col min="40" max="40" width="10.54296875" style="6" hidden="1" customWidth="1"/>
    <col min="41" max="41" width="11.453125" style="6" hidden="1" customWidth="1"/>
    <col min="42" max="42" width="7.81640625" style="6" hidden="1" customWidth="1"/>
    <col min="43" max="43" width="9.54296875" style="6" hidden="1" customWidth="1"/>
    <col min="44" max="44" width="11.453125" style="6" hidden="1" customWidth="1"/>
    <col min="45" max="45" width="7.81640625" style="6" hidden="1" customWidth="1"/>
    <col min="46" max="46" width="9.54296875" style="6" hidden="1" customWidth="1"/>
    <col min="47" max="47" width="11.453125" style="6" hidden="1" customWidth="1"/>
    <col min="48" max="48" width="7.81640625" style="6" hidden="1" customWidth="1"/>
    <col min="49" max="49" width="9.54296875" style="6" hidden="1" customWidth="1"/>
    <col min="50" max="50" width="11.453125" style="6" hidden="1" customWidth="1"/>
    <col min="51" max="51" width="7.81640625" style="6" hidden="1" customWidth="1"/>
    <col min="52" max="52" width="9.54296875" style="6" hidden="1" customWidth="1"/>
    <col min="53" max="53" width="11.453125" style="6" hidden="1" customWidth="1"/>
    <col min="54" max="54" width="7.81640625" style="6" hidden="1" customWidth="1"/>
    <col min="55" max="55" width="9.54296875" style="6" hidden="1" customWidth="1"/>
    <col min="56" max="56" width="11.453125" style="6" hidden="1" customWidth="1"/>
    <col min="57" max="57" width="6.08984375" style="6" hidden="1" customWidth="1"/>
    <col min="58" max="58" width="9.54296875" style="6" hidden="1" customWidth="1"/>
    <col min="59" max="59" width="11.453125" style="6" hidden="1" customWidth="1"/>
    <col min="60" max="60" width="6.7265625" style="6" hidden="1" customWidth="1"/>
    <col min="61" max="61" width="14.6328125" style="6" hidden="1" customWidth="1"/>
    <col min="62" max="62" width="13.36328125" hidden="1" customWidth="1"/>
    <col min="63" max="64" width="14.453125" hidden="1" customWidth="1"/>
    <col min="65" max="65" width="14.6328125" hidden="1" customWidth="1"/>
    <col min="66" max="66" width="16.26953125" hidden="1" customWidth="1"/>
    <col min="67" max="67" width="12.7265625" hidden="1" customWidth="1"/>
    <col min="68" max="68" width="10.36328125" style="203" hidden="1" customWidth="1"/>
    <col min="69" max="69" width="10.54296875" hidden="1" customWidth="1"/>
    <col min="70" max="70" width="10.36328125" hidden="1" customWidth="1"/>
    <col min="71" max="71" width="10.54296875" style="208" hidden="1" customWidth="1"/>
    <col min="72" max="72" width="10.36328125" hidden="1" customWidth="1"/>
    <col min="73" max="73" width="9.54296875" hidden="1" customWidth="1"/>
    <col min="74" max="74" width="11.7265625" hidden="1" customWidth="1"/>
    <col min="75" max="75" width="9.54296875" hidden="1" customWidth="1"/>
    <col min="76" max="76" width="12.453125" style="234" hidden="1" customWidth="1"/>
    <col min="77" max="77" width="9.54296875" hidden="1" customWidth="1"/>
    <col min="78" max="78" width="12.7265625" hidden="1" customWidth="1"/>
    <col min="79" max="79" width="9.54296875" hidden="1" customWidth="1"/>
    <col min="80" max="80" width="12.7265625" hidden="1" customWidth="1"/>
    <col min="81" max="81" width="9.54296875" hidden="1" customWidth="1"/>
    <col min="82" max="82" width="12.7265625" hidden="1" customWidth="1"/>
    <col min="83" max="83" width="9.54296875" hidden="1" customWidth="1"/>
    <col min="84" max="84" width="12.7265625" hidden="1" customWidth="1"/>
    <col min="85" max="85" width="9.81640625" customWidth="1"/>
    <col min="86" max="86" width="13.08984375" customWidth="1"/>
    <col min="87" max="87" width="9.453125" hidden="1" customWidth="1"/>
    <col min="88" max="88" width="10.90625" hidden="1" customWidth="1"/>
    <col min="89" max="90" width="9" hidden="1" customWidth="1"/>
    <col min="91" max="91" width="14.453125" hidden="1" customWidth="1"/>
    <col min="92" max="92" width="27.7265625" hidden="1" customWidth="1"/>
    <col min="93" max="93" width="21.26953125" hidden="1" customWidth="1"/>
    <col min="94" max="94" width="21.81640625" hidden="1" customWidth="1"/>
    <col min="95" max="95" width="22.1796875" hidden="1" customWidth="1"/>
    <col min="96" max="97" width="17.7265625" hidden="1" customWidth="1"/>
    <col min="98" max="98" width="20.90625" hidden="1" customWidth="1"/>
    <col min="99" max="99" width="17.7265625" hidden="1" customWidth="1"/>
    <col min="100" max="100" width="19.7265625" hidden="1" customWidth="1"/>
    <col min="101" max="101" width="18.26953125" hidden="1" customWidth="1"/>
    <col min="102" max="102" width="23.6328125" hidden="1" customWidth="1"/>
    <col min="103" max="103" width="17.90625" hidden="1" customWidth="1"/>
    <col min="104" max="104" width="25.08984375" hidden="1" customWidth="1"/>
    <col min="105" max="105" width="18.7265625" hidden="1" customWidth="1"/>
    <col min="106" max="106" width="18.1796875" hidden="1" customWidth="1"/>
    <col min="107" max="107" width="28.7265625" hidden="1" customWidth="1"/>
    <col min="108" max="108" width="19.54296875" hidden="1" customWidth="1"/>
    <col min="109" max="109" width="18.26953125" hidden="1" customWidth="1"/>
    <col min="110" max="110" width="19" hidden="1" customWidth="1"/>
    <col min="111" max="111" width="16.7265625" hidden="1" customWidth="1"/>
    <col min="112" max="114" width="20.453125" customWidth="1"/>
    <col min="115" max="115" width="18.7265625" customWidth="1"/>
    <col min="116" max="116" width="20.90625" bestFit="1" customWidth="1"/>
    <col min="117" max="117" width="20.36328125" hidden="1" customWidth="1"/>
    <col min="118" max="118" width="18.6328125" hidden="1" customWidth="1"/>
    <col min="119" max="119" width="20.90625" hidden="1" customWidth="1"/>
    <col min="120" max="120" width="20.81640625" hidden="1" customWidth="1"/>
    <col min="121" max="121" width="18.81640625" hidden="1" customWidth="1"/>
    <col min="122" max="122" width="20.453125" hidden="1" customWidth="1"/>
    <col min="123" max="123" width="19.1796875" customWidth="1"/>
    <col min="124" max="124" width="26.08984375" customWidth="1"/>
    <col min="125" max="125" width="28.7265625" customWidth="1"/>
    <col min="126" max="126" width="17.1796875" customWidth="1"/>
    <col min="127" max="127" width="14.453125" bestFit="1" customWidth="1"/>
    <col min="128" max="128" width="27.54296875" hidden="1" customWidth="1"/>
    <col min="129" max="129" width="10.81640625" hidden="1" customWidth="1"/>
    <col min="130" max="130" width="14.81640625" hidden="1" customWidth="1"/>
    <col min="131" max="131" width="0" hidden="1" customWidth="1"/>
    <col min="132" max="132" width="12.81640625" hidden="1" customWidth="1"/>
    <col min="134" max="134" width="11.7265625" bestFit="1" customWidth="1"/>
  </cols>
  <sheetData>
    <row r="1" spans="1:134" s="5" customFormat="1" ht="28" customHeight="1" x14ac:dyDescent="0.35">
      <c r="A1" s="74" t="s">
        <v>190</v>
      </c>
      <c r="B1" s="74" t="s">
        <v>0</v>
      </c>
      <c r="C1" s="74" t="s">
        <v>1</v>
      </c>
      <c r="D1" s="75" t="s">
        <v>2</v>
      </c>
      <c r="E1" s="63" t="s">
        <v>3</v>
      </c>
      <c r="F1" s="63" t="s">
        <v>4</v>
      </c>
      <c r="G1" s="63" t="s">
        <v>2</v>
      </c>
      <c r="H1" s="63" t="s">
        <v>5</v>
      </c>
      <c r="I1" s="548" t="s">
        <v>4</v>
      </c>
      <c r="J1" s="548" t="s">
        <v>2</v>
      </c>
      <c r="K1" s="63" t="s">
        <v>6</v>
      </c>
      <c r="L1" s="63" t="s">
        <v>7</v>
      </c>
      <c r="M1" s="63" t="s">
        <v>2</v>
      </c>
      <c r="N1" s="63" t="s">
        <v>8</v>
      </c>
      <c r="O1" s="63" t="s">
        <v>7</v>
      </c>
      <c r="P1" s="63" t="s">
        <v>2</v>
      </c>
      <c r="Q1" s="63" t="s">
        <v>9</v>
      </c>
      <c r="R1" s="63" t="s">
        <v>7</v>
      </c>
      <c r="S1" s="63" t="s">
        <v>2</v>
      </c>
      <c r="T1" s="63" t="s">
        <v>10</v>
      </c>
      <c r="U1" s="63" t="s">
        <v>7</v>
      </c>
      <c r="V1" s="63" t="s">
        <v>2</v>
      </c>
      <c r="W1" s="63" t="s">
        <v>11</v>
      </c>
      <c r="X1" s="63" t="s">
        <v>7</v>
      </c>
      <c r="Y1" s="63" t="s">
        <v>2</v>
      </c>
      <c r="Z1" s="63" t="s">
        <v>12</v>
      </c>
      <c r="AA1" s="63" t="s">
        <v>7</v>
      </c>
      <c r="AB1" s="63" t="s">
        <v>2</v>
      </c>
      <c r="AC1" s="63" t="s">
        <v>13</v>
      </c>
      <c r="AD1" s="63" t="s">
        <v>7</v>
      </c>
      <c r="AE1" s="63" t="s">
        <v>2</v>
      </c>
      <c r="AF1" s="63" t="s">
        <v>14</v>
      </c>
      <c r="AG1" s="63" t="s">
        <v>7</v>
      </c>
      <c r="AH1" s="63" t="s">
        <v>2</v>
      </c>
      <c r="AI1" s="63" t="s">
        <v>15</v>
      </c>
      <c r="AJ1" s="63" t="s">
        <v>7</v>
      </c>
      <c r="AK1" s="63" t="s">
        <v>2</v>
      </c>
      <c r="AL1" s="63" t="s">
        <v>16</v>
      </c>
      <c r="AM1" s="63" t="s">
        <v>7</v>
      </c>
      <c r="AN1" s="63" t="s">
        <v>2</v>
      </c>
      <c r="AO1" s="63" t="s">
        <v>17</v>
      </c>
      <c r="AP1" s="63" t="s">
        <v>7</v>
      </c>
      <c r="AQ1" s="63" t="s">
        <v>2</v>
      </c>
      <c r="AR1" s="63" t="s">
        <v>18</v>
      </c>
      <c r="AS1" s="63" t="s">
        <v>7</v>
      </c>
      <c r="AT1" s="63" t="s">
        <v>2</v>
      </c>
      <c r="AU1" s="63" t="s">
        <v>19</v>
      </c>
      <c r="AV1" s="63" t="s">
        <v>7</v>
      </c>
      <c r="AW1" s="63" t="s">
        <v>2</v>
      </c>
      <c r="AX1" s="63" t="s">
        <v>191</v>
      </c>
      <c r="AY1" s="63" t="s">
        <v>7</v>
      </c>
      <c r="AZ1" s="63" t="s">
        <v>2</v>
      </c>
      <c r="BA1" s="63" t="s">
        <v>192</v>
      </c>
      <c r="BB1" s="63" t="s">
        <v>7</v>
      </c>
      <c r="BC1" s="63"/>
      <c r="BD1" s="63"/>
      <c r="BE1" s="63"/>
      <c r="BF1" s="63" t="s">
        <v>2</v>
      </c>
      <c r="BG1" s="63" t="s">
        <v>193</v>
      </c>
      <c r="BH1" s="63" t="s">
        <v>7</v>
      </c>
      <c r="BI1" s="63" t="s">
        <v>194</v>
      </c>
      <c r="BJ1" s="64" t="s">
        <v>21</v>
      </c>
      <c r="BK1" s="177" t="s">
        <v>30</v>
      </c>
      <c r="BL1" s="65" t="s">
        <v>22</v>
      </c>
      <c r="BM1" s="183" t="s">
        <v>194</v>
      </c>
      <c r="BO1" s="63" t="s">
        <v>195</v>
      </c>
      <c r="BP1" s="201" t="s">
        <v>196</v>
      </c>
      <c r="BQ1" s="63" t="s">
        <v>197</v>
      </c>
      <c r="BR1" s="63" t="s">
        <v>196</v>
      </c>
      <c r="BS1" s="63" t="s">
        <v>198</v>
      </c>
      <c r="BT1" s="63" t="s">
        <v>196</v>
      </c>
      <c r="BU1" s="63" t="s">
        <v>199</v>
      </c>
      <c r="BV1" s="63" t="s">
        <v>196</v>
      </c>
      <c r="BW1" s="63" t="s">
        <v>200</v>
      </c>
      <c r="BX1" s="230" t="s">
        <v>196</v>
      </c>
      <c r="BY1" s="63" t="s">
        <v>201</v>
      </c>
      <c r="BZ1" s="423">
        <v>46082</v>
      </c>
      <c r="CA1" s="63" t="s">
        <v>202</v>
      </c>
      <c r="CB1" s="423">
        <v>46113</v>
      </c>
      <c r="CC1" s="63" t="s">
        <v>203</v>
      </c>
      <c r="CD1" s="423">
        <v>46143</v>
      </c>
      <c r="CE1" s="63" t="s">
        <v>204</v>
      </c>
      <c r="CF1" s="63" t="s">
        <v>196</v>
      </c>
      <c r="CG1" s="63" t="s">
        <v>205</v>
      </c>
      <c r="CH1" s="63" t="s">
        <v>196</v>
      </c>
      <c r="CI1" s="63" t="s">
        <v>206</v>
      </c>
      <c r="CJ1" s="63" t="s">
        <v>196</v>
      </c>
      <c r="CK1" s="63" t="s">
        <v>207</v>
      </c>
      <c r="CL1" s="63" t="s">
        <v>196</v>
      </c>
      <c r="CM1" s="188" t="s">
        <v>208</v>
      </c>
      <c r="CN1" s="225" t="s">
        <v>209</v>
      </c>
      <c r="CO1" s="214" t="s">
        <v>1117</v>
      </c>
      <c r="CP1" s="214" t="s">
        <v>211</v>
      </c>
      <c r="CQ1" s="225" t="s">
        <v>1122</v>
      </c>
      <c r="CR1" s="225" t="s">
        <v>1121</v>
      </c>
      <c r="CS1" s="225" t="s">
        <v>214</v>
      </c>
      <c r="CT1" s="225" t="s">
        <v>1120</v>
      </c>
      <c r="CU1" s="225" t="s">
        <v>216</v>
      </c>
      <c r="CV1" s="225" t="s">
        <v>1119</v>
      </c>
      <c r="CW1" s="225" t="s">
        <v>218</v>
      </c>
      <c r="CX1" s="225" t="s">
        <v>1118</v>
      </c>
      <c r="CY1" s="225" t="s">
        <v>536</v>
      </c>
      <c r="CZ1" s="225" t="s">
        <v>537</v>
      </c>
      <c r="DA1" s="225" t="s">
        <v>543</v>
      </c>
      <c r="DB1" s="225" t="s">
        <v>679</v>
      </c>
      <c r="DC1" s="225" t="s">
        <v>681</v>
      </c>
      <c r="DD1" s="225" t="s">
        <v>696</v>
      </c>
      <c r="DE1" s="225" t="s">
        <v>888</v>
      </c>
      <c r="DF1" s="225" t="s">
        <v>887</v>
      </c>
      <c r="DG1" s="225" t="s">
        <v>1091</v>
      </c>
      <c r="DH1" s="225" t="s">
        <v>890</v>
      </c>
      <c r="DI1" s="225" t="s">
        <v>1357</v>
      </c>
      <c r="DJ1" s="225" t="s">
        <v>1358</v>
      </c>
      <c r="DK1" s="225" t="s">
        <v>891</v>
      </c>
      <c r="DL1" s="225" t="s">
        <v>894</v>
      </c>
      <c r="DM1" s="225" t="s">
        <v>892</v>
      </c>
      <c r="DN1" s="225" t="s">
        <v>893</v>
      </c>
      <c r="DO1" s="225" t="s">
        <v>895</v>
      </c>
      <c r="DP1" s="225" t="s">
        <v>896</v>
      </c>
      <c r="DQ1" s="225" t="s">
        <v>897</v>
      </c>
      <c r="DR1" s="225" t="s">
        <v>898</v>
      </c>
      <c r="DS1" s="185" t="s">
        <v>220</v>
      </c>
      <c r="DU1" s="246" t="s">
        <v>221</v>
      </c>
      <c r="DV1" s="250" t="s">
        <v>222</v>
      </c>
      <c r="DW1" s="251" t="s">
        <v>223</v>
      </c>
      <c r="DZ1" s="5" t="s">
        <v>997</v>
      </c>
    </row>
    <row r="2" spans="1:134" s="1" customFormat="1" x14ac:dyDescent="0.35">
      <c r="A2" s="210" t="s">
        <v>224</v>
      </c>
      <c r="B2" s="7" t="s">
        <v>42</v>
      </c>
      <c r="C2" s="522" t="s">
        <v>1092</v>
      </c>
      <c r="D2" s="71">
        <v>45355</v>
      </c>
      <c r="E2" s="11">
        <v>170000</v>
      </c>
      <c r="F2" s="11" t="s">
        <v>27</v>
      </c>
      <c r="G2" s="71">
        <v>45355</v>
      </c>
      <c r="H2" s="11">
        <v>80000</v>
      </c>
      <c r="I2" s="545" t="s">
        <v>29</v>
      </c>
      <c r="J2" s="555">
        <v>45361</v>
      </c>
      <c r="K2" s="11">
        <v>170000</v>
      </c>
      <c r="L2" s="11" t="s">
        <v>26</v>
      </c>
      <c r="M2" s="71">
        <v>45361</v>
      </c>
      <c r="N2" s="11">
        <v>90000</v>
      </c>
      <c r="O2" s="11" t="s">
        <v>29</v>
      </c>
      <c r="P2" s="71">
        <v>45370</v>
      </c>
      <c r="Q2" s="11"/>
      <c r="R2" s="11" t="s">
        <v>26</v>
      </c>
      <c r="S2" s="71">
        <v>45655</v>
      </c>
      <c r="T2" s="11">
        <v>400000</v>
      </c>
      <c r="U2" s="11" t="s">
        <v>26</v>
      </c>
      <c r="V2" s="71">
        <v>45739</v>
      </c>
      <c r="W2" s="11">
        <v>100000</v>
      </c>
      <c r="X2" s="11" t="s">
        <v>27</v>
      </c>
      <c r="Y2" s="71">
        <v>45884</v>
      </c>
      <c r="Z2" s="7">
        <v>1000000</v>
      </c>
      <c r="AA2" s="11" t="s">
        <v>30</v>
      </c>
      <c r="AB2" s="71">
        <v>45912</v>
      </c>
      <c r="AC2" s="11">
        <v>190000</v>
      </c>
      <c r="AD2" s="11" t="s">
        <v>30</v>
      </c>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f>E2+H2+K2+N2+Q2+T2+W2+Z2+AC2+AF2+AI2+AO2+AL2+AR2+AU2+AX2+BA2+BG2</f>
        <v>2200000</v>
      </c>
      <c r="BJ2" s="3">
        <f>H2+N2</f>
        <v>170000</v>
      </c>
      <c r="BK2" s="3">
        <f>Z2+AC2</f>
        <v>1190000</v>
      </c>
      <c r="BL2" s="3">
        <f>E2+K2+Q2+T2+W2</f>
        <v>840000</v>
      </c>
      <c r="BM2" s="184">
        <f t="shared" ref="BM2:BM33" si="0">BJ2+BL2+BK2</f>
        <v>2200000</v>
      </c>
      <c r="BN2" s="1" t="b">
        <f t="shared" ref="BN2:BN33" si="1">BM2=BI2</f>
        <v>1</v>
      </c>
      <c r="BO2" s="71">
        <v>45941</v>
      </c>
      <c r="BP2" s="200">
        <f>300000+200000</f>
        <v>500000</v>
      </c>
      <c r="BQ2" s="71">
        <v>45981</v>
      </c>
      <c r="BR2" s="200">
        <v>1000000</v>
      </c>
      <c r="BS2" s="71">
        <v>46014</v>
      </c>
      <c r="BT2" s="202">
        <f>100000+1200000</f>
        <v>1300000</v>
      </c>
      <c r="BU2" s="71">
        <v>46041</v>
      </c>
      <c r="BV2" s="202">
        <f>2000000+2000000</f>
        <v>4000000</v>
      </c>
      <c r="BW2" s="71">
        <v>46058</v>
      </c>
      <c r="BX2" s="231">
        <f>1000000+300000+500000</f>
        <v>1800000</v>
      </c>
      <c r="BY2" s="71">
        <v>46087</v>
      </c>
      <c r="BZ2" s="3">
        <f>125000+1200000+300000+700000+1300000+1000000+925225+1500000</f>
        <v>7050225</v>
      </c>
      <c r="CA2" s="71">
        <v>46113</v>
      </c>
      <c r="CB2" s="3">
        <f>3500000+1500000+3000000+326589</f>
        <v>8326589</v>
      </c>
      <c r="CC2" s="71">
        <v>46164</v>
      </c>
      <c r="CD2" s="3">
        <f>500000+355488+2000000</f>
        <v>2855488</v>
      </c>
      <c r="CE2" s="71">
        <v>46174</v>
      </c>
      <c r="CF2" s="3">
        <f>1000000+1500000+225500+500100+1000000+500000</f>
        <v>4725600</v>
      </c>
      <c r="CG2" s="71">
        <v>46212</v>
      </c>
      <c r="CH2" s="3">
        <f>2200000+2600000+1500000</f>
        <v>6300000</v>
      </c>
      <c r="CI2" s="3"/>
      <c r="CJ2" s="3"/>
      <c r="CK2" s="3"/>
      <c r="CL2" s="3"/>
      <c r="CM2" s="189">
        <f t="shared" ref="CM2:CM33" si="2">BP2+BR2+BT2+BV2+BX2+BZ2+CB2+CD2+CF2+CH2+CJ2+CL2</f>
        <v>37857902</v>
      </c>
      <c r="CN2" s="189">
        <f t="shared" ref="CN2:CN33" si="3">BM2+CM2</f>
        <v>40057902</v>
      </c>
      <c r="CO2" s="189">
        <f t="shared" ref="CO2:CO33" si="4">BM2/$BM$153*$BM$166</f>
        <v>32705.035009176554</v>
      </c>
      <c r="CP2" s="190">
        <f t="shared" ref="CP2:CP33" si="5">BM2+BP2+BR2</f>
        <v>3700000</v>
      </c>
      <c r="CQ2" s="189">
        <f t="shared" ref="CQ2:CQ33" si="6">CP2/$CP$153*$DS$172</f>
        <v>48456.296599031462</v>
      </c>
      <c r="CR2" s="189">
        <f t="shared" ref="CR2:CR33" si="7">CP2/$CP$153*$DS$173</f>
        <v>73904.693984731159</v>
      </c>
      <c r="CS2" s="189">
        <f t="shared" ref="CS2:CS33" si="8">BM2+BP2+BR2+BT2+BV2</f>
        <v>9000000</v>
      </c>
      <c r="CT2" s="189">
        <f t="shared" ref="CT2:CT33" si="9">CS2/$CS$153*$DS$174</f>
        <v>128015.04926059151</v>
      </c>
      <c r="CU2" s="189">
        <f t="shared" ref="CU2:CU33" si="10">CS2+BX2</f>
        <v>10800000</v>
      </c>
      <c r="CV2" s="189">
        <f t="shared" ref="CV2:CV33" si="11">CU2/$CU$153*$DS$175</f>
        <v>366693.52357195789</v>
      </c>
      <c r="CW2" s="189">
        <f t="shared" ref="CW2:CW33" si="12">CU2+BZ2</f>
        <v>17850225</v>
      </c>
      <c r="CX2" s="189">
        <f t="shared" ref="CX2:CX33" si="13">CW2/$CW$153*$DS$176</f>
        <v>173411.71603927715</v>
      </c>
      <c r="CY2" s="189">
        <f t="shared" ref="CY2:CY33" si="14">CW2+CB2</f>
        <v>26176814</v>
      </c>
      <c r="CZ2" s="388">
        <f t="shared" ref="CZ2:CZ33" si="15">CY2/$CY$153*750000</f>
        <v>40449.760774363349</v>
      </c>
      <c r="DA2" s="189">
        <f t="shared" ref="DA2:DA33" si="16">CY2/$CY$153*$DS$185</f>
        <v>104062.18338611837</v>
      </c>
      <c r="DB2" s="189">
        <f t="shared" ref="DB2:DB33" si="17">CY2+CD2</f>
        <v>29032302</v>
      </c>
      <c r="DC2" s="189">
        <f t="shared" ref="DC2:DC33" si="18">DB2/$DB$153*$DC$154</f>
        <v>163616.31794189409</v>
      </c>
      <c r="DD2" s="189">
        <f t="shared" ref="DD2:DD33" si="19">DB2/$DB$153*$DD$154</f>
        <v>110783.7874359478</v>
      </c>
      <c r="DE2" s="189">
        <f t="shared" ref="DE2:DE33" si="20">DB2+CF2</f>
        <v>33757902</v>
      </c>
      <c r="DF2" s="189">
        <f t="shared" ref="DF2:DF33" si="21">DE2/$DE$153*$DF$154</f>
        <v>90512.650752648915</v>
      </c>
      <c r="DG2" s="189">
        <f t="shared" ref="DG2:DG33" si="22">DE2/$DE$153*$DG$154</f>
        <v>302221.04637685866</v>
      </c>
      <c r="DH2" s="189">
        <f>40192734.0611326+1500000</f>
        <v>41692734.061132602</v>
      </c>
      <c r="DI2" s="189">
        <f t="shared" ref="DI2:DI11" si="23">DH2</f>
        <v>41692734.061132602</v>
      </c>
      <c r="DJ2" s="189">
        <f t="shared" ref="DJ2:DJ11" si="24">DH2-DI2</f>
        <v>0</v>
      </c>
      <c r="DK2" s="189">
        <f t="shared" ref="DK2:DK33" si="25">DH2/$DH$153*$DK$154</f>
        <v>428090.96877087397</v>
      </c>
      <c r="DL2" s="189">
        <f t="shared" ref="DL2:DL33" si="26">DH2/$DH$153*$DL$154</f>
        <v>119243.36978427898</v>
      </c>
      <c r="DM2" s="189"/>
      <c r="DN2" s="189"/>
      <c r="DO2" s="189"/>
      <c r="DP2" s="189"/>
      <c r="DQ2" s="189"/>
      <c r="DR2" s="189"/>
      <c r="DS2" s="186">
        <f t="shared" ref="DS2:DS33" si="27">CN2+CO2+CQ2+CR2+CT2+CV2+CX2+CZ2+DA2+DC2+DD2+DF2+DG2+DK2+DL2+DN2+DO2+DQ2+DR2</f>
        <v>42240068.399687767</v>
      </c>
      <c r="DT2" s="1" t="b">
        <f>DS2=CN2+CO2+CQ2+CR2+CT2+CV2+CX2+CZ2+DA2+DC2+DD2+DF2+DG2+DK2+DL2+DN2+DO2+DQ2+DR2</f>
        <v>1</v>
      </c>
      <c r="DU2" s="247" t="str">
        <f t="shared" ref="DU2:DU33" si="28">B2</f>
        <v xml:space="preserve">Nsanyiwa Kiloba </v>
      </c>
      <c r="DV2" s="249">
        <f t="shared" ref="DV2:DV33" si="29">DS2</f>
        <v>42240068.399687767</v>
      </c>
      <c r="DW2" s="248">
        <f t="shared" ref="DW2:DW33" si="30">DS2-CN2</f>
        <v>2182166.399687767</v>
      </c>
      <c r="DZ2" s="1">
        <f>BM2+BP2+BR2+BT2+CO2+CQ2+CR2+CT2</f>
        <v>5283081.0748535302</v>
      </c>
      <c r="EB2" s="1">
        <f>BM2+BP2+BR2+BT2+BV2+BX2+CO2+CQ2+CR2+CT2+CV2</f>
        <v>11449774.598425493</v>
      </c>
    </row>
    <row r="3" spans="1:134" s="1" customFormat="1" x14ac:dyDescent="0.35">
      <c r="A3" s="210" t="s">
        <v>225</v>
      </c>
      <c r="B3" s="7" t="s">
        <v>69</v>
      </c>
      <c r="C3" s="522" t="s">
        <v>1093</v>
      </c>
      <c r="D3" s="71">
        <v>45370</v>
      </c>
      <c r="E3" s="11">
        <v>530000</v>
      </c>
      <c r="F3" s="11" t="s">
        <v>27</v>
      </c>
      <c r="G3" s="71">
        <v>45370</v>
      </c>
      <c r="H3" s="11">
        <v>230000</v>
      </c>
      <c r="I3" s="545" t="s">
        <v>29</v>
      </c>
      <c r="J3" s="555">
        <v>45523</v>
      </c>
      <c r="K3" s="11">
        <v>40000</v>
      </c>
      <c r="L3" s="11" t="s">
        <v>26</v>
      </c>
      <c r="M3" s="71">
        <v>45884</v>
      </c>
      <c r="N3" s="178">
        <v>1000000</v>
      </c>
      <c r="O3" s="11" t="s">
        <v>30</v>
      </c>
      <c r="P3" s="71">
        <v>45885</v>
      </c>
      <c r="Q3" s="178">
        <v>500000</v>
      </c>
      <c r="R3" s="179" t="s">
        <v>226</v>
      </c>
      <c r="S3" s="71">
        <v>45905</v>
      </c>
      <c r="T3" s="178">
        <v>400000</v>
      </c>
      <c r="U3" s="11" t="s">
        <v>30</v>
      </c>
      <c r="V3" s="71">
        <v>45911</v>
      </c>
      <c r="W3" s="178">
        <v>500000</v>
      </c>
      <c r="X3" s="11" t="s">
        <v>30</v>
      </c>
      <c r="Y3" s="71">
        <v>45915</v>
      </c>
      <c r="Z3" s="178">
        <v>300000</v>
      </c>
      <c r="AA3" s="11" t="s">
        <v>30</v>
      </c>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f>E3+H3+K3+N3+Q3+T3+W3+Z3+AC3+AF3+AI3+AO3+AL3+AR3+AU3+AX3+BA3+BG3</f>
        <v>3500000</v>
      </c>
      <c r="BJ3" s="3">
        <f>H3</f>
        <v>230000</v>
      </c>
      <c r="BK3" s="3">
        <f>N3+Q3+T3+W3+Z3</f>
        <v>2700000</v>
      </c>
      <c r="BL3" s="3">
        <f>E3+K3</f>
        <v>570000</v>
      </c>
      <c r="BM3" s="184">
        <f t="shared" si="0"/>
        <v>3500000</v>
      </c>
      <c r="BN3" s="1" t="b">
        <f t="shared" si="1"/>
        <v>1</v>
      </c>
      <c r="BO3" s="71">
        <v>45934</v>
      </c>
      <c r="BP3" s="202">
        <f>1000000+500000+1000000</f>
        <v>2500000</v>
      </c>
      <c r="BQ3" s="71">
        <v>45980</v>
      </c>
      <c r="BR3" s="202">
        <f>1500000+100000</f>
        <v>1600000</v>
      </c>
      <c r="BS3" s="71">
        <v>46014</v>
      </c>
      <c r="BT3" s="202">
        <f>3000000-2000000</f>
        <v>1000000</v>
      </c>
      <c r="BU3" s="71">
        <v>46052</v>
      </c>
      <c r="BV3" s="202">
        <v>200000</v>
      </c>
      <c r="BW3" s="3"/>
      <c r="BX3" s="231"/>
      <c r="BY3" s="71">
        <v>46084</v>
      </c>
      <c r="BZ3" s="3">
        <f>2500000+3000000+1500000+1500000+1000000+1160000+500000+1000000+1000000</f>
        <v>13160000</v>
      </c>
      <c r="CA3" s="3"/>
      <c r="CB3" s="3"/>
      <c r="CC3" s="3"/>
      <c r="CD3" s="3"/>
      <c r="CE3" s="3"/>
      <c r="CF3" s="3"/>
      <c r="CG3" s="71">
        <v>46228</v>
      </c>
      <c r="CH3" s="3">
        <f>1500000+2000000</f>
        <v>3500000</v>
      </c>
      <c r="CI3" s="3"/>
      <c r="CJ3" s="3"/>
      <c r="CK3" s="3"/>
      <c r="CL3" s="3"/>
      <c r="CM3" s="189">
        <f t="shared" si="2"/>
        <v>21960000</v>
      </c>
      <c r="CN3" s="189">
        <f t="shared" si="3"/>
        <v>25460000</v>
      </c>
      <c r="CO3" s="189">
        <f t="shared" si="4"/>
        <v>52030.737514599059</v>
      </c>
      <c r="CP3" s="190">
        <f t="shared" si="5"/>
        <v>7600000</v>
      </c>
      <c r="CQ3" s="189">
        <f t="shared" si="6"/>
        <v>99531.85247368626</v>
      </c>
      <c r="CR3" s="189">
        <f t="shared" si="7"/>
        <v>151804.23629296134</v>
      </c>
      <c r="CS3" s="189">
        <f t="shared" si="8"/>
        <v>8800000</v>
      </c>
      <c r="CT3" s="189">
        <f t="shared" si="9"/>
        <v>125170.27038813391</v>
      </c>
      <c r="CU3" s="189">
        <f t="shared" si="10"/>
        <v>8800000</v>
      </c>
      <c r="CV3" s="189">
        <f t="shared" si="11"/>
        <v>298787.31550307682</v>
      </c>
      <c r="CW3" s="189">
        <f t="shared" si="12"/>
        <v>21960000</v>
      </c>
      <c r="CX3" s="189">
        <f t="shared" si="13"/>
        <v>213337.43884026818</v>
      </c>
      <c r="CY3" s="189">
        <f t="shared" si="14"/>
        <v>21960000</v>
      </c>
      <c r="CZ3" s="388">
        <f t="shared" si="15"/>
        <v>33933.722667893009</v>
      </c>
      <c r="DA3" s="189">
        <f t="shared" si="16"/>
        <v>87298.841912509262</v>
      </c>
      <c r="DB3" s="189">
        <f t="shared" si="17"/>
        <v>21960000</v>
      </c>
      <c r="DC3" s="189">
        <f t="shared" si="18"/>
        <v>123759.19560233268</v>
      </c>
      <c r="DD3" s="189">
        <f t="shared" si="19"/>
        <v>83796.73000416618</v>
      </c>
      <c r="DE3" s="189">
        <f t="shared" si="20"/>
        <v>21960000</v>
      </c>
      <c r="DF3" s="189">
        <f t="shared" si="21"/>
        <v>58879.779037458262</v>
      </c>
      <c r="DG3" s="189">
        <f t="shared" si="22"/>
        <v>196599.13043280403</v>
      </c>
      <c r="DH3" s="189">
        <v>26984929.250669885</v>
      </c>
      <c r="DI3" s="189">
        <f t="shared" si="23"/>
        <v>26984929.250669885</v>
      </c>
      <c r="DJ3" s="189">
        <f t="shared" si="24"/>
        <v>0</v>
      </c>
      <c r="DK3" s="189">
        <f t="shared" si="25"/>
        <v>277074.76531029271</v>
      </c>
      <c r="DL3" s="189">
        <f t="shared" si="26"/>
        <v>77178.289447799834</v>
      </c>
      <c r="DM3" s="189"/>
      <c r="DN3" s="189"/>
      <c r="DO3" s="189"/>
      <c r="DP3" s="189"/>
      <c r="DQ3" s="189"/>
      <c r="DR3" s="189"/>
      <c r="DS3" s="186">
        <f t="shared" si="27"/>
        <v>27339182.305427976</v>
      </c>
      <c r="DT3" s="1" t="b">
        <f t="shared" ref="DT3:DT66" si="31">DS3=CN3+CO3+CQ3+CR3+CT3+CV3+CX3+CZ3+DA3+DC3+DD3+DF3+DG3+DK3+DL3+DN3+DO3+DQ3+DR3</f>
        <v>1</v>
      </c>
      <c r="DU3" s="247" t="str">
        <f t="shared" si="28"/>
        <v xml:space="preserve">Werema Msongo </v>
      </c>
      <c r="DV3" s="249">
        <f t="shared" si="29"/>
        <v>27339182.305427976</v>
      </c>
      <c r="DW3" s="248">
        <f t="shared" si="30"/>
        <v>1879182.305427976</v>
      </c>
      <c r="DZ3" s="1">
        <f t="shared" ref="DZ3:DZ66" si="32">BM3+BP3+BR3+BT3+CO3+CQ3+CR3+CT3</f>
        <v>9028537.0966693796</v>
      </c>
      <c r="EB3" s="1">
        <f t="shared" ref="EB3:EB66" si="33">BM3+BP3+BR3+BT3+BV3+BX3+CO3+CQ3+CR3+CT3+CV3</f>
        <v>9527324.4121724572</v>
      </c>
    </row>
    <row r="4" spans="1:134" s="1" customFormat="1" ht="18.649999999999999" customHeight="1" x14ac:dyDescent="0.35">
      <c r="A4" s="210" t="s">
        <v>227</v>
      </c>
      <c r="B4" s="7" t="s">
        <v>28</v>
      </c>
      <c r="C4" s="522" t="s">
        <v>1094</v>
      </c>
      <c r="D4" s="70">
        <v>45351</v>
      </c>
      <c r="E4" s="7">
        <v>50000</v>
      </c>
      <c r="F4" s="7" t="s">
        <v>27</v>
      </c>
      <c r="G4" s="70">
        <v>45351</v>
      </c>
      <c r="H4" s="11">
        <v>120000</v>
      </c>
      <c r="I4" s="545" t="s">
        <v>27</v>
      </c>
      <c r="J4" s="559">
        <v>45351</v>
      </c>
      <c r="K4" s="11">
        <v>30000</v>
      </c>
      <c r="L4" s="11" t="s">
        <v>29</v>
      </c>
      <c r="M4" s="71">
        <v>45353</v>
      </c>
      <c r="N4" s="11">
        <v>360000</v>
      </c>
      <c r="O4" s="11" t="s">
        <v>27</v>
      </c>
      <c r="P4" s="71">
        <v>45354</v>
      </c>
      <c r="Q4" s="11">
        <v>140000</v>
      </c>
      <c r="R4" s="11" t="s">
        <v>29</v>
      </c>
      <c r="S4" s="71">
        <v>45492</v>
      </c>
      <c r="T4" s="11">
        <v>100000</v>
      </c>
      <c r="U4" s="11" t="s">
        <v>27</v>
      </c>
      <c r="V4" s="71">
        <v>45648</v>
      </c>
      <c r="W4" s="11">
        <v>200000</v>
      </c>
      <c r="X4" s="11" t="s">
        <v>27</v>
      </c>
      <c r="Y4" s="71">
        <v>45727</v>
      </c>
      <c r="Z4" s="11">
        <v>100000</v>
      </c>
      <c r="AA4" s="11" t="s">
        <v>30</v>
      </c>
      <c r="AB4" s="71">
        <v>45728</v>
      </c>
      <c r="AC4" s="11">
        <v>100000</v>
      </c>
      <c r="AD4" s="11" t="s">
        <v>30</v>
      </c>
      <c r="AE4" s="71">
        <v>45884</v>
      </c>
      <c r="AF4" s="11">
        <v>700000</v>
      </c>
      <c r="AG4" s="11" t="s">
        <v>30</v>
      </c>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f>E4+H4+K4+N4+Q4+T4+W4+Z4+AC4+AF4+AI4+AO4+AL4+AR4+AU4+AX4+BA4+BG4</f>
        <v>1900000</v>
      </c>
      <c r="BJ4" s="3">
        <f>K4+Q4</f>
        <v>170000</v>
      </c>
      <c r="BK4" s="3">
        <f>Z4+AC4+AF4</f>
        <v>900000</v>
      </c>
      <c r="BL4" s="3">
        <f>E4+H4+N4+T4+W4</f>
        <v>830000</v>
      </c>
      <c r="BM4" s="184">
        <f t="shared" si="0"/>
        <v>1900000</v>
      </c>
      <c r="BN4" s="1" t="b">
        <f t="shared" si="1"/>
        <v>1</v>
      </c>
      <c r="BO4" s="71">
        <v>45937</v>
      </c>
      <c r="BP4" s="202">
        <f>300000+300000</f>
        <v>600000</v>
      </c>
      <c r="BQ4" s="71">
        <v>45966</v>
      </c>
      <c r="BR4" s="202">
        <f>100000+1000000+1000000+600000</f>
        <v>2700000</v>
      </c>
      <c r="BS4" s="71">
        <v>45998</v>
      </c>
      <c r="BT4" s="202">
        <f>1200000+100000+1300000+500000</f>
        <v>3100000</v>
      </c>
      <c r="BU4" s="71">
        <v>46026</v>
      </c>
      <c r="BV4" s="202">
        <f>500000+1000000+100000</f>
        <v>1600000</v>
      </c>
      <c r="BW4" s="71">
        <v>46077</v>
      </c>
      <c r="BX4" s="231">
        <f>500000+1000000</f>
        <v>1500000</v>
      </c>
      <c r="BY4" s="71">
        <v>46083</v>
      </c>
      <c r="BZ4" s="3">
        <f>1300000+2000000+125000+750000+2200000+1120000+900000+500000+100000+1500000+400000+60000+300000</f>
        <v>11255000</v>
      </c>
      <c r="CA4" s="71">
        <v>46113</v>
      </c>
      <c r="CB4" s="3">
        <f>3700000+1000000+2000000+150000+320000+524210+900000+1000000+1000000+1000000+5000000</f>
        <v>16594210</v>
      </c>
      <c r="CC4" s="71">
        <v>46143</v>
      </c>
      <c r="CD4" s="3">
        <f>500000+85927+4000000+500000+1000000+3500000</f>
        <v>9585927</v>
      </c>
      <c r="CE4" s="71">
        <v>46174</v>
      </c>
      <c r="CF4" s="3">
        <f>500000+26361+1000000+1000000+1000000+300000+3000000+2712072</f>
        <v>9538433</v>
      </c>
      <c r="CG4" s="71">
        <v>46206</v>
      </c>
      <c r="CH4" s="3">
        <f>500000+500000+10000000+320892+1500000+5000000+1500000+2000000</f>
        <v>21320892</v>
      </c>
      <c r="CI4" s="3"/>
      <c r="CJ4" s="3"/>
      <c r="CK4" s="3"/>
      <c r="CL4" s="3"/>
      <c r="CM4" s="189">
        <f t="shared" si="2"/>
        <v>77794462</v>
      </c>
      <c r="CN4" s="189">
        <f t="shared" si="3"/>
        <v>79694462</v>
      </c>
      <c r="CO4" s="189">
        <f t="shared" si="4"/>
        <v>28245.257507925206</v>
      </c>
      <c r="CP4" s="190">
        <f t="shared" si="5"/>
        <v>5200000</v>
      </c>
      <c r="CQ4" s="189">
        <f t="shared" si="6"/>
        <v>68100.741166206382</v>
      </c>
      <c r="CR4" s="189">
        <f t="shared" si="7"/>
        <v>103866.05641097353</v>
      </c>
      <c r="CS4" s="189">
        <f t="shared" si="8"/>
        <v>9900000</v>
      </c>
      <c r="CT4" s="189">
        <f t="shared" si="9"/>
        <v>140816.55418665067</v>
      </c>
      <c r="CU4" s="189">
        <f t="shared" si="10"/>
        <v>11400000</v>
      </c>
      <c r="CV4" s="189">
        <f t="shared" si="11"/>
        <v>387065.38599262218</v>
      </c>
      <c r="CW4" s="189">
        <f t="shared" si="12"/>
        <v>22655000</v>
      </c>
      <c r="CX4" s="189">
        <f t="shared" si="13"/>
        <v>220089.2384756956</v>
      </c>
      <c r="CY4" s="189">
        <f t="shared" si="14"/>
        <v>39249210</v>
      </c>
      <c r="CZ4" s="388">
        <f t="shared" si="15"/>
        <v>60649.900139976919</v>
      </c>
      <c r="DA4" s="189">
        <f t="shared" si="16"/>
        <v>156029.625636652</v>
      </c>
      <c r="DB4" s="189">
        <f t="shared" si="17"/>
        <v>48835137</v>
      </c>
      <c r="DC4" s="189">
        <f t="shared" si="18"/>
        <v>275218.45502047869</v>
      </c>
      <c r="DD4" s="189">
        <f t="shared" si="19"/>
        <v>186349.03414870059</v>
      </c>
      <c r="DE4" s="189">
        <f t="shared" si="20"/>
        <v>58373570</v>
      </c>
      <c r="DF4" s="189">
        <f t="shared" si="21"/>
        <v>156512.88266063761</v>
      </c>
      <c r="DG4" s="189">
        <f t="shared" si="22"/>
        <v>522595.31431049248</v>
      </c>
      <c r="DH4" s="189">
        <v>82000000.445657</v>
      </c>
      <c r="DI4" s="189">
        <f t="shared" si="23"/>
        <v>82000000.445657</v>
      </c>
      <c r="DJ4" s="189">
        <f t="shared" si="24"/>
        <v>0</v>
      </c>
      <c r="DK4" s="189">
        <f t="shared" si="25"/>
        <v>841956.28855911491</v>
      </c>
      <c r="DL4" s="189">
        <f t="shared" si="26"/>
        <v>234524.23055574726</v>
      </c>
      <c r="DM4" s="189"/>
      <c r="DN4" s="189"/>
      <c r="DO4" s="189"/>
      <c r="DP4" s="189"/>
      <c r="DQ4" s="189"/>
      <c r="DR4" s="189"/>
      <c r="DS4" s="186">
        <f t="shared" si="27"/>
        <v>83076480.964771852</v>
      </c>
      <c r="DT4" s="1" t="b">
        <f t="shared" si="31"/>
        <v>1</v>
      </c>
      <c r="DU4" s="247" t="str">
        <f t="shared" si="28"/>
        <v>Norbert Massay</v>
      </c>
      <c r="DV4" s="249">
        <f t="shared" si="29"/>
        <v>83076480.964771852</v>
      </c>
      <c r="DW4" s="248">
        <f t="shared" si="30"/>
        <v>3382018.9647718519</v>
      </c>
      <c r="DZ4" s="1">
        <f t="shared" si="32"/>
        <v>8641028.6092717573</v>
      </c>
      <c r="EB4" s="1">
        <f t="shared" si="33"/>
        <v>12128093.995264379</v>
      </c>
      <c r="ED4" s="6">
        <v>320891.55</v>
      </c>
    </row>
    <row r="5" spans="1:134" s="1" customFormat="1" ht="14.5" customHeight="1" x14ac:dyDescent="0.35">
      <c r="A5" s="210" t="s">
        <v>228</v>
      </c>
      <c r="B5" s="7" t="s">
        <v>1088</v>
      </c>
      <c r="C5" s="522" t="s">
        <v>1095</v>
      </c>
      <c r="D5" s="70">
        <v>45352</v>
      </c>
      <c r="E5" s="11">
        <v>90000</v>
      </c>
      <c r="F5" s="7" t="s">
        <v>27</v>
      </c>
      <c r="G5" s="70">
        <v>45352</v>
      </c>
      <c r="H5" s="7">
        <v>10000</v>
      </c>
      <c r="I5" s="556" t="s">
        <v>25</v>
      </c>
      <c r="J5" s="559">
        <v>45353</v>
      </c>
      <c r="K5" s="11">
        <v>50000</v>
      </c>
      <c r="L5" s="11" t="s">
        <v>26</v>
      </c>
      <c r="M5" s="71">
        <v>45353</v>
      </c>
      <c r="N5" s="11">
        <v>30000</v>
      </c>
      <c r="O5" s="11" t="s">
        <v>29</v>
      </c>
      <c r="P5" s="71">
        <v>45529</v>
      </c>
      <c r="Q5" s="11">
        <v>100000</v>
      </c>
      <c r="R5" s="11" t="s">
        <v>26</v>
      </c>
      <c r="S5" s="71">
        <v>45530</v>
      </c>
      <c r="T5" s="11">
        <v>100000</v>
      </c>
      <c r="U5" s="11" t="s">
        <v>26</v>
      </c>
      <c r="V5" s="71">
        <v>45657</v>
      </c>
      <c r="W5" s="11">
        <v>450000</v>
      </c>
      <c r="X5" s="11" t="s">
        <v>27</v>
      </c>
      <c r="Y5" s="71">
        <v>45657</v>
      </c>
      <c r="Z5" s="11">
        <v>170000</v>
      </c>
      <c r="AA5" s="11" t="s">
        <v>27</v>
      </c>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f>E5+H5+K5+N5+Q5+T5+W5+Z5+AC5+AF5+AI5+AO5+AL5+AR5+AU5+AX5+BA5+BG5</f>
        <v>1000000</v>
      </c>
      <c r="BJ5" s="3">
        <f>H5+N5</f>
        <v>40000</v>
      </c>
      <c r="BK5" s="3"/>
      <c r="BL5" s="3">
        <f>E5+K5+Q5+T5+W5+Z5</f>
        <v>960000</v>
      </c>
      <c r="BM5" s="184">
        <f t="shared" si="0"/>
        <v>1000000</v>
      </c>
      <c r="BN5" s="1" t="b">
        <f t="shared" si="1"/>
        <v>1</v>
      </c>
      <c r="BO5" s="71">
        <v>45951</v>
      </c>
      <c r="BP5" s="202">
        <v>200000</v>
      </c>
      <c r="BQ5" s="3"/>
      <c r="BR5" s="200">
        <v>0</v>
      </c>
      <c r="BS5" s="205"/>
      <c r="BT5" s="200"/>
      <c r="BU5" s="71">
        <v>46049</v>
      </c>
      <c r="BV5" s="3">
        <f>450000+700000+200000+250000</f>
        <v>1600000</v>
      </c>
      <c r="BW5" s="71">
        <v>46059</v>
      </c>
      <c r="BX5" s="232">
        <f>100000+150000</f>
        <v>250000</v>
      </c>
      <c r="BY5" s="71">
        <v>46082</v>
      </c>
      <c r="BZ5" s="3">
        <f>200000+150000+150000+100000+160000</f>
        <v>760000</v>
      </c>
      <c r="CA5" s="71">
        <v>46133</v>
      </c>
      <c r="CB5" s="3">
        <v>150000</v>
      </c>
      <c r="CC5" s="71">
        <v>46164</v>
      </c>
      <c r="CD5" s="3">
        <f>500000+300000</f>
        <v>800000</v>
      </c>
      <c r="CE5" s="71">
        <v>46201</v>
      </c>
      <c r="CF5" s="3">
        <v>120000</v>
      </c>
      <c r="CG5" s="71">
        <v>46227</v>
      </c>
      <c r="CH5" s="3">
        <v>1000000</v>
      </c>
      <c r="CI5" s="3"/>
      <c r="CJ5" s="3"/>
      <c r="CK5" s="3"/>
      <c r="CL5" s="3"/>
      <c r="CM5" s="189">
        <f t="shared" si="2"/>
        <v>4880000</v>
      </c>
      <c r="CN5" s="189">
        <f t="shared" si="3"/>
        <v>5880000</v>
      </c>
      <c r="CO5" s="189">
        <f t="shared" si="4"/>
        <v>14865.92500417116</v>
      </c>
      <c r="CP5" s="190">
        <f t="shared" si="5"/>
        <v>1200000</v>
      </c>
      <c r="CQ5" s="189">
        <f t="shared" si="6"/>
        <v>15715.555653739935</v>
      </c>
      <c r="CR5" s="189">
        <f t="shared" si="7"/>
        <v>23969.089940993894</v>
      </c>
      <c r="CS5" s="189">
        <f t="shared" si="8"/>
        <v>2800000</v>
      </c>
      <c r="CT5" s="189">
        <f t="shared" si="9"/>
        <v>39826.904214406248</v>
      </c>
      <c r="CU5" s="189">
        <f t="shared" si="10"/>
        <v>3050000</v>
      </c>
      <c r="CV5" s="189">
        <f t="shared" si="11"/>
        <v>103556.96730504367</v>
      </c>
      <c r="CW5" s="189">
        <f t="shared" si="12"/>
        <v>3810000</v>
      </c>
      <c r="CX5" s="189">
        <f t="shared" si="13"/>
        <v>37013.462749609374</v>
      </c>
      <c r="CY5" s="189">
        <f t="shared" si="14"/>
        <v>3960000</v>
      </c>
      <c r="CZ5" s="388">
        <f t="shared" si="15"/>
        <v>6119.1958909315263</v>
      </c>
      <c r="DA5" s="189">
        <f t="shared" si="16"/>
        <v>15742.414115370522</v>
      </c>
      <c r="DB5" s="189">
        <f t="shared" si="17"/>
        <v>4760000</v>
      </c>
      <c r="DC5" s="189">
        <f t="shared" si="18"/>
        <v>26825.763709795239</v>
      </c>
      <c r="DD5" s="189">
        <f t="shared" si="19"/>
        <v>18163.589928043304</v>
      </c>
      <c r="DE5" s="189">
        <f t="shared" si="20"/>
        <v>4880000</v>
      </c>
      <c r="DF5" s="189">
        <f t="shared" si="21"/>
        <v>13084.39534165739</v>
      </c>
      <c r="DG5" s="189">
        <f t="shared" si="22"/>
        <v>43688.695651734226</v>
      </c>
      <c r="DH5" s="189">
        <v>6238571.9595054965</v>
      </c>
      <c r="DI5" s="189">
        <f t="shared" si="23"/>
        <v>6238571.9595054965</v>
      </c>
      <c r="DJ5" s="710">
        <f t="shared" si="24"/>
        <v>0</v>
      </c>
      <c r="DK5" s="189">
        <f t="shared" si="25"/>
        <v>64056.156882769981</v>
      </c>
      <c r="DL5" s="189">
        <f t="shared" si="26"/>
        <v>17842.637568512084</v>
      </c>
      <c r="DM5" s="189"/>
      <c r="DN5" s="189"/>
      <c r="DO5" s="189"/>
      <c r="DP5" s="189"/>
      <c r="DQ5" s="189"/>
      <c r="DR5" s="189"/>
      <c r="DS5" s="186">
        <f t="shared" si="27"/>
        <v>6320470.7539567789</v>
      </c>
      <c r="DT5" s="1" t="b">
        <f t="shared" si="31"/>
        <v>1</v>
      </c>
      <c r="DU5" s="247" t="str">
        <f t="shared" si="28"/>
        <v xml:space="preserve">Everest Exavery Francisco </v>
      </c>
      <c r="DV5" s="249">
        <f t="shared" si="29"/>
        <v>6320470.7539567789</v>
      </c>
      <c r="DW5" s="248">
        <f t="shared" si="30"/>
        <v>440470.75395677891</v>
      </c>
      <c r="DZ5" s="1">
        <f t="shared" si="32"/>
        <v>1294377.4748133111</v>
      </c>
      <c r="EB5" s="1">
        <f t="shared" si="33"/>
        <v>3247934.4421183551</v>
      </c>
    </row>
    <row r="6" spans="1:134" s="1" customFormat="1" ht="15" customHeight="1" x14ac:dyDescent="0.35">
      <c r="A6" s="210" t="s">
        <v>230</v>
      </c>
      <c r="B6" s="7" t="s">
        <v>231</v>
      </c>
      <c r="C6" s="522" t="s">
        <v>1096</v>
      </c>
      <c r="D6" s="71">
        <v>45354</v>
      </c>
      <c r="E6" s="11">
        <v>150000</v>
      </c>
      <c r="F6" s="11" t="s">
        <v>27</v>
      </c>
      <c r="G6" s="70">
        <v>45354</v>
      </c>
      <c r="H6" s="11">
        <v>70000</v>
      </c>
      <c r="I6" s="545" t="s">
        <v>29</v>
      </c>
      <c r="J6" s="555">
        <v>45521</v>
      </c>
      <c r="K6" s="11">
        <v>900000</v>
      </c>
      <c r="L6" s="11" t="s">
        <v>26</v>
      </c>
      <c r="M6" s="71">
        <v>45650</v>
      </c>
      <c r="N6" s="11">
        <v>100000</v>
      </c>
      <c r="O6" s="11" t="s">
        <v>26</v>
      </c>
      <c r="P6" s="71">
        <v>45795</v>
      </c>
      <c r="Q6" s="11">
        <v>180000</v>
      </c>
      <c r="R6" s="11" t="s">
        <v>26</v>
      </c>
      <c r="S6" s="71">
        <v>45821</v>
      </c>
      <c r="T6" s="11">
        <v>200000</v>
      </c>
      <c r="U6" s="11" t="s">
        <v>26</v>
      </c>
      <c r="V6" s="71">
        <v>45884</v>
      </c>
      <c r="W6" s="11">
        <v>200000</v>
      </c>
      <c r="X6" s="11" t="s">
        <v>30</v>
      </c>
      <c r="Y6" s="71">
        <v>45910</v>
      </c>
      <c r="Z6" s="11">
        <v>100000</v>
      </c>
      <c r="AA6" s="11" t="s">
        <v>30</v>
      </c>
      <c r="AB6" s="71">
        <v>45930</v>
      </c>
      <c r="AC6" s="11">
        <v>100000</v>
      </c>
      <c r="AD6" s="11" t="s">
        <v>30</v>
      </c>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f>E6+H6+K6+N6+Q6+T6+W6+Z6+AC6+AF6+AI6+AO6+AL6+AR6+AU6+AX6+BA6+BG6</f>
        <v>2000000</v>
      </c>
      <c r="BJ6" s="3">
        <f>H6</f>
        <v>70000</v>
      </c>
      <c r="BK6" s="3">
        <f>W6+Z6+AC6</f>
        <v>400000</v>
      </c>
      <c r="BL6" s="3">
        <f>E6+K6+N6+Q6+T6</f>
        <v>1530000</v>
      </c>
      <c r="BM6" s="184">
        <f t="shared" si="0"/>
        <v>2000000</v>
      </c>
      <c r="BN6" s="1" t="b">
        <f t="shared" si="1"/>
        <v>1</v>
      </c>
      <c r="BO6" s="71">
        <v>45936</v>
      </c>
      <c r="BP6" s="200">
        <f>400000+200000+400000</f>
        <v>1000000</v>
      </c>
      <c r="BQ6" s="3"/>
      <c r="BR6" s="200">
        <v>0</v>
      </c>
      <c r="BS6" s="205"/>
      <c r="BT6" s="200"/>
      <c r="BU6" s="71">
        <v>46053</v>
      </c>
      <c r="BV6" s="3">
        <v>1000000</v>
      </c>
      <c r="BW6" s="71">
        <v>46072</v>
      </c>
      <c r="BX6" s="231">
        <f>1000000+1000000+1000000</f>
        <v>3000000</v>
      </c>
      <c r="BY6" s="71">
        <v>46098</v>
      </c>
      <c r="BZ6" s="3">
        <f>1000000+1000000+1000000</f>
        <v>3000000</v>
      </c>
      <c r="CA6" s="71">
        <v>46140</v>
      </c>
      <c r="CB6" s="3">
        <v>100000</v>
      </c>
      <c r="CC6" s="71">
        <v>46172</v>
      </c>
      <c r="CD6" s="3">
        <v>100000</v>
      </c>
      <c r="CE6" s="71">
        <v>46203</v>
      </c>
      <c r="CF6" s="3">
        <v>200000</v>
      </c>
      <c r="CG6" s="71">
        <v>46226</v>
      </c>
      <c r="CH6" s="3">
        <f>1000000+500000+100000</f>
        <v>1600000</v>
      </c>
      <c r="CI6" s="3"/>
      <c r="CJ6" s="3"/>
      <c r="CK6" s="3"/>
      <c r="CL6" s="3"/>
      <c r="CM6" s="189">
        <f t="shared" si="2"/>
        <v>10000000</v>
      </c>
      <c r="CN6" s="189">
        <f t="shared" si="3"/>
        <v>12000000</v>
      </c>
      <c r="CO6" s="189">
        <f t="shared" si="4"/>
        <v>29731.850008342321</v>
      </c>
      <c r="CP6" s="190">
        <f t="shared" si="5"/>
        <v>3000000</v>
      </c>
      <c r="CQ6" s="189">
        <f t="shared" si="6"/>
        <v>39288.88913434984</v>
      </c>
      <c r="CR6" s="189">
        <f t="shared" si="7"/>
        <v>59922.724852484731</v>
      </c>
      <c r="CS6" s="189">
        <f t="shared" si="8"/>
        <v>4000000</v>
      </c>
      <c r="CT6" s="189">
        <f t="shared" si="9"/>
        <v>56895.57744915178</v>
      </c>
      <c r="CU6" s="189">
        <f t="shared" si="10"/>
        <v>7000000</v>
      </c>
      <c r="CV6" s="189">
        <f t="shared" si="11"/>
        <v>237671.72824108385</v>
      </c>
      <c r="CW6" s="189">
        <f t="shared" si="12"/>
        <v>10000000</v>
      </c>
      <c r="CX6" s="189">
        <f t="shared" si="13"/>
        <v>97148.196193200449</v>
      </c>
      <c r="CY6" s="189">
        <f t="shared" si="14"/>
        <v>10100000</v>
      </c>
      <c r="CZ6" s="388">
        <f t="shared" si="15"/>
        <v>15607.04002485061</v>
      </c>
      <c r="DA6" s="189">
        <f t="shared" si="16"/>
        <v>40151.106708394516</v>
      </c>
      <c r="DB6" s="189">
        <f t="shared" si="17"/>
        <v>10200000</v>
      </c>
      <c r="DC6" s="189">
        <f t="shared" si="18"/>
        <v>57483.779378132662</v>
      </c>
      <c r="DD6" s="189">
        <f t="shared" si="19"/>
        <v>38921.978417235659</v>
      </c>
      <c r="DE6" s="189">
        <f t="shared" si="20"/>
        <v>10400000</v>
      </c>
      <c r="DF6" s="189">
        <f t="shared" si="21"/>
        <v>27884.776957630504</v>
      </c>
      <c r="DG6" s="189">
        <f t="shared" si="22"/>
        <v>93107.056306974569</v>
      </c>
      <c r="DH6" s="189">
        <v>12793814.703671834</v>
      </c>
      <c r="DI6" s="189">
        <f t="shared" si="23"/>
        <v>12793814.703671834</v>
      </c>
      <c r="DJ6" s="189">
        <f t="shared" si="24"/>
        <v>0</v>
      </c>
      <c r="DK6" s="189">
        <f t="shared" si="25"/>
        <v>131363.81324235813</v>
      </c>
      <c r="DL6" s="189">
        <f t="shared" si="26"/>
        <v>36590.969913956345</v>
      </c>
      <c r="DM6" s="189"/>
      <c r="DN6" s="189"/>
      <c r="DO6" s="189"/>
      <c r="DP6" s="189"/>
      <c r="DQ6" s="189"/>
      <c r="DR6" s="189"/>
      <c r="DS6" s="186">
        <f t="shared" si="27"/>
        <v>12961769.486828147</v>
      </c>
      <c r="DT6" s="1" t="b">
        <f t="shared" si="31"/>
        <v>1</v>
      </c>
      <c r="DU6" s="247" t="str">
        <f t="shared" si="28"/>
        <v>Elianshasaria Munisi</v>
      </c>
      <c r="DV6" s="249">
        <f t="shared" si="29"/>
        <v>12961769.486828147</v>
      </c>
      <c r="DW6" s="248">
        <f t="shared" si="30"/>
        <v>961769.4868281465</v>
      </c>
      <c r="DZ6" s="1">
        <f t="shared" si="32"/>
        <v>3185839.0414443286</v>
      </c>
      <c r="EB6" s="1">
        <f t="shared" si="33"/>
        <v>7423510.7696854137</v>
      </c>
    </row>
    <row r="7" spans="1:134" s="1" customFormat="1" ht="16" customHeight="1" x14ac:dyDescent="0.35">
      <c r="A7" s="210" t="s">
        <v>232</v>
      </c>
      <c r="B7" s="7" t="s">
        <v>33</v>
      </c>
      <c r="C7" s="522" t="s">
        <v>1138</v>
      </c>
      <c r="D7" s="70">
        <v>45352</v>
      </c>
      <c r="E7" s="7">
        <v>10000</v>
      </c>
      <c r="F7" s="7" t="s">
        <v>29</v>
      </c>
      <c r="G7" s="70">
        <v>45353</v>
      </c>
      <c r="H7" s="7">
        <v>20000</v>
      </c>
      <c r="I7" s="556" t="s">
        <v>25</v>
      </c>
      <c r="J7" s="559">
        <v>45353</v>
      </c>
      <c r="K7" s="11">
        <v>120000</v>
      </c>
      <c r="L7" s="11" t="s">
        <v>26</v>
      </c>
      <c r="M7" s="71">
        <v>45353</v>
      </c>
      <c r="N7" s="11">
        <v>50000</v>
      </c>
      <c r="O7" s="11" t="s">
        <v>26</v>
      </c>
      <c r="P7" s="71">
        <v>45354</v>
      </c>
      <c r="Q7" s="11">
        <v>50000</v>
      </c>
      <c r="R7" s="11" t="s">
        <v>29</v>
      </c>
      <c r="S7" s="71">
        <v>45394</v>
      </c>
      <c r="T7" s="11">
        <v>30000</v>
      </c>
      <c r="U7" s="11" t="s">
        <v>29</v>
      </c>
      <c r="V7" s="71">
        <v>45394</v>
      </c>
      <c r="W7" s="11">
        <v>120000</v>
      </c>
      <c r="X7" s="11" t="s">
        <v>27</v>
      </c>
      <c r="Y7" s="71">
        <v>45486</v>
      </c>
      <c r="Z7" s="11">
        <v>20000</v>
      </c>
      <c r="AA7" s="11" t="s">
        <v>29</v>
      </c>
      <c r="AB7" s="71">
        <v>45486</v>
      </c>
      <c r="AC7" s="11">
        <v>80000</v>
      </c>
      <c r="AD7" s="11" t="s">
        <v>27</v>
      </c>
      <c r="AE7" s="71">
        <v>45492</v>
      </c>
      <c r="AF7" s="11">
        <v>40000</v>
      </c>
      <c r="AG7" s="11" t="s">
        <v>25</v>
      </c>
      <c r="AH7" s="71">
        <v>45492</v>
      </c>
      <c r="AI7" s="11">
        <f>160000+80000</f>
        <v>240000</v>
      </c>
      <c r="AJ7" s="11" t="s">
        <v>27</v>
      </c>
      <c r="AK7" s="71">
        <v>45496</v>
      </c>
      <c r="AL7" s="11">
        <v>20000</v>
      </c>
      <c r="AM7" s="11" t="s">
        <v>25</v>
      </c>
      <c r="AN7" s="71">
        <v>45648</v>
      </c>
      <c r="AO7" s="11">
        <v>200000</v>
      </c>
      <c r="AP7" s="11" t="s">
        <v>27</v>
      </c>
      <c r="AQ7" s="71">
        <v>45690</v>
      </c>
      <c r="AR7" s="11">
        <v>200000</v>
      </c>
      <c r="AS7" s="11" t="s">
        <v>27</v>
      </c>
      <c r="AT7" s="71">
        <v>45703</v>
      </c>
      <c r="AU7" s="11">
        <v>100000</v>
      </c>
      <c r="AV7" s="11" t="s">
        <v>27</v>
      </c>
      <c r="AW7" s="71">
        <v>45795</v>
      </c>
      <c r="AX7" s="11">
        <v>100000</v>
      </c>
      <c r="AY7" s="11" t="s">
        <v>27</v>
      </c>
      <c r="AZ7" s="71">
        <v>45835</v>
      </c>
      <c r="BA7" s="11">
        <v>100000</v>
      </c>
      <c r="BB7" s="11" t="s">
        <v>27</v>
      </c>
      <c r="BC7" s="71">
        <v>45884</v>
      </c>
      <c r="BD7" s="11">
        <v>200000</v>
      </c>
      <c r="BE7" s="11" t="s">
        <v>30</v>
      </c>
      <c r="BF7" s="71">
        <v>45911</v>
      </c>
      <c r="BG7" s="11">
        <v>300000</v>
      </c>
      <c r="BH7" s="11" t="s">
        <v>30</v>
      </c>
      <c r="BI7" s="10">
        <f>E7+H7+K7+N7+Q7+T7+W7+Z7+AC7+AF7+AI7+AO7+AL7+AR7+AU7+AX7+BA7+BG7+BD7</f>
        <v>2000000</v>
      </c>
      <c r="BJ7" s="3">
        <f>E7+H7+Q7+T7+Z7+AF7+AL7</f>
        <v>190000</v>
      </c>
      <c r="BK7" s="3">
        <f>BD7+BG7</f>
        <v>500000</v>
      </c>
      <c r="BL7" s="3">
        <f>K7+N7+W7+AC7+AI7+AO7+AR7+AU7+AX7+BA7</f>
        <v>1310000</v>
      </c>
      <c r="BM7" s="184">
        <f t="shared" si="0"/>
        <v>2000000</v>
      </c>
      <c r="BN7" s="1" t="b">
        <f t="shared" si="1"/>
        <v>1</v>
      </c>
      <c r="BO7" s="71">
        <v>45936</v>
      </c>
      <c r="BP7" s="202">
        <f>400000+200000</f>
        <v>600000</v>
      </c>
      <c r="BQ7" s="71">
        <v>45967</v>
      </c>
      <c r="BR7" s="202">
        <f>200000+200000</f>
        <v>400000</v>
      </c>
      <c r="BS7" s="71">
        <v>46001</v>
      </c>
      <c r="BT7" s="202">
        <v>200000</v>
      </c>
      <c r="BU7" s="71">
        <v>46026</v>
      </c>
      <c r="BV7" s="202">
        <f>500000+671957</f>
        <v>1171957</v>
      </c>
      <c r="BW7" s="3"/>
      <c r="BX7" s="231"/>
      <c r="BY7" s="71">
        <v>46083</v>
      </c>
      <c r="BZ7" s="3">
        <f>936913+700000+151559+2500000</f>
        <v>4288472</v>
      </c>
      <c r="CA7" s="71">
        <v>46142</v>
      </c>
      <c r="CB7" s="3">
        <v>200000</v>
      </c>
      <c r="CC7" s="71">
        <v>46165</v>
      </c>
      <c r="CD7" s="3">
        <f>900000+966950</f>
        <v>1866950</v>
      </c>
      <c r="CE7" s="71">
        <v>46198</v>
      </c>
      <c r="CF7" s="3">
        <f>4998610+4999999</f>
        <v>9998609</v>
      </c>
      <c r="CG7" s="71">
        <v>46216</v>
      </c>
      <c r="CH7" s="3">
        <f>458878+1000000</f>
        <v>1458878</v>
      </c>
      <c r="CI7" s="3"/>
      <c r="CJ7" s="3"/>
      <c r="CK7" s="3"/>
      <c r="CL7" s="3"/>
      <c r="CM7" s="189">
        <f t="shared" si="2"/>
        <v>20184866</v>
      </c>
      <c r="CN7" s="189">
        <f t="shared" si="3"/>
        <v>22184866</v>
      </c>
      <c r="CO7" s="189">
        <f t="shared" si="4"/>
        <v>29731.850008342321</v>
      </c>
      <c r="CP7" s="190">
        <f t="shared" si="5"/>
        <v>3000000</v>
      </c>
      <c r="CQ7" s="189">
        <f t="shared" si="6"/>
        <v>39288.88913434984</v>
      </c>
      <c r="CR7" s="189">
        <f t="shared" si="7"/>
        <v>59922.724852484731</v>
      </c>
      <c r="CS7" s="189">
        <f t="shared" si="8"/>
        <v>4371957</v>
      </c>
      <c r="CT7" s="189">
        <f t="shared" si="9"/>
        <v>62186.254524465316</v>
      </c>
      <c r="CU7" s="189">
        <f t="shared" si="10"/>
        <v>4371957</v>
      </c>
      <c r="CV7" s="189">
        <f t="shared" si="11"/>
        <v>148441.51085510061</v>
      </c>
      <c r="CW7" s="189">
        <f t="shared" si="12"/>
        <v>8660429</v>
      </c>
      <c r="CX7" s="189">
        <f t="shared" si="13"/>
        <v>84134.505560928286</v>
      </c>
      <c r="CY7" s="189">
        <f t="shared" si="14"/>
        <v>8860429</v>
      </c>
      <c r="CZ7" s="388">
        <f t="shared" si="15"/>
        <v>13691.591093103671</v>
      </c>
      <c r="DA7" s="189">
        <f t="shared" si="16"/>
        <v>35223.369332787457</v>
      </c>
      <c r="DB7" s="189">
        <f t="shared" si="17"/>
        <v>10727379</v>
      </c>
      <c r="DC7" s="189">
        <f t="shared" si="18"/>
        <v>60455.910562903271</v>
      </c>
      <c r="DD7" s="189">
        <f t="shared" si="19"/>
        <v>40934.393520735983</v>
      </c>
      <c r="DE7" s="189">
        <f t="shared" si="20"/>
        <v>20725988</v>
      </c>
      <c r="DF7" s="189">
        <f t="shared" si="21"/>
        <v>55571.110827550612</v>
      </c>
      <c r="DG7" s="189">
        <f t="shared" si="22"/>
        <v>185551.51266669997</v>
      </c>
      <c r="DH7" s="189">
        <v>22999999.622939449</v>
      </c>
      <c r="DI7" s="189">
        <f t="shared" si="23"/>
        <v>22999999.622939449</v>
      </c>
      <c r="DJ7" s="189">
        <f t="shared" si="24"/>
        <v>0</v>
      </c>
      <c r="DK7" s="189">
        <f t="shared" si="25"/>
        <v>236158.46602616424</v>
      </c>
      <c r="DL7" s="189">
        <f t="shared" si="26"/>
        <v>65781.185183372028</v>
      </c>
      <c r="DM7" s="189"/>
      <c r="DN7" s="189"/>
      <c r="DO7" s="189"/>
      <c r="DP7" s="189"/>
      <c r="DQ7" s="189"/>
      <c r="DR7" s="189"/>
      <c r="DS7" s="186">
        <f t="shared" si="27"/>
        <v>23301939.274148986</v>
      </c>
      <c r="DT7" s="1" t="b">
        <f t="shared" si="31"/>
        <v>1</v>
      </c>
      <c r="DU7" s="247" t="str">
        <f t="shared" si="28"/>
        <v>Emmanuel Matee</v>
      </c>
      <c r="DV7" s="249">
        <f t="shared" si="29"/>
        <v>23301939.274148986</v>
      </c>
      <c r="DW7" s="248">
        <f t="shared" si="30"/>
        <v>1117073.2741489857</v>
      </c>
      <c r="DZ7" s="1">
        <f t="shared" si="32"/>
        <v>3391129.718519642</v>
      </c>
      <c r="EB7" s="1">
        <f t="shared" si="33"/>
        <v>4711528.229374744</v>
      </c>
    </row>
    <row r="8" spans="1:134" s="1" customFormat="1" x14ac:dyDescent="0.35">
      <c r="A8" s="210" t="s">
        <v>233</v>
      </c>
      <c r="B8" s="7" t="s">
        <v>50</v>
      </c>
      <c r="C8" s="522" t="s">
        <v>1139</v>
      </c>
      <c r="D8" s="71">
        <v>45357</v>
      </c>
      <c r="E8" s="7">
        <v>80000</v>
      </c>
      <c r="F8" s="7" t="s">
        <v>29</v>
      </c>
      <c r="G8" s="71">
        <v>45358</v>
      </c>
      <c r="H8" s="11">
        <v>170000</v>
      </c>
      <c r="I8" s="545" t="s">
        <v>27</v>
      </c>
      <c r="J8" s="555">
        <v>45525</v>
      </c>
      <c r="K8" s="11">
        <v>550000</v>
      </c>
      <c r="L8" s="11" t="s">
        <v>27</v>
      </c>
      <c r="M8" s="71">
        <v>45648</v>
      </c>
      <c r="N8" s="11">
        <v>200000</v>
      </c>
      <c r="O8" s="11" t="s">
        <v>27</v>
      </c>
      <c r="P8" s="71">
        <v>45727</v>
      </c>
      <c r="Q8" s="11">
        <v>300000</v>
      </c>
      <c r="R8" s="11" t="s">
        <v>30</v>
      </c>
      <c r="S8" s="71">
        <v>45909</v>
      </c>
      <c r="T8" s="11">
        <v>1000000</v>
      </c>
      <c r="U8" s="11" t="s">
        <v>30</v>
      </c>
      <c r="V8" s="11"/>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f t="shared" ref="BI8:BI39" si="34">E8+H8+K8+N8+Q8+T8+W8+Z8+AC8+AF8+AI8+AO8+AL8+AR8+AU8+AX8+BA8+BG8</f>
        <v>2300000</v>
      </c>
      <c r="BJ8" s="3">
        <f>E8</f>
        <v>80000</v>
      </c>
      <c r="BK8" s="3">
        <f>Q8+T8</f>
        <v>1300000</v>
      </c>
      <c r="BL8" s="3">
        <f>H8+K8+N8</f>
        <v>920000</v>
      </c>
      <c r="BM8" s="184">
        <f t="shared" si="0"/>
        <v>2300000</v>
      </c>
      <c r="BN8" s="1" t="b">
        <f t="shared" si="1"/>
        <v>1</v>
      </c>
      <c r="BO8" s="71">
        <v>45937</v>
      </c>
      <c r="BP8" s="202">
        <v>200000</v>
      </c>
      <c r="BQ8" s="71">
        <v>45972</v>
      </c>
      <c r="BR8" s="202">
        <v>270000</v>
      </c>
      <c r="BS8" s="71">
        <v>45998</v>
      </c>
      <c r="BT8" s="202">
        <f>1000000+1195808</f>
        <v>2195808</v>
      </c>
      <c r="BU8" s="71">
        <v>46052</v>
      </c>
      <c r="BV8" s="202">
        <v>408395</v>
      </c>
      <c r="BW8" s="71">
        <v>46072</v>
      </c>
      <c r="BX8" s="231">
        <f>423558</f>
        <v>423558</v>
      </c>
      <c r="BY8" s="71">
        <v>46082</v>
      </c>
      <c r="BZ8" s="231">
        <f>2000000+2000000+4803148+1000000</f>
        <v>9803148</v>
      </c>
      <c r="CA8" s="71">
        <v>46123</v>
      </c>
      <c r="CB8" s="3">
        <f>3000000+849791</f>
        <v>3849791</v>
      </c>
      <c r="CC8" s="71">
        <v>46143</v>
      </c>
      <c r="CD8" s="3">
        <f>2998649+1892620</f>
        <v>4891269</v>
      </c>
      <c r="CE8" s="71">
        <v>46174</v>
      </c>
      <c r="CF8" s="3">
        <f>500000+263914+4000000+2000000</f>
        <v>6763914</v>
      </c>
      <c r="CG8" s="71">
        <v>46217</v>
      </c>
      <c r="CH8" s="3">
        <f>2644136+1000000+4200000</f>
        <v>7844136</v>
      </c>
      <c r="CI8" s="3"/>
      <c r="CJ8" s="3"/>
      <c r="CK8" s="3"/>
      <c r="CL8" s="3"/>
      <c r="CM8" s="189">
        <f t="shared" si="2"/>
        <v>36650019</v>
      </c>
      <c r="CN8" s="189">
        <f t="shared" si="3"/>
        <v>38950019</v>
      </c>
      <c r="CO8" s="189">
        <f t="shared" si="4"/>
        <v>34191.627509593673</v>
      </c>
      <c r="CP8" s="190">
        <f t="shared" si="5"/>
        <v>2770000</v>
      </c>
      <c r="CQ8" s="189">
        <f t="shared" si="6"/>
        <v>36276.740967383019</v>
      </c>
      <c r="CR8" s="189">
        <f t="shared" si="7"/>
        <v>55328.649280460908</v>
      </c>
      <c r="CS8" s="189">
        <f t="shared" si="8"/>
        <v>5374203</v>
      </c>
      <c r="CT8" s="189">
        <f t="shared" si="9"/>
        <v>76442.095753490968</v>
      </c>
      <c r="CU8" s="189">
        <f t="shared" si="10"/>
        <v>5797761</v>
      </c>
      <c r="CV8" s="189">
        <f t="shared" si="11"/>
        <v>196851.98239982207</v>
      </c>
      <c r="CW8" s="189">
        <f t="shared" si="12"/>
        <v>15600909</v>
      </c>
      <c r="CX8" s="189">
        <f t="shared" si="13"/>
        <v>151560.01683242666</v>
      </c>
      <c r="CY8" s="189">
        <f t="shared" si="14"/>
        <v>19450700</v>
      </c>
      <c r="CZ8" s="388">
        <f t="shared" si="15"/>
        <v>30056.223110035819</v>
      </c>
      <c r="DA8" s="189">
        <f t="shared" si="16"/>
        <v>77323.47834187813</v>
      </c>
      <c r="DB8" s="189">
        <f t="shared" si="17"/>
        <v>24341969</v>
      </c>
      <c r="DC8" s="189">
        <f t="shared" si="18"/>
        <v>137183.17408091613</v>
      </c>
      <c r="DD8" s="189">
        <f t="shared" si="19"/>
        <v>92886.038436374452</v>
      </c>
      <c r="DE8" s="189">
        <f t="shared" si="20"/>
        <v>31105883</v>
      </c>
      <c r="DF8" s="189">
        <f t="shared" si="21"/>
        <v>83401.981685110615</v>
      </c>
      <c r="DG8" s="189">
        <f t="shared" si="22"/>
        <v>278478.57691915031</v>
      </c>
      <c r="DH8" s="189">
        <v>40199999.585316643</v>
      </c>
      <c r="DI8" s="189">
        <f t="shared" si="23"/>
        <v>40199999.585316643</v>
      </c>
      <c r="DJ8" s="189">
        <f t="shared" si="24"/>
        <v>0</v>
      </c>
      <c r="DK8" s="189">
        <f t="shared" si="25"/>
        <v>412763.93008512224</v>
      </c>
      <c r="DL8" s="189">
        <f t="shared" si="26"/>
        <v>114974.07219327737</v>
      </c>
      <c r="DM8" s="189"/>
      <c r="DN8" s="189"/>
      <c r="DO8" s="189"/>
      <c r="DP8" s="189"/>
      <c r="DQ8" s="189"/>
      <c r="DR8" s="189"/>
      <c r="DS8" s="186">
        <f t="shared" si="27"/>
        <v>40727737.587595046</v>
      </c>
      <c r="DT8" s="1" t="b">
        <f t="shared" si="31"/>
        <v>1</v>
      </c>
      <c r="DU8" s="247" t="str">
        <f t="shared" si="28"/>
        <v xml:space="preserve">Erick Kitali </v>
      </c>
      <c r="DV8" s="249">
        <f t="shared" si="29"/>
        <v>40727737.587595046</v>
      </c>
      <c r="DW8" s="248">
        <f t="shared" si="30"/>
        <v>1777718.5875950456</v>
      </c>
      <c r="DZ8" s="1">
        <f t="shared" si="32"/>
        <v>5168047.1135109281</v>
      </c>
      <c r="EB8" s="1">
        <f t="shared" si="33"/>
        <v>6196852.0959107503</v>
      </c>
    </row>
    <row r="9" spans="1:134" s="1" customFormat="1" x14ac:dyDescent="0.35">
      <c r="A9" s="210" t="s">
        <v>234</v>
      </c>
      <c r="B9" s="7" t="s">
        <v>1141</v>
      </c>
      <c r="C9" s="522" t="s">
        <v>1140</v>
      </c>
      <c r="D9" s="70">
        <v>45348</v>
      </c>
      <c r="E9" s="11">
        <v>1000</v>
      </c>
      <c r="F9" s="11" t="s">
        <v>24</v>
      </c>
      <c r="G9" s="70">
        <v>45352</v>
      </c>
      <c r="H9" s="7">
        <v>10000</v>
      </c>
      <c r="I9" s="556" t="s">
        <v>25</v>
      </c>
      <c r="J9" s="559">
        <v>45352</v>
      </c>
      <c r="K9" s="11">
        <v>60000</v>
      </c>
      <c r="L9" s="11" t="s">
        <v>26</v>
      </c>
      <c r="M9" s="71">
        <v>45355</v>
      </c>
      <c r="N9" s="11">
        <v>70000</v>
      </c>
      <c r="O9" s="11" t="s">
        <v>27</v>
      </c>
      <c r="P9" s="11"/>
      <c r="Q9" s="11"/>
      <c r="R9" s="11"/>
      <c r="S9" s="11"/>
      <c r="T9" s="11"/>
      <c r="U9" s="11"/>
      <c r="V9" s="11"/>
      <c r="W9" s="11"/>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f t="shared" si="34"/>
        <v>141000</v>
      </c>
      <c r="BJ9" s="3">
        <f>E9+H9</f>
        <v>11000</v>
      </c>
      <c r="BK9" s="3"/>
      <c r="BL9" s="3">
        <f>K9+N9</f>
        <v>130000</v>
      </c>
      <c r="BM9" s="184">
        <f t="shared" si="0"/>
        <v>141000</v>
      </c>
      <c r="BN9" s="711" t="b">
        <f t="shared" si="1"/>
        <v>1</v>
      </c>
      <c r="BO9" s="10"/>
      <c r="BP9" s="200">
        <v>0</v>
      </c>
      <c r="BQ9" s="3"/>
      <c r="BR9" s="200">
        <v>0</v>
      </c>
      <c r="BS9" s="205"/>
      <c r="BT9" s="200"/>
      <c r="BU9" s="3"/>
      <c r="BV9" s="3"/>
      <c r="BW9" s="3"/>
      <c r="BX9" s="231"/>
      <c r="BY9" s="71">
        <v>46111</v>
      </c>
      <c r="BZ9" s="231">
        <v>2000000</v>
      </c>
      <c r="CA9" s="71">
        <v>46128</v>
      </c>
      <c r="CB9" s="3">
        <v>550000</v>
      </c>
      <c r="CC9" s="71">
        <v>46148</v>
      </c>
      <c r="CD9" s="3">
        <v>250000</v>
      </c>
      <c r="CE9" s="71">
        <v>46175</v>
      </c>
      <c r="CF9" s="3">
        <v>282000</v>
      </c>
      <c r="CG9" s="3"/>
      <c r="CH9" s="3"/>
      <c r="CI9" s="3"/>
      <c r="CJ9" s="3"/>
      <c r="CK9" s="3"/>
      <c r="CL9" s="3"/>
      <c r="CM9" s="189">
        <f t="shared" si="2"/>
        <v>3082000</v>
      </c>
      <c r="CN9" s="189">
        <f t="shared" si="3"/>
        <v>3223000</v>
      </c>
      <c r="CO9" s="189">
        <f t="shared" si="4"/>
        <v>2096.0954255881338</v>
      </c>
      <c r="CP9" s="190">
        <f t="shared" si="5"/>
        <v>141000</v>
      </c>
      <c r="CQ9" s="189">
        <f t="shared" si="6"/>
        <v>1846.5777893144423</v>
      </c>
      <c r="CR9" s="189">
        <f t="shared" si="7"/>
        <v>2816.3680680667821</v>
      </c>
      <c r="CS9" s="189">
        <f t="shared" si="8"/>
        <v>141000</v>
      </c>
      <c r="CT9" s="189">
        <f t="shared" si="9"/>
        <v>2005.5691050826003</v>
      </c>
      <c r="CU9" s="189">
        <f t="shared" si="10"/>
        <v>141000</v>
      </c>
      <c r="CV9" s="189">
        <f t="shared" si="11"/>
        <v>4787.3876688561177</v>
      </c>
      <c r="CW9" s="189">
        <f t="shared" si="12"/>
        <v>2141000</v>
      </c>
      <c r="CX9" s="189">
        <f t="shared" si="13"/>
        <v>20799.428804964216</v>
      </c>
      <c r="CY9" s="189">
        <f t="shared" si="14"/>
        <v>2691000</v>
      </c>
      <c r="CZ9" s="388">
        <f t="shared" si="15"/>
        <v>4158.2717531557419</v>
      </c>
      <c r="DA9" s="189">
        <f t="shared" si="16"/>
        <v>10697.685955672243</v>
      </c>
      <c r="DB9" s="189">
        <f t="shared" si="17"/>
        <v>2941000</v>
      </c>
      <c r="DC9" s="189">
        <f t="shared" si="18"/>
        <v>16574.489720694917</v>
      </c>
      <c r="DD9" s="189">
        <f t="shared" si="19"/>
        <v>11222.503776969614</v>
      </c>
      <c r="DE9" s="189">
        <f t="shared" si="20"/>
        <v>3223000</v>
      </c>
      <c r="DF9" s="189">
        <f t="shared" si="21"/>
        <v>8641.5996283118384</v>
      </c>
      <c r="DG9" s="189">
        <f t="shared" si="22"/>
        <v>28854.234853594138</v>
      </c>
      <c r="DH9" s="189">
        <v>3337500.2125502704</v>
      </c>
      <c r="DI9" s="189">
        <f t="shared" si="23"/>
        <v>3337500.2125502704</v>
      </c>
      <c r="DJ9" s="189">
        <f t="shared" si="24"/>
        <v>0</v>
      </c>
      <c r="DK9" s="189">
        <f t="shared" si="25"/>
        <v>34268.649716488035</v>
      </c>
      <c r="DL9" s="189">
        <f t="shared" si="26"/>
        <v>9545.4227448050078</v>
      </c>
      <c r="DM9" s="189"/>
      <c r="DN9" s="189"/>
      <c r="DO9" s="189"/>
      <c r="DP9" s="189"/>
      <c r="DQ9" s="189"/>
      <c r="DR9" s="189"/>
      <c r="DS9" s="186">
        <f t="shared" si="27"/>
        <v>3381314.2850115635</v>
      </c>
      <c r="DT9" s="1" t="b">
        <f t="shared" si="31"/>
        <v>1</v>
      </c>
      <c r="DU9" s="247" t="str">
        <f t="shared" si="28"/>
        <v>Felix Daniel Kinabo</v>
      </c>
      <c r="DV9" s="249">
        <f t="shared" si="29"/>
        <v>3381314.2850115635</v>
      </c>
      <c r="DW9" s="248">
        <f t="shared" si="30"/>
        <v>158314.28501156345</v>
      </c>
      <c r="DZ9" s="1">
        <f t="shared" si="32"/>
        <v>149764.61038805195</v>
      </c>
      <c r="EB9" s="1">
        <f t="shared" si="33"/>
        <v>154551.99805690808</v>
      </c>
    </row>
    <row r="10" spans="1:134" s="1" customFormat="1" x14ac:dyDescent="0.35">
      <c r="A10" s="210" t="s">
        <v>235</v>
      </c>
      <c r="B10" s="7" t="s">
        <v>64</v>
      </c>
      <c r="C10" s="522" t="s">
        <v>1142</v>
      </c>
      <c r="D10" s="71">
        <v>45369</v>
      </c>
      <c r="E10" s="11">
        <v>80000</v>
      </c>
      <c r="F10" s="11" t="s">
        <v>29</v>
      </c>
      <c r="G10" s="71">
        <v>45369</v>
      </c>
      <c r="H10" s="11">
        <v>90000</v>
      </c>
      <c r="I10" s="545" t="s">
        <v>27</v>
      </c>
      <c r="J10" s="555">
        <v>45683</v>
      </c>
      <c r="K10" s="11">
        <v>200000</v>
      </c>
      <c r="L10" s="11" t="s">
        <v>27</v>
      </c>
      <c r="M10" s="71">
        <v>45775</v>
      </c>
      <c r="N10" s="11">
        <v>200000</v>
      </c>
      <c r="O10" s="11" t="s">
        <v>30</v>
      </c>
      <c r="P10" s="71">
        <v>45884</v>
      </c>
      <c r="Q10" s="11">
        <v>200000</v>
      </c>
      <c r="R10" s="11" t="s">
        <v>30</v>
      </c>
      <c r="S10" s="71">
        <v>45895</v>
      </c>
      <c r="T10" s="11">
        <v>200000</v>
      </c>
      <c r="U10" s="11" t="s">
        <v>30</v>
      </c>
      <c r="V10" s="71">
        <v>45899</v>
      </c>
      <c r="W10" s="11">
        <v>200000</v>
      </c>
      <c r="X10" s="11" t="s">
        <v>30</v>
      </c>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f t="shared" si="34"/>
        <v>1170000</v>
      </c>
      <c r="BJ10" s="3">
        <f>E10</f>
        <v>80000</v>
      </c>
      <c r="BK10" s="3">
        <f>N10+Q10+T10+W10</f>
        <v>800000</v>
      </c>
      <c r="BL10" s="3">
        <f>H10+K10</f>
        <v>290000</v>
      </c>
      <c r="BM10" s="184">
        <f t="shared" si="0"/>
        <v>1170000</v>
      </c>
      <c r="BN10" s="711" t="b">
        <f t="shared" si="1"/>
        <v>1</v>
      </c>
      <c r="BO10" s="71">
        <v>45957</v>
      </c>
      <c r="BP10" s="200">
        <v>200000</v>
      </c>
      <c r="BQ10" s="3"/>
      <c r="BR10" s="200">
        <v>0</v>
      </c>
      <c r="BS10" s="205"/>
      <c r="BT10" s="200"/>
      <c r="BU10" s="3"/>
      <c r="BV10" s="3"/>
      <c r="BW10" s="3"/>
      <c r="BX10" s="231"/>
      <c r="BY10" s="3"/>
      <c r="BZ10" s="3"/>
      <c r="CA10" s="3"/>
      <c r="CB10" s="3"/>
      <c r="CC10" s="3"/>
      <c r="CD10" s="3"/>
      <c r="CE10" s="71">
        <v>46203</v>
      </c>
      <c r="CF10" s="3">
        <v>2000000</v>
      </c>
      <c r="CG10" s="3"/>
      <c r="CH10" s="3"/>
      <c r="CI10" s="3"/>
      <c r="CJ10" s="3"/>
      <c r="CK10" s="3"/>
      <c r="CL10" s="3"/>
      <c r="CM10" s="189">
        <f t="shared" si="2"/>
        <v>2200000</v>
      </c>
      <c r="CN10" s="189">
        <f t="shared" si="3"/>
        <v>3370000</v>
      </c>
      <c r="CO10" s="189">
        <f t="shared" si="4"/>
        <v>17393.132254880256</v>
      </c>
      <c r="CP10" s="190">
        <f t="shared" si="5"/>
        <v>1370000</v>
      </c>
      <c r="CQ10" s="189">
        <f t="shared" si="6"/>
        <v>17941.926038019759</v>
      </c>
      <c r="CR10" s="189">
        <f t="shared" si="7"/>
        <v>27364.711015968031</v>
      </c>
      <c r="CS10" s="189">
        <f t="shared" si="8"/>
        <v>1370000</v>
      </c>
      <c r="CT10" s="189">
        <f t="shared" si="9"/>
        <v>19486.735276334482</v>
      </c>
      <c r="CU10" s="189">
        <f t="shared" si="10"/>
        <v>1370000</v>
      </c>
      <c r="CV10" s="189">
        <f t="shared" si="11"/>
        <v>46515.752527183547</v>
      </c>
      <c r="CW10" s="189">
        <f t="shared" si="12"/>
        <v>1370000</v>
      </c>
      <c r="CX10" s="189">
        <f t="shared" si="13"/>
        <v>13309.302878468463</v>
      </c>
      <c r="CY10" s="189">
        <f t="shared" si="14"/>
        <v>1370000</v>
      </c>
      <c r="CZ10" s="388">
        <f t="shared" si="15"/>
        <v>2116.9945380242907</v>
      </c>
      <c r="DA10" s="189">
        <f t="shared" si="16"/>
        <v>5446.239226782227</v>
      </c>
      <c r="DB10" s="189">
        <f t="shared" si="17"/>
        <v>1370000</v>
      </c>
      <c r="DC10" s="189">
        <f t="shared" si="18"/>
        <v>7720.8605635335043</v>
      </c>
      <c r="DD10" s="189">
        <f t="shared" si="19"/>
        <v>5227.7559246679257</v>
      </c>
      <c r="DE10" s="189">
        <f t="shared" si="20"/>
        <v>3370000</v>
      </c>
      <c r="DF10" s="189">
        <f t="shared" si="21"/>
        <v>9035.7402256937312</v>
      </c>
      <c r="DG10" s="189">
        <f t="shared" si="22"/>
        <v>30170.267284086956</v>
      </c>
      <c r="DH10" s="189">
        <v>3571729.4177536424</v>
      </c>
      <c r="DI10" s="189">
        <f t="shared" si="23"/>
        <v>3571729.4177536424</v>
      </c>
      <c r="DJ10" s="189">
        <f t="shared" si="24"/>
        <v>0</v>
      </c>
      <c r="DK10" s="189">
        <f t="shared" si="25"/>
        <v>36673.658877626738</v>
      </c>
      <c r="DL10" s="189">
        <f t="shared" si="26"/>
        <v>10215.330352432522</v>
      </c>
      <c r="DM10" s="189"/>
      <c r="DN10" s="189"/>
      <c r="DO10" s="189"/>
      <c r="DP10" s="189"/>
      <c r="DQ10" s="189"/>
      <c r="DR10" s="189"/>
      <c r="DS10" s="186">
        <f t="shared" si="27"/>
        <v>3618618.4069837015</v>
      </c>
      <c r="DT10" s="1" t="b">
        <f t="shared" si="31"/>
        <v>1</v>
      </c>
      <c r="DU10" s="247" t="str">
        <f t="shared" si="28"/>
        <v>Gideon Gabriel</v>
      </c>
      <c r="DV10" s="249">
        <f t="shared" si="29"/>
        <v>3618618.4069837015</v>
      </c>
      <c r="DW10" s="248">
        <f t="shared" si="30"/>
        <v>248618.40698370151</v>
      </c>
      <c r="DZ10" s="1">
        <f t="shared" si="32"/>
        <v>1452186.5045852026</v>
      </c>
      <c r="EB10" s="1">
        <f t="shared" si="33"/>
        <v>1498702.2571123862</v>
      </c>
    </row>
    <row r="11" spans="1:134" s="1" customFormat="1" x14ac:dyDescent="0.35">
      <c r="A11" s="210" t="s">
        <v>236</v>
      </c>
      <c r="B11" s="7" t="s">
        <v>39</v>
      </c>
      <c r="C11" s="522" t="s">
        <v>1143</v>
      </c>
      <c r="D11" s="71">
        <v>45355</v>
      </c>
      <c r="E11" s="11">
        <v>170000</v>
      </c>
      <c r="F11" s="11" t="s">
        <v>29</v>
      </c>
      <c r="G11" s="70">
        <v>45355</v>
      </c>
      <c r="H11" s="11">
        <v>170000</v>
      </c>
      <c r="I11" s="556" t="s">
        <v>27</v>
      </c>
      <c r="J11" s="555">
        <v>45530</v>
      </c>
      <c r="K11" s="11">
        <v>460000</v>
      </c>
      <c r="L11" s="11" t="s">
        <v>26</v>
      </c>
      <c r="M11" s="71">
        <v>45690</v>
      </c>
      <c r="N11" s="11">
        <v>200000</v>
      </c>
      <c r="O11" s="11" t="s">
        <v>26</v>
      </c>
      <c r="P11" s="71">
        <v>45912</v>
      </c>
      <c r="Q11" s="11">
        <v>1000000</v>
      </c>
      <c r="R11" s="11" t="s">
        <v>30</v>
      </c>
      <c r="S11" s="11"/>
      <c r="T11" s="11"/>
      <c r="U11" s="11"/>
      <c r="V11" s="11"/>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f t="shared" si="34"/>
        <v>2000000</v>
      </c>
      <c r="BJ11" s="3">
        <f>E11</f>
        <v>170000</v>
      </c>
      <c r="BK11" s="3">
        <f>Q11</f>
        <v>1000000</v>
      </c>
      <c r="BL11" s="3">
        <f>H11+K11+N11</f>
        <v>830000</v>
      </c>
      <c r="BM11" s="184">
        <f t="shared" si="0"/>
        <v>2000000</v>
      </c>
      <c r="BN11" s="1" t="b">
        <f t="shared" si="1"/>
        <v>1</v>
      </c>
      <c r="BO11" s="71">
        <v>45954</v>
      </c>
      <c r="BP11" s="202">
        <v>1000000</v>
      </c>
      <c r="BQ11" s="3"/>
      <c r="BR11" s="200"/>
      <c r="BS11" s="205"/>
      <c r="BT11" s="200"/>
      <c r="BU11" s="3"/>
      <c r="BV11" s="3"/>
      <c r="BW11" s="3"/>
      <c r="BX11" s="231"/>
      <c r="BY11" s="71">
        <v>46084</v>
      </c>
      <c r="BZ11" s="3">
        <f>2000000+2000000+3000000</f>
        <v>7000000</v>
      </c>
      <c r="CA11" s="71">
        <v>46141</v>
      </c>
      <c r="CB11" s="3">
        <f>2000000+3000000</f>
        <v>5000000</v>
      </c>
      <c r="CC11" s="71">
        <v>46170</v>
      </c>
      <c r="CD11" s="3">
        <f>3000000+2000000</f>
        <v>5000000</v>
      </c>
      <c r="CE11" s="71">
        <v>46198</v>
      </c>
      <c r="CF11" s="3">
        <f>3000000+2000000</f>
        <v>5000000</v>
      </c>
      <c r="CG11" s="71">
        <v>46227</v>
      </c>
      <c r="CH11" s="3">
        <f>3000000+2000000</f>
        <v>5000000</v>
      </c>
      <c r="CI11" s="3"/>
      <c r="CJ11" s="3"/>
      <c r="CK11" s="3"/>
      <c r="CL11" s="3"/>
      <c r="CM11" s="189">
        <f t="shared" si="2"/>
        <v>28000000</v>
      </c>
      <c r="CN11" s="189">
        <f t="shared" si="3"/>
        <v>30000000</v>
      </c>
      <c r="CO11" s="189">
        <f t="shared" si="4"/>
        <v>29731.850008342321</v>
      </c>
      <c r="CP11" s="190">
        <f t="shared" si="5"/>
        <v>3000000</v>
      </c>
      <c r="CQ11" s="189">
        <f t="shared" si="6"/>
        <v>39288.88913434984</v>
      </c>
      <c r="CR11" s="189">
        <f t="shared" si="7"/>
        <v>59922.724852484731</v>
      </c>
      <c r="CS11" s="189">
        <f t="shared" si="8"/>
        <v>3000000</v>
      </c>
      <c r="CT11" s="189">
        <f t="shared" si="9"/>
        <v>42671.683086863835</v>
      </c>
      <c r="CU11" s="189">
        <f t="shared" si="10"/>
        <v>3000000</v>
      </c>
      <c r="CV11" s="189">
        <f t="shared" si="11"/>
        <v>101859.31210332164</v>
      </c>
      <c r="CW11" s="189">
        <f t="shared" si="12"/>
        <v>10000000</v>
      </c>
      <c r="CX11" s="189">
        <f t="shared" si="13"/>
        <v>97148.196193200449</v>
      </c>
      <c r="CY11" s="189">
        <f t="shared" si="14"/>
        <v>15000000</v>
      </c>
      <c r="CZ11" s="388">
        <f t="shared" si="15"/>
        <v>23178.77231413457</v>
      </c>
      <c r="DA11" s="189">
        <f t="shared" si="16"/>
        <v>59630.356497615612</v>
      </c>
      <c r="DB11" s="189">
        <f t="shared" si="17"/>
        <v>20000000</v>
      </c>
      <c r="DC11" s="189">
        <f t="shared" si="18"/>
        <v>112713.29289829935</v>
      </c>
      <c r="DD11" s="189">
        <f t="shared" si="19"/>
        <v>76317.604739677758</v>
      </c>
      <c r="DE11" s="189">
        <f t="shared" si="20"/>
        <v>25000000</v>
      </c>
      <c r="DF11" s="189">
        <f t="shared" si="21"/>
        <v>67030.713840457945</v>
      </c>
      <c r="DG11" s="189">
        <f t="shared" si="22"/>
        <v>223815.03919945814</v>
      </c>
      <c r="DH11" s="189">
        <v>30933308.434868205</v>
      </c>
      <c r="DI11" s="189">
        <f t="shared" si="23"/>
        <v>30933308.434868205</v>
      </c>
      <c r="DJ11" s="189">
        <f t="shared" si="24"/>
        <v>0</v>
      </c>
      <c r="DK11" s="189">
        <f t="shared" si="25"/>
        <v>317615.77342839399</v>
      </c>
      <c r="DL11" s="189">
        <f t="shared" si="26"/>
        <v>88470.857558578238</v>
      </c>
      <c r="DM11" s="189"/>
      <c r="DN11" s="189"/>
      <c r="DO11" s="189"/>
      <c r="DP11" s="189"/>
      <c r="DQ11" s="189"/>
      <c r="DR11" s="189"/>
      <c r="DS11" s="186">
        <f t="shared" si="27"/>
        <v>31339395.065855179</v>
      </c>
      <c r="DT11" s="1" t="b">
        <f t="shared" si="31"/>
        <v>1</v>
      </c>
      <c r="DU11" s="247" t="str">
        <f t="shared" si="28"/>
        <v>Mosses Makoko</v>
      </c>
      <c r="DV11" s="249">
        <f t="shared" si="29"/>
        <v>31339395.065855179</v>
      </c>
      <c r="DW11" s="248">
        <f t="shared" si="30"/>
        <v>1339395.065855179</v>
      </c>
      <c r="DZ11" s="1">
        <f t="shared" si="32"/>
        <v>3171615.1470820406</v>
      </c>
      <c r="EB11" s="1">
        <f t="shared" si="33"/>
        <v>3273474.4591853623</v>
      </c>
    </row>
    <row r="12" spans="1:134" s="1" customFormat="1" x14ac:dyDescent="0.35">
      <c r="A12" s="210" t="s">
        <v>237</v>
      </c>
      <c r="B12" s="7" t="s">
        <v>238</v>
      </c>
      <c r="C12" s="522" t="s">
        <v>1144</v>
      </c>
      <c r="D12" s="71">
        <v>45355</v>
      </c>
      <c r="E12" s="11">
        <v>100000</v>
      </c>
      <c r="F12" s="11" t="s">
        <v>27</v>
      </c>
      <c r="G12" s="71">
        <v>45359</v>
      </c>
      <c r="H12" s="11">
        <v>190000</v>
      </c>
      <c r="I12" s="545" t="s">
        <v>27</v>
      </c>
      <c r="J12" s="555">
        <v>45359</v>
      </c>
      <c r="K12" s="11">
        <v>110000</v>
      </c>
      <c r="L12" s="11" t="s">
        <v>29</v>
      </c>
      <c r="M12" s="71">
        <v>45359</v>
      </c>
      <c r="N12" s="11">
        <v>60000</v>
      </c>
      <c r="O12" s="11" t="s">
        <v>29</v>
      </c>
      <c r="P12" s="71">
        <v>45421</v>
      </c>
      <c r="Q12" s="11">
        <v>140000</v>
      </c>
      <c r="R12" s="11" t="s">
        <v>26</v>
      </c>
      <c r="S12" s="71">
        <v>45485</v>
      </c>
      <c r="T12" s="11">
        <v>140000</v>
      </c>
      <c r="U12" s="11" t="s">
        <v>26</v>
      </c>
      <c r="V12" s="71">
        <v>45504</v>
      </c>
      <c r="W12" s="11">
        <v>60000</v>
      </c>
      <c r="X12" s="11" t="s">
        <v>26</v>
      </c>
      <c r="Y12" s="71">
        <v>45649</v>
      </c>
      <c r="Z12" s="11">
        <v>200000</v>
      </c>
      <c r="AA12" s="11" t="s">
        <v>26</v>
      </c>
      <c r="AB12" s="71">
        <v>45702</v>
      </c>
      <c r="AC12" s="11">
        <v>300000</v>
      </c>
      <c r="AD12" s="11" t="s">
        <v>26</v>
      </c>
      <c r="AE12" s="71">
        <v>45712</v>
      </c>
      <c r="AF12" s="11">
        <v>300000</v>
      </c>
      <c r="AG12" s="11" t="s">
        <v>26</v>
      </c>
      <c r="AH12" s="71">
        <v>45740</v>
      </c>
      <c r="AI12" s="11">
        <v>200000</v>
      </c>
      <c r="AJ12" s="11" t="s">
        <v>26</v>
      </c>
      <c r="AK12" s="71">
        <v>45778</v>
      </c>
      <c r="AL12" s="11">
        <v>100000</v>
      </c>
      <c r="AM12" s="11" t="s">
        <v>30</v>
      </c>
      <c r="AN12" s="71">
        <v>45797</v>
      </c>
      <c r="AO12" s="11">
        <v>100000</v>
      </c>
      <c r="AP12" s="11" t="s">
        <v>30</v>
      </c>
      <c r="AQ12" s="71">
        <v>45833</v>
      </c>
      <c r="AR12" s="11">
        <v>100000</v>
      </c>
      <c r="AS12" s="11" t="s">
        <v>27</v>
      </c>
      <c r="AT12" s="71">
        <v>45869</v>
      </c>
      <c r="AU12" s="11">
        <v>100000</v>
      </c>
      <c r="AV12" s="11" t="s">
        <v>30</v>
      </c>
      <c r="AW12" s="71">
        <v>45895</v>
      </c>
      <c r="AX12" s="11">
        <v>100000</v>
      </c>
      <c r="AY12" s="11" t="s">
        <v>30</v>
      </c>
      <c r="AZ12" s="71">
        <v>45918</v>
      </c>
      <c r="BA12" s="11">
        <v>100000</v>
      </c>
      <c r="BB12" s="11" t="s">
        <v>30</v>
      </c>
      <c r="BC12" s="10"/>
      <c r="BD12" s="10"/>
      <c r="BE12" s="10"/>
      <c r="BF12" s="10"/>
      <c r="BG12" s="10"/>
      <c r="BH12" s="10"/>
      <c r="BI12" s="10">
        <f t="shared" si="34"/>
        <v>2400000</v>
      </c>
      <c r="BJ12" s="66">
        <f>K12+N12</f>
        <v>170000</v>
      </c>
      <c r="BK12" s="66">
        <f>AL12+AO12+AU12+AX12+BA12</f>
        <v>500000</v>
      </c>
      <c r="BL12" s="3">
        <f>E12+H12+Q12+T12+W12+Z12+AC12+AF12+AI12+AR12</f>
        <v>1730000</v>
      </c>
      <c r="BM12" s="184">
        <f t="shared" si="0"/>
        <v>2400000</v>
      </c>
      <c r="BN12" s="1" t="b">
        <f t="shared" si="1"/>
        <v>1</v>
      </c>
      <c r="BO12" s="71">
        <v>45955</v>
      </c>
      <c r="BP12" s="202">
        <v>300000</v>
      </c>
      <c r="BQ12" s="3"/>
      <c r="BR12" s="200">
        <v>0</v>
      </c>
      <c r="BS12" s="71">
        <v>46011</v>
      </c>
      <c r="BT12" s="202">
        <v>100000</v>
      </c>
      <c r="BU12" s="71">
        <v>46034</v>
      </c>
      <c r="BV12" s="204">
        <f>400000+600000+600000</f>
        <v>1600000</v>
      </c>
      <c r="BW12" s="71">
        <v>46070</v>
      </c>
      <c r="BX12" s="231">
        <f>500000+912446</f>
        <v>1412446</v>
      </c>
      <c r="BY12" s="71">
        <v>46086</v>
      </c>
      <c r="BZ12" s="3">
        <f>1000000+1402650+500000</f>
        <v>2902650</v>
      </c>
      <c r="CA12" s="71">
        <v>46122</v>
      </c>
      <c r="CB12" s="3">
        <f>1100000+1015334+800000</f>
        <v>2915334</v>
      </c>
      <c r="CC12" s="71">
        <v>46149</v>
      </c>
      <c r="CD12" s="3">
        <f>635793+1500000+700000</f>
        <v>2835793</v>
      </c>
      <c r="CE12" s="71">
        <v>46177</v>
      </c>
      <c r="CF12" s="3">
        <f>559696+1003576+500000</f>
        <v>2063272</v>
      </c>
      <c r="CG12" s="71">
        <v>46216</v>
      </c>
      <c r="CH12" s="3">
        <f>807698+1300000+800000+200000+500000</f>
        <v>3607698</v>
      </c>
      <c r="CI12" s="3"/>
      <c r="CJ12" s="3"/>
      <c r="CK12" s="3"/>
      <c r="CL12" s="3"/>
      <c r="CM12" s="189">
        <f t="shared" si="2"/>
        <v>17737193</v>
      </c>
      <c r="CN12" s="189">
        <f t="shared" si="3"/>
        <v>20137193</v>
      </c>
      <c r="CO12" s="189">
        <f t="shared" si="4"/>
        <v>35678.220010010788</v>
      </c>
      <c r="CP12" s="190">
        <f t="shared" si="5"/>
        <v>2700000</v>
      </c>
      <c r="CQ12" s="189">
        <f t="shared" si="6"/>
        <v>35360.000220914852</v>
      </c>
      <c r="CR12" s="189">
        <f t="shared" si="7"/>
        <v>53930.452367236256</v>
      </c>
      <c r="CS12" s="189">
        <f t="shared" si="8"/>
        <v>4400000</v>
      </c>
      <c r="CT12" s="189">
        <f t="shared" si="9"/>
        <v>62585.135194066956</v>
      </c>
      <c r="CU12" s="189">
        <f t="shared" si="10"/>
        <v>5812446</v>
      </c>
      <c r="CV12" s="189">
        <f t="shared" si="11"/>
        <v>197350.58373256781</v>
      </c>
      <c r="CW12" s="189">
        <f t="shared" si="12"/>
        <v>8715096</v>
      </c>
      <c r="CX12" s="189">
        <f t="shared" si="13"/>
        <v>84665.58560505764</v>
      </c>
      <c r="CY12" s="189">
        <f t="shared" si="14"/>
        <v>11630430</v>
      </c>
      <c r="CZ12" s="388">
        <f t="shared" si="15"/>
        <v>17971.939259032009</v>
      </c>
      <c r="DA12" s="189">
        <f t="shared" si="16"/>
        <v>46235.112474704234</v>
      </c>
      <c r="DB12" s="189">
        <f t="shared" si="17"/>
        <v>14466223</v>
      </c>
      <c r="DC12" s="189">
        <f t="shared" si="18"/>
        <v>81526.781506555722</v>
      </c>
      <c r="DD12" s="189">
        <f t="shared" si="19"/>
        <v>55201.374449501767</v>
      </c>
      <c r="DE12" s="189">
        <f t="shared" si="20"/>
        <v>16529495</v>
      </c>
      <c r="DF12" s="189">
        <f t="shared" si="21"/>
        <v>44319.353970891214</v>
      </c>
      <c r="DG12" s="189">
        <f t="shared" si="22"/>
        <v>147981.98285488988</v>
      </c>
      <c r="DH12" s="189">
        <v>20999999.521645438</v>
      </c>
      <c r="DI12" s="189">
        <v>21000000</v>
      </c>
      <c r="DJ12" s="189">
        <f t="shared" ref="DJ12:DJ75" si="35">DH12-DI12</f>
        <v>-0.478354562073946</v>
      </c>
      <c r="DK12" s="189">
        <f t="shared" si="25"/>
        <v>215622.94586455982</v>
      </c>
      <c r="DL12" s="189">
        <f t="shared" si="26"/>
        <v>60061.081740467256</v>
      </c>
      <c r="DM12" s="189"/>
      <c r="DN12" s="189"/>
      <c r="DO12" s="189"/>
      <c r="DP12" s="189"/>
      <c r="DQ12" s="189"/>
      <c r="DR12" s="189"/>
      <c r="DS12" s="186">
        <f t="shared" si="27"/>
        <v>21275683.549250465</v>
      </c>
      <c r="DT12" s="1" t="b">
        <f t="shared" si="31"/>
        <v>1</v>
      </c>
      <c r="DU12" s="247" t="str">
        <f t="shared" si="28"/>
        <v xml:space="preserve">Jacob Shabani Mangu </v>
      </c>
      <c r="DV12" s="249">
        <f t="shared" si="29"/>
        <v>21275683.549250465</v>
      </c>
      <c r="DW12" s="248">
        <f t="shared" si="30"/>
        <v>1138490.5492504649</v>
      </c>
      <c r="DZ12" s="1">
        <f t="shared" si="32"/>
        <v>2987553.8077922291</v>
      </c>
      <c r="EB12" s="1">
        <f t="shared" si="33"/>
        <v>6197350.3915247964</v>
      </c>
    </row>
    <row r="13" spans="1:134" s="1" customFormat="1" x14ac:dyDescent="0.35">
      <c r="A13" s="210" t="s">
        <v>239</v>
      </c>
      <c r="B13" s="7" t="s">
        <v>66</v>
      </c>
      <c r="C13" s="522" t="s">
        <v>1145</v>
      </c>
      <c r="D13" s="71">
        <v>45369</v>
      </c>
      <c r="E13" s="7">
        <v>150000</v>
      </c>
      <c r="F13" s="7" t="s">
        <v>29</v>
      </c>
      <c r="G13" s="71">
        <v>45370</v>
      </c>
      <c r="H13" s="11">
        <v>20000</v>
      </c>
      <c r="I13" s="545" t="s">
        <v>29</v>
      </c>
      <c r="J13" s="555">
        <v>45370</v>
      </c>
      <c r="K13" s="11">
        <v>200000</v>
      </c>
      <c r="L13" s="11" t="s">
        <v>26</v>
      </c>
      <c r="M13" s="71">
        <v>45382</v>
      </c>
      <c r="N13" s="11">
        <v>130000</v>
      </c>
      <c r="O13" s="11" t="s">
        <v>27</v>
      </c>
      <c r="P13" s="71">
        <v>45525</v>
      </c>
      <c r="Q13" s="11">
        <v>300000</v>
      </c>
      <c r="R13" s="11" t="s">
        <v>27</v>
      </c>
      <c r="S13" s="71">
        <v>45635</v>
      </c>
      <c r="T13" s="10">
        <v>200000</v>
      </c>
      <c r="U13" s="10" t="s">
        <v>27</v>
      </c>
      <c r="V13" s="71">
        <v>45659</v>
      </c>
      <c r="W13" s="10">
        <v>250000</v>
      </c>
      <c r="X13" s="10" t="s">
        <v>27</v>
      </c>
      <c r="Y13" s="71">
        <v>45886</v>
      </c>
      <c r="Z13" s="10">
        <v>500000</v>
      </c>
      <c r="AA13" s="10" t="s">
        <v>30</v>
      </c>
      <c r="AB13" s="71">
        <v>45909</v>
      </c>
      <c r="AC13" s="10">
        <v>150000</v>
      </c>
      <c r="AD13" s="10" t="s">
        <v>30</v>
      </c>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f t="shared" si="34"/>
        <v>1900000</v>
      </c>
      <c r="BJ13" s="66">
        <f>E13+H13</f>
        <v>170000</v>
      </c>
      <c r="BK13" s="66">
        <f>Z13+AC13</f>
        <v>650000</v>
      </c>
      <c r="BL13" s="3">
        <f>K13+N13+Q13+T13+W13</f>
        <v>1080000</v>
      </c>
      <c r="BM13" s="184">
        <f t="shared" si="0"/>
        <v>1900000</v>
      </c>
      <c r="BN13" s="1" t="b">
        <f t="shared" si="1"/>
        <v>1</v>
      </c>
      <c r="BO13" s="71">
        <v>45951</v>
      </c>
      <c r="BP13" s="202">
        <f>600000+100000</f>
        <v>700000</v>
      </c>
      <c r="BQ13" s="71">
        <v>45990</v>
      </c>
      <c r="BR13" s="202">
        <v>150000</v>
      </c>
      <c r="BS13" s="71">
        <v>45998</v>
      </c>
      <c r="BT13" s="202">
        <f>200000+200000</f>
        <v>400000</v>
      </c>
      <c r="BU13" s="71">
        <v>46026</v>
      </c>
      <c r="BV13" s="202">
        <f>500000+500000+600000</f>
        <v>1600000</v>
      </c>
      <c r="BW13" s="71">
        <v>46058</v>
      </c>
      <c r="BX13" s="233">
        <f>300000+300000+600000</f>
        <v>1200000</v>
      </c>
      <c r="BY13" s="71">
        <v>46093</v>
      </c>
      <c r="BZ13" s="3">
        <f>300000+1361226+2000000+1000000</f>
        <v>4661226</v>
      </c>
      <c r="CA13" s="71">
        <v>46113</v>
      </c>
      <c r="CB13" s="3">
        <f>1000000+1100000+681857+115057+500000+500000</f>
        <v>3896914</v>
      </c>
      <c r="CC13" s="71">
        <v>46143</v>
      </c>
      <c r="CD13" s="3">
        <f>500000+919906</f>
        <v>1419906</v>
      </c>
      <c r="CE13" s="71">
        <v>46174</v>
      </c>
      <c r="CF13" s="3">
        <f>2500000+2000000+1349456+2500000</f>
        <v>8349456</v>
      </c>
      <c r="CG13" s="71">
        <v>46227</v>
      </c>
      <c r="CH13" s="3">
        <v>2717559</v>
      </c>
      <c r="CI13" s="3"/>
      <c r="CJ13" s="3"/>
      <c r="CK13" s="3"/>
      <c r="CL13" s="3"/>
      <c r="CM13" s="189">
        <f t="shared" si="2"/>
        <v>25095061</v>
      </c>
      <c r="CN13" s="189">
        <f t="shared" si="3"/>
        <v>26995061</v>
      </c>
      <c r="CO13" s="189">
        <f t="shared" si="4"/>
        <v>28245.257507925206</v>
      </c>
      <c r="CP13" s="190">
        <f t="shared" si="5"/>
        <v>2750000</v>
      </c>
      <c r="CQ13" s="189">
        <f t="shared" si="6"/>
        <v>36014.815039820685</v>
      </c>
      <c r="CR13" s="189">
        <f t="shared" si="7"/>
        <v>54929.164448111005</v>
      </c>
      <c r="CS13" s="189">
        <f t="shared" si="8"/>
        <v>4750000</v>
      </c>
      <c r="CT13" s="189">
        <f t="shared" si="9"/>
        <v>67563.498220867739</v>
      </c>
      <c r="CU13" s="189">
        <f t="shared" si="10"/>
        <v>5950000</v>
      </c>
      <c r="CV13" s="189">
        <f t="shared" si="11"/>
        <v>202020.96900492124</v>
      </c>
      <c r="CW13" s="189">
        <f t="shared" si="12"/>
        <v>10611226</v>
      </c>
      <c r="CX13" s="189">
        <f t="shared" si="13"/>
        <v>103086.14652983895</v>
      </c>
      <c r="CY13" s="189">
        <f t="shared" si="14"/>
        <v>14508140</v>
      </c>
      <c r="CZ13" s="388">
        <f t="shared" si="15"/>
        <v>22418.724917439224</v>
      </c>
      <c r="DA13" s="189">
        <f t="shared" si="16"/>
        <v>57675.037354487802</v>
      </c>
      <c r="DB13" s="189">
        <f t="shared" si="17"/>
        <v>15928046</v>
      </c>
      <c r="DC13" s="189">
        <f t="shared" si="18"/>
        <v>89765.125704779261</v>
      </c>
      <c r="DD13" s="189">
        <f t="shared" si="19"/>
        <v>60779.515945170264</v>
      </c>
      <c r="DE13" s="189">
        <f t="shared" si="20"/>
        <v>24277502</v>
      </c>
      <c r="DF13" s="189">
        <f t="shared" si="21"/>
        <v>65093.531572925815</v>
      </c>
      <c r="DG13" s="189">
        <f t="shared" si="22"/>
        <v>217346.80247179689</v>
      </c>
      <c r="DH13" s="189">
        <v>27999999.588718086</v>
      </c>
      <c r="DI13" s="189">
        <f>DH13</f>
        <v>27999999.588718086</v>
      </c>
      <c r="DJ13" s="189">
        <f t="shared" si="35"/>
        <v>0</v>
      </c>
      <c r="DK13" s="189">
        <f t="shared" si="25"/>
        <v>287497.26347864215</v>
      </c>
      <c r="DL13" s="189">
        <f t="shared" si="26"/>
        <v>80081.442968493822</v>
      </c>
      <c r="DM13" s="189"/>
      <c r="DN13" s="189"/>
      <c r="DO13" s="189"/>
      <c r="DP13" s="189"/>
      <c r="DQ13" s="189"/>
      <c r="DR13" s="189"/>
      <c r="DS13" s="186">
        <f t="shared" si="27"/>
        <v>28367578.295165222</v>
      </c>
      <c r="DT13" s="1" t="b">
        <f t="shared" si="31"/>
        <v>1</v>
      </c>
      <c r="DU13" s="247" t="str">
        <f t="shared" si="28"/>
        <v>Mlindwa Kashindye</v>
      </c>
      <c r="DV13" s="249">
        <f t="shared" si="29"/>
        <v>28367578.295165222</v>
      </c>
      <c r="DW13" s="248">
        <f t="shared" si="30"/>
        <v>1372517.2951652221</v>
      </c>
      <c r="DZ13" s="1">
        <f t="shared" si="32"/>
        <v>3336752.7352167247</v>
      </c>
      <c r="EB13" s="1">
        <f t="shared" si="33"/>
        <v>6338773.7042216463</v>
      </c>
    </row>
    <row r="14" spans="1:134" s="1" customFormat="1" x14ac:dyDescent="0.35">
      <c r="A14" s="210" t="s">
        <v>240</v>
      </c>
      <c r="B14" s="7" t="s">
        <v>51</v>
      </c>
      <c r="C14" s="522" t="s">
        <v>1146</v>
      </c>
      <c r="D14" s="71">
        <v>45358</v>
      </c>
      <c r="E14" s="11">
        <v>50000</v>
      </c>
      <c r="F14" s="7" t="s">
        <v>29</v>
      </c>
      <c r="G14" s="71">
        <v>45382</v>
      </c>
      <c r="H14" s="11">
        <v>50000</v>
      </c>
      <c r="I14" s="545" t="s">
        <v>27</v>
      </c>
      <c r="J14" s="555">
        <v>45652</v>
      </c>
      <c r="K14" s="11">
        <v>400000</v>
      </c>
      <c r="L14" s="11" t="s">
        <v>27</v>
      </c>
      <c r="M14" s="71">
        <v>45656</v>
      </c>
      <c r="N14" s="11">
        <v>450000</v>
      </c>
      <c r="O14" s="11" t="s">
        <v>27</v>
      </c>
      <c r="P14" s="71">
        <v>45657</v>
      </c>
      <c r="Q14" s="11">
        <v>50000</v>
      </c>
      <c r="R14" s="11" t="s">
        <v>27</v>
      </c>
      <c r="S14" s="71">
        <v>45913</v>
      </c>
      <c r="T14" s="11">
        <v>500000</v>
      </c>
      <c r="U14" s="11" t="s">
        <v>30</v>
      </c>
      <c r="V14" s="11"/>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f t="shared" si="34"/>
        <v>1500000</v>
      </c>
      <c r="BJ14" s="66">
        <f>E14</f>
        <v>50000</v>
      </c>
      <c r="BK14" s="66">
        <f>T14</f>
        <v>500000</v>
      </c>
      <c r="BL14" s="3">
        <f>H14+K14+N14+Q14</f>
        <v>950000</v>
      </c>
      <c r="BM14" s="184">
        <f t="shared" si="0"/>
        <v>1500000</v>
      </c>
      <c r="BN14" s="1" t="b">
        <f t="shared" si="1"/>
        <v>1</v>
      </c>
      <c r="BO14" s="71">
        <v>45957</v>
      </c>
      <c r="BP14" s="200">
        <v>500000</v>
      </c>
      <c r="BQ14" s="71">
        <v>45967</v>
      </c>
      <c r="BR14" s="202">
        <v>500000</v>
      </c>
      <c r="BS14" s="205"/>
      <c r="BT14" s="200"/>
      <c r="BU14" s="71">
        <v>46052</v>
      </c>
      <c r="BV14" s="202">
        <v>200000</v>
      </c>
      <c r="BW14" s="71">
        <v>46081</v>
      </c>
      <c r="BX14" s="231">
        <v>100000</v>
      </c>
      <c r="BY14" s="71">
        <v>46092</v>
      </c>
      <c r="BZ14" s="3">
        <v>1000000</v>
      </c>
      <c r="CA14" s="71">
        <v>46131</v>
      </c>
      <c r="CB14" s="3">
        <f>1000000+1000000</f>
        <v>2000000</v>
      </c>
      <c r="CC14" s="71">
        <v>46173</v>
      </c>
      <c r="CD14" s="3">
        <v>2000000</v>
      </c>
      <c r="CE14" s="71">
        <v>46187</v>
      </c>
      <c r="CF14" s="3">
        <f>2000000+2000000</f>
        <v>4000000</v>
      </c>
      <c r="CG14" s="71">
        <v>46231</v>
      </c>
      <c r="CH14" s="3">
        <v>2000000</v>
      </c>
      <c r="CI14" s="3"/>
      <c r="CJ14" s="3"/>
      <c r="CK14" s="3"/>
      <c r="CL14" s="3"/>
      <c r="CM14" s="189">
        <f t="shared" si="2"/>
        <v>12300000</v>
      </c>
      <c r="CN14" s="189">
        <f t="shared" si="3"/>
        <v>13800000</v>
      </c>
      <c r="CO14" s="189">
        <f t="shared" si="4"/>
        <v>22298.887506256742</v>
      </c>
      <c r="CP14" s="190">
        <f t="shared" si="5"/>
        <v>2500000</v>
      </c>
      <c r="CQ14" s="189">
        <f t="shared" si="6"/>
        <v>32740.740945291534</v>
      </c>
      <c r="CR14" s="189">
        <f t="shared" si="7"/>
        <v>49935.604043737279</v>
      </c>
      <c r="CS14" s="189">
        <f t="shared" si="8"/>
        <v>2700000</v>
      </c>
      <c r="CT14" s="189">
        <f t="shared" si="9"/>
        <v>38404.514778177458</v>
      </c>
      <c r="CU14" s="189">
        <f t="shared" si="10"/>
        <v>2800000</v>
      </c>
      <c r="CV14" s="189">
        <f t="shared" si="11"/>
        <v>95068.691296433521</v>
      </c>
      <c r="CW14" s="189">
        <f t="shared" si="12"/>
        <v>3800000</v>
      </c>
      <c r="CX14" s="189">
        <f t="shared" si="13"/>
        <v>36916.314553416174</v>
      </c>
      <c r="CY14" s="189">
        <f t="shared" si="14"/>
        <v>5800000</v>
      </c>
      <c r="CZ14" s="388">
        <f t="shared" si="15"/>
        <v>8962.4586281320335</v>
      </c>
      <c r="DA14" s="189">
        <f t="shared" si="16"/>
        <v>23057.071179078037</v>
      </c>
      <c r="DB14" s="189">
        <f t="shared" si="17"/>
        <v>7800000</v>
      </c>
      <c r="DC14" s="189">
        <f t="shared" si="18"/>
        <v>43958.184230336738</v>
      </c>
      <c r="DD14" s="189">
        <f t="shared" si="19"/>
        <v>29763.865848474325</v>
      </c>
      <c r="DE14" s="189">
        <f t="shared" si="20"/>
        <v>11800000</v>
      </c>
      <c r="DF14" s="189">
        <f t="shared" si="21"/>
        <v>31638.496932696147</v>
      </c>
      <c r="DG14" s="189">
        <f t="shared" si="22"/>
        <v>105640.69850214424</v>
      </c>
      <c r="DH14" s="189">
        <v>14318385.528444175</v>
      </c>
      <c r="DI14" s="189">
        <f>DH14</f>
        <v>14318385.528444175</v>
      </c>
      <c r="DJ14" s="189">
        <f t="shared" si="35"/>
        <v>0</v>
      </c>
      <c r="DK14" s="189">
        <f t="shared" si="25"/>
        <v>147017.73990448675</v>
      </c>
      <c r="DL14" s="189">
        <f t="shared" si="26"/>
        <v>40951.321104983828</v>
      </c>
      <c r="DM14" s="189"/>
      <c r="DN14" s="189"/>
      <c r="DO14" s="189"/>
      <c r="DP14" s="189"/>
      <c r="DQ14" s="189"/>
      <c r="DR14" s="189"/>
      <c r="DS14" s="186">
        <f t="shared" si="27"/>
        <v>14506354.589453647</v>
      </c>
      <c r="DT14" s="1" t="b">
        <f t="shared" si="31"/>
        <v>1</v>
      </c>
      <c r="DU14" s="247" t="str">
        <f t="shared" si="28"/>
        <v xml:space="preserve">Emmanuel Matechi </v>
      </c>
      <c r="DV14" s="249">
        <f t="shared" si="29"/>
        <v>14506354.589453647</v>
      </c>
      <c r="DW14" s="248">
        <f t="shared" si="30"/>
        <v>706354.58945364691</v>
      </c>
      <c r="DZ14" s="1">
        <f t="shared" si="32"/>
        <v>2643379.7472734628</v>
      </c>
      <c r="EB14" s="1">
        <f t="shared" si="33"/>
        <v>3038448.4385698964</v>
      </c>
    </row>
    <row r="15" spans="1:134" s="1" customFormat="1" x14ac:dyDescent="0.35">
      <c r="A15" s="210" t="s">
        <v>241</v>
      </c>
      <c r="B15" s="7" t="s">
        <v>35</v>
      </c>
      <c r="C15" s="522" t="s">
        <v>1147</v>
      </c>
      <c r="D15" s="71">
        <v>45354</v>
      </c>
      <c r="E15" s="7">
        <v>120000</v>
      </c>
      <c r="F15" s="7" t="s">
        <v>29</v>
      </c>
      <c r="G15" s="70">
        <v>45354</v>
      </c>
      <c r="H15" s="11">
        <v>500000</v>
      </c>
      <c r="I15" s="545" t="s">
        <v>27</v>
      </c>
      <c r="J15" s="555">
        <v>45363</v>
      </c>
      <c r="K15" s="11">
        <v>100000</v>
      </c>
      <c r="L15" s="11" t="s">
        <v>27</v>
      </c>
      <c r="M15" s="71">
        <v>45529</v>
      </c>
      <c r="N15" s="11">
        <v>80000</v>
      </c>
      <c r="O15" s="11" t="s">
        <v>26</v>
      </c>
      <c r="P15" s="71">
        <v>45652</v>
      </c>
      <c r="Q15" s="11">
        <v>200000</v>
      </c>
      <c r="R15" s="11" t="s">
        <v>26</v>
      </c>
      <c r="S15" s="71" t="s">
        <v>242</v>
      </c>
      <c r="T15" s="11">
        <v>1000000</v>
      </c>
      <c r="U15" s="11" t="s">
        <v>30</v>
      </c>
      <c r="V15" s="11"/>
      <c r="W15" s="11"/>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f t="shared" si="34"/>
        <v>2000000</v>
      </c>
      <c r="BJ15" s="66">
        <f>E15</f>
        <v>120000</v>
      </c>
      <c r="BK15" s="66">
        <f>T15</f>
        <v>1000000</v>
      </c>
      <c r="BL15" s="3">
        <f>H15+K15+N15+Q15</f>
        <v>880000</v>
      </c>
      <c r="BM15" s="184">
        <f t="shared" si="0"/>
        <v>2000000</v>
      </c>
      <c r="BN15" s="711" t="b">
        <f t="shared" si="1"/>
        <v>1</v>
      </c>
      <c r="BO15" s="71">
        <v>45951</v>
      </c>
      <c r="BP15" s="202">
        <v>500000</v>
      </c>
      <c r="BQ15" s="71">
        <v>45990</v>
      </c>
      <c r="BR15" s="202">
        <v>1000000</v>
      </c>
      <c r="BS15" s="205"/>
      <c r="BT15" s="200"/>
      <c r="BU15" s="3"/>
      <c r="BV15" s="3"/>
      <c r="BW15" s="3"/>
      <c r="BX15" s="231"/>
      <c r="BY15" s="71">
        <v>46087</v>
      </c>
      <c r="BZ15" s="3">
        <v>125000</v>
      </c>
      <c r="CA15" s="3"/>
      <c r="CB15" s="3"/>
      <c r="CC15" s="3"/>
      <c r="CD15" s="3"/>
      <c r="CE15" s="3"/>
      <c r="CF15" s="3"/>
      <c r="CG15" s="3"/>
      <c r="CH15" s="3"/>
      <c r="CI15" s="3"/>
      <c r="CJ15" s="3"/>
      <c r="CK15" s="3"/>
      <c r="CL15" s="3"/>
      <c r="CM15" s="189">
        <f t="shared" si="2"/>
        <v>1625000</v>
      </c>
      <c r="CN15" s="189">
        <f t="shared" si="3"/>
        <v>3625000</v>
      </c>
      <c r="CO15" s="189">
        <f t="shared" si="4"/>
        <v>29731.850008342321</v>
      </c>
      <c r="CP15" s="190">
        <f t="shared" si="5"/>
        <v>3500000</v>
      </c>
      <c r="CQ15" s="189">
        <f t="shared" si="6"/>
        <v>45837.037323408149</v>
      </c>
      <c r="CR15" s="189">
        <f t="shared" si="7"/>
        <v>69909.84566123219</v>
      </c>
      <c r="CS15" s="189">
        <f t="shared" si="8"/>
        <v>3500000</v>
      </c>
      <c r="CT15" s="189">
        <f t="shared" si="9"/>
        <v>49783.630268007808</v>
      </c>
      <c r="CU15" s="189">
        <f t="shared" si="10"/>
        <v>3500000</v>
      </c>
      <c r="CV15" s="189">
        <f t="shared" si="11"/>
        <v>118835.86412054193</v>
      </c>
      <c r="CW15" s="189">
        <f t="shared" si="12"/>
        <v>3625000</v>
      </c>
      <c r="CX15" s="189">
        <f t="shared" si="13"/>
        <v>35216.221120035159</v>
      </c>
      <c r="CY15" s="189">
        <f t="shared" si="14"/>
        <v>3625000</v>
      </c>
      <c r="CZ15" s="388">
        <f t="shared" si="15"/>
        <v>5601.5366425825214</v>
      </c>
      <c r="DA15" s="189">
        <f t="shared" si="16"/>
        <v>14410.669486923774</v>
      </c>
      <c r="DB15" s="189">
        <f t="shared" si="17"/>
        <v>3625000</v>
      </c>
      <c r="DC15" s="189">
        <f t="shared" si="18"/>
        <v>20429.284337816753</v>
      </c>
      <c r="DD15" s="189">
        <f t="shared" si="19"/>
        <v>13832.565859066592</v>
      </c>
      <c r="DE15" s="189">
        <f t="shared" si="20"/>
        <v>3625000</v>
      </c>
      <c r="DF15" s="189">
        <f t="shared" si="21"/>
        <v>9719.4535068664027</v>
      </c>
      <c r="DG15" s="189">
        <f t="shared" si="22"/>
        <v>32453.18068392143</v>
      </c>
      <c r="DH15" s="189">
        <v>4070761.1390187461</v>
      </c>
      <c r="DI15" s="189">
        <f>DH15</f>
        <v>4070761.1390187461</v>
      </c>
      <c r="DJ15" s="189">
        <f t="shared" si="35"/>
        <v>0</v>
      </c>
      <c r="DK15" s="189">
        <f t="shared" si="25"/>
        <v>41797.596604774473</v>
      </c>
      <c r="DL15" s="189">
        <f t="shared" si="26"/>
        <v>11642.586813609858</v>
      </c>
      <c r="DM15" s="189"/>
      <c r="DN15" s="189"/>
      <c r="DO15" s="189"/>
      <c r="DP15" s="189"/>
      <c r="DQ15" s="189"/>
      <c r="DR15" s="189"/>
      <c r="DS15" s="186">
        <f t="shared" si="27"/>
        <v>4124201.3224371308</v>
      </c>
      <c r="DT15" s="1" t="b">
        <f t="shared" si="31"/>
        <v>1</v>
      </c>
      <c r="DU15" s="247" t="str">
        <f t="shared" si="28"/>
        <v xml:space="preserve">Kanuti Simba </v>
      </c>
      <c r="DV15" s="249">
        <f t="shared" si="29"/>
        <v>4124201.3224371308</v>
      </c>
      <c r="DW15" s="248">
        <f t="shared" si="30"/>
        <v>499201.32243713085</v>
      </c>
      <c r="DZ15" s="1">
        <f t="shared" si="32"/>
        <v>3695262.3632609909</v>
      </c>
      <c r="EB15" s="1">
        <f t="shared" si="33"/>
        <v>3814098.227381533</v>
      </c>
    </row>
    <row r="16" spans="1:134" s="1" customFormat="1" x14ac:dyDescent="0.35">
      <c r="A16" s="210" t="s">
        <v>243</v>
      </c>
      <c r="B16" s="7" t="s">
        <v>244</v>
      </c>
      <c r="C16" s="522" t="s">
        <v>1148</v>
      </c>
      <c r="D16" s="70">
        <v>45352</v>
      </c>
      <c r="E16" s="11">
        <v>50000</v>
      </c>
      <c r="F16" s="7" t="s">
        <v>27</v>
      </c>
      <c r="G16" s="71">
        <v>45362</v>
      </c>
      <c r="H16" s="11">
        <v>120000</v>
      </c>
      <c r="I16" s="545" t="s">
        <v>27</v>
      </c>
      <c r="J16" s="559">
        <v>45529</v>
      </c>
      <c r="K16" s="11">
        <v>630000</v>
      </c>
      <c r="L16" s="11" t="s">
        <v>26</v>
      </c>
      <c r="M16" s="71">
        <v>45654</v>
      </c>
      <c r="N16" s="11">
        <v>200000</v>
      </c>
      <c r="O16" s="11" t="s">
        <v>27</v>
      </c>
      <c r="P16" s="71">
        <v>45885</v>
      </c>
      <c r="Q16" s="11">
        <v>300000</v>
      </c>
      <c r="R16" s="11" t="s">
        <v>30</v>
      </c>
      <c r="S16" s="71">
        <v>45927</v>
      </c>
      <c r="T16" s="11">
        <v>300000</v>
      </c>
      <c r="U16" s="11" t="s">
        <v>30</v>
      </c>
      <c r="V16" s="11"/>
      <c r="W16" s="11"/>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f t="shared" si="34"/>
        <v>1600000</v>
      </c>
      <c r="BJ16" s="66"/>
      <c r="BK16" s="66">
        <f>Q16+T16</f>
        <v>600000</v>
      </c>
      <c r="BL16" s="3">
        <f>E16+H16+K16+N16</f>
        <v>1000000</v>
      </c>
      <c r="BM16" s="184">
        <f t="shared" si="0"/>
        <v>1600000</v>
      </c>
      <c r="BN16" s="711" t="b">
        <f t="shared" si="1"/>
        <v>1</v>
      </c>
      <c r="BO16" s="71">
        <v>45955</v>
      </c>
      <c r="BP16" s="202">
        <v>400000</v>
      </c>
      <c r="BQ16" s="71">
        <v>45985</v>
      </c>
      <c r="BR16" s="202">
        <v>200000</v>
      </c>
      <c r="BS16" s="71">
        <v>46014</v>
      </c>
      <c r="BT16" s="200">
        <f>100000+700000</f>
        <v>800000</v>
      </c>
      <c r="BU16" s="3"/>
      <c r="BV16" s="3"/>
      <c r="BW16" s="71">
        <v>46077</v>
      </c>
      <c r="BX16" s="231">
        <f>200000+300000</f>
        <v>500000</v>
      </c>
      <c r="BY16" s="71">
        <v>46087</v>
      </c>
      <c r="BZ16" s="3">
        <f>125000+500000</f>
        <v>625000</v>
      </c>
      <c r="CA16" s="3"/>
      <c r="CB16" s="3"/>
      <c r="CC16" s="71">
        <v>46154</v>
      </c>
      <c r="CD16" s="3">
        <v>300000</v>
      </c>
      <c r="CE16" s="71">
        <v>46186</v>
      </c>
      <c r="CF16" s="3">
        <v>312000</v>
      </c>
      <c r="CG16" s="71">
        <v>46229</v>
      </c>
      <c r="CH16" s="3">
        <v>500000</v>
      </c>
      <c r="CI16" s="3"/>
      <c r="CJ16" s="3"/>
      <c r="CK16" s="3"/>
      <c r="CL16" s="3"/>
      <c r="CM16" s="189">
        <f t="shared" si="2"/>
        <v>3637000</v>
      </c>
      <c r="CN16" s="189">
        <f t="shared" si="3"/>
        <v>5237000</v>
      </c>
      <c r="CO16" s="189">
        <f t="shared" si="4"/>
        <v>23785.480006673857</v>
      </c>
      <c r="CP16" s="190">
        <f t="shared" si="5"/>
        <v>2200000</v>
      </c>
      <c r="CQ16" s="189">
        <f t="shared" si="6"/>
        <v>28811.85203185655</v>
      </c>
      <c r="CR16" s="189">
        <f t="shared" si="7"/>
        <v>43943.331558488804</v>
      </c>
      <c r="CS16" s="189">
        <f t="shared" si="8"/>
        <v>3000000</v>
      </c>
      <c r="CT16" s="189">
        <f t="shared" si="9"/>
        <v>42671.683086863835</v>
      </c>
      <c r="CU16" s="189">
        <f t="shared" si="10"/>
        <v>3500000</v>
      </c>
      <c r="CV16" s="189">
        <f t="shared" si="11"/>
        <v>118835.86412054193</v>
      </c>
      <c r="CW16" s="189">
        <f t="shared" si="12"/>
        <v>4125000</v>
      </c>
      <c r="CX16" s="189">
        <f t="shared" si="13"/>
        <v>40073.630929695188</v>
      </c>
      <c r="CY16" s="189">
        <f t="shared" si="14"/>
        <v>4125000</v>
      </c>
      <c r="CZ16" s="388">
        <f t="shared" si="15"/>
        <v>6374.1623863870072</v>
      </c>
      <c r="DA16" s="189">
        <f t="shared" si="16"/>
        <v>16398.348036844298</v>
      </c>
      <c r="DB16" s="189">
        <f t="shared" si="17"/>
        <v>4425000</v>
      </c>
      <c r="DC16" s="189">
        <f t="shared" si="18"/>
        <v>24937.816053748727</v>
      </c>
      <c r="DD16" s="189">
        <f t="shared" si="19"/>
        <v>16885.270048653703</v>
      </c>
      <c r="DE16" s="189">
        <f t="shared" si="20"/>
        <v>4737000</v>
      </c>
      <c r="DF16" s="189">
        <f t="shared" si="21"/>
        <v>12700.979658489972</v>
      </c>
      <c r="DG16" s="189">
        <f t="shared" si="22"/>
        <v>42408.473627513325</v>
      </c>
      <c r="DH16" s="189">
        <v>5654826.8915457586</v>
      </c>
      <c r="DI16" s="189">
        <f>DH16</f>
        <v>5654826.8915457586</v>
      </c>
      <c r="DJ16" s="189">
        <f t="shared" si="35"/>
        <v>0</v>
      </c>
      <c r="DK16" s="189">
        <f t="shared" si="25"/>
        <v>58062.402880173497</v>
      </c>
      <c r="DL16" s="189">
        <f t="shared" si="26"/>
        <v>16173.096566561748</v>
      </c>
      <c r="DM16" s="189"/>
      <c r="DN16" s="189"/>
      <c r="DO16" s="189"/>
      <c r="DP16" s="189"/>
      <c r="DQ16" s="189"/>
      <c r="DR16" s="189"/>
      <c r="DS16" s="186">
        <f t="shared" si="27"/>
        <v>5729062.3909924934</v>
      </c>
      <c r="DT16" s="1" t="b">
        <f t="shared" si="31"/>
        <v>1</v>
      </c>
      <c r="DU16" s="247" t="str">
        <f t="shared" si="28"/>
        <v>Mohamed Khalfan Mohamed</v>
      </c>
      <c r="DV16" s="249">
        <f t="shared" si="29"/>
        <v>5729062.3909924934</v>
      </c>
      <c r="DW16" s="248">
        <f t="shared" si="30"/>
        <v>492062.39099249337</v>
      </c>
      <c r="DZ16" s="1">
        <f t="shared" si="32"/>
        <v>3139212.3466838831</v>
      </c>
      <c r="EB16" s="1">
        <f t="shared" si="33"/>
        <v>3758048.2108044252</v>
      </c>
    </row>
    <row r="17" spans="1:132" s="1" customFormat="1" x14ac:dyDescent="0.35">
      <c r="A17" s="210" t="s">
        <v>245</v>
      </c>
      <c r="B17" s="7" t="s">
        <v>55</v>
      </c>
      <c r="C17" s="522" t="s">
        <v>1149</v>
      </c>
      <c r="D17" s="71">
        <v>45360</v>
      </c>
      <c r="E17" s="11">
        <v>60000</v>
      </c>
      <c r="F17" s="11" t="s">
        <v>29</v>
      </c>
      <c r="G17" s="71">
        <v>45360</v>
      </c>
      <c r="H17" s="11">
        <v>90000</v>
      </c>
      <c r="I17" s="545" t="s">
        <v>27</v>
      </c>
      <c r="J17" s="555">
        <v>45526</v>
      </c>
      <c r="K17" s="11">
        <v>650000</v>
      </c>
      <c r="L17" s="11" t="s">
        <v>27</v>
      </c>
      <c r="M17" s="71">
        <v>45875</v>
      </c>
      <c r="N17" s="11">
        <v>200000</v>
      </c>
      <c r="O17" s="11" t="s">
        <v>30</v>
      </c>
      <c r="P17" s="11"/>
      <c r="Q17" s="11"/>
      <c r="R17" s="11"/>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f t="shared" si="34"/>
        <v>1000000</v>
      </c>
      <c r="BJ17" s="66">
        <f>E17</f>
        <v>60000</v>
      </c>
      <c r="BK17" s="66">
        <f>N17</f>
        <v>200000</v>
      </c>
      <c r="BL17" s="3">
        <f>H17+K17</f>
        <v>740000</v>
      </c>
      <c r="BM17" s="184">
        <f t="shared" si="0"/>
        <v>1000000</v>
      </c>
      <c r="BN17" s="1" t="b">
        <f t="shared" si="1"/>
        <v>1</v>
      </c>
      <c r="BO17" s="71">
        <v>45951</v>
      </c>
      <c r="BP17" s="202">
        <f>1000000+500000</f>
        <v>1500000</v>
      </c>
      <c r="BQ17" s="71">
        <v>45990</v>
      </c>
      <c r="BR17" s="202">
        <v>100000</v>
      </c>
      <c r="BS17" s="71">
        <v>46004</v>
      </c>
      <c r="BT17" s="200">
        <v>200000</v>
      </c>
      <c r="BU17" s="71">
        <v>46026</v>
      </c>
      <c r="BV17" s="202">
        <v>1200000</v>
      </c>
      <c r="BW17" s="3"/>
      <c r="BX17" s="231"/>
      <c r="BY17" s="3"/>
      <c r="BZ17" s="3"/>
      <c r="CA17" s="71">
        <v>46141</v>
      </c>
      <c r="CB17" s="3">
        <v>25000000</v>
      </c>
      <c r="CC17" s="3"/>
      <c r="CD17" s="3"/>
      <c r="CE17" s="3"/>
      <c r="CF17" s="3"/>
      <c r="CG17" s="71">
        <v>46214</v>
      </c>
      <c r="CH17" s="3">
        <f>3000000+2000000+10000000</f>
        <v>15000000</v>
      </c>
      <c r="CI17" s="3"/>
      <c r="CJ17" s="3"/>
      <c r="CK17" s="3"/>
      <c r="CL17" s="3"/>
      <c r="CM17" s="189">
        <f t="shared" si="2"/>
        <v>43000000</v>
      </c>
      <c r="CN17" s="189">
        <f t="shared" si="3"/>
        <v>44000000</v>
      </c>
      <c r="CO17" s="189">
        <f t="shared" si="4"/>
        <v>14865.92500417116</v>
      </c>
      <c r="CP17" s="190">
        <f t="shared" si="5"/>
        <v>2600000</v>
      </c>
      <c r="CQ17" s="189">
        <f t="shared" si="6"/>
        <v>34050.370583103191</v>
      </c>
      <c r="CR17" s="189">
        <f t="shared" si="7"/>
        <v>51933.028205486764</v>
      </c>
      <c r="CS17" s="189">
        <f t="shared" si="8"/>
        <v>4000000</v>
      </c>
      <c r="CT17" s="189">
        <f t="shared" si="9"/>
        <v>56895.57744915178</v>
      </c>
      <c r="CU17" s="189">
        <f t="shared" si="10"/>
        <v>4000000</v>
      </c>
      <c r="CV17" s="189">
        <f t="shared" si="11"/>
        <v>135812.41613776219</v>
      </c>
      <c r="CW17" s="189">
        <f t="shared" si="12"/>
        <v>4000000</v>
      </c>
      <c r="CX17" s="189">
        <f t="shared" si="13"/>
        <v>38859.278477280182</v>
      </c>
      <c r="CY17" s="189">
        <f t="shared" si="14"/>
        <v>29000000</v>
      </c>
      <c r="CZ17" s="388">
        <f t="shared" si="15"/>
        <v>44812.293140660171</v>
      </c>
      <c r="DA17" s="189">
        <f t="shared" si="16"/>
        <v>115285.3558953902</v>
      </c>
      <c r="DB17" s="189">
        <f t="shared" si="17"/>
        <v>29000000</v>
      </c>
      <c r="DC17" s="189">
        <f t="shared" si="18"/>
        <v>163434.27470253402</v>
      </c>
      <c r="DD17" s="189">
        <f t="shared" si="19"/>
        <v>110660.52687253273</v>
      </c>
      <c r="DE17" s="189">
        <f t="shared" si="20"/>
        <v>29000000</v>
      </c>
      <c r="DF17" s="189">
        <f t="shared" si="21"/>
        <v>77755.628054931221</v>
      </c>
      <c r="DG17" s="189">
        <f t="shared" si="22"/>
        <v>259625.44547137144</v>
      </c>
      <c r="DH17" s="189">
        <v>45103990.119994365</v>
      </c>
      <c r="DI17" s="189">
        <f>'[1]Member Positions'!$F$19</f>
        <v>45103990.140000001</v>
      </c>
      <c r="DJ17" s="189">
        <f t="shared" si="35"/>
        <v>-2.0005635917186737E-2</v>
      </c>
      <c r="DK17" s="189">
        <f t="shared" si="25"/>
        <v>463116.92578348954</v>
      </c>
      <c r="DL17" s="189">
        <f t="shared" si="26"/>
        <v>128999.73805361059</v>
      </c>
      <c r="DM17" s="189"/>
      <c r="DN17" s="189"/>
      <c r="DO17" s="189"/>
      <c r="DP17" s="189"/>
      <c r="DQ17" s="189"/>
      <c r="DR17" s="189"/>
      <c r="DS17" s="186">
        <f t="shared" si="27"/>
        <v>45696106.78383147</v>
      </c>
      <c r="DT17" s="1" t="b">
        <f t="shared" si="31"/>
        <v>1</v>
      </c>
      <c r="DU17" s="247" t="str">
        <f t="shared" si="28"/>
        <v xml:space="preserve">Walter Salema </v>
      </c>
      <c r="DV17" s="249">
        <f t="shared" si="29"/>
        <v>45696106.78383147</v>
      </c>
      <c r="DW17" s="248">
        <f t="shared" si="30"/>
        <v>1696106.7838314697</v>
      </c>
      <c r="DZ17" s="1">
        <f t="shared" si="32"/>
        <v>2957744.901241913</v>
      </c>
      <c r="EB17" s="1">
        <f t="shared" si="33"/>
        <v>4293557.3173796749</v>
      </c>
    </row>
    <row r="18" spans="1:132" s="1" customFormat="1" x14ac:dyDescent="0.35">
      <c r="A18" s="210" t="s">
        <v>246</v>
      </c>
      <c r="B18" s="7" t="s">
        <v>82</v>
      </c>
      <c r="C18" s="72" t="s">
        <v>83</v>
      </c>
      <c r="D18" s="71">
        <v>45506</v>
      </c>
      <c r="E18" s="11">
        <v>900000</v>
      </c>
      <c r="F18" s="11" t="s">
        <v>27</v>
      </c>
      <c r="G18" s="71">
        <v>45685</v>
      </c>
      <c r="H18" s="11">
        <v>100000</v>
      </c>
      <c r="I18" s="545" t="s">
        <v>27</v>
      </c>
      <c r="J18" s="555">
        <v>45775</v>
      </c>
      <c r="K18" s="11">
        <v>100000</v>
      </c>
      <c r="L18" s="11" t="s">
        <v>26</v>
      </c>
      <c r="M18" s="71">
        <v>45742</v>
      </c>
      <c r="N18" s="11">
        <v>200000</v>
      </c>
      <c r="O18" s="11" t="s">
        <v>26</v>
      </c>
      <c r="P18" s="71">
        <v>45775</v>
      </c>
      <c r="Q18" s="11">
        <v>100000</v>
      </c>
      <c r="R18" s="11" t="s">
        <v>26</v>
      </c>
      <c r="S18" s="71">
        <v>45799</v>
      </c>
      <c r="T18" s="11">
        <v>200000</v>
      </c>
      <c r="U18" s="11" t="s">
        <v>26</v>
      </c>
      <c r="V18" s="71">
        <v>45833</v>
      </c>
      <c r="W18" s="11">
        <v>200000</v>
      </c>
      <c r="X18" s="11" t="s">
        <v>26</v>
      </c>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f t="shared" si="34"/>
        <v>1800000</v>
      </c>
      <c r="BJ18" s="66"/>
      <c r="BK18" s="66"/>
      <c r="BL18" s="3">
        <f>E18+H18+K18+N18+Q18+T18+W18</f>
        <v>1800000</v>
      </c>
      <c r="BM18" s="184">
        <f t="shared" si="0"/>
        <v>1800000</v>
      </c>
      <c r="BN18" s="711" t="b">
        <f t="shared" si="1"/>
        <v>1</v>
      </c>
      <c r="BO18" s="10"/>
      <c r="BP18" s="200">
        <v>0</v>
      </c>
      <c r="BQ18" s="71">
        <v>45975</v>
      </c>
      <c r="BR18" s="202">
        <v>500000</v>
      </c>
      <c r="BS18" s="71">
        <v>46014</v>
      </c>
      <c r="BT18" s="200">
        <v>500000</v>
      </c>
      <c r="BU18" s="71">
        <v>46043</v>
      </c>
      <c r="BV18" s="202">
        <v>500000</v>
      </c>
      <c r="BW18" s="3"/>
      <c r="BX18" s="231"/>
      <c r="BY18" s="3"/>
      <c r="BZ18" s="3"/>
      <c r="CA18" s="3"/>
      <c r="CB18" s="3"/>
      <c r="CC18" s="71"/>
      <c r="CD18" s="3"/>
      <c r="CE18" s="3"/>
      <c r="CF18" s="3"/>
      <c r="CG18" s="71">
        <v>46230</v>
      </c>
      <c r="CH18" s="3">
        <v>200000</v>
      </c>
      <c r="CI18" s="3"/>
      <c r="CJ18" s="3"/>
      <c r="CK18" s="3"/>
      <c r="CL18" s="3"/>
      <c r="CM18" s="189">
        <f t="shared" si="2"/>
        <v>1700000</v>
      </c>
      <c r="CN18" s="189">
        <f t="shared" si="3"/>
        <v>3500000</v>
      </c>
      <c r="CO18" s="189">
        <f t="shared" si="4"/>
        <v>26758.665007508087</v>
      </c>
      <c r="CP18" s="190">
        <f t="shared" si="5"/>
        <v>2300000</v>
      </c>
      <c r="CQ18" s="189">
        <f t="shared" si="6"/>
        <v>30121.481669668206</v>
      </c>
      <c r="CR18" s="189">
        <f t="shared" si="7"/>
        <v>45940.755720238296</v>
      </c>
      <c r="CS18" s="189">
        <f t="shared" si="8"/>
        <v>3300000</v>
      </c>
      <c r="CT18" s="189">
        <f t="shared" si="9"/>
        <v>46938.85139555022</v>
      </c>
      <c r="CU18" s="189">
        <f t="shared" si="10"/>
        <v>3300000</v>
      </c>
      <c r="CV18" s="189">
        <f t="shared" si="11"/>
        <v>112045.2433136538</v>
      </c>
      <c r="CW18" s="189">
        <f t="shared" si="12"/>
        <v>3300000</v>
      </c>
      <c r="CX18" s="189">
        <f t="shared" si="13"/>
        <v>32058.904743756149</v>
      </c>
      <c r="CY18" s="189">
        <f t="shared" si="14"/>
        <v>3300000</v>
      </c>
      <c r="CZ18" s="388">
        <f t="shared" si="15"/>
        <v>5099.329909109606</v>
      </c>
      <c r="DA18" s="189">
        <f t="shared" si="16"/>
        <v>13118.678429475436</v>
      </c>
      <c r="DB18" s="189">
        <f t="shared" si="17"/>
        <v>3300000</v>
      </c>
      <c r="DC18" s="189">
        <f t="shared" si="18"/>
        <v>18597.69332821939</v>
      </c>
      <c r="DD18" s="189">
        <f t="shared" si="19"/>
        <v>12592.404782046828</v>
      </c>
      <c r="DE18" s="189">
        <f t="shared" si="20"/>
        <v>3300000</v>
      </c>
      <c r="DF18" s="189">
        <f t="shared" si="21"/>
        <v>8848.0542269404486</v>
      </c>
      <c r="DG18" s="189">
        <f t="shared" si="22"/>
        <v>29543.585174328473</v>
      </c>
      <c r="DH18" s="189">
        <v>3881663.6477004951</v>
      </c>
      <c r="DI18" s="189">
        <f>'[1]Member Positions'!$F$20</f>
        <v>3881663.64</v>
      </c>
      <c r="DJ18" s="189">
        <f t="shared" si="35"/>
        <v>7.7004949562251568E-3</v>
      </c>
      <c r="DK18" s="189">
        <f t="shared" si="25"/>
        <v>39855.989030373705</v>
      </c>
      <c r="DL18" s="189">
        <f t="shared" si="26"/>
        <v>11101.758235434116</v>
      </c>
      <c r="DM18" s="189"/>
      <c r="DN18" s="189"/>
      <c r="DO18" s="189"/>
      <c r="DP18" s="189"/>
      <c r="DQ18" s="189"/>
      <c r="DR18" s="189"/>
      <c r="DS18" s="186">
        <f t="shared" si="27"/>
        <v>3932621.3949663029</v>
      </c>
      <c r="DT18" s="1" t="b">
        <f t="shared" si="31"/>
        <v>1</v>
      </c>
      <c r="DU18" s="247" t="str">
        <f t="shared" si="28"/>
        <v>Emmanuel Mmari</v>
      </c>
      <c r="DV18" s="249">
        <f t="shared" si="29"/>
        <v>3932621.3949663029</v>
      </c>
      <c r="DW18" s="248">
        <f t="shared" si="30"/>
        <v>432621.39496630291</v>
      </c>
      <c r="DZ18" s="1">
        <f t="shared" si="32"/>
        <v>2949759.7537929644</v>
      </c>
      <c r="EB18" s="1">
        <f t="shared" si="33"/>
        <v>3561804.9971066182</v>
      </c>
    </row>
    <row r="19" spans="1:132" s="1" customFormat="1" x14ac:dyDescent="0.35">
      <c r="A19" s="210" t="s">
        <v>247</v>
      </c>
      <c r="B19" s="7" t="s">
        <v>248</v>
      </c>
      <c r="C19" s="522" t="s">
        <v>1150</v>
      </c>
      <c r="D19" s="71">
        <v>45380</v>
      </c>
      <c r="E19" s="11">
        <v>170000</v>
      </c>
      <c r="F19" s="11" t="s">
        <v>29</v>
      </c>
      <c r="G19" s="71">
        <v>45380</v>
      </c>
      <c r="H19" s="11">
        <v>530000</v>
      </c>
      <c r="I19" s="545" t="s">
        <v>27</v>
      </c>
      <c r="J19" s="555">
        <v>45530</v>
      </c>
      <c r="K19" s="11">
        <v>100000</v>
      </c>
      <c r="L19" s="11" t="s">
        <v>27</v>
      </c>
      <c r="M19" s="71">
        <v>45657</v>
      </c>
      <c r="N19" s="11">
        <v>200000</v>
      </c>
      <c r="O19" s="11" t="s">
        <v>27</v>
      </c>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f t="shared" si="34"/>
        <v>1000000</v>
      </c>
      <c r="BJ19" s="66">
        <f>E19</f>
        <v>170000</v>
      </c>
      <c r="BK19" s="66"/>
      <c r="BL19" s="3">
        <f>H19+K19+N19</f>
        <v>830000</v>
      </c>
      <c r="BM19" s="184">
        <f t="shared" si="0"/>
        <v>1000000</v>
      </c>
      <c r="BN19" s="1" t="b">
        <f t="shared" si="1"/>
        <v>1</v>
      </c>
      <c r="BO19" s="10"/>
      <c r="BP19" s="200">
        <v>0</v>
      </c>
      <c r="BQ19" s="71">
        <v>45990</v>
      </c>
      <c r="BR19" s="202">
        <v>500000</v>
      </c>
      <c r="BS19" s="71">
        <v>46002</v>
      </c>
      <c r="BT19" s="200">
        <v>1200000</v>
      </c>
      <c r="BU19" s="71">
        <v>46047</v>
      </c>
      <c r="BV19" s="3">
        <v>200000</v>
      </c>
      <c r="BW19" s="71">
        <v>46081</v>
      </c>
      <c r="BX19" s="231">
        <v>300000</v>
      </c>
      <c r="BY19" s="3"/>
      <c r="BZ19" s="3"/>
      <c r="CA19" s="71">
        <v>46113</v>
      </c>
      <c r="CB19" s="3">
        <f>500000+2249930+204889</f>
        <v>2954819</v>
      </c>
      <c r="CC19" s="71">
        <v>46171</v>
      </c>
      <c r="CD19" s="3">
        <v>5565744</v>
      </c>
      <c r="CE19" s="71">
        <v>46187</v>
      </c>
      <c r="CF19" s="3">
        <f>1000000+3000000+16000000</f>
        <v>20000000</v>
      </c>
      <c r="CG19" s="71">
        <v>46219</v>
      </c>
      <c r="CH19" s="3">
        <v>500000</v>
      </c>
      <c r="CI19" s="3"/>
      <c r="CJ19" s="3"/>
      <c r="CK19" s="3"/>
      <c r="CL19" s="3"/>
      <c r="CM19" s="189">
        <f t="shared" si="2"/>
        <v>31220563</v>
      </c>
      <c r="CN19" s="189">
        <f t="shared" si="3"/>
        <v>32220563</v>
      </c>
      <c r="CO19" s="189">
        <f t="shared" si="4"/>
        <v>14865.92500417116</v>
      </c>
      <c r="CP19" s="190">
        <f t="shared" si="5"/>
        <v>1500000</v>
      </c>
      <c r="CQ19" s="189">
        <f t="shared" si="6"/>
        <v>19644.44456717492</v>
      </c>
      <c r="CR19" s="189">
        <f t="shared" si="7"/>
        <v>29961.362426242365</v>
      </c>
      <c r="CS19" s="189">
        <f t="shared" si="8"/>
        <v>2900000</v>
      </c>
      <c r="CT19" s="189">
        <f t="shared" si="9"/>
        <v>41249.293650635038</v>
      </c>
      <c r="CU19" s="189">
        <f t="shared" si="10"/>
        <v>3200000</v>
      </c>
      <c r="CV19" s="189">
        <f t="shared" si="11"/>
        <v>108649.93291020975</v>
      </c>
      <c r="CW19" s="189">
        <f t="shared" si="12"/>
        <v>3200000</v>
      </c>
      <c r="CX19" s="189">
        <f t="shared" si="13"/>
        <v>31087.422781824145</v>
      </c>
      <c r="CY19" s="189">
        <f t="shared" si="14"/>
        <v>6154819</v>
      </c>
      <c r="CZ19" s="388">
        <f t="shared" si="15"/>
        <v>9510.743215713961</v>
      </c>
      <c r="DA19" s="189">
        <f t="shared" si="16"/>
        <v>24467.603409886538</v>
      </c>
      <c r="DB19" s="189">
        <f t="shared" si="17"/>
        <v>11720563</v>
      </c>
      <c r="DC19" s="189">
        <f t="shared" si="18"/>
        <v>66053.162517598495</v>
      </c>
      <c r="DD19" s="189">
        <f t="shared" si="19"/>
        <v>44724.264718024584</v>
      </c>
      <c r="DE19" s="189">
        <f t="shared" si="20"/>
        <v>31720563</v>
      </c>
      <c r="DF19" s="189">
        <f t="shared" si="21"/>
        <v>85050.079252448733</v>
      </c>
      <c r="DG19" s="189">
        <f t="shared" si="22"/>
        <v>283981.56205095525</v>
      </c>
      <c r="DH19" s="189">
        <v>32979808.796504885</v>
      </c>
      <c r="DI19" s="189">
        <f>'Member position mfumo and excel'!F21</f>
        <v>32979808.77</v>
      </c>
      <c r="DJ19" s="189">
        <f t="shared" si="35"/>
        <v>2.6504885405302048E-2</v>
      </c>
      <c r="DK19" s="189">
        <f t="shared" si="25"/>
        <v>338628.74708271009</v>
      </c>
      <c r="DL19" s="189">
        <f t="shared" si="26"/>
        <v>94323.954144388321</v>
      </c>
      <c r="DM19" s="189"/>
      <c r="DN19" s="189"/>
      <c r="DO19" s="189"/>
      <c r="DP19" s="189"/>
      <c r="DQ19" s="189"/>
      <c r="DR19" s="189"/>
      <c r="DS19" s="186">
        <f t="shared" si="27"/>
        <v>33412761.497731984</v>
      </c>
      <c r="DT19" s="1" t="b">
        <f t="shared" si="31"/>
        <v>1</v>
      </c>
      <c r="DU19" s="247" t="str">
        <f t="shared" si="28"/>
        <v xml:space="preserve">Alban Robert Kimario </v>
      </c>
      <c r="DV19" s="249">
        <f t="shared" si="29"/>
        <v>33412761.497731984</v>
      </c>
      <c r="DW19" s="248">
        <f t="shared" si="30"/>
        <v>1192198.4977319837</v>
      </c>
      <c r="DZ19" s="1">
        <f t="shared" si="32"/>
        <v>2805721.0256482237</v>
      </c>
      <c r="EB19" s="1">
        <f t="shared" si="33"/>
        <v>3414370.9585584337</v>
      </c>
    </row>
    <row r="20" spans="1:132" s="1" customFormat="1" x14ac:dyDescent="0.35">
      <c r="A20" s="210" t="s">
        <v>249</v>
      </c>
      <c r="B20" s="7" t="s">
        <v>72</v>
      </c>
      <c r="C20" s="522" t="s">
        <v>1151</v>
      </c>
      <c r="D20" s="71">
        <v>45374</v>
      </c>
      <c r="E20" s="11">
        <v>170000</v>
      </c>
      <c r="F20" s="11" t="s">
        <v>27</v>
      </c>
      <c r="G20" s="71">
        <v>45374</v>
      </c>
      <c r="H20" s="11">
        <v>80000</v>
      </c>
      <c r="I20" s="545" t="s">
        <v>25</v>
      </c>
      <c r="J20" s="555">
        <v>45448</v>
      </c>
      <c r="K20" s="11">
        <v>50000</v>
      </c>
      <c r="L20" s="11" t="s">
        <v>25</v>
      </c>
      <c r="M20" s="71">
        <v>45636</v>
      </c>
      <c r="N20" s="11">
        <v>300000</v>
      </c>
      <c r="O20" s="11" t="s">
        <v>27</v>
      </c>
      <c r="P20" s="71">
        <v>45637</v>
      </c>
      <c r="Q20" s="11">
        <v>200000</v>
      </c>
      <c r="R20" s="11" t="s">
        <v>27</v>
      </c>
      <c r="S20" s="71">
        <v>45659</v>
      </c>
      <c r="T20" s="11">
        <v>200000</v>
      </c>
      <c r="U20" s="11" t="s">
        <v>27</v>
      </c>
      <c r="V20" s="71">
        <v>45911</v>
      </c>
      <c r="W20" s="11">
        <v>500000</v>
      </c>
      <c r="X20" s="11" t="s">
        <v>30</v>
      </c>
      <c r="Y20" s="71"/>
      <c r="Z20" s="11"/>
      <c r="AA20" s="11"/>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f t="shared" si="34"/>
        <v>1500000</v>
      </c>
      <c r="BJ20" s="66">
        <f>H20+K20+Z20</f>
        <v>130000</v>
      </c>
      <c r="BK20" s="66">
        <f>W20</f>
        <v>500000</v>
      </c>
      <c r="BL20" s="3">
        <f>E20+N20+Q20+T20</f>
        <v>870000</v>
      </c>
      <c r="BM20" s="184">
        <f t="shared" si="0"/>
        <v>1500000</v>
      </c>
      <c r="BN20" s="1" t="b">
        <f t="shared" si="1"/>
        <v>1</v>
      </c>
      <c r="BO20" s="71">
        <v>45931</v>
      </c>
      <c r="BP20" s="202">
        <f>400000+300000</f>
        <v>700000</v>
      </c>
      <c r="BQ20" s="71">
        <v>45975</v>
      </c>
      <c r="BR20" s="202">
        <v>300000</v>
      </c>
      <c r="BS20" s="71">
        <v>45998</v>
      </c>
      <c r="BT20" s="202">
        <v>100000</v>
      </c>
      <c r="BU20" s="71">
        <v>46045</v>
      </c>
      <c r="BV20" s="3">
        <v>300000</v>
      </c>
      <c r="BW20" s="71">
        <v>46079</v>
      </c>
      <c r="BX20" s="231">
        <v>200000</v>
      </c>
      <c r="BY20" s="71">
        <v>46082</v>
      </c>
      <c r="BZ20" s="231">
        <f>200000+200000</f>
        <v>400000</v>
      </c>
      <c r="CA20" s="71">
        <v>46114</v>
      </c>
      <c r="CB20" s="3">
        <f>500000+500000</f>
        <v>1000000</v>
      </c>
      <c r="CC20" s="71">
        <v>46143</v>
      </c>
      <c r="CD20" s="3">
        <f>700000+2000000</f>
        <v>2700000</v>
      </c>
      <c r="CE20" s="71">
        <v>46189</v>
      </c>
      <c r="CF20" s="3">
        <f>700000+1000000+1000000</f>
        <v>2700000</v>
      </c>
      <c r="CG20" s="71">
        <v>46227</v>
      </c>
      <c r="CH20" s="3">
        <v>2000000</v>
      </c>
      <c r="CI20" s="3"/>
      <c r="CJ20" s="3"/>
      <c r="CK20" s="3"/>
      <c r="CL20" s="3"/>
      <c r="CM20" s="189">
        <f t="shared" si="2"/>
        <v>10400000</v>
      </c>
      <c r="CN20" s="189">
        <f t="shared" si="3"/>
        <v>11900000</v>
      </c>
      <c r="CO20" s="189">
        <f t="shared" si="4"/>
        <v>22298.887506256742</v>
      </c>
      <c r="CP20" s="190">
        <f t="shared" si="5"/>
        <v>2500000</v>
      </c>
      <c r="CQ20" s="189">
        <f t="shared" si="6"/>
        <v>32740.740945291534</v>
      </c>
      <c r="CR20" s="189">
        <f t="shared" si="7"/>
        <v>49935.604043737279</v>
      </c>
      <c r="CS20" s="189">
        <f t="shared" si="8"/>
        <v>2900000</v>
      </c>
      <c r="CT20" s="189">
        <f t="shared" si="9"/>
        <v>41249.293650635038</v>
      </c>
      <c r="CU20" s="189">
        <f t="shared" si="10"/>
        <v>3100000</v>
      </c>
      <c r="CV20" s="189">
        <f t="shared" si="11"/>
        <v>105254.62250676569</v>
      </c>
      <c r="CW20" s="189">
        <f t="shared" si="12"/>
        <v>3500000</v>
      </c>
      <c r="CX20" s="189">
        <f t="shared" si="13"/>
        <v>34001.868667620161</v>
      </c>
      <c r="CY20" s="189">
        <f t="shared" si="14"/>
        <v>4500000</v>
      </c>
      <c r="CZ20" s="388">
        <f t="shared" si="15"/>
        <v>6953.631694240371</v>
      </c>
      <c r="DA20" s="189">
        <f t="shared" si="16"/>
        <v>17889.106949284684</v>
      </c>
      <c r="DB20" s="189">
        <f t="shared" si="17"/>
        <v>7200000</v>
      </c>
      <c r="DC20" s="189">
        <f t="shared" si="18"/>
        <v>40576.785443387758</v>
      </c>
      <c r="DD20" s="189">
        <f t="shared" si="19"/>
        <v>27474.33770628399</v>
      </c>
      <c r="DE20" s="189">
        <f t="shared" si="20"/>
        <v>9900000</v>
      </c>
      <c r="DF20" s="189">
        <f t="shared" si="21"/>
        <v>26544.162680821344</v>
      </c>
      <c r="DG20" s="189">
        <f t="shared" si="22"/>
        <v>88630.755522985419</v>
      </c>
      <c r="DH20" s="189">
        <v>12393549.797317307</v>
      </c>
      <c r="DI20" s="189">
        <f>'Member position mfumo and excel'!F22</f>
        <v>12393549.800000001</v>
      </c>
      <c r="DJ20" s="189">
        <f t="shared" si="35"/>
        <v>-2.6826933026313782E-3</v>
      </c>
      <c r="DK20" s="189">
        <f t="shared" si="25"/>
        <v>127253.98942329535</v>
      </c>
      <c r="DL20" s="189">
        <f t="shared" si="26"/>
        <v>35446.1916374797</v>
      </c>
      <c r="DM20" s="189"/>
      <c r="DN20" s="189"/>
      <c r="DO20" s="189"/>
      <c r="DP20" s="189"/>
      <c r="DQ20" s="189"/>
      <c r="DR20" s="189"/>
      <c r="DS20" s="186">
        <f t="shared" si="27"/>
        <v>12556249.978378084</v>
      </c>
      <c r="DT20" s="1" t="b">
        <f t="shared" si="31"/>
        <v>1</v>
      </c>
      <c r="DU20" s="247" t="str">
        <f t="shared" si="28"/>
        <v xml:space="preserve">Laurian Gidoyi </v>
      </c>
      <c r="DV20" s="249">
        <f t="shared" si="29"/>
        <v>12556249.978378084</v>
      </c>
      <c r="DW20" s="248">
        <f t="shared" si="30"/>
        <v>656249.97837808356</v>
      </c>
      <c r="DZ20" s="1">
        <f t="shared" si="32"/>
        <v>2746224.5261459206</v>
      </c>
      <c r="EB20" s="1">
        <f t="shared" si="33"/>
        <v>3351479.1486526863</v>
      </c>
    </row>
    <row r="21" spans="1:132" s="1" customFormat="1" x14ac:dyDescent="0.35">
      <c r="A21" s="210" t="s">
        <v>250</v>
      </c>
      <c r="B21" s="7" t="s">
        <v>251</v>
      </c>
      <c r="C21" s="522" t="s">
        <v>1152</v>
      </c>
      <c r="D21" s="71">
        <v>45370</v>
      </c>
      <c r="E21" s="11">
        <v>50000</v>
      </c>
      <c r="F21" s="11" t="s">
        <v>29</v>
      </c>
      <c r="G21" s="71">
        <v>45370</v>
      </c>
      <c r="H21" s="11">
        <v>90000</v>
      </c>
      <c r="I21" s="545" t="s">
        <v>27</v>
      </c>
      <c r="J21" s="555">
        <v>45527</v>
      </c>
      <c r="K21" s="11">
        <v>660000</v>
      </c>
      <c r="L21" s="11" t="s">
        <v>26</v>
      </c>
      <c r="M21" s="71">
        <v>45655</v>
      </c>
      <c r="N21" s="11">
        <v>200000</v>
      </c>
      <c r="O21" s="11" t="s">
        <v>26</v>
      </c>
      <c r="P21" s="71">
        <v>45799</v>
      </c>
      <c r="Q21" s="11">
        <v>400000</v>
      </c>
      <c r="R21" s="11" t="s">
        <v>26</v>
      </c>
      <c r="S21" s="71">
        <v>45916</v>
      </c>
      <c r="T21" s="11">
        <v>500000</v>
      </c>
      <c r="U21" s="11" t="s">
        <v>30</v>
      </c>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f t="shared" si="34"/>
        <v>1900000</v>
      </c>
      <c r="BJ21" s="66">
        <f>E21</f>
        <v>50000</v>
      </c>
      <c r="BK21" s="66">
        <f>T21</f>
        <v>500000</v>
      </c>
      <c r="BL21" s="3">
        <f>H21+K21+N21+Q21</f>
        <v>1350000</v>
      </c>
      <c r="BM21" s="184">
        <f t="shared" si="0"/>
        <v>1900000</v>
      </c>
      <c r="BN21" s="1" t="b">
        <f t="shared" si="1"/>
        <v>1</v>
      </c>
      <c r="BO21" s="10"/>
      <c r="BP21" s="200">
        <v>0</v>
      </c>
      <c r="BQ21" s="71">
        <v>45990</v>
      </c>
      <c r="BR21" s="202">
        <v>200000</v>
      </c>
      <c r="BS21" s="71">
        <v>46022</v>
      </c>
      <c r="BT21" s="200">
        <v>500000</v>
      </c>
      <c r="BU21" s="3"/>
      <c r="BV21" s="3"/>
      <c r="BW21" s="3"/>
      <c r="BX21" s="231"/>
      <c r="BY21" s="71">
        <v>46095</v>
      </c>
      <c r="BZ21" s="3">
        <f>1200000+2000000</f>
        <v>3200000</v>
      </c>
      <c r="CA21" s="71">
        <v>46128</v>
      </c>
      <c r="CB21" s="3">
        <f>1920700+1000000</f>
        <v>2920700</v>
      </c>
      <c r="CC21" s="71">
        <v>46159</v>
      </c>
      <c r="CD21" s="3">
        <f>2000000+2500000</f>
        <v>4500000</v>
      </c>
      <c r="CE21" s="71">
        <v>46185</v>
      </c>
      <c r="CF21" s="3">
        <v>2500000</v>
      </c>
      <c r="CG21" s="71">
        <v>46221</v>
      </c>
      <c r="CH21" s="3">
        <f>2000000+2000000</f>
        <v>4000000</v>
      </c>
      <c r="CI21" s="3"/>
      <c r="CJ21" s="3"/>
      <c r="CK21" s="3"/>
      <c r="CL21" s="3"/>
      <c r="CM21" s="189">
        <f t="shared" si="2"/>
        <v>17820700</v>
      </c>
      <c r="CN21" s="189">
        <f t="shared" si="3"/>
        <v>19720700</v>
      </c>
      <c r="CO21" s="189">
        <f t="shared" si="4"/>
        <v>28245.257507925206</v>
      </c>
      <c r="CP21" s="190">
        <f t="shared" si="5"/>
        <v>2100000</v>
      </c>
      <c r="CQ21" s="189">
        <f t="shared" si="6"/>
        <v>27502.222394044886</v>
      </c>
      <c r="CR21" s="189">
        <f t="shared" si="7"/>
        <v>41945.907396739312</v>
      </c>
      <c r="CS21" s="189">
        <f t="shared" si="8"/>
        <v>2600000</v>
      </c>
      <c r="CT21" s="189">
        <f t="shared" si="9"/>
        <v>36982.125341948653</v>
      </c>
      <c r="CU21" s="189">
        <f t="shared" si="10"/>
        <v>2600000</v>
      </c>
      <c r="CV21" s="189">
        <f t="shared" si="11"/>
        <v>88278.070489545426</v>
      </c>
      <c r="CW21" s="189">
        <f t="shared" si="12"/>
        <v>5800000</v>
      </c>
      <c r="CX21" s="189">
        <f t="shared" si="13"/>
        <v>56345.953792056258</v>
      </c>
      <c r="CY21" s="189">
        <f t="shared" si="14"/>
        <v>8720700</v>
      </c>
      <c r="CZ21" s="388">
        <f t="shared" si="15"/>
        <v>13475.674647991556</v>
      </c>
      <c r="DA21" s="189">
        <f t="shared" si="16"/>
        <v>34667.89666058377</v>
      </c>
      <c r="DB21" s="189">
        <f t="shared" si="17"/>
        <v>13220700</v>
      </c>
      <c r="DC21" s="189">
        <f t="shared" si="18"/>
        <v>74507.431571027293</v>
      </c>
      <c r="DD21" s="189">
        <f t="shared" si="19"/>
        <v>50448.607849092878</v>
      </c>
      <c r="DE21" s="189">
        <f t="shared" si="20"/>
        <v>15720700</v>
      </c>
      <c r="DF21" s="189">
        <f t="shared" si="21"/>
        <v>42150.789722867492</v>
      </c>
      <c r="DG21" s="189">
        <f t="shared" si="22"/>
        <v>140741.16346971685</v>
      </c>
      <c r="DH21" s="189">
        <v>20355991.100843538</v>
      </c>
      <c r="DI21" s="189">
        <f>'Member position mfumo and excel'!F23</f>
        <v>20355991.100000001</v>
      </c>
      <c r="DJ21" s="189">
        <f t="shared" si="35"/>
        <v>8.4353610873222351E-4</v>
      </c>
      <c r="DK21" s="189">
        <f t="shared" si="25"/>
        <v>209010.42224465412</v>
      </c>
      <c r="DL21" s="189">
        <f t="shared" si="26"/>
        <v>58219.184441209538</v>
      </c>
      <c r="DM21" s="189"/>
      <c r="DN21" s="189"/>
      <c r="DO21" s="189"/>
      <c r="DP21" s="189"/>
      <c r="DQ21" s="189"/>
      <c r="DR21" s="189"/>
      <c r="DS21" s="186">
        <f t="shared" si="27"/>
        <v>20623220.7075294</v>
      </c>
      <c r="DT21" s="1" t="b">
        <f t="shared" si="31"/>
        <v>1</v>
      </c>
      <c r="DU21" s="247" t="str">
        <f t="shared" si="28"/>
        <v xml:space="preserve">John Arbogast Massawe </v>
      </c>
      <c r="DV21" s="249">
        <f t="shared" si="29"/>
        <v>20623220.7075294</v>
      </c>
      <c r="DW21" s="248">
        <f t="shared" si="30"/>
        <v>902520.70752939954</v>
      </c>
      <c r="DZ21" s="1">
        <f t="shared" si="32"/>
        <v>2734675.5126406583</v>
      </c>
      <c r="EB21" s="1">
        <f t="shared" si="33"/>
        <v>2822953.5831302037</v>
      </c>
    </row>
    <row r="22" spans="1:132" s="1" customFormat="1" x14ac:dyDescent="0.35">
      <c r="A22" s="210" t="s">
        <v>252</v>
      </c>
      <c r="B22" s="7" t="s">
        <v>651</v>
      </c>
      <c r="C22" s="522" t="s">
        <v>1153</v>
      </c>
      <c r="D22" s="71">
        <v>45361</v>
      </c>
      <c r="E22" s="11">
        <v>100000</v>
      </c>
      <c r="F22" s="11" t="s">
        <v>29</v>
      </c>
      <c r="G22" s="71">
        <v>45361</v>
      </c>
      <c r="H22" s="11">
        <v>250000</v>
      </c>
      <c r="I22" s="545" t="s">
        <v>27</v>
      </c>
      <c r="J22" s="555">
        <v>45637</v>
      </c>
      <c r="K22" s="11">
        <v>450000</v>
      </c>
      <c r="L22" s="11" t="s">
        <v>27</v>
      </c>
      <c r="M22" s="71">
        <v>45650</v>
      </c>
      <c r="N22" s="11">
        <v>200000</v>
      </c>
      <c r="O22" s="11" t="s">
        <v>27</v>
      </c>
      <c r="P22" s="71">
        <v>45911</v>
      </c>
      <c r="Q22" s="11">
        <v>900000</v>
      </c>
      <c r="R22" s="11" t="s">
        <v>27</v>
      </c>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f t="shared" si="34"/>
        <v>1900000</v>
      </c>
      <c r="BJ22" s="66">
        <f>E22</f>
        <v>100000</v>
      </c>
      <c r="BK22" s="66"/>
      <c r="BL22" s="3">
        <f>H22+K22+N22+Q22</f>
        <v>1800000</v>
      </c>
      <c r="BM22" s="184">
        <f t="shared" si="0"/>
        <v>1900000</v>
      </c>
      <c r="BN22" s="1" t="b">
        <f t="shared" si="1"/>
        <v>1</v>
      </c>
      <c r="BO22" s="71">
        <v>45951</v>
      </c>
      <c r="BP22" s="202">
        <v>600000</v>
      </c>
      <c r="BQ22" s="3"/>
      <c r="BR22" s="200"/>
      <c r="BS22" s="71">
        <v>46003</v>
      </c>
      <c r="BT22" s="200">
        <v>1200000</v>
      </c>
      <c r="BU22" s="3"/>
      <c r="BV22" s="3"/>
      <c r="BW22" s="3"/>
      <c r="BX22" s="231"/>
      <c r="BY22" s="3"/>
      <c r="BZ22" s="3"/>
      <c r="CA22" s="71">
        <v>46127</v>
      </c>
      <c r="CB22" s="3">
        <v>3000000</v>
      </c>
      <c r="CC22" s="3"/>
      <c r="CD22" s="3"/>
      <c r="CE22" s="71">
        <v>46200</v>
      </c>
      <c r="CF22" s="3">
        <v>3000000</v>
      </c>
      <c r="CG22" s="71">
        <v>46211</v>
      </c>
      <c r="CH22" s="3">
        <v>3000000</v>
      </c>
      <c r="CI22" s="3"/>
      <c r="CJ22" s="3"/>
      <c r="CK22" s="3"/>
      <c r="CL22" s="3"/>
      <c r="CM22" s="189">
        <f t="shared" si="2"/>
        <v>10800000</v>
      </c>
      <c r="CN22" s="189">
        <f t="shared" si="3"/>
        <v>12700000</v>
      </c>
      <c r="CO22" s="189">
        <f t="shared" si="4"/>
        <v>28245.257507925206</v>
      </c>
      <c r="CP22" s="190">
        <f t="shared" si="5"/>
        <v>2500000</v>
      </c>
      <c r="CQ22" s="189">
        <f t="shared" si="6"/>
        <v>32740.740945291534</v>
      </c>
      <c r="CR22" s="189">
        <f t="shared" si="7"/>
        <v>49935.604043737279</v>
      </c>
      <c r="CS22" s="189">
        <f t="shared" si="8"/>
        <v>3700000</v>
      </c>
      <c r="CT22" s="189">
        <f t="shared" si="9"/>
        <v>52628.409140465395</v>
      </c>
      <c r="CU22" s="189">
        <f t="shared" si="10"/>
        <v>3700000</v>
      </c>
      <c r="CV22" s="189">
        <f t="shared" si="11"/>
        <v>125626.48492743002</v>
      </c>
      <c r="CW22" s="189">
        <f t="shared" si="12"/>
        <v>3700000</v>
      </c>
      <c r="CX22" s="189">
        <f t="shared" si="13"/>
        <v>35944.83259148417</v>
      </c>
      <c r="CY22" s="189">
        <f t="shared" si="14"/>
        <v>6700000</v>
      </c>
      <c r="CZ22" s="388">
        <f t="shared" si="15"/>
        <v>10353.184966980107</v>
      </c>
      <c r="DA22" s="189">
        <f t="shared" si="16"/>
        <v>26634.892568934974</v>
      </c>
      <c r="DB22" s="189">
        <f t="shared" si="17"/>
        <v>6700000</v>
      </c>
      <c r="DC22" s="189">
        <f t="shared" si="18"/>
        <v>37758.953120930273</v>
      </c>
      <c r="DD22" s="189">
        <f t="shared" si="19"/>
        <v>25566.397587792046</v>
      </c>
      <c r="DE22" s="189">
        <f t="shared" si="20"/>
        <v>9700000</v>
      </c>
      <c r="DF22" s="189">
        <f t="shared" si="21"/>
        <v>26007.916970097685</v>
      </c>
      <c r="DG22" s="189">
        <f t="shared" si="22"/>
        <v>86840.23520938975</v>
      </c>
      <c r="DH22" s="189">
        <v>13238282.90958046</v>
      </c>
      <c r="DI22" s="189">
        <f>'Member position mfumo and excel'!F24</f>
        <v>13238282.9</v>
      </c>
      <c r="DJ22" s="189">
        <f t="shared" si="35"/>
        <v>9.5804594457149506E-3</v>
      </c>
      <c r="DK22" s="189">
        <f t="shared" si="25"/>
        <v>135927.50591303513</v>
      </c>
      <c r="DL22" s="189">
        <f t="shared" si="26"/>
        <v>37862.171907013595</v>
      </c>
      <c r="DM22" s="189"/>
      <c r="DN22" s="189"/>
      <c r="DO22" s="189"/>
      <c r="DP22" s="189"/>
      <c r="DQ22" s="189"/>
      <c r="DR22" s="189"/>
      <c r="DS22" s="186">
        <f t="shared" si="27"/>
        <v>13412072.587400509</v>
      </c>
      <c r="DT22" s="1" t="b">
        <f t="shared" si="31"/>
        <v>1</v>
      </c>
      <c r="DU22" s="247" t="str">
        <f t="shared" si="28"/>
        <v xml:space="preserve">Masale Rajabu Masale </v>
      </c>
      <c r="DV22" s="249">
        <f t="shared" si="29"/>
        <v>13412072.587400509</v>
      </c>
      <c r="DW22" s="248">
        <f t="shared" si="30"/>
        <v>712072.58740050904</v>
      </c>
      <c r="DZ22" s="1">
        <f t="shared" si="32"/>
        <v>3863550.0116374195</v>
      </c>
      <c r="EB22" s="1">
        <f t="shared" si="33"/>
        <v>3989176.4965648493</v>
      </c>
    </row>
    <row r="23" spans="1:132" s="1" customFormat="1" x14ac:dyDescent="0.35">
      <c r="A23" s="210" t="s">
        <v>253</v>
      </c>
      <c r="B23" s="7" t="s">
        <v>86</v>
      </c>
      <c r="C23" s="72" t="s">
        <v>618</v>
      </c>
      <c r="D23" s="71">
        <v>45650</v>
      </c>
      <c r="E23" s="11">
        <v>800000</v>
      </c>
      <c r="F23" s="11" t="s">
        <v>27</v>
      </c>
      <c r="G23" s="71">
        <v>45653</v>
      </c>
      <c r="H23" s="11">
        <v>200000</v>
      </c>
      <c r="I23" s="545" t="s">
        <v>27</v>
      </c>
      <c r="J23" s="555">
        <v>45795</v>
      </c>
      <c r="K23" s="11">
        <v>400000</v>
      </c>
      <c r="L23" s="11" t="s">
        <v>27</v>
      </c>
      <c r="M23" s="71">
        <v>45807</v>
      </c>
      <c r="N23" s="11">
        <v>100000</v>
      </c>
      <c r="O23" s="11" t="s">
        <v>27</v>
      </c>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f t="shared" si="34"/>
        <v>1500000</v>
      </c>
      <c r="BJ23" s="66"/>
      <c r="BK23" s="66"/>
      <c r="BL23" s="3">
        <f>E23+H23+K23+N23</f>
        <v>1500000</v>
      </c>
      <c r="BM23" s="184">
        <f t="shared" si="0"/>
        <v>1500000</v>
      </c>
      <c r="BN23" s="711" t="b">
        <f t="shared" si="1"/>
        <v>1</v>
      </c>
      <c r="BO23" s="10"/>
      <c r="BP23" s="200">
        <v>0</v>
      </c>
      <c r="BQ23" s="3"/>
      <c r="BR23" s="200">
        <v>0</v>
      </c>
      <c r="BS23" s="205"/>
      <c r="BT23" s="200"/>
      <c r="BU23" s="71">
        <v>46053</v>
      </c>
      <c r="BV23" s="3">
        <v>3200000</v>
      </c>
      <c r="BW23" s="3"/>
      <c r="BX23" s="231"/>
      <c r="BY23" s="3"/>
      <c r="BZ23" s="3"/>
      <c r="CA23" s="3"/>
      <c r="CB23" s="3"/>
      <c r="CC23" s="3"/>
      <c r="CD23" s="3"/>
      <c r="CE23" s="3"/>
      <c r="CF23" s="3"/>
      <c r="CG23" s="3"/>
      <c r="CH23" s="3"/>
      <c r="CI23" s="3"/>
      <c r="CJ23" s="3"/>
      <c r="CK23" s="3"/>
      <c r="CL23" s="3"/>
      <c r="CM23" s="189">
        <f t="shared" si="2"/>
        <v>3200000</v>
      </c>
      <c r="CN23" s="189">
        <f t="shared" si="3"/>
        <v>4700000</v>
      </c>
      <c r="CO23" s="189">
        <f t="shared" si="4"/>
        <v>22298.887506256742</v>
      </c>
      <c r="CP23" s="190">
        <f t="shared" si="5"/>
        <v>1500000</v>
      </c>
      <c r="CQ23" s="189">
        <f t="shared" si="6"/>
        <v>19644.44456717492</v>
      </c>
      <c r="CR23" s="189">
        <f t="shared" si="7"/>
        <v>29961.362426242365</v>
      </c>
      <c r="CS23" s="189">
        <f t="shared" si="8"/>
        <v>4700000</v>
      </c>
      <c r="CT23" s="189">
        <f t="shared" si="9"/>
        <v>66852.303502753333</v>
      </c>
      <c r="CU23" s="189">
        <f t="shared" si="10"/>
        <v>4700000</v>
      </c>
      <c r="CV23" s="189">
        <f t="shared" si="11"/>
        <v>159579.58896187058</v>
      </c>
      <c r="CW23" s="189">
        <f t="shared" si="12"/>
        <v>4700000</v>
      </c>
      <c r="CX23" s="189">
        <f t="shared" si="13"/>
        <v>45659.652210804212</v>
      </c>
      <c r="CY23" s="189">
        <f t="shared" si="14"/>
        <v>4700000</v>
      </c>
      <c r="CZ23" s="388">
        <f t="shared" si="15"/>
        <v>7262.681991762166</v>
      </c>
      <c r="DA23" s="189">
        <f t="shared" si="16"/>
        <v>18684.178369252895</v>
      </c>
      <c r="DB23" s="189">
        <f t="shared" si="17"/>
        <v>4700000</v>
      </c>
      <c r="DC23" s="189">
        <f t="shared" si="18"/>
        <v>26487.62383110034</v>
      </c>
      <c r="DD23" s="189">
        <f t="shared" si="19"/>
        <v>17934.637113824272</v>
      </c>
      <c r="DE23" s="189">
        <f t="shared" si="20"/>
        <v>4700000</v>
      </c>
      <c r="DF23" s="189">
        <f t="shared" si="21"/>
        <v>12601.774202006094</v>
      </c>
      <c r="DG23" s="189">
        <f t="shared" si="22"/>
        <v>42077.227369498127</v>
      </c>
      <c r="DH23" s="189">
        <v>5169044.3620525477</v>
      </c>
      <c r="DI23" s="189">
        <f>'Member position mfumo and excel'!F25</f>
        <v>5169044.3499999996</v>
      </c>
      <c r="DJ23" s="189">
        <f t="shared" si="35"/>
        <v>1.2052548117935658E-2</v>
      </c>
      <c r="DK23" s="189">
        <f t="shared" si="25"/>
        <v>53074.504668514099</v>
      </c>
      <c r="DL23" s="189">
        <f t="shared" si="26"/>
        <v>14783.733477200278</v>
      </c>
      <c r="DM23" s="189"/>
      <c r="DN23" s="189"/>
      <c r="DO23" s="189"/>
      <c r="DP23" s="189"/>
      <c r="DQ23" s="189"/>
      <c r="DR23" s="189"/>
      <c r="DS23" s="186">
        <f t="shared" si="27"/>
        <v>5236902.6001982624</v>
      </c>
      <c r="DT23" s="1" t="b">
        <f t="shared" si="31"/>
        <v>1</v>
      </c>
      <c r="DU23" s="247" t="str">
        <f t="shared" si="28"/>
        <v>Innocent Mosha</v>
      </c>
      <c r="DV23" s="249">
        <f t="shared" si="29"/>
        <v>5236902.6001982624</v>
      </c>
      <c r="DW23" s="248">
        <f t="shared" si="30"/>
        <v>536902.60019826237</v>
      </c>
      <c r="DZ23" s="1">
        <f t="shared" si="32"/>
        <v>1638756.9980024274</v>
      </c>
      <c r="EB23" s="1">
        <f t="shared" si="33"/>
        <v>4998336.586964298</v>
      </c>
    </row>
    <row r="24" spans="1:132" s="1" customFormat="1" x14ac:dyDescent="0.35">
      <c r="A24" s="210" t="s">
        <v>254</v>
      </c>
      <c r="B24" s="7" t="s">
        <v>65</v>
      </c>
      <c r="C24" s="522" t="s">
        <v>1154</v>
      </c>
      <c r="D24" s="71">
        <v>45369</v>
      </c>
      <c r="E24" s="11">
        <v>220000</v>
      </c>
      <c r="F24" s="11" t="s">
        <v>27</v>
      </c>
      <c r="G24" s="71">
        <v>45369</v>
      </c>
      <c r="H24" s="11">
        <v>80000</v>
      </c>
      <c r="I24" s="545" t="s">
        <v>29</v>
      </c>
      <c r="J24" s="555">
        <v>45524</v>
      </c>
      <c r="K24" s="11">
        <v>550000</v>
      </c>
      <c r="L24" s="11" t="s">
        <v>26</v>
      </c>
      <c r="M24" s="71">
        <v>45683</v>
      </c>
      <c r="N24" s="11">
        <v>150000</v>
      </c>
      <c r="O24" s="11" t="s">
        <v>27</v>
      </c>
      <c r="P24" s="71">
        <v>45778</v>
      </c>
      <c r="Q24" s="11">
        <v>600000</v>
      </c>
      <c r="R24" s="11" t="s">
        <v>30</v>
      </c>
      <c r="S24" s="71">
        <v>45875</v>
      </c>
      <c r="T24" s="10">
        <v>500000</v>
      </c>
      <c r="U24" s="11" t="s">
        <v>30</v>
      </c>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f t="shared" si="34"/>
        <v>2100000</v>
      </c>
      <c r="BJ24" s="66">
        <f>H24</f>
        <v>80000</v>
      </c>
      <c r="BK24" s="66">
        <f>Q24+T24</f>
        <v>1100000</v>
      </c>
      <c r="BL24" s="3">
        <f>E24+K24+N24</f>
        <v>920000</v>
      </c>
      <c r="BM24" s="184">
        <f t="shared" si="0"/>
        <v>2100000</v>
      </c>
      <c r="BN24" s="1" t="b">
        <f t="shared" si="1"/>
        <v>1</v>
      </c>
      <c r="BO24" s="71">
        <v>45951</v>
      </c>
      <c r="BP24" s="202">
        <v>500000</v>
      </c>
      <c r="BQ24" s="3"/>
      <c r="BR24" s="200">
        <v>0</v>
      </c>
      <c r="BS24" s="206">
        <v>45999</v>
      </c>
      <c r="BT24" s="200">
        <v>1000000</v>
      </c>
      <c r="BU24" s="3"/>
      <c r="BV24" s="3"/>
      <c r="BW24" s="71">
        <v>46079</v>
      </c>
      <c r="BX24" s="231">
        <f>2000000+1000000</f>
        <v>3000000</v>
      </c>
      <c r="BY24" s="71">
        <v>46095</v>
      </c>
      <c r="BZ24" s="3">
        <v>2000000</v>
      </c>
      <c r="CA24" s="71">
        <v>46114</v>
      </c>
      <c r="CB24" s="3">
        <f>1000000+2000000</f>
        <v>3000000</v>
      </c>
      <c r="CC24" s="71">
        <v>46143</v>
      </c>
      <c r="CD24" s="3">
        <v>1000000</v>
      </c>
      <c r="CE24" s="71">
        <v>46200</v>
      </c>
      <c r="CF24" s="3">
        <f>2000000+1000000</f>
        <v>3000000</v>
      </c>
      <c r="CG24" s="71">
        <v>46218</v>
      </c>
      <c r="CH24" s="3">
        <f>3000000+3000000</f>
        <v>6000000</v>
      </c>
      <c r="CI24" s="3"/>
      <c r="CJ24" s="3"/>
      <c r="CK24" s="3"/>
      <c r="CL24" s="3"/>
      <c r="CM24" s="189">
        <f t="shared" si="2"/>
        <v>19500000</v>
      </c>
      <c r="CN24" s="189">
        <f t="shared" si="3"/>
        <v>21600000</v>
      </c>
      <c r="CO24" s="189">
        <f t="shared" si="4"/>
        <v>31218.442508759435</v>
      </c>
      <c r="CP24" s="190">
        <f t="shared" si="5"/>
        <v>2600000</v>
      </c>
      <c r="CQ24" s="189">
        <f t="shared" si="6"/>
        <v>34050.370583103191</v>
      </c>
      <c r="CR24" s="189">
        <f t="shared" si="7"/>
        <v>51933.028205486764</v>
      </c>
      <c r="CS24" s="189">
        <f t="shared" si="8"/>
        <v>3600000</v>
      </c>
      <c r="CT24" s="189">
        <f t="shared" si="9"/>
        <v>51206.019704236598</v>
      </c>
      <c r="CU24" s="189">
        <f t="shared" si="10"/>
        <v>6600000</v>
      </c>
      <c r="CV24" s="189">
        <f t="shared" si="11"/>
        <v>224090.4866273076</v>
      </c>
      <c r="CW24" s="189">
        <f t="shared" si="12"/>
        <v>8600000</v>
      </c>
      <c r="CX24" s="189">
        <f t="shared" si="13"/>
        <v>83547.448726152375</v>
      </c>
      <c r="CY24" s="189">
        <f t="shared" si="14"/>
        <v>11600000</v>
      </c>
      <c r="CZ24" s="388">
        <f t="shared" si="15"/>
        <v>17924.917256264067</v>
      </c>
      <c r="DA24" s="189">
        <f t="shared" si="16"/>
        <v>46114.142358156074</v>
      </c>
      <c r="DB24" s="189">
        <f t="shared" si="17"/>
        <v>12600000</v>
      </c>
      <c r="DC24" s="189">
        <f t="shared" si="18"/>
        <v>71009.374525928579</v>
      </c>
      <c r="DD24" s="189">
        <f t="shared" si="19"/>
        <v>48080.090985996983</v>
      </c>
      <c r="DE24" s="189">
        <f t="shared" si="20"/>
        <v>15600000</v>
      </c>
      <c r="DF24" s="189">
        <f t="shared" si="21"/>
        <v>41827.165436445757</v>
      </c>
      <c r="DG24" s="189">
        <f t="shared" si="22"/>
        <v>139660.58446046186</v>
      </c>
      <c r="DH24" s="189">
        <v>22440662.071378306</v>
      </c>
      <c r="DI24" s="189">
        <f>'Member position mfumo and excel'!F26</f>
        <v>22440662.07</v>
      </c>
      <c r="DJ24" s="189">
        <f t="shared" si="35"/>
        <v>1.3783052563667297E-3</v>
      </c>
      <c r="DK24" s="189">
        <f t="shared" si="25"/>
        <v>230415.3225334241</v>
      </c>
      <c r="DL24" s="189">
        <f t="shared" si="26"/>
        <v>64181.450937178364</v>
      </c>
      <c r="DM24" s="189"/>
      <c r="DN24" s="189"/>
      <c r="DO24" s="189"/>
      <c r="DP24" s="189"/>
      <c r="DQ24" s="189"/>
      <c r="DR24" s="189"/>
      <c r="DS24" s="186">
        <f t="shared" si="27"/>
        <v>22735258.844848908</v>
      </c>
      <c r="DT24" s="1" t="b">
        <f t="shared" si="31"/>
        <v>1</v>
      </c>
      <c r="DU24" s="247" t="str">
        <f t="shared" si="28"/>
        <v xml:space="preserve">Amos Nungu </v>
      </c>
      <c r="DV24" s="249">
        <f t="shared" si="29"/>
        <v>22735258.844848908</v>
      </c>
      <c r="DW24" s="248">
        <f t="shared" si="30"/>
        <v>1135258.8448489085</v>
      </c>
      <c r="DZ24" s="1">
        <f t="shared" si="32"/>
        <v>3768407.8610015861</v>
      </c>
      <c r="EB24" s="1">
        <f t="shared" si="33"/>
        <v>6992498.3476288933</v>
      </c>
    </row>
    <row r="25" spans="1:132" s="1" customFormat="1" x14ac:dyDescent="0.35">
      <c r="A25" s="210" t="s">
        <v>255</v>
      </c>
      <c r="B25" s="7" t="s">
        <v>61</v>
      </c>
      <c r="C25" s="522" t="s">
        <v>1155</v>
      </c>
      <c r="D25" s="71">
        <v>45363</v>
      </c>
      <c r="E25" s="11">
        <v>170000</v>
      </c>
      <c r="F25" s="11" t="s">
        <v>29</v>
      </c>
      <c r="G25" s="71">
        <v>45363</v>
      </c>
      <c r="H25" s="11">
        <v>130000</v>
      </c>
      <c r="I25" s="545" t="s">
        <v>27</v>
      </c>
      <c r="J25" s="555">
        <v>45524</v>
      </c>
      <c r="K25" s="11">
        <v>220000</v>
      </c>
      <c r="L25" s="11" t="s">
        <v>27</v>
      </c>
      <c r="M25" s="71">
        <v>45530</v>
      </c>
      <c r="N25" s="11">
        <v>280000</v>
      </c>
      <c r="O25" s="11" t="s">
        <v>27</v>
      </c>
      <c r="P25" s="71">
        <v>45659</v>
      </c>
      <c r="Q25" s="11">
        <v>200000</v>
      </c>
      <c r="R25" s="11" t="s">
        <v>27</v>
      </c>
      <c r="S25" s="71">
        <v>45801</v>
      </c>
      <c r="T25" s="11">
        <v>400000</v>
      </c>
      <c r="U25" s="11" t="s">
        <v>30</v>
      </c>
      <c r="V25" s="71">
        <v>45835</v>
      </c>
      <c r="W25" s="11">
        <v>100000</v>
      </c>
      <c r="X25" s="11" t="s">
        <v>30</v>
      </c>
      <c r="Y25" s="71">
        <v>45894</v>
      </c>
      <c r="Z25" s="11">
        <v>200000</v>
      </c>
      <c r="AA25" s="11" t="s">
        <v>30</v>
      </c>
      <c r="AB25" s="71">
        <v>45911</v>
      </c>
      <c r="AC25" s="11">
        <v>300000</v>
      </c>
      <c r="AD25" s="11" t="s">
        <v>30</v>
      </c>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f t="shared" si="34"/>
        <v>2000000</v>
      </c>
      <c r="BJ25" s="66">
        <f>E25</f>
        <v>170000</v>
      </c>
      <c r="BK25" s="66">
        <f>T25+W25+Z25+AC25</f>
        <v>1000000</v>
      </c>
      <c r="BL25" s="3">
        <f>H25+K25+N25+Q25</f>
        <v>830000</v>
      </c>
      <c r="BM25" s="184">
        <f t="shared" si="0"/>
        <v>2000000</v>
      </c>
      <c r="BN25" s="1" t="b">
        <f t="shared" si="1"/>
        <v>1</v>
      </c>
      <c r="BO25" s="10"/>
      <c r="BP25" s="200">
        <v>0</v>
      </c>
      <c r="BQ25" s="71">
        <v>45966</v>
      </c>
      <c r="BR25" s="202">
        <f>200000+200000+100000</f>
        <v>500000</v>
      </c>
      <c r="BS25" s="206">
        <v>45997</v>
      </c>
      <c r="BT25" s="200">
        <f>100000+100000</f>
        <v>200000</v>
      </c>
      <c r="BU25" s="71">
        <v>46052</v>
      </c>
      <c r="BV25" s="3">
        <v>400000</v>
      </c>
      <c r="BW25" s="3"/>
      <c r="BX25" s="231"/>
      <c r="BY25" s="71">
        <v>46084</v>
      </c>
      <c r="BZ25" s="3">
        <f>500000+540000+155000+644000+1000000+150000</f>
        <v>2989000</v>
      </c>
      <c r="CA25" s="71">
        <v>46123</v>
      </c>
      <c r="CB25" s="3">
        <f>300000+300000</f>
        <v>600000</v>
      </c>
      <c r="CC25" s="71">
        <v>46171</v>
      </c>
      <c r="CD25" s="3">
        <v>550000</v>
      </c>
      <c r="CE25" s="71">
        <v>46174</v>
      </c>
      <c r="CF25" s="3">
        <f>350000+300000+300000+400000+500000</f>
        <v>1850000</v>
      </c>
      <c r="CG25" s="71">
        <v>46204</v>
      </c>
      <c r="CH25" s="3">
        <f>500000+100000+127000+300000+220000+162000+365000+500000</f>
        <v>2274000</v>
      </c>
      <c r="CI25" s="3"/>
      <c r="CJ25" s="3"/>
      <c r="CK25" s="3"/>
      <c r="CL25" s="3"/>
      <c r="CM25" s="189">
        <f t="shared" si="2"/>
        <v>9363000</v>
      </c>
      <c r="CN25" s="189">
        <f t="shared" si="3"/>
        <v>11363000</v>
      </c>
      <c r="CO25" s="189">
        <f t="shared" si="4"/>
        <v>29731.850008342321</v>
      </c>
      <c r="CP25" s="190">
        <f t="shared" si="5"/>
        <v>2500000</v>
      </c>
      <c r="CQ25" s="189">
        <f t="shared" si="6"/>
        <v>32740.740945291534</v>
      </c>
      <c r="CR25" s="189">
        <f t="shared" si="7"/>
        <v>49935.604043737279</v>
      </c>
      <c r="CS25" s="189">
        <f t="shared" si="8"/>
        <v>3100000</v>
      </c>
      <c r="CT25" s="189">
        <f t="shared" si="9"/>
        <v>44094.072523092625</v>
      </c>
      <c r="CU25" s="189">
        <f t="shared" si="10"/>
        <v>3100000</v>
      </c>
      <c r="CV25" s="189">
        <f t="shared" si="11"/>
        <v>105254.62250676569</v>
      </c>
      <c r="CW25" s="189">
        <f t="shared" si="12"/>
        <v>6089000</v>
      </c>
      <c r="CX25" s="189">
        <f t="shared" si="13"/>
        <v>59153.536662039747</v>
      </c>
      <c r="CY25" s="189">
        <f t="shared" si="14"/>
        <v>6689000</v>
      </c>
      <c r="CZ25" s="388">
        <f t="shared" si="15"/>
        <v>10336.187200616409</v>
      </c>
      <c r="DA25" s="189">
        <f t="shared" si="16"/>
        <v>26591.163640836723</v>
      </c>
      <c r="DB25" s="189">
        <f t="shared" si="17"/>
        <v>7239000</v>
      </c>
      <c r="DC25" s="189">
        <f t="shared" si="18"/>
        <v>40796.576364539447</v>
      </c>
      <c r="DD25" s="189">
        <f t="shared" si="19"/>
        <v>27623.157035526361</v>
      </c>
      <c r="DE25" s="189">
        <f t="shared" si="20"/>
        <v>9089000</v>
      </c>
      <c r="DF25" s="189">
        <f t="shared" si="21"/>
        <v>24369.68632383689</v>
      </c>
      <c r="DG25" s="189">
        <f t="shared" si="22"/>
        <v>81370.195651354996</v>
      </c>
      <c r="DH25" s="189">
        <v>11894997.392905978</v>
      </c>
      <c r="DI25" s="189">
        <f>'Member position mfumo and excel'!F27</f>
        <v>11894997.4</v>
      </c>
      <c r="DJ25" s="189">
        <f t="shared" si="35"/>
        <v>-7.0940218865871429E-3</v>
      </c>
      <c r="DK25" s="189">
        <f t="shared" si="25"/>
        <v>122134.9732063556</v>
      </c>
      <c r="DL25" s="189">
        <f t="shared" si="26"/>
        <v>34020.306047225691</v>
      </c>
      <c r="DM25" s="189"/>
      <c r="DN25" s="189"/>
      <c r="DO25" s="189"/>
      <c r="DP25" s="189"/>
      <c r="DQ25" s="189"/>
      <c r="DR25" s="189"/>
      <c r="DS25" s="186">
        <f t="shared" si="27"/>
        <v>12051152.67215956</v>
      </c>
      <c r="DT25" s="1" t="b">
        <f t="shared" si="31"/>
        <v>1</v>
      </c>
      <c r="DU25" s="247" t="str">
        <f t="shared" si="28"/>
        <v>Athumani Mwasha</v>
      </c>
      <c r="DV25" s="249">
        <f t="shared" si="29"/>
        <v>12051152.67215956</v>
      </c>
      <c r="DW25" s="248">
        <f t="shared" si="30"/>
        <v>688152.67215956002</v>
      </c>
      <c r="DZ25" s="1">
        <f t="shared" si="32"/>
        <v>2856502.267520464</v>
      </c>
      <c r="EB25" s="1">
        <f t="shared" si="33"/>
        <v>3361756.8900272297</v>
      </c>
    </row>
    <row r="26" spans="1:132" s="1" customFormat="1" x14ac:dyDescent="0.35">
      <c r="A26" s="210" t="s">
        <v>256</v>
      </c>
      <c r="B26" s="7" t="s">
        <v>76</v>
      </c>
      <c r="C26" s="522" t="s">
        <v>1156</v>
      </c>
      <c r="D26" s="71">
        <v>45384</v>
      </c>
      <c r="E26" s="11">
        <v>30000</v>
      </c>
      <c r="F26" s="11" t="s">
        <v>29</v>
      </c>
      <c r="G26" s="71">
        <v>45384</v>
      </c>
      <c r="H26" s="11">
        <v>170000</v>
      </c>
      <c r="I26" s="545" t="s">
        <v>25</v>
      </c>
      <c r="J26" s="555">
        <v>45657</v>
      </c>
      <c r="K26" s="11">
        <v>800000</v>
      </c>
      <c r="L26" s="11" t="s">
        <v>27</v>
      </c>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f t="shared" si="34"/>
        <v>1000000</v>
      </c>
      <c r="BJ26" s="66">
        <f>E26+H26</f>
        <v>200000</v>
      </c>
      <c r="BK26" s="66"/>
      <c r="BL26" s="3">
        <f>K26</f>
        <v>800000</v>
      </c>
      <c r="BM26" s="184">
        <f t="shared" si="0"/>
        <v>1000000</v>
      </c>
      <c r="BN26" s="711" t="b">
        <f t="shared" si="1"/>
        <v>1</v>
      </c>
      <c r="BO26" s="71">
        <v>45946</v>
      </c>
      <c r="BP26" s="200">
        <v>500000</v>
      </c>
      <c r="BQ26" s="3"/>
      <c r="BR26" s="200">
        <v>0</v>
      </c>
      <c r="BS26" s="205"/>
      <c r="BT26" s="200"/>
      <c r="BU26" s="3"/>
      <c r="BV26" s="3"/>
      <c r="BW26" s="3"/>
      <c r="BX26" s="231"/>
      <c r="BY26" s="3"/>
      <c r="BZ26" s="3"/>
      <c r="CA26" s="3"/>
      <c r="CB26" s="3"/>
      <c r="CC26" s="3"/>
      <c r="CD26" s="3"/>
      <c r="CE26" s="206">
        <v>46202</v>
      </c>
      <c r="CF26" s="3">
        <v>1700000</v>
      </c>
      <c r="CG26" s="71">
        <v>46204</v>
      </c>
      <c r="CH26" s="3">
        <v>200000</v>
      </c>
      <c r="CI26" s="3"/>
      <c r="CJ26" s="3"/>
      <c r="CK26" s="3"/>
      <c r="CL26" s="3"/>
      <c r="CM26" s="189">
        <f t="shared" si="2"/>
        <v>2400000</v>
      </c>
      <c r="CN26" s="189">
        <f t="shared" si="3"/>
        <v>3400000</v>
      </c>
      <c r="CO26" s="189">
        <f t="shared" si="4"/>
        <v>14865.92500417116</v>
      </c>
      <c r="CP26" s="190">
        <f t="shared" si="5"/>
        <v>1500000</v>
      </c>
      <c r="CQ26" s="189">
        <f t="shared" si="6"/>
        <v>19644.44456717492</v>
      </c>
      <c r="CR26" s="189">
        <f t="shared" si="7"/>
        <v>29961.362426242365</v>
      </c>
      <c r="CS26" s="189">
        <f t="shared" si="8"/>
        <v>1500000</v>
      </c>
      <c r="CT26" s="189">
        <f t="shared" si="9"/>
        <v>21335.841543431918</v>
      </c>
      <c r="CU26" s="189">
        <f t="shared" si="10"/>
        <v>1500000</v>
      </c>
      <c r="CV26" s="189">
        <f t="shared" si="11"/>
        <v>50929.656051660822</v>
      </c>
      <c r="CW26" s="189">
        <f t="shared" si="12"/>
        <v>1500000</v>
      </c>
      <c r="CX26" s="189">
        <f t="shared" si="13"/>
        <v>14572.229428980067</v>
      </c>
      <c r="CY26" s="189">
        <f t="shared" si="14"/>
        <v>1500000</v>
      </c>
      <c r="CZ26" s="388">
        <f t="shared" si="15"/>
        <v>2317.8772314134571</v>
      </c>
      <c r="DA26" s="189">
        <f t="shared" si="16"/>
        <v>5963.0356497615612</v>
      </c>
      <c r="DB26" s="189">
        <f t="shared" si="17"/>
        <v>1500000</v>
      </c>
      <c r="DC26" s="189">
        <f t="shared" si="18"/>
        <v>8453.4969673724499</v>
      </c>
      <c r="DD26" s="189">
        <f t="shared" si="19"/>
        <v>5723.8203554758311</v>
      </c>
      <c r="DE26" s="189">
        <f t="shared" si="20"/>
        <v>3200000</v>
      </c>
      <c r="DF26" s="189">
        <f t="shared" si="21"/>
        <v>8579.9313715786157</v>
      </c>
      <c r="DG26" s="189">
        <f t="shared" si="22"/>
        <v>28648.325017530638</v>
      </c>
      <c r="DH26" s="189">
        <v>3610995.9456147938</v>
      </c>
      <c r="DI26" s="189">
        <f>'Member position mfumo and excel'!F28</f>
        <v>3610995.96</v>
      </c>
      <c r="DJ26" s="189">
        <f t="shared" si="35"/>
        <v>-1.4385206159204245E-2</v>
      </c>
      <c r="DK26" s="189">
        <f t="shared" si="25"/>
        <v>37076.838144491354</v>
      </c>
      <c r="DL26" s="189">
        <f t="shared" si="26"/>
        <v>10327.634647349389</v>
      </c>
      <c r="DM26" s="189"/>
      <c r="DN26" s="189"/>
      <c r="DO26" s="189"/>
      <c r="DP26" s="189"/>
      <c r="DQ26" s="189"/>
      <c r="DR26" s="189"/>
      <c r="DS26" s="186">
        <f t="shared" si="27"/>
        <v>3658400.4184066346</v>
      </c>
      <c r="DT26" s="1" t="b">
        <f t="shared" si="31"/>
        <v>1</v>
      </c>
      <c r="DU26" s="247" t="str">
        <f t="shared" si="28"/>
        <v xml:space="preserve">Hassan Matata </v>
      </c>
      <c r="DV26" s="249">
        <f t="shared" si="29"/>
        <v>3658400.4184066346</v>
      </c>
      <c r="DW26" s="248">
        <f t="shared" si="30"/>
        <v>258400.41840663459</v>
      </c>
      <c r="DZ26" s="1">
        <f t="shared" si="32"/>
        <v>1585807.5735410203</v>
      </c>
      <c r="EB26" s="1">
        <f t="shared" si="33"/>
        <v>1636737.2295926812</v>
      </c>
    </row>
    <row r="27" spans="1:132" s="1" customFormat="1" x14ac:dyDescent="0.35">
      <c r="A27" s="210" t="s">
        <v>257</v>
      </c>
      <c r="B27" s="7" t="s">
        <v>1062</v>
      </c>
      <c r="C27" s="72" t="s">
        <v>1157</v>
      </c>
      <c r="D27" s="71">
        <v>45928</v>
      </c>
      <c r="E27" s="11">
        <v>1000000</v>
      </c>
      <c r="F27" s="11" t="s">
        <v>30</v>
      </c>
      <c r="G27" s="71">
        <v>45928</v>
      </c>
      <c r="H27" s="11">
        <v>900000</v>
      </c>
      <c r="I27" s="545" t="s">
        <v>30</v>
      </c>
      <c r="J27" s="545"/>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f t="shared" si="34"/>
        <v>1900000</v>
      </c>
      <c r="BJ27" s="66"/>
      <c r="BK27" s="66">
        <f>E27+H27</f>
        <v>1900000</v>
      </c>
      <c r="BL27" s="3"/>
      <c r="BM27" s="184">
        <f t="shared" si="0"/>
        <v>1900000</v>
      </c>
      <c r="BN27" s="1" t="b">
        <f t="shared" si="1"/>
        <v>1</v>
      </c>
      <c r="BO27" s="10"/>
      <c r="BP27" s="200">
        <v>0</v>
      </c>
      <c r="BQ27" s="3"/>
      <c r="BR27" s="200">
        <v>0</v>
      </c>
      <c r="BS27" s="205"/>
      <c r="BT27" s="200"/>
      <c r="BU27" s="3"/>
      <c r="BV27" s="3"/>
      <c r="BW27" s="3"/>
      <c r="BX27" s="231"/>
      <c r="BY27" s="3"/>
      <c r="BZ27" s="3"/>
      <c r="CA27" s="3"/>
      <c r="CB27" s="3"/>
      <c r="CC27" s="3"/>
      <c r="CD27" s="3"/>
      <c r="CE27" s="3"/>
      <c r="CF27" s="3"/>
      <c r="CG27" s="71">
        <v>46212</v>
      </c>
      <c r="CH27" s="3">
        <v>10000000</v>
      </c>
      <c r="CI27" s="3"/>
      <c r="CJ27" s="3"/>
      <c r="CK27" s="3"/>
      <c r="CL27" s="3"/>
      <c r="CM27" s="189">
        <f t="shared" si="2"/>
        <v>10000000</v>
      </c>
      <c r="CN27" s="189">
        <f t="shared" si="3"/>
        <v>11900000</v>
      </c>
      <c r="CO27" s="189">
        <f t="shared" si="4"/>
        <v>28245.257507925206</v>
      </c>
      <c r="CP27" s="190">
        <f t="shared" si="5"/>
        <v>1900000</v>
      </c>
      <c r="CQ27" s="189">
        <f t="shared" si="6"/>
        <v>24882.963118421565</v>
      </c>
      <c r="CR27" s="189">
        <f t="shared" si="7"/>
        <v>37951.059073240336</v>
      </c>
      <c r="CS27" s="189">
        <f t="shared" si="8"/>
        <v>1900000</v>
      </c>
      <c r="CT27" s="189">
        <f t="shared" si="9"/>
        <v>27025.399288347096</v>
      </c>
      <c r="CU27" s="189">
        <f t="shared" si="10"/>
        <v>1900000</v>
      </c>
      <c r="CV27" s="189">
        <f t="shared" si="11"/>
        <v>64510.897665437034</v>
      </c>
      <c r="CW27" s="189">
        <f t="shared" si="12"/>
        <v>1900000</v>
      </c>
      <c r="CX27" s="189">
        <f t="shared" si="13"/>
        <v>18458.157276708087</v>
      </c>
      <c r="CY27" s="189">
        <f t="shared" si="14"/>
        <v>1900000</v>
      </c>
      <c r="CZ27" s="388">
        <f t="shared" si="15"/>
        <v>2935.9778264570455</v>
      </c>
      <c r="DA27" s="189">
        <f t="shared" si="16"/>
        <v>7553.1784896979771</v>
      </c>
      <c r="DB27" s="189">
        <f t="shared" si="17"/>
        <v>1900000</v>
      </c>
      <c r="DC27" s="189">
        <f t="shared" si="18"/>
        <v>10707.762825338437</v>
      </c>
      <c r="DD27" s="189">
        <f t="shared" si="19"/>
        <v>7250.172450269386</v>
      </c>
      <c r="DE27" s="189">
        <f t="shared" si="20"/>
        <v>1900000</v>
      </c>
      <c r="DF27" s="189">
        <f t="shared" si="21"/>
        <v>5094.3342518748032</v>
      </c>
      <c r="DG27" s="189">
        <f t="shared" si="22"/>
        <v>17009.942979158815</v>
      </c>
      <c r="DH27" s="189">
        <v>12151625.102752876</v>
      </c>
      <c r="DI27" s="189">
        <f>'Member position mfumo and excel'!F29</f>
        <v>12151625.1</v>
      </c>
      <c r="DJ27" s="189">
        <f t="shared" si="35"/>
        <v>2.7528759092092514E-3</v>
      </c>
      <c r="DK27" s="189">
        <f t="shared" si="25"/>
        <v>124769.96482769483</v>
      </c>
      <c r="DL27" s="189">
        <f t="shared" si="26"/>
        <v>34754.274533372387</v>
      </c>
      <c r="DM27" s="189"/>
      <c r="DN27" s="189"/>
      <c r="DO27" s="189"/>
      <c r="DP27" s="189"/>
      <c r="DQ27" s="189"/>
      <c r="DR27" s="189"/>
      <c r="DS27" s="186">
        <f t="shared" si="27"/>
        <v>12311149.342113942</v>
      </c>
      <c r="DT27" s="1" t="b">
        <f t="shared" si="31"/>
        <v>1</v>
      </c>
      <c r="DU27" s="247" t="str">
        <f t="shared" si="28"/>
        <v>Plasduce Mkeli Mbossa</v>
      </c>
      <c r="DV27" s="249">
        <f t="shared" si="29"/>
        <v>12311149.342113942</v>
      </c>
      <c r="DW27" s="248">
        <f t="shared" si="30"/>
        <v>411149.34211394191</v>
      </c>
      <c r="DZ27" s="1">
        <f t="shared" si="32"/>
        <v>2018104.678987934</v>
      </c>
      <c r="EB27" s="1">
        <f t="shared" si="33"/>
        <v>2082615.5766533711</v>
      </c>
    </row>
    <row r="28" spans="1:132" s="1" customFormat="1" ht="16" customHeight="1" x14ac:dyDescent="0.35">
      <c r="A28" s="210" t="s">
        <v>258</v>
      </c>
      <c r="B28" s="7" t="s">
        <v>90</v>
      </c>
      <c r="C28" s="72" t="s">
        <v>1158</v>
      </c>
      <c r="D28" s="71">
        <v>45662</v>
      </c>
      <c r="E28" s="11">
        <v>1000000</v>
      </c>
      <c r="F28" s="11" t="s">
        <v>27</v>
      </c>
      <c r="G28" s="71"/>
      <c r="H28" s="11"/>
      <c r="I28" s="545"/>
      <c r="J28" s="545"/>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f t="shared" si="34"/>
        <v>1000000</v>
      </c>
      <c r="BJ28" s="66"/>
      <c r="BK28" s="66"/>
      <c r="BL28" s="3">
        <f>E28</f>
        <v>1000000</v>
      </c>
      <c r="BM28" s="184">
        <f t="shared" si="0"/>
        <v>1000000</v>
      </c>
      <c r="BN28" s="711" t="b">
        <f t="shared" si="1"/>
        <v>1</v>
      </c>
      <c r="BO28" s="10"/>
      <c r="BP28" s="200">
        <v>0</v>
      </c>
      <c r="BQ28" s="71">
        <v>45990</v>
      </c>
      <c r="BR28" s="200">
        <v>1000000</v>
      </c>
      <c r="BS28" s="205"/>
      <c r="BT28" s="200"/>
      <c r="BU28" s="3"/>
      <c r="BV28" s="3"/>
      <c r="BW28" s="3"/>
      <c r="BX28" s="231"/>
      <c r="BY28" s="3"/>
      <c r="BZ28" s="3"/>
      <c r="CA28" s="3"/>
      <c r="CB28" s="3"/>
      <c r="CC28" s="3"/>
      <c r="CD28" s="3"/>
      <c r="CE28" s="3"/>
      <c r="CF28" s="3"/>
      <c r="CG28" s="71">
        <v>46204</v>
      </c>
      <c r="CH28" s="3">
        <v>2000000</v>
      </c>
      <c r="CI28" s="3"/>
      <c r="CJ28" s="3"/>
      <c r="CK28" s="3"/>
      <c r="CL28" s="3"/>
      <c r="CM28" s="189">
        <f t="shared" si="2"/>
        <v>3000000</v>
      </c>
      <c r="CN28" s="189">
        <f t="shared" si="3"/>
        <v>4000000</v>
      </c>
      <c r="CO28" s="189">
        <f t="shared" si="4"/>
        <v>14865.92500417116</v>
      </c>
      <c r="CP28" s="190">
        <f t="shared" si="5"/>
        <v>2000000</v>
      </c>
      <c r="CQ28" s="189">
        <f t="shared" si="6"/>
        <v>26192.592756233225</v>
      </c>
      <c r="CR28" s="189">
        <f t="shared" si="7"/>
        <v>39948.483234989821</v>
      </c>
      <c r="CS28" s="189">
        <f t="shared" si="8"/>
        <v>2000000</v>
      </c>
      <c r="CT28" s="189">
        <f t="shared" si="9"/>
        <v>28447.78872457589</v>
      </c>
      <c r="CU28" s="189">
        <f t="shared" si="10"/>
        <v>2000000</v>
      </c>
      <c r="CV28" s="189">
        <f t="shared" si="11"/>
        <v>67906.208068881097</v>
      </c>
      <c r="CW28" s="189">
        <f t="shared" si="12"/>
        <v>2000000</v>
      </c>
      <c r="CX28" s="189">
        <f t="shared" si="13"/>
        <v>19429.639238640091</v>
      </c>
      <c r="CY28" s="189">
        <f t="shared" si="14"/>
        <v>2000000</v>
      </c>
      <c r="CZ28" s="388">
        <f t="shared" si="15"/>
        <v>3090.502975217943</v>
      </c>
      <c r="DA28" s="189">
        <f t="shared" si="16"/>
        <v>7950.7141996820828</v>
      </c>
      <c r="DB28" s="189">
        <f t="shared" si="17"/>
        <v>2000000</v>
      </c>
      <c r="DC28" s="189">
        <f t="shared" si="18"/>
        <v>11271.329289829933</v>
      </c>
      <c r="DD28" s="189">
        <f t="shared" si="19"/>
        <v>7631.7604739677754</v>
      </c>
      <c r="DE28" s="189">
        <f t="shared" si="20"/>
        <v>2000000</v>
      </c>
      <c r="DF28" s="189">
        <f t="shared" si="21"/>
        <v>5362.4571072366352</v>
      </c>
      <c r="DG28" s="189">
        <f t="shared" si="22"/>
        <v>17905.20313595665</v>
      </c>
      <c r="DH28" s="189">
        <v>4250002.6042093821</v>
      </c>
      <c r="DI28" s="189">
        <f>'Member position mfumo and excel'!F30</f>
        <v>4250002.5999999996</v>
      </c>
      <c r="DJ28" s="189">
        <f t="shared" si="35"/>
        <v>4.2093824595212936E-3</v>
      </c>
      <c r="DK28" s="189">
        <f t="shared" si="25"/>
        <v>43638.004872672216</v>
      </c>
      <c r="DL28" s="189">
        <f t="shared" si="26"/>
        <v>12155.226648720312</v>
      </c>
      <c r="DM28" s="189"/>
      <c r="DN28" s="189"/>
      <c r="DO28" s="189"/>
      <c r="DP28" s="189"/>
      <c r="DQ28" s="189"/>
      <c r="DR28" s="189"/>
      <c r="DS28" s="186">
        <f t="shared" si="27"/>
        <v>4305795.8357307743</v>
      </c>
      <c r="DT28" s="1" t="b">
        <f t="shared" si="31"/>
        <v>1</v>
      </c>
      <c r="DU28" s="247" t="str">
        <f t="shared" si="28"/>
        <v>Saidi Ramadhani Mdee</v>
      </c>
      <c r="DV28" s="249">
        <f t="shared" si="29"/>
        <v>4305795.8357307743</v>
      </c>
      <c r="DW28" s="248">
        <f t="shared" si="30"/>
        <v>305795.83573077433</v>
      </c>
      <c r="DZ28" s="1">
        <f t="shared" si="32"/>
        <v>2109454.78971997</v>
      </c>
      <c r="EB28" s="1">
        <f t="shared" si="33"/>
        <v>2177360.9977888511</v>
      </c>
    </row>
    <row r="29" spans="1:132" s="1" customFormat="1" x14ac:dyDescent="0.35">
      <c r="A29" s="210" t="s">
        <v>259</v>
      </c>
      <c r="B29" s="7" t="s">
        <v>36</v>
      </c>
      <c r="C29" s="522" t="s">
        <v>1159</v>
      </c>
      <c r="D29" s="71">
        <v>45354</v>
      </c>
      <c r="E29" s="11">
        <v>100000</v>
      </c>
      <c r="F29" s="11" t="s">
        <v>27</v>
      </c>
      <c r="G29" s="71">
        <v>45361</v>
      </c>
      <c r="H29" s="11">
        <v>100000</v>
      </c>
      <c r="I29" s="545" t="s">
        <v>27</v>
      </c>
      <c r="J29" s="555">
        <v>45411</v>
      </c>
      <c r="K29" s="11">
        <v>50000</v>
      </c>
      <c r="L29" s="11" t="s">
        <v>25</v>
      </c>
      <c r="M29" s="71">
        <v>45496</v>
      </c>
      <c r="N29" s="11">
        <v>100000</v>
      </c>
      <c r="O29" s="11" t="s">
        <v>25</v>
      </c>
      <c r="P29" s="71">
        <v>45521</v>
      </c>
      <c r="Q29" s="11">
        <v>650000</v>
      </c>
      <c r="R29" s="11" t="s">
        <v>27</v>
      </c>
      <c r="S29" s="71">
        <v>45742</v>
      </c>
      <c r="T29" s="11">
        <v>200000</v>
      </c>
      <c r="U29" s="11" t="s">
        <v>26</v>
      </c>
      <c r="V29" s="71">
        <v>45928</v>
      </c>
      <c r="W29" s="11">
        <v>500000</v>
      </c>
      <c r="X29" s="11" t="s">
        <v>30</v>
      </c>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f t="shared" si="34"/>
        <v>1700000</v>
      </c>
      <c r="BJ29" s="66">
        <f>K29+N29</f>
        <v>150000</v>
      </c>
      <c r="BK29" s="66">
        <f>W29</f>
        <v>500000</v>
      </c>
      <c r="BL29" s="3">
        <f>E29+H29+Q29+T29</f>
        <v>1050000</v>
      </c>
      <c r="BM29" s="184">
        <f t="shared" si="0"/>
        <v>1700000</v>
      </c>
      <c r="BN29" s="1" t="b">
        <f t="shared" si="1"/>
        <v>1</v>
      </c>
      <c r="BO29" s="10"/>
      <c r="BP29" s="200">
        <v>0</v>
      </c>
      <c r="BQ29" s="3"/>
      <c r="BR29" s="200">
        <v>0</v>
      </c>
      <c r="BS29" s="205"/>
      <c r="BT29" s="200"/>
      <c r="BU29" s="3"/>
      <c r="BV29" s="3"/>
      <c r="BW29" s="3"/>
      <c r="BX29" s="231"/>
      <c r="BY29" s="71">
        <v>46083</v>
      </c>
      <c r="BZ29" s="3">
        <f>1500000+640000</f>
        <v>2140000</v>
      </c>
      <c r="CA29" s="71">
        <v>46137</v>
      </c>
      <c r="CB29" s="3">
        <v>1000000</v>
      </c>
      <c r="CC29" s="71">
        <v>46164</v>
      </c>
      <c r="CD29" s="3">
        <v>1500000</v>
      </c>
      <c r="CE29" s="71">
        <v>46198</v>
      </c>
      <c r="CF29" s="3">
        <f>3500000+2000000</f>
        <v>5500000</v>
      </c>
      <c r="CG29" s="3"/>
      <c r="CH29" s="3"/>
      <c r="CI29" s="3"/>
      <c r="CJ29" s="3"/>
      <c r="CK29" s="3"/>
      <c r="CL29" s="3"/>
      <c r="CM29" s="189">
        <f t="shared" si="2"/>
        <v>10140000</v>
      </c>
      <c r="CN29" s="189">
        <f t="shared" si="3"/>
        <v>11840000</v>
      </c>
      <c r="CO29" s="189">
        <f t="shared" si="4"/>
        <v>25272.072507090972</v>
      </c>
      <c r="CP29" s="190">
        <f t="shared" si="5"/>
        <v>1700000</v>
      </c>
      <c r="CQ29" s="189">
        <f t="shared" si="6"/>
        <v>22263.703842798241</v>
      </c>
      <c r="CR29" s="189">
        <f t="shared" si="7"/>
        <v>33956.210749741345</v>
      </c>
      <c r="CS29" s="189">
        <f t="shared" si="8"/>
        <v>1700000</v>
      </c>
      <c r="CT29" s="189">
        <f t="shared" si="9"/>
        <v>24180.620415889505</v>
      </c>
      <c r="CU29" s="189">
        <f t="shared" si="10"/>
        <v>1700000</v>
      </c>
      <c r="CV29" s="189">
        <f t="shared" si="11"/>
        <v>57720.276858548925</v>
      </c>
      <c r="CW29" s="189">
        <f t="shared" si="12"/>
        <v>3840000</v>
      </c>
      <c r="CX29" s="189">
        <f t="shared" si="13"/>
        <v>37304.907338188968</v>
      </c>
      <c r="CY29" s="189">
        <f t="shared" si="14"/>
        <v>4840000</v>
      </c>
      <c r="CZ29" s="388">
        <f t="shared" si="15"/>
        <v>7479.0172000274215</v>
      </c>
      <c r="DA29" s="189">
        <f t="shared" si="16"/>
        <v>19240.728363230639</v>
      </c>
      <c r="DB29" s="189">
        <f t="shared" si="17"/>
        <v>6340000</v>
      </c>
      <c r="DC29" s="189">
        <f t="shared" si="18"/>
        <v>35730.113848760884</v>
      </c>
      <c r="DD29" s="189">
        <f t="shared" si="19"/>
        <v>24192.680702477846</v>
      </c>
      <c r="DE29" s="189">
        <f t="shared" si="20"/>
        <v>11840000</v>
      </c>
      <c r="DF29" s="189">
        <f t="shared" si="21"/>
        <v>31745.746074840881</v>
      </c>
      <c r="DG29" s="189">
        <f t="shared" si="22"/>
        <v>105998.80256486336</v>
      </c>
      <c r="DH29" s="189">
        <v>12265084.880466457</v>
      </c>
      <c r="DI29" s="189">
        <f>'Member position mfumo and excel'!F31</f>
        <v>12265084.880000001</v>
      </c>
      <c r="DJ29" s="189">
        <f t="shared" si="35"/>
        <v>4.6645663678646088E-4</v>
      </c>
      <c r="DK29" s="189">
        <f t="shared" si="25"/>
        <v>125934.94254507641</v>
      </c>
      <c r="DL29" s="189">
        <f t="shared" si="26"/>
        <v>35078.775349502728</v>
      </c>
      <c r="DM29" s="189"/>
      <c r="DN29" s="189"/>
      <c r="DO29" s="189"/>
      <c r="DP29" s="189"/>
      <c r="DQ29" s="189"/>
      <c r="DR29" s="189"/>
      <c r="DS29" s="186">
        <f t="shared" si="27"/>
        <v>12426098.598361038</v>
      </c>
      <c r="DT29" s="1" t="b">
        <f t="shared" si="31"/>
        <v>1</v>
      </c>
      <c r="DU29" s="247" t="str">
        <f t="shared" si="28"/>
        <v xml:space="preserve">Evance Mori </v>
      </c>
      <c r="DV29" s="249">
        <f t="shared" si="29"/>
        <v>12426098.598361038</v>
      </c>
      <c r="DW29" s="248">
        <f t="shared" si="30"/>
        <v>586098.59836103767</v>
      </c>
      <c r="DZ29" s="1">
        <f t="shared" si="32"/>
        <v>1805672.60751552</v>
      </c>
      <c r="EB29" s="1">
        <f t="shared" si="33"/>
        <v>1863392.8843740688</v>
      </c>
    </row>
    <row r="30" spans="1:132" s="1" customFormat="1" x14ac:dyDescent="0.35">
      <c r="A30" s="210" t="s">
        <v>260</v>
      </c>
      <c r="B30" s="7" t="s">
        <v>1060</v>
      </c>
      <c r="C30" s="72" t="s">
        <v>85</v>
      </c>
      <c r="D30" s="71">
        <v>45649</v>
      </c>
      <c r="E30" s="11">
        <v>800000</v>
      </c>
      <c r="F30" s="11" t="s">
        <v>27</v>
      </c>
      <c r="G30" s="71">
        <v>45655</v>
      </c>
      <c r="H30" s="11">
        <v>200000</v>
      </c>
      <c r="I30" s="545" t="s">
        <v>27</v>
      </c>
      <c r="J30" s="555">
        <v>45687</v>
      </c>
      <c r="K30" s="11">
        <v>200000</v>
      </c>
      <c r="L30" s="11" t="s">
        <v>27</v>
      </c>
      <c r="M30" s="71">
        <v>45816</v>
      </c>
      <c r="N30" s="11">
        <v>200000</v>
      </c>
      <c r="O30" s="11" t="s">
        <v>30</v>
      </c>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f t="shared" si="34"/>
        <v>1400000</v>
      </c>
      <c r="BJ30" s="66"/>
      <c r="BK30" s="66">
        <f>N30</f>
        <v>200000</v>
      </c>
      <c r="BL30" s="3">
        <f>E30+H30+K30</f>
        <v>1200000</v>
      </c>
      <c r="BM30" s="184">
        <f t="shared" si="0"/>
        <v>1400000</v>
      </c>
      <c r="BN30" s="1" t="b">
        <f t="shared" si="1"/>
        <v>1</v>
      </c>
      <c r="BO30" s="71">
        <v>45946</v>
      </c>
      <c r="BP30" s="200">
        <v>500000</v>
      </c>
      <c r="BQ30" s="3"/>
      <c r="BR30" s="200">
        <v>0</v>
      </c>
      <c r="BS30" s="206">
        <v>45995</v>
      </c>
      <c r="BT30" s="200">
        <f>500000+500000</f>
        <v>1000000</v>
      </c>
      <c r="BU30" s="3"/>
      <c r="BV30" s="3"/>
      <c r="BW30" s="71">
        <v>46059</v>
      </c>
      <c r="BX30" s="232">
        <f>200000+200000</f>
        <v>400000</v>
      </c>
      <c r="BY30" s="71">
        <v>46084</v>
      </c>
      <c r="BZ30" s="3">
        <f>400000+400000+300000</f>
        <v>1100000</v>
      </c>
      <c r="CA30" s="3"/>
      <c r="CB30" s="3"/>
      <c r="CC30" s="71">
        <v>46150</v>
      </c>
      <c r="CD30" s="3">
        <f>5000000+350000+700000</f>
        <v>6050000</v>
      </c>
      <c r="CE30" s="71">
        <v>46203</v>
      </c>
      <c r="CF30" s="3">
        <v>300000</v>
      </c>
      <c r="CG30" s="71">
        <v>46234</v>
      </c>
      <c r="CH30" s="3">
        <v>1000000</v>
      </c>
      <c r="CI30" s="3"/>
      <c r="CJ30" s="3"/>
      <c r="CK30" s="3"/>
      <c r="CL30" s="224"/>
      <c r="CM30" s="189">
        <f t="shared" si="2"/>
        <v>10350000</v>
      </c>
      <c r="CN30" s="189">
        <f t="shared" si="3"/>
        <v>11750000</v>
      </c>
      <c r="CO30" s="189">
        <f t="shared" si="4"/>
        <v>20812.295005839624</v>
      </c>
      <c r="CP30" s="190">
        <f t="shared" si="5"/>
        <v>1900000</v>
      </c>
      <c r="CQ30" s="189">
        <f t="shared" si="6"/>
        <v>24882.963118421565</v>
      </c>
      <c r="CR30" s="189">
        <f t="shared" si="7"/>
        <v>37951.059073240336</v>
      </c>
      <c r="CS30" s="189">
        <f t="shared" si="8"/>
        <v>2900000</v>
      </c>
      <c r="CT30" s="189">
        <f t="shared" si="9"/>
        <v>41249.293650635038</v>
      </c>
      <c r="CU30" s="189">
        <f t="shared" si="10"/>
        <v>3300000</v>
      </c>
      <c r="CV30" s="189">
        <f t="shared" si="11"/>
        <v>112045.2433136538</v>
      </c>
      <c r="CW30" s="189">
        <f t="shared" si="12"/>
        <v>4400000</v>
      </c>
      <c r="CX30" s="189">
        <f t="shared" si="13"/>
        <v>42745.206325008192</v>
      </c>
      <c r="CY30" s="189">
        <f t="shared" si="14"/>
        <v>4400000</v>
      </c>
      <c r="CZ30" s="388">
        <f t="shared" si="15"/>
        <v>6799.1065454794743</v>
      </c>
      <c r="DA30" s="189">
        <f t="shared" si="16"/>
        <v>17491.571239300582</v>
      </c>
      <c r="DB30" s="189">
        <f t="shared" si="17"/>
        <v>10450000</v>
      </c>
      <c r="DC30" s="189">
        <f t="shared" si="18"/>
        <v>58892.695539361404</v>
      </c>
      <c r="DD30" s="189">
        <f t="shared" si="19"/>
        <v>39875.94847648163</v>
      </c>
      <c r="DE30" s="189">
        <f t="shared" si="20"/>
        <v>10750000</v>
      </c>
      <c r="DF30" s="189">
        <f t="shared" si="21"/>
        <v>28823.206951396915</v>
      </c>
      <c r="DG30" s="189">
        <f t="shared" si="22"/>
        <v>96240.466855766994</v>
      </c>
      <c r="DH30" s="189">
        <v>12277809.056094581</v>
      </c>
      <c r="DI30" s="189">
        <f>'Member position mfumo and excel'!F32</f>
        <v>12277809.07</v>
      </c>
      <c r="DJ30" s="189">
        <f t="shared" si="35"/>
        <v>-1.3905419036746025E-2</v>
      </c>
      <c r="DK30" s="189">
        <f t="shared" si="25"/>
        <v>126065.591321035</v>
      </c>
      <c r="DL30" s="189">
        <f t="shared" si="26"/>
        <v>35115.167148068867</v>
      </c>
      <c r="DM30" s="189"/>
      <c r="DN30" s="189"/>
      <c r="DO30" s="189"/>
      <c r="DP30" s="189"/>
      <c r="DQ30" s="189"/>
      <c r="DR30" s="189"/>
      <c r="DS30" s="186">
        <f t="shared" si="27"/>
        <v>12438989.814563684</v>
      </c>
      <c r="DT30" s="1" t="b">
        <f t="shared" si="31"/>
        <v>1</v>
      </c>
      <c r="DU30" s="247" t="str">
        <f t="shared" si="28"/>
        <v>Emanuel Ezekiah Moshi</v>
      </c>
      <c r="DV30" s="249">
        <f t="shared" si="29"/>
        <v>12438989.814563684</v>
      </c>
      <c r="DW30" s="248">
        <f t="shared" si="30"/>
        <v>688989.81456368417</v>
      </c>
      <c r="DZ30" s="1">
        <f t="shared" si="32"/>
        <v>3024895.6108481367</v>
      </c>
      <c r="EB30" s="1">
        <f t="shared" si="33"/>
        <v>3536940.8541617906</v>
      </c>
    </row>
    <row r="31" spans="1:132" s="1" customFormat="1" x14ac:dyDescent="0.35">
      <c r="A31" s="210" t="s">
        <v>261</v>
      </c>
      <c r="B31" s="7" t="s">
        <v>1160</v>
      </c>
      <c r="C31" s="72" t="s">
        <v>92</v>
      </c>
      <c r="D31" s="71">
        <v>45669</v>
      </c>
      <c r="E31" s="11">
        <v>1000000</v>
      </c>
      <c r="F31" s="11" t="s">
        <v>27</v>
      </c>
      <c r="G31" s="71">
        <v>45728</v>
      </c>
      <c r="H31" s="11">
        <v>200000</v>
      </c>
      <c r="I31" s="545" t="s">
        <v>27</v>
      </c>
      <c r="J31" s="555">
        <v>45919</v>
      </c>
      <c r="K31" s="11">
        <v>100000</v>
      </c>
      <c r="L31" s="11" t="s">
        <v>27</v>
      </c>
      <c r="M31" s="71">
        <v>45919</v>
      </c>
      <c r="N31" s="11">
        <v>200000</v>
      </c>
      <c r="O31" s="11" t="s">
        <v>30</v>
      </c>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f t="shared" si="34"/>
        <v>1500000</v>
      </c>
      <c r="BJ31" s="66"/>
      <c r="BK31" s="66">
        <f>N31</f>
        <v>200000</v>
      </c>
      <c r="BL31" s="3">
        <f>E31+H31+K31</f>
        <v>1300000</v>
      </c>
      <c r="BM31" s="184">
        <f t="shared" si="0"/>
        <v>1500000</v>
      </c>
      <c r="BN31" s="1" t="b">
        <f t="shared" si="1"/>
        <v>1</v>
      </c>
      <c r="BO31" s="71">
        <v>45932</v>
      </c>
      <c r="BP31" s="202">
        <v>200000</v>
      </c>
      <c r="BQ31" s="71">
        <v>45985</v>
      </c>
      <c r="BR31" s="200">
        <v>200000</v>
      </c>
      <c r="BS31" s="206">
        <v>45997</v>
      </c>
      <c r="BT31" s="200">
        <f>200000+200000</f>
        <v>400000</v>
      </c>
      <c r="BU31" s="71">
        <v>46042</v>
      </c>
      <c r="BV31" s="204">
        <f>200000+250000</f>
        <v>450000</v>
      </c>
      <c r="BW31" s="71">
        <v>46059</v>
      </c>
      <c r="BX31" s="232">
        <f>300000+200000</f>
        <v>500000</v>
      </c>
      <c r="BY31" s="71">
        <v>46100</v>
      </c>
      <c r="BZ31" s="3">
        <f>200000+100000+200000</f>
        <v>500000</v>
      </c>
      <c r="CA31" s="71">
        <v>46113</v>
      </c>
      <c r="CB31" s="3">
        <f>200000+200000+200000+500000+200000+200000+1000000</f>
        <v>2500000</v>
      </c>
      <c r="CC31" s="71">
        <v>46144</v>
      </c>
      <c r="CD31" s="3">
        <f>3000000+500000</f>
        <v>3500000</v>
      </c>
      <c r="CE31" s="71">
        <v>46175</v>
      </c>
      <c r="CF31" s="3">
        <f>800000+200000+1000000+1000000</f>
        <v>3000000</v>
      </c>
      <c r="CG31" s="3"/>
      <c r="CH31" s="3"/>
      <c r="CI31" s="3"/>
      <c r="CJ31" s="3"/>
      <c r="CK31" s="3"/>
      <c r="CL31" s="3"/>
      <c r="CM31" s="189">
        <f t="shared" si="2"/>
        <v>11250000</v>
      </c>
      <c r="CN31" s="189">
        <f t="shared" si="3"/>
        <v>12750000</v>
      </c>
      <c r="CO31" s="189">
        <f t="shared" si="4"/>
        <v>22298.887506256742</v>
      </c>
      <c r="CP31" s="190">
        <f t="shared" si="5"/>
        <v>1900000</v>
      </c>
      <c r="CQ31" s="189">
        <f t="shared" si="6"/>
        <v>24882.963118421565</v>
      </c>
      <c r="CR31" s="189">
        <f t="shared" si="7"/>
        <v>37951.059073240336</v>
      </c>
      <c r="CS31" s="189">
        <f t="shared" si="8"/>
        <v>2750000</v>
      </c>
      <c r="CT31" s="189">
        <f t="shared" si="9"/>
        <v>39115.709496291849</v>
      </c>
      <c r="CU31" s="189">
        <f t="shared" si="10"/>
        <v>3250000</v>
      </c>
      <c r="CV31" s="189">
        <f t="shared" si="11"/>
        <v>110347.58811193178</v>
      </c>
      <c r="CW31" s="189">
        <f t="shared" si="12"/>
        <v>3750000</v>
      </c>
      <c r="CX31" s="189">
        <f t="shared" si="13"/>
        <v>36430.573572450165</v>
      </c>
      <c r="CY31" s="189">
        <f t="shared" si="14"/>
        <v>6250000</v>
      </c>
      <c r="CZ31" s="388">
        <f t="shared" si="15"/>
        <v>9657.821797556071</v>
      </c>
      <c r="DA31" s="189">
        <f t="shared" si="16"/>
        <v>24845.981874006506</v>
      </c>
      <c r="DB31" s="189">
        <f t="shared" si="17"/>
        <v>9750000</v>
      </c>
      <c r="DC31" s="189">
        <f t="shared" si="18"/>
        <v>54947.730287920924</v>
      </c>
      <c r="DD31" s="189">
        <f t="shared" si="19"/>
        <v>37204.832310592901</v>
      </c>
      <c r="DE31" s="189">
        <f t="shared" si="20"/>
        <v>12750000</v>
      </c>
      <c r="DF31" s="189">
        <f t="shared" si="21"/>
        <v>34185.664058633549</v>
      </c>
      <c r="DG31" s="189">
        <f t="shared" si="22"/>
        <v>114145.66999172364</v>
      </c>
      <c r="DH31" s="189">
        <v>13296014.481199021</v>
      </c>
      <c r="DI31" s="189">
        <f>'Member position mfumo and excel'!F33</f>
        <v>13296014.470000001</v>
      </c>
      <c r="DJ31" s="189">
        <f t="shared" si="35"/>
        <v>1.1199019849300385E-2</v>
      </c>
      <c r="DK31" s="189">
        <f t="shared" si="25"/>
        <v>136520.27980947992</v>
      </c>
      <c r="DL31" s="189">
        <f t="shared" si="26"/>
        <v>38027.287179440813</v>
      </c>
      <c r="DM31" s="189"/>
      <c r="DN31" s="189"/>
      <c r="DO31" s="189"/>
      <c r="DP31" s="189"/>
      <c r="DQ31" s="189"/>
      <c r="DR31" s="189"/>
      <c r="DS31" s="186">
        <f t="shared" si="27"/>
        <v>13470562.048187941</v>
      </c>
      <c r="DT31" s="1" t="b">
        <f t="shared" si="31"/>
        <v>1</v>
      </c>
      <c r="DU31" s="247" t="str">
        <f t="shared" si="28"/>
        <v xml:space="preserve">Patrick Salum Kiani </v>
      </c>
      <c r="DV31" s="249">
        <f t="shared" si="29"/>
        <v>13470562.048187941</v>
      </c>
      <c r="DW31" s="248">
        <f t="shared" si="30"/>
        <v>720562.04818794131</v>
      </c>
      <c r="DZ31" s="1">
        <f t="shared" si="32"/>
        <v>2424248.6191942105</v>
      </c>
      <c r="EB31" s="1">
        <f t="shared" si="33"/>
        <v>3484596.2073061424</v>
      </c>
    </row>
    <row r="32" spans="1:132" s="1" customFormat="1" x14ac:dyDescent="0.35">
      <c r="A32" s="210" t="s">
        <v>262</v>
      </c>
      <c r="B32" s="7" t="s">
        <v>38</v>
      </c>
      <c r="C32" s="522" t="s">
        <v>1161</v>
      </c>
      <c r="D32" s="71">
        <v>45355</v>
      </c>
      <c r="E32" s="11">
        <v>50000</v>
      </c>
      <c r="F32" s="11" t="s">
        <v>29</v>
      </c>
      <c r="G32" s="70">
        <v>45355</v>
      </c>
      <c r="H32" s="7">
        <v>50000</v>
      </c>
      <c r="I32" s="556" t="s">
        <v>27</v>
      </c>
      <c r="J32" s="555">
        <v>45358</v>
      </c>
      <c r="K32" s="11">
        <v>120000</v>
      </c>
      <c r="L32" s="11" t="s">
        <v>26</v>
      </c>
      <c r="M32" s="71">
        <v>45650</v>
      </c>
      <c r="N32" s="11">
        <v>800000</v>
      </c>
      <c r="O32" s="11" t="s">
        <v>26</v>
      </c>
      <c r="P32" s="11"/>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f t="shared" si="34"/>
        <v>1020000</v>
      </c>
      <c r="BJ32" s="66">
        <f>E32</f>
        <v>50000</v>
      </c>
      <c r="BK32" s="66"/>
      <c r="BL32" s="3">
        <f>H32+K32+N32</f>
        <v>970000</v>
      </c>
      <c r="BM32" s="184">
        <f t="shared" si="0"/>
        <v>1020000</v>
      </c>
      <c r="BN32" s="711" t="b">
        <f t="shared" si="1"/>
        <v>1</v>
      </c>
      <c r="BO32" s="10"/>
      <c r="BP32" s="200">
        <v>0</v>
      </c>
      <c r="BQ32" s="3"/>
      <c r="BR32" s="200">
        <v>0</v>
      </c>
      <c r="BS32" s="205"/>
      <c r="BT32" s="200"/>
      <c r="BU32" s="3"/>
      <c r="BV32" s="3"/>
      <c r="BW32" s="71">
        <v>46071</v>
      </c>
      <c r="BX32" s="231">
        <v>200000</v>
      </c>
      <c r="BY32" s="71">
        <v>46108</v>
      </c>
      <c r="BZ32" s="3">
        <v>250000</v>
      </c>
      <c r="CA32" s="71">
        <v>46113</v>
      </c>
      <c r="CB32" s="3">
        <f>250000+500000+860893</f>
        <v>1610893</v>
      </c>
      <c r="CC32" s="3"/>
      <c r="CD32" s="3"/>
      <c r="CE32" s="71">
        <v>46188</v>
      </c>
      <c r="CF32" s="3">
        <f>500000+500000</f>
        <v>1000000</v>
      </c>
      <c r="CG32" s="3"/>
      <c r="CH32" s="3"/>
      <c r="CI32" s="3"/>
      <c r="CJ32" s="3"/>
      <c r="CK32" s="3"/>
      <c r="CL32" s="3"/>
      <c r="CM32" s="189">
        <f t="shared" si="2"/>
        <v>3060893</v>
      </c>
      <c r="CN32" s="189">
        <f t="shared" si="3"/>
        <v>4080893</v>
      </c>
      <c r="CO32" s="189">
        <f t="shared" si="4"/>
        <v>15163.243504254584</v>
      </c>
      <c r="CP32" s="190">
        <f t="shared" si="5"/>
        <v>1020000</v>
      </c>
      <c r="CQ32" s="189">
        <f t="shared" si="6"/>
        <v>13358.222305678944</v>
      </c>
      <c r="CR32" s="189">
        <f t="shared" si="7"/>
        <v>20373.726449844809</v>
      </c>
      <c r="CS32" s="189">
        <f t="shared" si="8"/>
        <v>1020000</v>
      </c>
      <c r="CT32" s="189">
        <f t="shared" si="9"/>
        <v>14508.372249533704</v>
      </c>
      <c r="CU32" s="189">
        <f t="shared" si="10"/>
        <v>1220000</v>
      </c>
      <c r="CV32" s="189">
        <f t="shared" si="11"/>
        <v>41422.786922017469</v>
      </c>
      <c r="CW32" s="189">
        <f t="shared" si="12"/>
        <v>1470000</v>
      </c>
      <c r="CX32" s="189">
        <f t="shared" si="13"/>
        <v>14280.784840400467</v>
      </c>
      <c r="CY32" s="189">
        <f t="shared" si="14"/>
        <v>3080893</v>
      </c>
      <c r="CZ32" s="388">
        <f t="shared" si="15"/>
        <v>4760.7544914140663</v>
      </c>
      <c r="DA32" s="189">
        <f t="shared" si="16"/>
        <v>12247.649861400565</v>
      </c>
      <c r="DB32" s="189">
        <f t="shared" si="17"/>
        <v>3080893</v>
      </c>
      <c r="DC32" s="189">
        <f t="shared" si="18"/>
        <v>17362.879754866008</v>
      </c>
      <c r="DD32" s="189">
        <f t="shared" si="19"/>
        <v>11756.318710962001</v>
      </c>
      <c r="DE32" s="189">
        <f t="shared" si="20"/>
        <v>4080893</v>
      </c>
      <c r="DF32" s="189">
        <f t="shared" si="21"/>
        <v>10941.806835861118</v>
      </c>
      <c r="DG32" s="189">
        <f t="shared" si="22"/>
        <v>36534.609070551771</v>
      </c>
      <c r="DH32" s="189">
        <v>4293604.1549967863</v>
      </c>
      <c r="DI32" s="189">
        <f>'Member position mfumo and excel'!F34</f>
        <v>4293604.1500000004</v>
      </c>
      <c r="DJ32" s="189">
        <f t="shared" si="35"/>
        <v>4.996785894036293E-3</v>
      </c>
      <c r="DK32" s="189">
        <f t="shared" si="25"/>
        <v>44085.695112634028</v>
      </c>
      <c r="DL32" s="189">
        <f t="shared" si="26"/>
        <v>12279.929332792004</v>
      </c>
      <c r="DM32" s="189"/>
      <c r="DN32" s="189"/>
      <c r="DO32" s="189"/>
      <c r="DP32" s="189"/>
      <c r="DQ32" s="189"/>
      <c r="DR32" s="189"/>
      <c r="DS32" s="186">
        <f t="shared" si="27"/>
        <v>4349969.7794422125</v>
      </c>
      <c r="DT32" s="1" t="b">
        <f t="shared" si="31"/>
        <v>1</v>
      </c>
      <c r="DU32" s="247" t="str">
        <f t="shared" si="28"/>
        <v>Stephen Nkurlu</v>
      </c>
      <c r="DV32" s="249">
        <f t="shared" si="29"/>
        <v>4349969.7794422125</v>
      </c>
      <c r="DW32" s="248">
        <f t="shared" si="30"/>
        <v>269076.77944221254</v>
      </c>
      <c r="DZ32" s="1">
        <f t="shared" si="32"/>
        <v>1083403.5645093122</v>
      </c>
      <c r="EB32" s="1">
        <f t="shared" si="33"/>
        <v>1324826.3514313297</v>
      </c>
    </row>
    <row r="33" spans="1:132" s="1" customFormat="1" x14ac:dyDescent="0.35">
      <c r="A33" s="210" t="s">
        <v>263</v>
      </c>
      <c r="B33" s="7" t="s">
        <v>87</v>
      </c>
      <c r="C33" s="72" t="s">
        <v>1162</v>
      </c>
      <c r="D33" s="71">
        <v>45652</v>
      </c>
      <c r="E33" s="11">
        <v>1000000</v>
      </c>
      <c r="F33" s="11" t="s">
        <v>27</v>
      </c>
      <c r="G33" s="71">
        <v>45729</v>
      </c>
      <c r="H33" s="11">
        <v>200000</v>
      </c>
      <c r="I33" s="545" t="s">
        <v>27</v>
      </c>
      <c r="J33" s="545"/>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f t="shared" si="34"/>
        <v>1200000</v>
      </c>
      <c r="BJ33" s="66"/>
      <c r="BK33" s="66"/>
      <c r="BL33" s="3">
        <f>E33+H33</f>
        <v>1200000</v>
      </c>
      <c r="BM33" s="184">
        <f t="shared" si="0"/>
        <v>1200000</v>
      </c>
      <c r="BN33" s="711" t="b">
        <f t="shared" si="1"/>
        <v>1</v>
      </c>
      <c r="BO33" s="10"/>
      <c r="BP33" s="200">
        <v>0</v>
      </c>
      <c r="BQ33" s="3"/>
      <c r="BR33" s="200">
        <v>0</v>
      </c>
      <c r="BS33" s="205"/>
      <c r="BT33" s="200"/>
      <c r="BU33" s="3"/>
      <c r="BV33" s="3"/>
      <c r="BW33" s="3"/>
      <c r="BX33" s="231"/>
      <c r="BY33" s="3"/>
      <c r="BZ33" s="3"/>
      <c r="CA33" s="3"/>
      <c r="CB33" s="3"/>
      <c r="CC33" s="71">
        <v>46155</v>
      </c>
      <c r="CD33" s="3">
        <v>2100000</v>
      </c>
      <c r="CE33" s="3"/>
      <c r="CF33" s="3"/>
      <c r="CG33" s="3"/>
      <c r="CH33" s="3"/>
      <c r="CI33" s="3"/>
      <c r="CJ33" s="3"/>
      <c r="CK33" s="3"/>
      <c r="CL33" s="3"/>
      <c r="CM33" s="189">
        <f t="shared" si="2"/>
        <v>2100000</v>
      </c>
      <c r="CN33" s="189">
        <f t="shared" si="3"/>
        <v>3300000</v>
      </c>
      <c r="CO33" s="189">
        <f t="shared" si="4"/>
        <v>17839.110005005394</v>
      </c>
      <c r="CP33" s="190">
        <f t="shared" si="5"/>
        <v>1200000</v>
      </c>
      <c r="CQ33" s="189">
        <f t="shared" si="6"/>
        <v>15715.555653739935</v>
      </c>
      <c r="CR33" s="189">
        <f t="shared" si="7"/>
        <v>23969.089940993894</v>
      </c>
      <c r="CS33" s="189">
        <f t="shared" si="8"/>
        <v>1200000</v>
      </c>
      <c r="CT33" s="189">
        <f t="shared" si="9"/>
        <v>17068.673234745533</v>
      </c>
      <c r="CU33" s="189">
        <f t="shared" si="10"/>
        <v>1200000</v>
      </c>
      <c r="CV33" s="189">
        <f t="shared" si="11"/>
        <v>40743.724841328658</v>
      </c>
      <c r="CW33" s="189">
        <f t="shared" si="12"/>
        <v>1200000</v>
      </c>
      <c r="CX33" s="189">
        <f t="shared" si="13"/>
        <v>11657.783543184054</v>
      </c>
      <c r="CY33" s="189">
        <f t="shared" si="14"/>
        <v>1200000</v>
      </c>
      <c r="CZ33" s="388">
        <f t="shared" si="15"/>
        <v>1854.3017851307657</v>
      </c>
      <c r="DA33" s="189">
        <f t="shared" si="16"/>
        <v>4770.4285198092493</v>
      </c>
      <c r="DB33" s="189">
        <f t="shared" si="17"/>
        <v>3300000</v>
      </c>
      <c r="DC33" s="189">
        <f t="shared" si="18"/>
        <v>18597.69332821939</v>
      </c>
      <c r="DD33" s="189">
        <f t="shared" si="19"/>
        <v>12592.404782046828</v>
      </c>
      <c r="DE33" s="189">
        <f t="shared" si="20"/>
        <v>3300000</v>
      </c>
      <c r="DF33" s="189">
        <f t="shared" si="21"/>
        <v>8848.0542269404486</v>
      </c>
      <c r="DG33" s="189">
        <f t="shared" si="22"/>
        <v>29543.585174328473</v>
      </c>
      <c r="DH33" s="189">
        <v>3503200.4050354729</v>
      </c>
      <c r="DI33" s="189">
        <f>'Member position mfumo and excel'!F35</f>
        <v>3503200.39</v>
      </c>
      <c r="DJ33" s="189">
        <f t="shared" si="35"/>
        <v>1.5035472810268402E-2</v>
      </c>
      <c r="DK33" s="189">
        <f t="shared" si="25"/>
        <v>35970.019452099557</v>
      </c>
      <c r="DL33" s="189">
        <f t="shared" si="26"/>
        <v>10019.333841565123</v>
      </c>
      <c r="DM33" s="189"/>
      <c r="DN33" s="189"/>
      <c r="DO33" s="189"/>
      <c r="DP33" s="189"/>
      <c r="DQ33" s="189"/>
      <c r="DR33" s="189"/>
      <c r="DS33" s="186">
        <f t="shared" si="27"/>
        <v>3549189.7583291377</v>
      </c>
      <c r="DT33" s="1" t="b">
        <f t="shared" si="31"/>
        <v>1</v>
      </c>
      <c r="DU33" s="247" t="str">
        <f t="shared" si="28"/>
        <v>Shabani Salim</v>
      </c>
      <c r="DV33" s="249">
        <f t="shared" si="29"/>
        <v>3549189.7583291377</v>
      </c>
      <c r="DW33" s="248">
        <f t="shared" si="30"/>
        <v>249189.75832913769</v>
      </c>
      <c r="DZ33" s="1">
        <f t="shared" si="32"/>
        <v>1274592.4288344849</v>
      </c>
      <c r="EB33" s="1">
        <f t="shared" si="33"/>
        <v>1315336.1536758135</v>
      </c>
    </row>
    <row r="34" spans="1:132" s="1" customFormat="1" x14ac:dyDescent="0.35">
      <c r="A34" s="210" t="s">
        <v>264</v>
      </c>
      <c r="B34" s="7" t="s">
        <v>1348</v>
      </c>
      <c r="C34" s="522" t="s">
        <v>1163</v>
      </c>
      <c r="D34" s="71">
        <v>45381</v>
      </c>
      <c r="E34" s="11">
        <v>50000</v>
      </c>
      <c r="F34" s="11" t="s">
        <v>27</v>
      </c>
      <c r="G34" s="71">
        <v>45383</v>
      </c>
      <c r="H34" s="11">
        <v>10000</v>
      </c>
      <c r="I34" s="545" t="s">
        <v>25</v>
      </c>
      <c r="J34" s="555">
        <v>45408</v>
      </c>
      <c r="K34" s="11">
        <v>10000</v>
      </c>
      <c r="L34" s="11" t="s">
        <v>25</v>
      </c>
      <c r="M34" s="71">
        <v>45529</v>
      </c>
      <c r="N34" s="11">
        <v>150000</v>
      </c>
      <c r="O34" s="11" t="s">
        <v>25</v>
      </c>
      <c r="P34" s="70">
        <v>45631</v>
      </c>
      <c r="Q34" s="10">
        <v>580000</v>
      </c>
      <c r="R34" s="11" t="s">
        <v>27</v>
      </c>
      <c r="S34" s="70">
        <v>45652</v>
      </c>
      <c r="T34" s="10">
        <v>200000</v>
      </c>
      <c r="U34" s="11" t="s">
        <v>27</v>
      </c>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f t="shared" si="34"/>
        <v>1000000</v>
      </c>
      <c r="BJ34" s="66">
        <f>H34+K34+N34</f>
        <v>170000</v>
      </c>
      <c r="BK34" s="66"/>
      <c r="BL34" s="3">
        <f>E34+Q34+T34</f>
        <v>830000</v>
      </c>
      <c r="BM34" s="184">
        <f t="shared" ref="BM34:BM65" si="36">BJ34+BL34+BK34</f>
        <v>1000000</v>
      </c>
      <c r="BN34" s="711" t="b">
        <f t="shared" ref="BN34:BN65" si="37">BM34=BI34</f>
        <v>1</v>
      </c>
      <c r="BO34" s="71">
        <v>45957</v>
      </c>
      <c r="BP34" s="200">
        <v>500000</v>
      </c>
      <c r="BQ34" s="3"/>
      <c r="BR34" s="200">
        <v>0</v>
      </c>
      <c r="BS34" s="205"/>
      <c r="BT34" s="200"/>
      <c r="BU34" s="71">
        <v>46052</v>
      </c>
      <c r="BV34" s="3">
        <v>100000</v>
      </c>
      <c r="BW34" s="3"/>
      <c r="BX34" s="231"/>
      <c r="BY34" s="71">
        <v>46107</v>
      </c>
      <c r="BZ34" s="3">
        <f>500000+800000</f>
        <v>1300000</v>
      </c>
      <c r="CA34" s="71">
        <v>46140</v>
      </c>
      <c r="CB34" s="3">
        <v>300000</v>
      </c>
      <c r="CC34" s="3"/>
      <c r="CD34" s="3"/>
      <c r="CE34" s="71">
        <v>46182</v>
      </c>
      <c r="CF34" s="3">
        <f>100000+200000</f>
        <v>300000</v>
      </c>
      <c r="CG34" s="71">
        <v>46228</v>
      </c>
      <c r="CH34" s="3">
        <v>500000</v>
      </c>
      <c r="CI34" s="3"/>
      <c r="CJ34" s="3"/>
      <c r="CK34" s="3"/>
      <c r="CL34" s="3"/>
      <c r="CM34" s="189">
        <f t="shared" ref="CM34:CM65" si="38">BP34+BR34+BT34+BV34+BX34+BZ34+CB34+CD34+CF34+CH34+CJ34+CL34</f>
        <v>3000000</v>
      </c>
      <c r="CN34" s="189">
        <f t="shared" ref="CN34:CN65" si="39">BM34+CM34</f>
        <v>4000000</v>
      </c>
      <c r="CO34" s="189">
        <f t="shared" ref="CO34:CO61" si="40">BM34/$BM$153*$BM$166</f>
        <v>14865.92500417116</v>
      </c>
      <c r="CP34" s="190">
        <f t="shared" ref="CP34:CP61" si="41">BM34+BP34+BR34</f>
        <v>1500000</v>
      </c>
      <c r="CQ34" s="189">
        <f t="shared" ref="CQ34:CQ65" si="42">CP34/$CP$153*$DS$172</f>
        <v>19644.44456717492</v>
      </c>
      <c r="CR34" s="189">
        <f t="shared" ref="CR34:CR61" si="43">CP34/$CP$153*$DS$173</f>
        <v>29961.362426242365</v>
      </c>
      <c r="CS34" s="189">
        <f t="shared" ref="CS34:CS61" si="44">BM34+BP34+BR34+BT34+BV34</f>
        <v>1600000</v>
      </c>
      <c r="CT34" s="189">
        <f t="shared" ref="CT34:CT65" si="45">CS34/$CS$153*$DS$174</f>
        <v>22758.230979660711</v>
      </c>
      <c r="CU34" s="189">
        <f t="shared" ref="CU34:CU65" si="46">CS34+BX34</f>
        <v>1600000</v>
      </c>
      <c r="CV34" s="189">
        <f t="shared" ref="CV34:CV65" si="47">CU34/$CU$153*$DS$175</f>
        <v>54324.966455104877</v>
      </c>
      <c r="CW34" s="189">
        <f t="shared" ref="CW34:CW65" si="48">CU34+BZ34</f>
        <v>2900000</v>
      </c>
      <c r="CX34" s="189">
        <f t="shared" ref="CX34:CX65" si="49">CW34/$CW$153*$DS$176</f>
        <v>28172.976896028129</v>
      </c>
      <c r="CY34" s="189">
        <f t="shared" ref="CY34:CY65" si="50">CW34+CB34</f>
        <v>3200000</v>
      </c>
      <c r="CZ34" s="388">
        <f t="shared" ref="CZ34:CZ65" si="51">CY34/$CY$153*750000</f>
        <v>4944.8047603487084</v>
      </c>
      <c r="DA34" s="189">
        <f t="shared" ref="DA34:DA65" si="52">CY34/$CY$153*$DS$185</f>
        <v>12721.142719491332</v>
      </c>
      <c r="DB34" s="189">
        <f t="shared" ref="DB34:DB65" si="53">CY34+CD34</f>
        <v>3200000</v>
      </c>
      <c r="DC34" s="189">
        <f t="shared" ref="DC34:DC65" si="54">DB34/$DB$153*$DC$154</f>
        <v>18034.126863727892</v>
      </c>
      <c r="DD34" s="189">
        <f t="shared" ref="DD34:DD65" si="55">DB34/$DB$153*$DD$154</f>
        <v>12210.816758348439</v>
      </c>
      <c r="DE34" s="189">
        <f t="shared" ref="DE34:DE65" si="56">DB34+CF34</f>
        <v>3500000</v>
      </c>
      <c r="DF34" s="189">
        <f t="shared" ref="DF34:DF65" si="57">DE34/$DE$153*$DF$154</f>
        <v>9384.2999376641128</v>
      </c>
      <c r="DG34" s="189">
        <f t="shared" ref="DG34:DG65" si="58">DE34/$DE$153*$DG$154</f>
        <v>31334.105487924138</v>
      </c>
      <c r="DH34" s="189">
        <v>4258357.2028558869</v>
      </c>
      <c r="DI34" s="189">
        <f>'Member position mfumo and excel'!F36</f>
        <v>4258357.21</v>
      </c>
      <c r="DJ34" s="189">
        <f t="shared" si="35"/>
        <v>-7.1441130712628365E-3</v>
      </c>
      <c r="DK34" s="189">
        <f t="shared" ref="DK34:DK65" si="59">DH34/$DH$153*$DK$154</f>
        <v>43723.787882801276</v>
      </c>
      <c r="DL34" s="189">
        <f t="shared" ref="DL34:DL65" si="60">DH34/$DH$153*$DL$154</f>
        <v>12179.121231751104</v>
      </c>
      <c r="DM34" s="189"/>
      <c r="DN34" s="189"/>
      <c r="DO34" s="189"/>
      <c r="DP34" s="189"/>
      <c r="DQ34" s="189"/>
      <c r="DR34" s="189"/>
      <c r="DS34" s="186">
        <f t="shared" ref="DS34:DS65" si="61">CN34+CO34+CQ34+CR34+CT34+CV34+CX34+CZ34+DA34+DC34+DD34+DF34+DG34+DK34+DL34+DN34+DO34+DQ34+DR34</f>
        <v>4314260.1119704396</v>
      </c>
      <c r="DT34" s="1" t="b">
        <f t="shared" si="31"/>
        <v>1</v>
      </c>
      <c r="DU34" s="247" t="str">
        <f t="shared" ref="DU34:DU65" si="62">B34</f>
        <v xml:space="preserve">Frederick Peter Ndossi </v>
      </c>
      <c r="DV34" s="249">
        <f t="shared" ref="DV34:DV65" si="63">DS34</f>
        <v>4314260.1119704396</v>
      </c>
      <c r="DW34" s="248">
        <f t="shared" ref="DW34:DW65" si="64">DS34-CN34</f>
        <v>314260.11197043955</v>
      </c>
      <c r="DZ34" s="1">
        <f t="shared" si="32"/>
        <v>1587229.9629772492</v>
      </c>
      <c r="EB34" s="1">
        <f t="shared" si="33"/>
        <v>1741554.9294323539</v>
      </c>
    </row>
    <row r="35" spans="1:132" s="1" customFormat="1" x14ac:dyDescent="0.35">
      <c r="A35" s="210" t="s">
        <v>265</v>
      </c>
      <c r="B35" s="7" t="s">
        <v>1008</v>
      </c>
      <c r="C35" s="522" t="s">
        <v>1164</v>
      </c>
      <c r="D35" s="71">
        <v>45360</v>
      </c>
      <c r="E35" s="11">
        <v>90000</v>
      </c>
      <c r="F35" s="11" t="s">
        <v>27</v>
      </c>
      <c r="G35" s="71">
        <v>45360</v>
      </c>
      <c r="H35" s="11">
        <v>60000</v>
      </c>
      <c r="I35" s="545" t="s">
        <v>29</v>
      </c>
      <c r="J35" s="555">
        <v>45530</v>
      </c>
      <c r="K35" s="11">
        <v>600000</v>
      </c>
      <c r="L35" s="11" t="s">
        <v>27</v>
      </c>
      <c r="M35" s="71">
        <v>45530</v>
      </c>
      <c r="N35" s="11">
        <v>200000</v>
      </c>
      <c r="O35" s="11" t="s">
        <v>27</v>
      </c>
      <c r="P35" s="71">
        <v>45657</v>
      </c>
      <c r="Q35" s="11">
        <v>50000</v>
      </c>
      <c r="R35" s="11" t="s">
        <v>27</v>
      </c>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f t="shared" si="34"/>
        <v>1000000</v>
      </c>
      <c r="BJ35" s="66">
        <f>H35</f>
        <v>60000</v>
      </c>
      <c r="BK35" s="66"/>
      <c r="BL35" s="3">
        <f>E35+K35+N35+Q35</f>
        <v>940000</v>
      </c>
      <c r="BM35" s="184">
        <f t="shared" si="36"/>
        <v>1000000</v>
      </c>
      <c r="BN35" s="711" t="b">
        <f t="shared" si="37"/>
        <v>1</v>
      </c>
      <c r="BO35" s="10"/>
      <c r="BP35" s="200">
        <v>0</v>
      </c>
      <c r="BQ35" s="3"/>
      <c r="BR35" s="200">
        <v>0</v>
      </c>
      <c r="BS35" s="205"/>
      <c r="BT35" s="200"/>
      <c r="BU35" s="3"/>
      <c r="BV35" s="3"/>
      <c r="BW35" s="3"/>
      <c r="BX35" s="231"/>
      <c r="BY35" s="3"/>
      <c r="BZ35" s="3"/>
      <c r="CA35" s="71">
        <v>46137</v>
      </c>
      <c r="CB35" s="3">
        <v>1000000</v>
      </c>
      <c r="CC35" s="71">
        <v>46172</v>
      </c>
      <c r="CD35" s="3">
        <v>1200000</v>
      </c>
      <c r="CE35" s="3"/>
      <c r="CF35" s="3"/>
      <c r="CG35" s="71">
        <v>46204</v>
      </c>
      <c r="CH35" s="3">
        <v>200000</v>
      </c>
      <c r="CI35" s="3"/>
      <c r="CJ35" s="3"/>
      <c r="CK35" s="3"/>
      <c r="CL35" s="3"/>
      <c r="CM35" s="189">
        <f t="shared" si="38"/>
        <v>2400000</v>
      </c>
      <c r="CN35" s="189">
        <f t="shared" si="39"/>
        <v>3400000</v>
      </c>
      <c r="CO35" s="189">
        <f t="shared" si="40"/>
        <v>14865.92500417116</v>
      </c>
      <c r="CP35" s="190">
        <f t="shared" si="41"/>
        <v>1000000</v>
      </c>
      <c r="CQ35" s="189">
        <f t="shared" si="42"/>
        <v>13096.296378116613</v>
      </c>
      <c r="CR35" s="189">
        <f t="shared" si="43"/>
        <v>19974.24161749491</v>
      </c>
      <c r="CS35" s="189">
        <f t="shared" si="44"/>
        <v>1000000</v>
      </c>
      <c r="CT35" s="189">
        <f t="shared" si="45"/>
        <v>14223.894362287945</v>
      </c>
      <c r="CU35" s="189">
        <f t="shared" si="46"/>
        <v>1000000</v>
      </c>
      <c r="CV35" s="189">
        <f t="shared" si="47"/>
        <v>33953.104034440548</v>
      </c>
      <c r="CW35" s="189">
        <f t="shared" si="48"/>
        <v>1000000</v>
      </c>
      <c r="CX35" s="189">
        <f t="shared" si="49"/>
        <v>9714.8196193200456</v>
      </c>
      <c r="CY35" s="189">
        <f t="shared" si="50"/>
        <v>2000000</v>
      </c>
      <c r="CZ35" s="388">
        <f t="shared" si="51"/>
        <v>3090.502975217943</v>
      </c>
      <c r="DA35" s="189">
        <f t="shared" si="52"/>
        <v>7950.7141996820828</v>
      </c>
      <c r="DB35" s="189">
        <f t="shared" si="53"/>
        <v>3200000</v>
      </c>
      <c r="DC35" s="189">
        <f t="shared" si="54"/>
        <v>18034.126863727892</v>
      </c>
      <c r="DD35" s="189">
        <f t="shared" si="55"/>
        <v>12210.816758348439</v>
      </c>
      <c r="DE35" s="189">
        <f t="shared" si="56"/>
        <v>3200000</v>
      </c>
      <c r="DF35" s="189">
        <f t="shared" si="57"/>
        <v>8579.9313715786157</v>
      </c>
      <c r="DG35" s="189">
        <f t="shared" si="58"/>
        <v>28648.325017530638</v>
      </c>
      <c r="DH35" s="189">
        <v>3584342.6982019166</v>
      </c>
      <c r="DI35" s="189">
        <f>'Member position mfumo and excel'!F37</f>
        <v>3584342.7</v>
      </c>
      <c r="DJ35" s="189">
        <f t="shared" si="35"/>
        <v>-1.7980835400521755E-3</v>
      </c>
      <c r="DK35" s="189">
        <f t="shared" si="59"/>
        <v>36803.169008542187</v>
      </c>
      <c r="DL35" s="189">
        <f t="shared" si="60"/>
        <v>10251.404985064697</v>
      </c>
      <c r="DM35" s="189"/>
      <c r="DN35" s="189"/>
      <c r="DO35" s="189"/>
      <c r="DP35" s="189"/>
      <c r="DQ35" s="189"/>
      <c r="DR35" s="189"/>
      <c r="DS35" s="186">
        <f t="shared" si="61"/>
        <v>3631397.2721955236</v>
      </c>
      <c r="DT35" s="1" t="b">
        <f t="shared" si="31"/>
        <v>1</v>
      </c>
      <c r="DU35" s="247" t="str">
        <f t="shared" si="62"/>
        <v>Abraham Alex Assenga</v>
      </c>
      <c r="DV35" s="249">
        <f t="shared" si="63"/>
        <v>3631397.2721955236</v>
      </c>
      <c r="DW35" s="248">
        <f t="shared" si="64"/>
        <v>231397.2721955236</v>
      </c>
      <c r="DZ35" s="1">
        <f t="shared" si="32"/>
        <v>1062160.3573620706</v>
      </c>
      <c r="EB35" s="1">
        <f t="shared" si="33"/>
        <v>1096113.4613965112</v>
      </c>
    </row>
    <row r="36" spans="1:132" s="1" customFormat="1" x14ac:dyDescent="0.35">
      <c r="A36" s="210" t="s">
        <v>266</v>
      </c>
      <c r="B36" s="7" t="s">
        <v>63</v>
      </c>
      <c r="C36" s="522" t="s">
        <v>1165</v>
      </c>
      <c r="D36" s="71">
        <v>45363</v>
      </c>
      <c r="E36" s="11">
        <v>50000</v>
      </c>
      <c r="F36" s="11" t="s">
        <v>29</v>
      </c>
      <c r="G36" s="71">
        <v>45382</v>
      </c>
      <c r="H36" s="11">
        <v>100000</v>
      </c>
      <c r="I36" s="545" t="s">
        <v>27</v>
      </c>
      <c r="J36" s="555">
        <v>45487</v>
      </c>
      <c r="K36" s="11">
        <v>100000</v>
      </c>
      <c r="L36" s="11" t="s">
        <v>27</v>
      </c>
      <c r="M36" s="71">
        <v>45652</v>
      </c>
      <c r="N36" s="11">
        <v>200000</v>
      </c>
      <c r="O36" s="11" t="s">
        <v>27</v>
      </c>
      <c r="P36" s="71">
        <v>45656</v>
      </c>
      <c r="Q36" s="11">
        <v>550000</v>
      </c>
      <c r="R36" s="11" t="s">
        <v>27</v>
      </c>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f t="shared" si="34"/>
        <v>1000000</v>
      </c>
      <c r="BJ36" s="66">
        <f>E36</f>
        <v>50000</v>
      </c>
      <c r="BK36" s="66"/>
      <c r="BL36" s="3">
        <f>H36+K36+N36+Q36</f>
        <v>950000</v>
      </c>
      <c r="BM36" s="184">
        <f t="shared" si="36"/>
        <v>1000000</v>
      </c>
      <c r="BN36" s="711" t="b">
        <f t="shared" si="37"/>
        <v>1</v>
      </c>
      <c r="BO36" s="10"/>
      <c r="BP36" s="200">
        <v>0</v>
      </c>
      <c r="BQ36" s="3"/>
      <c r="BR36" s="200">
        <v>0</v>
      </c>
      <c r="BS36" s="205"/>
      <c r="BT36" s="200"/>
      <c r="BU36" s="71">
        <v>46038</v>
      </c>
      <c r="BV36" s="204">
        <f>500000+300000</f>
        <v>800000</v>
      </c>
      <c r="BW36" s="3"/>
      <c r="BX36" s="231"/>
      <c r="BY36" s="71">
        <v>46089</v>
      </c>
      <c r="BZ36" s="3">
        <f>1070000+200000</f>
        <v>1270000</v>
      </c>
      <c r="CA36" s="3"/>
      <c r="CB36" s="3"/>
      <c r="CC36" s="3"/>
      <c r="CD36" s="3"/>
      <c r="CE36" s="71">
        <v>46182</v>
      </c>
      <c r="CF36" s="3">
        <v>200000</v>
      </c>
      <c r="CG36" s="3"/>
      <c r="CH36" s="3"/>
      <c r="CI36" s="3"/>
      <c r="CJ36" s="3"/>
      <c r="CK36" s="3"/>
      <c r="CL36" s="3"/>
      <c r="CM36" s="189">
        <f t="shared" si="38"/>
        <v>2270000</v>
      </c>
      <c r="CN36" s="189">
        <f t="shared" si="39"/>
        <v>3270000</v>
      </c>
      <c r="CO36" s="189">
        <f t="shared" si="40"/>
        <v>14865.92500417116</v>
      </c>
      <c r="CP36" s="190">
        <f t="shared" si="41"/>
        <v>1000000</v>
      </c>
      <c r="CQ36" s="189">
        <f t="shared" si="42"/>
        <v>13096.296378116613</v>
      </c>
      <c r="CR36" s="189">
        <f t="shared" si="43"/>
        <v>19974.24161749491</v>
      </c>
      <c r="CS36" s="189">
        <f t="shared" si="44"/>
        <v>1800000</v>
      </c>
      <c r="CT36" s="189">
        <f t="shared" si="45"/>
        <v>25603.009852118299</v>
      </c>
      <c r="CU36" s="189">
        <f t="shared" si="46"/>
        <v>1800000</v>
      </c>
      <c r="CV36" s="189">
        <f t="shared" si="47"/>
        <v>61115.587261992987</v>
      </c>
      <c r="CW36" s="189">
        <f t="shared" si="48"/>
        <v>3070000</v>
      </c>
      <c r="CX36" s="189">
        <f t="shared" si="49"/>
        <v>29824.496231312536</v>
      </c>
      <c r="CY36" s="189">
        <f t="shared" si="50"/>
        <v>3070000</v>
      </c>
      <c r="CZ36" s="388">
        <f t="shared" si="51"/>
        <v>4743.9220669595416</v>
      </c>
      <c r="DA36" s="189">
        <f t="shared" si="52"/>
        <v>12204.346296511996</v>
      </c>
      <c r="DB36" s="189">
        <f t="shared" si="53"/>
        <v>3070000</v>
      </c>
      <c r="DC36" s="189">
        <f t="shared" si="54"/>
        <v>17301.490459888944</v>
      </c>
      <c r="DD36" s="189">
        <f t="shared" si="55"/>
        <v>11714.752327540533</v>
      </c>
      <c r="DE36" s="189">
        <f t="shared" si="56"/>
        <v>3270000</v>
      </c>
      <c r="DF36" s="189">
        <f t="shared" si="57"/>
        <v>8767.6173703318982</v>
      </c>
      <c r="DG36" s="189">
        <f t="shared" si="58"/>
        <v>29275.007127289122</v>
      </c>
      <c r="DH36" s="189">
        <v>3518486.6919937287</v>
      </c>
      <c r="DI36" s="189">
        <f>'Member position mfumo and excel'!F38</f>
        <v>3518486.71</v>
      </c>
      <c r="DJ36" s="189">
        <f t="shared" si="35"/>
        <v>-1.8006271217018366E-2</v>
      </c>
      <c r="DK36" s="189">
        <f t="shared" si="59"/>
        <v>36126.975371163877</v>
      </c>
      <c r="DL36" s="189">
        <f t="shared" si="60"/>
        <v>10063.053410680433</v>
      </c>
      <c r="DM36" s="189"/>
      <c r="DN36" s="189"/>
      <c r="DO36" s="189"/>
      <c r="DP36" s="189"/>
      <c r="DQ36" s="189"/>
      <c r="DR36" s="189"/>
      <c r="DS36" s="186">
        <f t="shared" si="61"/>
        <v>3564676.720775573</v>
      </c>
      <c r="DT36" s="1" t="b">
        <f t="shared" si="31"/>
        <v>1</v>
      </c>
      <c r="DU36" s="247" t="str">
        <f t="shared" si="62"/>
        <v xml:space="preserve">Best Magoma </v>
      </c>
      <c r="DV36" s="249">
        <f t="shared" si="63"/>
        <v>3564676.720775573</v>
      </c>
      <c r="DW36" s="248">
        <f t="shared" si="64"/>
        <v>294676.72077557305</v>
      </c>
      <c r="DZ36" s="1">
        <f t="shared" si="32"/>
        <v>1073539.4728519011</v>
      </c>
      <c r="EB36" s="1">
        <f t="shared" si="33"/>
        <v>1934655.0601138941</v>
      </c>
    </row>
    <row r="37" spans="1:132" s="1" customFormat="1" x14ac:dyDescent="0.35">
      <c r="A37" s="210" t="s">
        <v>267</v>
      </c>
      <c r="B37" s="7" t="s">
        <v>268</v>
      </c>
      <c r="C37" s="522" t="s">
        <v>1166</v>
      </c>
      <c r="D37" s="71">
        <v>45361</v>
      </c>
      <c r="E37" s="11">
        <v>50000</v>
      </c>
      <c r="F37" s="11" t="s">
        <v>27</v>
      </c>
      <c r="G37" s="71">
        <v>45361</v>
      </c>
      <c r="H37" s="11">
        <v>50000</v>
      </c>
      <c r="I37" s="545" t="s">
        <v>25</v>
      </c>
      <c r="J37" s="555">
        <v>45669</v>
      </c>
      <c r="K37" s="11">
        <v>1000000</v>
      </c>
      <c r="L37" s="11" t="s">
        <v>27</v>
      </c>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f t="shared" si="34"/>
        <v>1100000</v>
      </c>
      <c r="BJ37" s="66">
        <f>H37</f>
        <v>50000</v>
      </c>
      <c r="BK37" s="66"/>
      <c r="BL37" s="3">
        <f>E37+K37</f>
        <v>1050000</v>
      </c>
      <c r="BM37" s="184">
        <f t="shared" si="36"/>
        <v>1100000</v>
      </c>
      <c r="BN37" s="711" t="b">
        <f t="shared" si="37"/>
        <v>1</v>
      </c>
      <c r="BO37" s="10"/>
      <c r="BP37" s="200">
        <v>0</v>
      </c>
      <c r="BQ37" s="3"/>
      <c r="BR37" s="200">
        <v>0</v>
      </c>
      <c r="BS37" s="205"/>
      <c r="BT37" s="200"/>
      <c r="BU37" s="3"/>
      <c r="BV37" s="3"/>
      <c r="BW37" s="3"/>
      <c r="BX37" s="231"/>
      <c r="BY37" s="3"/>
      <c r="BZ37" s="3"/>
      <c r="CA37" s="71">
        <v>46128</v>
      </c>
      <c r="CB37" s="3">
        <f>1800000+100000</f>
        <v>1900000</v>
      </c>
      <c r="CC37" s="71">
        <v>46154</v>
      </c>
      <c r="CD37" s="3">
        <v>500000</v>
      </c>
      <c r="CE37" s="3"/>
      <c r="CF37" s="3"/>
      <c r="CG37" s="3"/>
      <c r="CH37" s="3"/>
      <c r="CI37" s="3"/>
      <c r="CJ37" s="3"/>
      <c r="CK37" s="3"/>
      <c r="CL37" s="3"/>
      <c r="CM37" s="189">
        <f t="shared" si="38"/>
        <v>2400000</v>
      </c>
      <c r="CN37" s="189">
        <f t="shared" si="39"/>
        <v>3500000</v>
      </c>
      <c r="CO37" s="189">
        <f t="shared" si="40"/>
        <v>16352.517504588277</v>
      </c>
      <c r="CP37" s="190">
        <f t="shared" si="41"/>
        <v>1100000</v>
      </c>
      <c r="CQ37" s="189">
        <f t="shared" si="42"/>
        <v>14405.926015928275</v>
      </c>
      <c r="CR37" s="189">
        <f t="shared" si="43"/>
        <v>21971.665779244402</v>
      </c>
      <c r="CS37" s="189">
        <f t="shared" si="44"/>
        <v>1100000</v>
      </c>
      <c r="CT37" s="189">
        <f t="shared" si="45"/>
        <v>15646.283798516739</v>
      </c>
      <c r="CU37" s="189">
        <f t="shared" si="46"/>
        <v>1100000</v>
      </c>
      <c r="CV37" s="189">
        <f t="shared" si="47"/>
        <v>37348.414437884603</v>
      </c>
      <c r="CW37" s="189">
        <f t="shared" si="48"/>
        <v>1100000</v>
      </c>
      <c r="CX37" s="189">
        <f t="shared" si="49"/>
        <v>10686.301581252048</v>
      </c>
      <c r="CY37" s="189">
        <f t="shared" si="50"/>
        <v>3000000</v>
      </c>
      <c r="CZ37" s="388">
        <f t="shared" si="51"/>
        <v>4635.7544628269143</v>
      </c>
      <c r="DA37" s="189">
        <f t="shared" si="52"/>
        <v>11926.071299523122</v>
      </c>
      <c r="DB37" s="189">
        <f t="shared" si="53"/>
        <v>3500000</v>
      </c>
      <c r="DC37" s="189">
        <f t="shared" si="54"/>
        <v>19724.826257202381</v>
      </c>
      <c r="DD37" s="189">
        <f t="shared" si="55"/>
        <v>13355.580829443606</v>
      </c>
      <c r="DE37" s="189">
        <f t="shared" si="56"/>
        <v>3500000</v>
      </c>
      <c r="DF37" s="189">
        <f t="shared" si="57"/>
        <v>9384.2999376641128</v>
      </c>
      <c r="DG37" s="189">
        <f t="shared" si="58"/>
        <v>31334.105487924138</v>
      </c>
      <c r="DH37" s="189">
        <v>3706771.7473919983</v>
      </c>
      <c r="DI37" s="189">
        <f>'Member position mfumo and excel'!F39</f>
        <v>3706771.75</v>
      </c>
      <c r="DJ37" s="189">
        <f t="shared" si="35"/>
        <v>-2.6080016978085041E-3</v>
      </c>
      <c r="DK37" s="189">
        <f t="shared" si="59"/>
        <v>38060.241048879747</v>
      </c>
      <c r="DL37" s="189">
        <f t="shared" si="60"/>
        <v>10601.558380222346</v>
      </c>
      <c r="DM37" s="189"/>
      <c r="DN37" s="189"/>
      <c r="DO37" s="189"/>
      <c r="DP37" s="189"/>
      <c r="DQ37" s="189"/>
      <c r="DR37" s="189"/>
      <c r="DS37" s="186">
        <f t="shared" si="61"/>
        <v>3755433.5468211006</v>
      </c>
      <c r="DT37" s="1" t="b">
        <f t="shared" si="31"/>
        <v>1</v>
      </c>
      <c r="DU37" s="247" t="str">
        <f t="shared" si="62"/>
        <v xml:space="preserve">Bakari Mchila Hemedi </v>
      </c>
      <c r="DV37" s="249">
        <f t="shared" si="63"/>
        <v>3755433.5468211006</v>
      </c>
      <c r="DW37" s="248">
        <f t="shared" si="64"/>
        <v>255433.54682110064</v>
      </c>
      <c r="DZ37" s="1">
        <f t="shared" si="32"/>
        <v>1168376.3930982777</v>
      </c>
      <c r="EB37" s="1">
        <f t="shared" si="33"/>
        <v>1205724.8075361624</v>
      </c>
    </row>
    <row r="38" spans="1:132" s="1" customFormat="1" x14ac:dyDescent="0.35">
      <c r="A38" s="210" t="s">
        <v>269</v>
      </c>
      <c r="B38" s="7" t="s">
        <v>46</v>
      </c>
      <c r="C38" s="522" t="s">
        <v>1167</v>
      </c>
      <c r="D38" s="71">
        <v>45357</v>
      </c>
      <c r="E38" s="11">
        <v>250000</v>
      </c>
      <c r="F38" s="11" t="s">
        <v>27</v>
      </c>
      <c r="G38" s="71">
        <v>45365</v>
      </c>
      <c r="H38" s="11">
        <v>100000</v>
      </c>
      <c r="I38" s="545" t="s">
        <v>25</v>
      </c>
      <c r="J38" s="555">
        <v>45530</v>
      </c>
      <c r="K38" s="11">
        <v>230000</v>
      </c>
      <c r="L38" s="11" t="s">
        <v>27</v>
      </c>
      <c r="M38" s="71">
        <v>45687</v>
      </c>
      <c r="N38" s="11">
        <v>420000</v>
      </c>
      <c r="O38" s="11" t="s">
        <v>27</v>
      </c>
      <c r="P38" s="11"/>
      <c r="Q38" s="10"/>
      <c r="R38" s="11"/>
      <c r="S38" s="11"/>
      <c r="T38" s="11"/>
      <c r="U38" s="11"/>
      <c r="V38" s="11"/>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f t="shared" si="34"/>
        <v>1000000</v>
      </c>
      <c r="BJ38" s="66">
        <f>H38</f>
        <v>100000</v>
      </c>
      <c r="BK38" s="66"/>
      <c r="BL38" s="3">
        <f>E38+K38+N38</f>
        <v>900000</v>
      </c>
      <c r="BM38" s="184">
        <f t="shared" si="36"/>
        <v>1000000</v>
      </c>
      <c r="BN38" s="1" t="b">
        <f t="shared" si="37"/>
        <v>1</v>
      </c>
      <c r="BO38" s="10"/>
      <c r="BP38" s="200">
        <v>0</v>
      </c>
      <c r="BQ38" s="71">
        <v>45989</v>
      </c>
      <c r="BR38" s="200">
        <v>200000</v>
      </c>
      <c r="BS38" s="206">
        <v>46001</v>
      </c>
      <c r="BT38" s="200">
        <v>400000</v>
      </c>
      <c r="BU38" s="71">
        <v>46053</v>
      </c>
      <c r="BV38" s="3">
        <v>500000</v>
      </c>
      <c r="BW38" s="71">
        <v>46058</v>
      </c>
      <c r="BX38" s="232">
        <v>1000000</v>
      </c>
      <c r="BY38" s="71">
        <v>46090</v>
      </c>
      <c r="BZ38" s="3">
        <v>2000000</v>
      </c>
      <c r="CA38" s="71">
        <v>46123</v>
      </c>
      <c r="CB38" s="3">
        <v>1000000</v>
      </c>
      <c r="CC38" s="3"/>
      <c r="CD38" s="3"/>
      <c r="CE38" s="71">
        <v>46192</v>
      </c>
      <c r="CF38" s="3">
        <f>6000000+4000000+2000000</f>
        <v>12000000</v>
      </c>
      <c r="CG38" s="3"/>
      <c r="CH38" s="3"/>
      <c r="CI38" s="3"/>
      <c r="CJ38" s="3"/>
      <c r="CK38" s="3"/>
      <c r="CL38" s="3"/>
      <c r="CM38" s="189">
        <f t="shared" si="38"/>
        <v>17100000</v>
      </c>
      <c r="CN38" s="189">
        <f t="shared" si="39"/>
        <v>18100000</v>
      </c>
      <c r="CO38" s="189">
        <f t="shared" si="40"/>
        <v>14865.92500417116</v>
      </c>
      <c r="CP38" s="190">
        <f t="shared" si="41"/>
        <v>1200000</v>
      </c>
      <c r="CQ38" s="189">
        <f t="shared" si="42"/>
        <v>15715.555653739935</v>
      </c>
      <c r="CR38" s="189">
        <f t="shared" si="43"/>
        <v>23969.089940993894</v>
      </c>
      <c r="CS38" s="189">
        <f t="shared" si="44"/>
        <v>2100000</v>
      </c>
      <c r="CT38" s="189">
        <f t="shared" si="45"/>
        <v>29870.178160804684</v>
      </c>
      <c r="CU38" s="189">
        <f t="shared" si="46"/>
        <v>3100000</v>
      </c>
      <c r="CV38" s="189">
        <f t="shared" si="47"/>
        <v>105254.62250676569</v>
      </c>
      <c r="CW38" s="189">
        <f t="shared" si="48"/>
        <v>5100000</v>
      </c>
      <c r="CX38" s="189">
        <f t="shared" si="49"/>
        <v>49545.580058532236</v>
      </c>
      <c r="CY38" s="189">
        <f t="shared" si="50"/>
        <v>6100000</v>
      </c>
      <c r="CZ38" s="388">
        <f t="shared" si="51"/>
        <v>9426.0340744147252</v>
      </c>
      <c r="DA38" s="189">
        <f t="shared" si="52"/>
        <v>24249.678309030351</v>
      </c>
      <c r="DB38" s="189">
        <f t="shared" si="53"/>
        <v>6100000</v>
      </c>
      <c r="DC38" s="189">
        <f t="shared" si="54"/>
        <v>34377.554333981294</v>
      </c>
      <c r="DD38" s="189">
        <f t="shared" si="55"/>
        <v>23276.869445601711</v>
      </c>
      <c r="DE38" s="189">
        <f t="shared" si="56"/>
        <v>18100000</v>
      </c>
      <c r="DF38" s="189">
        <f t="shared" si="57"/>
        <v>48530.236820491547</v>
      </c>
      <c r="DG38" s="189">
        <f t="shared" si="58"/>
        <v>162042.08838040766</v>
      </c>
      <c r="DH38" s="189">
        <v>18641123.412688941</v>
      </c>
      <c r="DI38" s="189">
        <f>'Member position mfumo and excel'!F40</f>
        <v>18641123.420000002</v>
      </c>
      <c r="DJ38" s="189">
        <f t="shared" si="35"/>
        <v>-7.3110610246658325E-3</v>
      </c>
      <c r="DK38" s="189">
        <f t="shared" si="59"/>
        <v>191402.57314414764</v>
      </c>
      <c r="DL38" s="189">
        <f t="shared" si="60"/>
        <v>53314.574406043736</v>
      </c>
      <c r="DM38" s="189"/>
      <c r="DN38" s="189"/>
      <c r="DO38" s="189"/>
      <c r="DP38" s="189"/>
      <c r="DQ38" s="189"/>
      <c r="DR38" s="189"/>
      <c r="DS38" s="186">
        <f t="shared" si="61"/>
        <v>18885840.560239132</v>
      </c>
      <c r="DT38" s="1" t="b">
        <f t="shared" si="31"/>
        <v>1</v>
      </c>
      <c r="DU38" s="247" t="str">
        <f t="shared" si="62"/>
        <v>Elibariki Mkumbo</v>
      </c>
      <c r="DV38" s="249">
        <f t="shared" si="63"/>
        <v>18885840.560239132</v>
      </c>
      <c r="DW38" s="248">
        <f t="shared" si="64"/>
        <v>785840.56023913249</v>
      </c>
      <c r="DZ38" s="1">
        <f t="shared" si="32"/>
        <v>1684420.7487597098</v>
      </c>
      <c r="EB38" s="1">
        <f t="shared" si="33"/>
        <v>3289675.3712664754</v>
      </c>
    </row>
    <row r="39" spans="1:132" s="1" customFormat="1" x14ac:dyDescent="0.35">
      <c r="A39" s="210" t="s">
        <v>270</v>
      </c>
      <c r="B39" s="7" t="s">
        <v>271</v>
      </c>
      <c r="C39" s="522" t="s">
        <v>1168</v>
      </c>
      <c r="D39" s="71">
        <v>45382</v>
      </c>
      <c r="E39" s="11">
        <v>100000</v>
      </c>
      <c r="F39" s="11" t="s">
        <v>29</v>
      </c>
      <c r="G39" s="71">
        <v>45382</v>
      </c>
      <c r="H39" s="11">
        <v>100000</v>
      </c>
      <c r="I39" s="545" t="s">
        <v>27</v>
      </c>
      <c r="J39" s="555">
        <v>45693</v>
      </c>
      <c r="K39" s="11">
        <v>500000</v>
      </c>
      <c r="L39" s="11" t="s">
        <v>27</v>
      </c>
      <c r="M39" s="71">
        <v>45881</v>
      </c>
      <c r="N39" s="11">
        <v>300000</v>
      </c>
      <c r="O39" s="11" t="s">
        <v>30</v>
      </c>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f t="shared" si="34"/>
        <v>1000000</v>
      </c>
      <c r="BJ39" s="66">
        <f>E39</f>
        <v>100000</v>
      </c>
      <c r="BK39" s="66">
        <v>300000</v>
      </c>
      <c r="BL39" s="3">
        <f>H39+K39</f>
        <v>600000</v>
      </c>
      <c r="BM39" s="184">
        <f t="shared" si="36"/>
        <v>1000000</v>
      </c>
      <c r="BN39" s="1" t="b">
        <f t="shared" si="37"/>
        <v>1</v>
      </c>
      <c r="BO39" s="10"/>
      <c r="BP39" s="200">
        <v>0</v>
      </c>
      <c r="BQ39" s="3"/>
      <c r="BR39" s="200">
        <v>0</v>
      </c>
      <c r="BS39" s="205"/>
      <c r="BT39" s="200"/>
      <c r="BU39" s="71">
        <v>46045</v>
      </c>
      <c r="BV39" s="3">
        <v>752064</v>
      </c>
      <c r="BW39" s="71"/>
      <c r="BX39" s="231"/>
      <c r="BY39" s="71">
        <v>46082</v>
      </c>
      <c r="BZ39" s="231">
        <f>500000+650000+1000000</f>
        <v>2150000</v>
      </c>
      <c r="CA39" s="71">
        <v>46113</v>
      </c>
      <c r="CB39" s="3">
        <f>608288+538582</f>
        <v>1146870</v>
      </c>
      <c r="CC39" s="71"/>
      <c r="CD39" s="3"/>
      <c r="CE39" s="71">
        <v>46174</v>
      </c>
      <c r="CF39" s="189">
        <f>1200000</f>
        <v>1200000</v>
      </c>
      <c r="CG39" s="71">
        <v>46204</v>
      </c>
      <c r="CH39" s="3">
        <v>1752610</v>
      </c>
      <c r="CI39" s="3"/>
      <c r="CJ39" s="3"/>
      <c r="CK39" s="3"/>
      <c r="CL39" s="3"/>
      <c r="CM39" s="189">
        <f t="shared" si="38"/>
        <v>7001544</v>
      </c>
      <c r="CN39" s="189">
        <f t="shared" si="39"/>
        <v>8001544</v>
      </c>
      <c r="CO39" s="189">
        <f t="shared" si="40"/>
        <v>14865.92500417116</v>
      </c>
      <c r="CP39" s="190">
        <f t="shared" si="41"/>
        <v>1000000</v>
      </c>
      <c r="CQ39" s="189">
        <f t="shared" si="42"/>
        <v>13096.296378116613</v>
      </c>
      <c r="CR39" s="189">
        <f t="shared" si="43"/>
        <v>19974.24161749491</v>
      </c>
      <c r="CS39" s="189">
        <f t="shared" si="44"/>
        <v>1752064</v>
      </c>
      <c r="CT39" s="189">
        <f t="shared" si="45"/>
        <v>24921.173251967666</v>
      </c>
      <c r="CU39" s="189">
        <f t="shared" si="46"/>
        <v>1752064</v>
      </c>
      <c r="CV39" s="189">
        <f t="shared" si="47"/>
        <v>59488.011266998044</v>
      </c>
      <c r="CW39" s="189">
        <f t="shared" si="48"/>
        <v>3902064</v>
      </c>
      <c r="CX39" s="189">
        <f t="shared" si="49"/>
        <v>37907.84790304245</v>
      </c>
      <c r="CY39" s="189">
        <f t="shared" si="50"/>
        <v>5048934</v>
      </c>
      <c r="CZ39" s="388">
        <f t="shared" si="51"/>
        <v>7801.8727743395148</v>
      </c>
      <c r="DA39" s="189">
        <f t="shared" si="52"/>
        <v>20071.31562352883</v>
      </c>
      <c r="DB39" s="189">
        <f t="shared" si="53"/>
        <v>5048934</v>
      </c>
      <c r="DC39" s="189">
        <f t="shared" si="54"/>
        <v>28454.098838309103</v>
      </c>
      <c r="DD39" s="189">
        <f t="shared" si="55"/>
        <v>19266.127468436007</v>
      </c>
      <c r="DE39" s="189">
        <f t="shared" si="56"/>
        <v>6248934</v>
      </c>
      <c r="DF39" s="189">
        <f t="shared" si="57"/>
        <v>16754.820270476328</v>
      </c>
      <c r="DG39" s="189">
        <f t="shared" si="58"/>
        <v>55944.216326593065</v>
      </c>
      <c r="DH39" s="189">
        <v>8320089.9467234742</v>
      </c>
      <c r="DI39" s="189">
        <f>'Member position mfumo and excel'!F41</f>
        <v>8320089.96</v>
      </c>
      <c r="DJ39" s="189">
        <f t="shared" si="35"/>
        <v>-1.3276525773108006E-2</v>
      </c>
      <c r="DK39" s="189">
        <f t="shared" si="59"/>
        <v>85428.68309694402</v>
      </c>
      <c r="DL39" s="189">
        <f t="shared" si="60"/>
        <v>23795.886369574728</v>
      </c>
      <c r="DM39" s="189"/>
      <c r="DN39" s="189"/>
      <c r="DO39" s="189"/>
      <c r="DP39" s="189"/>
      <c r="DQ39" s="189"/>
      <c r="DR39" s="189"/>
      <c r="DS39" s="186">
        <f t="shared" si="61"/>
        <v>8429314.5161899924</v>
      </c>
      <c r="DT39" s="1" t="b">
        <f t="shared" si="31"/>
        <v>1</v>
      </c>
      <c r="DU39" s="247" t="str">
        <f t="shared" si="62"/>
        <v>Charles Suka Jangu</v>
      </c>
      <c r="DV39" s="249">
        <f t="shared" si="63"/>
        <v>8429314.5161899924</v>
      </c>
      <c r="DW39" s="248">
        <f t="shared" si="64"/>
        <v>427770.51618999243</v>
      </c>
      <c r="DZ39" s="1">
        <f t="shared" si="32"/>
        <v>1072857.6362517504</v>
      </c>
      <c r="EB39" s="1">
        <f t="shared" si="33"/>
        <v>1884409.6475187484</v>
      </c>
    </row>
    <row r="40" spans="1:132" s="1" customFormat="1" x14ac:dyDescent="0.35">
      <c r="A40" s="210" t="s">
        <v>272</v>
      </c>
      <c r="B40" s="7" t="s">
        <v>71</v>
      </c>
      <c r="C40" s="522" t="s">
        <v>1169</v>
      </c>
      <c r="D40" s="71">
        <v>45372</v>
      </c>
      <c r="E40" s="11">
        <v>80000</v>
      </c>
      <c r="F40" s="11" t="s">
        <v>29</v>
      </c>
      <c r="G40" s="71">
        <v>45372</v>
      </c>
      <c r="H40" s="11">
        <v>100000</v>
      </c>
      <c r="I40" s="545" t="s">
        <v>27</v>
      </c>
      <c r="J40" s="555">
        <v>45661</v>
      </c>
      <c r="K40" s="11">
        <v>820000</v>
      </c>
      <c r="L40" s="11" t="s">
        <v>26</v>
      </c>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f t="shared" ref="BI40:BI61" si="65">E40+H40+K40+N40+Q40+T40+W40+Z40+AC40+AF40+AI40+AO40+AL40+AR40+AU40+AX40+BA40+BG40</f>
        <v>1000000</v>
      </c>
      <c r="BJ40" s="66">
        <f>E40+K40</f>
        <v>900000</v>
      </c>
      <c r="BK40" s="66"/>
      <c r="BL40" s="3">
        <f>H40</f>
        <v>100000</v>
      </c>
      <c r="BM40" s="184">
        <f t="shared" si="36"/>
        <v>1000000</v>
      </c>
      <c r="BN40" s="711" t="b">
        <f t="shared" si="37"/>
        <v>1</v>
      </c>
      <c r="BO40" s="10"/>
      <c r="BP40" s="200">
        <v>0</v>
      </c>
      <c r="BQ40" s="3"/>
      <c r="BR40" s="200">
        <v>0</v>
      </c>
      <c r="BS40" s="206">
        <v>46003</v>
      </c>
      <c r="BT40" s="200">
        <v>500000</v>
      </c>
      <c r="BU40" s="71">
        <v>46049</v>
      </c>
      <c r="BV40" s="3">
        <v>100000</v>
      </c>
      <c r="BW40" s="3"/>
      <c r="BX40" s="231"/>
      <c r="BY40" s="71"/>
      <c r="BZ40" s="3"/>
      <c r="CA40" s="3"/>
      <c r="CB40" s="3"/>
      <c r="CC40" s="71">
        <v>46146</v>
      </c>
      <c r="CD40" s="3">
        <v>260000</v>
      </c>
      <c r="CE40" s="3"/>
      <c r="CF40" s="3"/>
      <c r="CG40" s="71">
        <v>46204</v>
      </c>
      <c r="CH40" s="3">
        <f>500000+1000000</f>
        <v>1500000</v>
      </c>
      <c r="CI40" s="3"/>
      <c r="CJ40" s="3"/>
      <c r="CK40" s="3"/>
      <c r="CL40" s="3"/>
      <c r="CM40" s="189">
        <f t="shared" si="38"/>
        <v>2360000</v>
      </c>
      <c r="CN40" s="189">
        <f t="shared" si="39"/>
        <v>3360000</v>
      </c>
      <c r="CO40" s="189">
        <f t="shared" si="40"/>
        <v>14865.92500417116</v>
      </c>
      <c r="CP40" s="190">
        <f t="shared" si="41"/>
        <v>1000000</v>
      </c>
      <c r="CQ40" s="189">
        <f t="shared" si="42"/>
        <v>13096.296378116613</v>
      </c>
      <c r="CR40" s="189">
        <f t="shared" si="43"/>
        <v>19974.24161749491</v>
      </c>
      <c r="CS40" s="189">
        <f t="shared" si="44"/>
        <v>1600000</v>
      </c>
      <c r="CT40" s="189">
        <f t="shared" si="45"/>
        <v>22758.230979660711</v>
      </c>
      <c r="CU40" s="189">
        <f t="shared" si="46"/>
        <v>1600000</v>
      </c>
      <c r="CV40" s="189">
        <f t="shared" si="47"/>
        <v>54324.966455104877</v>
      </c>
      <c r="CW40" s="189">
        <f t="shared" si="48"/>
        <v>1600000</v>
      </c>
      <c r="CX40" s="189">
        <f t="shared" si="49"/>
        <v>15543.711390912073</v>
      </c>
      <c r="CY40" s="189">
        <f t="shared" si="50"/>
        <v>1600000</v>
      </c>
      <c r="CZ40" s="388">
        <f t="shared" si="51"/>
        <v>2472.4023801743542</v>
      </c>
      <c r="DA40" s="189">
        <f t="shared" si="52"/>
        <v>6360.5713597456661</v>
      </c>
      <c r="DB40" s="189">
        <f t="shared" si="53"/>
        <v>1860000</v>
      </c>
      <c r="DC40" s="189">
        <f t="shared" si="54"/>
        <v>10482.336239541837</v>
      </c>
      <c r="DD40" s="189">
        <f t="shared" si="55"/>
        <v>7097.5372407900304</v>
      </c>
      <c r="DE40" s="189">
        <f t="shared" si="56"/>
        <v>1860000</v>
      </c>
      <c r="DF40" s="189">
        <f t="shared" si="57"/>
        <v>4987.0851097300711</v>
      </c>
      <c r="DG40" s="189">
        <f t="shared" si="58"/>
        <v>16651.838916439683</v>
      </c>
      <c r="DH40" s="189">
        <v>3548615.143071882</v>
      </c>
      <c r="DI40" s="189">
        <f>'Member position mfumo and excel'!F42</f>
        <v>3548615.16</v>
      </c>
      <c r="DJ40" s="189">
        <f t="shared" si="35"/>
        <v>-1.692811818793416E-2</v>
      </c>
      <c r="DK40" s="189">
        <f t="shared" si="59"/>
        <v>36436.327062772805</v>
      </c>
      <c r="DL40" s="189">
        <f t="shared" si="60"/>
        <v>10149.222334687001</v>
      </c>
      <c r="DM40" s="189"/>
      <c r="DN40" s="189"/>
      <c r="DO40" s="189"/>
      <c r="DP40" s="189"/>
      <c r="DQ40" s="189"/>
      <c r="DR40" s="189"/>
      <c r="DS40" s="186">
        <f t="shared" si="61"/>
        <v>3595200.6924693417</v>
      </c>
      <c r="DT40" s="1" t="b">
        <f t="shared" si="31"/>
        <v>1</v>
      </c>
      <c r="DU40" s="247" t="str">
        <f t="shared" si="62"/>
        <v>Abdillahi Moshi</v>
      </c>
      <c r="DV40" s="249">
        <f t="shared" si="63"/>
        <v>3595200.6924693417</v>
      </c>
      <c r="DW40" s="248">
        <f t="shared" si="64"/>
        <v>235200.69246934168</v>
      </c>
      <c r="DZ40" s="1">
        <f t="shared" si="32"/>
        <v>1570694.6939794435</v>
      </c>
      <c r="EB40" s="1">
        <f t="shared" si="33"/>
        <v>1725019.6604345483</v>
      </c>
    </row>
    <row r="41" spans="1:132" s="1" customFormat="1" x14ac:dyDescent="0.35">
      <c r="A41" s="210" t="s">
        <v>273</v>
      </c>
      <c r="B41" s="7" t="s">
        <v>43</v>
      </c>
      <c r="C41" s="522" t="s">
        <v>1170</v>
      </c>
      <c r="D41" s="71">
        <v>45356</v>
      </c>
      <c r="E41" s="11">
        <v>50000</v>
      </c>
      <c r="F41" s="11" t="s">
        <v>27</v>
      </c>
      <c r="G41" s="71">
        <v>45359</v>
      </c>
      <c r="H41" s="11">
        <v>40000</v>
      </c>
      <c r="I41" s="545" t="s">
        <v>29</v>
      </c>
      <c r="J41" s="555">
        <v>45373</v>
      </c>
      <c r="K41" s="11">
        <v>50000</v>
      </c>
      <c r="L41" s="11" t="s">
        <v>29</v>
      </c>
      <c r="M41" s="71">
        <v>45373</v>
      </c>
      <c r="N41" s="11">
        <v>120000</v>
      </c>
      <c r="O41" s="11" t="s">
        <v>27</v>
      </c>
      <c r="P41" s="71">
        <v>45663</v>
      </c>
      <c r="Q41" s="11">
        <v>780000</v>
      </c>
      <c r="R41" s="11" t="s">
        <v>26</v>
      </c>
      <c r="S41" s="11"/>
      <c r="T41" s="11"/>
      <c r="U41" s="11"/>
      <c r="V41" s="11"/>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f t="shared" si="65"/>
        <v>1040000</v>
      </c>
      <c r="BJ41" s="66">
        <f>H41+K41</f>
        <v>90000</v>
      </c>
      <c r="BK41" s="66"/>
      <c r="BL41" s="3">
        <f>E41+N41+Q41</f>
        <v>950000</v>
      </c>
      <c r="BM41" s="184">
        <f t="shared" si="36"/>
        <v>1040000</v>
      </c>
      <c r="BN41" s="1" t="b">
        <f t="shared" si="37"/>
        <v>1</v>
      </c>
      <c r="BO41" s="71">
        <v>45953</v>
      </c>
      <c r="BP41" s="202">
        <v>500000</v>
      </c>
      <c r="BQ41" s="71">
        <v>45972</v>
      </c>
      <c r="BR41" s="202">
        <v>800000</v>
      </c>
      <c r="BS41" s="206">
        <v>45994</v>
      </c>
      <c r="BT41" s="204">
        <f>200000+300000</f>
        <v>500000</v>
      </c>
      <c r="BU41" s="71">
        <v>46026</v>
      </c>
      <c r="BV41" s="204">
        <v>200000</v>
      </c>
      <c r="BW41" s="3"/>
      <c r="BX41" s="231"/>
      <c r="BY41" s="71">
        <v>46085</v>
      </c>
      <c r="BZ41" s="3">
        <v>500000</v>
      </c>
      <c r="CA41" s="71">
        <v>46121</v>
      </c>
      <c r="CB41" s="3">
        <f>400000+86306</f>
        <v>486306</v>
      </c>
      <c r="CC41" s="71">
        <v>46145</v>
      </c>
      <c r="CD41" s="3">
        <v>400000</v>
      </c>
      <c r="CE41" s="71">
        <v>46201</v>
      </c>
      <c r="CF41" s="3">
        <v>400000</v>
      </c>
      <c r="CG41" s="71">
        <v>46216</v>
      </c>
      <c r="CH41" s="3">
        <f>400000+400000+4000000</f>
        <v>4800000</v>
      </c>
      <c r="CI41" s="3"/>
      <c r="CJ41" s="3"/>
      <c r="CK41" s="3"/>
      <c r="CL41" s="3"/>
      <c r="CM41" s="189">
        <f t="shared" si="38"/>
        <v>8586306</v>
      </c>
      <c r="CN41" s="189">
        <f t="shared" si="39"/>
        <v>9626306</v>
      </c>
      <c r="CO41" s="189">
        <f t="shared" si="40"/>
        <v>15460.562004338006</v>
      </c>
      <c r="CP41" s="190">
        <f t="shared" si="41"/>
        <v>2340000</v>
      </c>
      <c r="CQ41" s="189">
        <f t="shared" si="42"/>
        <v>30645.333524792874</v>
      </c>
      <c r="CR41" s="189">
        <f t="shared" si="43"/>
        <v>46739.725384938094</v>
      </c>
      <c r="CS41" s="189">
        <f t="shared" si="44"/>
        <v>3040000</v>
      </c>
      <c r="CT41" s="189">
        <f t="shared" si="45"/>
        <v>43240.63886135535</v>
      </c>
      <c r="CU41" s="189">
        <f t="shared" si="46"/>
        <v>3040000</v>
      </c>
      <c r="CV41" s="189">
        <f t="shared" si="47"/>
        <v>103217.43626469927</v>
      </c>
      <c r="CW41" s="189">
        <f t="shared" si="48"/>
        <v>3540000</v>
      </c>
      <c r="CX41" s="189">
        <f t="shared" si="49"/>
        <v>34390.461452392956</v>
      </c>
      <c r="CY41" s="189">
        <f t="shared" si="50"/>
        <v>4026306</v>
      </c>
      <c r="CZ41" s="388">
        <f t="shared" si="51"/>
        <v>6221.6553360689268</v>
      </c>
      <c r="DA41" s="189">
        <f t="shared" si="52"/>
        <v>16006.004143232583</v>
      </c>
      <c r="DB41" s="189">
        <f t="shared" si="53"/>
        <v>4426306</v>
      </c>
      <c r="DC41" s="189">
        <f t="shared" si="54"/>
        <v>24945.176231774985</v>
      </c>
      <c r="DD41" s="189">
        <f t="shared" si="55"/>
        <v>16890.253588243202</v>
      </c>
      <c r="DE41" s="189">
        <f t="shared" si="56"/>
        <v>4826306</v>
      </c>
      <c r="DF41" s="189">
        <f t="shared" si="57"/>
        <v>12940.42945569941</v>
      </c>
      <c r="DG41" s="189">
        <f t="shared" si="58"/>
        <v>43207.994663143203</v>
      </c>
      <c r="DH41" s="189">
        <v>10020211.670910677</v>
      </c>
      <c r="DI41" s="189">
        <f>'Member position mfumo and excel'!F43</f>
        <v>10020211.67</v>
      </c>
      <c r="DJ41" s="189">
        <f t="shared" si="35"/>
        <v>9.1067701578140259E-4</v>
      </c>
      <c r="DK41" s="189">
        <f t="shared" si="59"/>
        <v>102885.12418494152</v>
      </c>
      <c r="DL41" s="189">
        <f t="shared" si="60"/>
        <v>28658.322187247111</v>
      </c>
      <c r="DM41" s="189"/>
      <c r="DN41" s="189"/>
      <c r="DO41" s="189"/>
      <c r="DP41" s="189"/>
      <c r="DQ41" s="189"/>
      <c r="DR41" s="189"/>
      <c r="DS41" s="186">
        <f t="shared" si="61"/>
        <v>10151755.117282866</v>
      </c>
      <c r="DT41" s="1" t="b">
        <f t="shared" si="31"/>
        <v>1</v>
      </c>
      <c r="DU41" s="247" t="str">
        <f t="shared" si="62"/>
        <v xml:space="preserve">Ahmad Yahya </v>
      </c>
      <c r="DV41" s="249">
        <f t="shared" si="63"/>
        <v>10151755.117282866</v>
      </c>
      <c r="DW41" s="248">
        <f t="shared" si="64"/>
        <v>525449.11728286557</v>
      </c>
      <c r="DZ41" s="1">
        <f t="shared" si="32"/>
        <v>2976086.2597754244</v>
      </c>
      <c r="EB41" s="1">
        <f t="shared" si="33"/>
        <v>3279303.6960401237</v>
      </c>
    </row>
    <row r="42" spans="1:132" s="1" customFormat="1" x14ac:dyDescent="0.35">
      <c r="A42" s="210" t="s">
        <v>274</v>
      </c>
      <c r="B42" s="7" t="s">
        <v>1298</v>
      </c>
      <c r="C42" s="522"/>
      <c r="D42" s="71">
        <v>45359</v>
      </c>
      <c r="E42" s="11">
        <v>100000</v>
      </c>
      <c r="F42" s="7" t="s">
        <v>29</v>
      </c>
      <c r="G42" s="71">
        <v>45359</v>
      </c>
      <c r="H42" s="11">
        <v>130000</v>
      </c>
      <c r="I42" s="545" t="s">
        <v>27</v>
      </c>
      <c r="J42" s="555">
        <v>45383</v>
      </c>
      <c r="K42" s="11">
        <v>70000</v>
      </c>
      <c r="L42" s="11" t="s">
        <v>29</v>
      </c>
      <c r="M42" s="71">
        <v>45383</v>
      </c>
      <c r="N42" s="11">
        <v>120000</v>
      </c>
      <c r="O42" s="11" t="s">
        <v>27</v>
      </c>
      <c r="P42" s="71">
        <v>45910</v>
      </c>
      <c r="Q42" s="11">
        <v>1500000</v>
      </c>
      <c r="R42" s="11" t="s">
        <v>30</v>
      </c>
      <c r="S42" s="11"/>
      <c r="T42" s="11"/>
      <c r="U42" s="11"/>
      <c r="V42" s="11"/>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f t="shared" si="65"/>
        <v>1920000</v>
      </c>
      <c r="BJ42" s="66">
        <f>E42+K42</f>
        <v>170000</v>
      </c>
      <c r="BK42" s="66">
        <f>Q42</f>
        <v>1500000</v>
      </c>
      <c r="BL42" s="3">
        <f>H42+N42</f>
        <v>250000</v>
      </c>
      <c r="BM42" s="184">
        <f t="shared" si="36"/>
        <v>1920000</v>
      </c>
      <c r="BN42" s="1" t="b">
        <f t="shared" si="37"/>
        <v>1</v>
      </c>
      <c r="BO42" s="71">
        <v>45957</v>
      </c>
      <c r="BP42" s="202">
        <v>734958</v>
      </c>
      <c r="BQ42" s="3"/>
      <c r="BR42" s="200">
        <v>0</v>
      </c>
      <c r="BS42" s="205"/>
      <c r="BT42" s="200"/>
      <c r="BU42" s="3"/>
      <c r="BV42" s="3"/>
      <c r="BW42" s="3"/>
      <c r="BX42" s="231"/>
      <c r="BY42" s="3"/>
      <c r="BZ42" s="3"/>
      <c r="CA42" s="3"/>
      <c r="CB42" s="3"/>
      <c r="CC42" s="3"/>
      <c r="CD42" s="3"/>
      <c r="CE42" s="3"/>
      <c r="CF42" s="3"/>
      <c r="CG42" s="71">
        <v>46223</v>
      </c>
      <c r="CH42" s="3">
        <f>1000000+230000+255000+520000+200000+1050000+300000+1000000+450000+1000000</f>
        <v>6005000</v>
      </c>
      <c r="CI42" s="3"/>
      <c r="CJ42" s="3"/>
      <c r="CK42" s="3"/>
      <c r="CL42" s="3"/>
      <c r="CM42" s="189">
        <f t="shared" si="38"/>
        <v>6739958</v>
      </c>
      <c r="CN42" s="189">
        <f t="shared" si="39"/>
        <v>8659958</v>
      </c>
      <c r="CO42" s="189">
        <f t="shared" si="40"/>
        <v>28542.576008008629</v>
      </c>
      <c r="CP42" s="190">
        <f t="shared" si="41"/>
        <v>2654958</v>
      </c>
      <c r="CQ42" s="189">
        <f t="shared" si="42"/>
        <v>34770.116839451723</v>
      </c>
      <c r="CR42" s="189">
        <f t="shared" si="43"/>
        <v>53030.772576301053</v>
      </c>
      <c r="CS42" s="189">
        <f t="shared" si="44"/>
        <v>2654958</v>
      </c>
      <c r="CT42" s="189">
        <f t="shared" si="45"/>
        <v>37763.842128311277</v>
      </c>
      <c r="CU42" s="189">
        <f t="shared" si="46"/>
        <v>2654958</v>
      </c>
      <c r="CV42" s="189">
        <f t="shared" si="47"/>
        <v>90144.065181070211</v>
      </c>
      <c r="CW42" s="189">
        <f t="shared" si="48"/>
        <v>2654958</v>
      </c>
      <c r="CX42" s="189">
        <f t="shared" si="49"/>
        <v>25792.438066870709</v>
      </c>
      <c r="CY42" s="189">
        <f t="shared" si="50"/>
        <v>2654958</v>
      </c>
      <c r="CZ42" s="388">
        <f t="shared" si="51"/>
        <v>4102.577799039339</v>
      </c>
      <c r="DA42" s="189">
        <f t="shared" si="52"/>
        <v>10554.406135079769</v>
      </c>
      <c r="DB42" s="189">
        <f t="shared" si="53"/>
        <v>2654958</v>
      </c>
      <c r="DC42" s="189">
        <f t="shared" si="54"/>
        <v>14962.452934334149</v>
      </c>
      <c r="DD42" s="189">
        <f t="shared" si="55"/>
        <v>10131.001762222268</v>
      </c>
      <c r="DE42" s="189">
        <f t="shared" si="56"/>
        <v>2654958</v>
      </c>
      <c r="DF42" s="189">
        <f t="shared" si="57"/>
        <v>7118.5491982573822</v>
      </c>
      <c r="DG42" s="189">
        <f t="shared" si="58"/>
        <v>23768.781153716598</v>
      </c>
      <c r="DH42" s="189">
        <v>9000639.5797826611</v>
      </c>
      <c r="DI42" s="189">
        <f>'Member position mfumo and excel'!F44</f>
        <v>9000639.5899999999</v>
      </c>
      <c r="DJ42" s="189">
        <f t="shared" si="35"/>
        <v>-1.0217338800430298E-2</v>
      </c>
      <c r="DK42" s="189">
        <f t="shared" si="59"/>
        <v>92416.403098366631</v>
      </c>
      <c r="DL42" s="189">
        <f t="shared" si="60"/>
        <v>25742.293420559756</v>
      </c>
      <c r="DM42" s="189"/>
      <c r="DN42" s="189"/>
      <c r="DO42" s="189"/>
      <c r="DP42" s="189"/>
      <c r="DQ42" s="189"/>
      <c r="DR42" s="189"/>
      <c r="DS42" s="186">
        <f t="shared" si="61"/>
        <v>9118798.2763015889</v>
      </c>
      <c r="DT42" s="1" t="b">
        <f t="shared" si="31"/>
        <v>1</v>
      </c>
      <c r="DU42" s="247" t="str">
        <f t="shared" si="62"/>
        <v>Edgar Shumbusho</v>
      </c>
      <c r="DV42" s="249">
        <f t="shared" si="63"/>
        <v>9118798.2763015889</v>
      </c>
      <c r="DW42" s="248">
        <f t="shared" si="64"/>
        <v>458840.27630158886</v>
      </c>
      <c r="DZ42" s="1">
        <f t="shared" si="32"/>
        <v>2809065.3075520727</v>
      </c>
      <c r="EB42" s="1">
        <f t="shared" si="33"/>
        <v>2899209.3727331427</v>
      </c>
    </row>
    <row r="43" spans="1:132" s="1" customFormat="1" x14ac:dyDescent="0.35">
      <c r="A43" s="210" t="s">
        <v>275</v>
      </c>
      <c r="B43" s="7" t="s">
        <v>79</v>
      </c>
      <c r="C43" s="522" t="s">
        <v>1171</v>
      </c>
      <c r="D43" s="71">
        <v>45409</v>
      </c>
      <c r="E43" s="11">
        <v>250000</v>
      </c>
      <c r="F43" s="11" t="s">
        <v>27</v>
      </c>
      <c r="G43" s="71">
        <v>45393</v>
      </c>
      <c r="H43" s="11">
        <v>100000</v>
      </c>
      <c r="I43" s="545" t="s">
        <v>25</v>
      </c>
      <c r="J43" s="555">
        <v>45530</v>
      </c>
      <c r="K43" s="11">
        <v>450000</v>
      </c>
      <c r="L43" s="11" t="s">
        <v>27</v>
      </c>
      <c r="M43" s="71">
        <v>45657</v>
      </c>
      <c r="N43" s="11">
        <v>200000</v>
      </c>
      <c r="O43" s="11" t="s">
        <v>27</v>
      </c>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f t="shared" si="65"/>
        <v>1000000</v>
      </c>
      <c r="BJ43" s="66">
        <f>H43</f>
        <v>100000</v>
      </c>
      <c r="BK43" s="66"/>
      <c r="BL43" s="3">
        <f>E43+K43+N43</f>
        <v>900000</v>
      </c>
      <c r="BM43" s="184">
        <f t="shared" si="36"/>
        <v>1000000</v>
      </c>
      <c r="BN43" s="1" t="b">
        <f t="shared" si="37"/>
        <v>1</v>
      </c>
      <c r="BO43" s="10"/>
      <c r="BP43" s="200">
        <v>0</v>
      </c>
      <c r="BQ43" s="3"/>
      <c r="BR43" s="200">
        <v>0</v>
      </c>
      <c r="BS43" s="205"/>
      <c r="BT43" s="200"/>
      <c r="BU43" s="71">
        <v>46037</v>
      </c>
      <c r="BV43" s="204">
        <v>2000000</v>
      </c>
      <c r="BW43" s="3"/>
      <c r="BX43" s="231"/>
      <c r="BY43" s="3"/>
      <c r="BZ43" s="3"/>
      <c r="CA43" s="71">
        <v>46137</v>
      </c>
      <c r="CB43" s="3">
        <v>10000000</v>
      </c>
      <c r="CC43" s="3"/>
      <c r="CD43" s="3"/>
      <c r="CE43" s="3"/>
      <c r="CF43" s="3"/>
      <c r="CG43" s="3"/>
      <c r="CH43" s="3"/>
      <c r="CI43" s="3"/>
      <c r="CJ43" s="3"/>
      <c r="CK43" s="3"/>
      <c r="CL43" s="3"/>
      <c r="CM43" s="189">
        <f t="shared" si="38"/>
        <v>12000000</v>
      </c>
      <c r="CN43" s="189">
        <f t="shared" si="39"/>
        <v>13000000</v>
      </c>
      <c r="CO43" s="189">
        <f t="shared" si="40"/>
        <v>14865.92500417116</v>
      </c>
      <c r="CP43" s="190">
        <f t="shared" si="41"/>
        <v>1000000</v>
      </c>
      <c r="CQ43" s="189">
        <f t="shared" si="42"/>
        <v>13096.296378116613</v>
      </c>
      <c r="CR43" s="189">
        <f t="shared" si="43"/>
        <v>19974.24161749491</v>
      </c>
      <c r="CS43" s="189">
        <f t="shared" si="44"/>
        <v>3000000</v>
      </c>
      <c r="CT43" s="189">
        <f t="shared" si="45"/>
        <v>42671.683086863835</v>
      </c>
      <c r="CU43" s="189">
        <f t="shared" si="46"/>
        <v>3000000</v>
      </c>
      <c r="CV43" s="189">
        <f t="shared" si="47"/>
        <v>101859.31210332164</v>
      </c>
      <c r="CW43" s="189">
        <f t="shared" si="48"/>
        <v>3000000</v>
      </c>
      <c r="CX43" s="189">
        <f t="shared" si="49"/>
        <v>29144.458857960133</v>
      </c>
      <c r="CY43" s="189">
        <f t="shared" si="50"/>
        <v>13000000</v>
      </c>
      <c r="CZ43" s="388">
        <f t="shared" si="51"/>
        <v>20088.269338916627</v>
      </c>
      <c r="DA43" s="189">
        <f t="shared" si="52"/>
        <v>51679.642297933533</v>
      </c>
      <c r="DB43" s="189">
        <f t="shared" si="53"/>
        <v>13000000</v>
      </c>
      <c r="DC43" s="189">
        <f t="shared" si="54"/>
        <v>73263.64038389457</v>
      </c>
      <c r="DD43" s="189">
        <f t="shared" si="55"/>
        <v>49606.443080790537</v>
      </c>
      <c r="DE43" s="189">
        <f t="shared" si="56"/>
        <v>13000000</v>
      </c>
      <c r="DF43" s="189">
        <f t="shared" si="57"/>
        <v>34855.971197038132</v>
      </c>
      <c r="DG43" s="189">
        <f t="shared" si="58"/>
        <v>116383.82038371822</v>
      </c>
      <c r="DH43" s="189">
        <v>13567489.703730224</v>
      </c>
      <c r="DI43" s="189">
        <f>'Member position mfumo and excel'!F45</f>
        <v>13567489.699999999</v>
      </c>
      <c r="DJ43" s="189">
        <f t="shared" si="35"/>
        <v>3.7302244454622269E-3</v>
      </c>
      <c r="DK43" s="189">
        <f t="shared" si="59"/>
        <v>139307.72212113711</v>
      </c>
      <c r="DL43" s="189">
        <f t="shared" si="60"/>
        <v>38803.720317648833</v>
      </c>
      <c r="DM43" s="189"/>
      <c r="DN43" s="189"/>
      <c r="DO43" s="189"/>
      <c r="DP43" s="189"/>
      <c r="DQ43" s="189"/>
      <c r="DR43" s="189"/>
      <c r="DS43" s="186">
        <f t="shared" si="61"/>
        <v>13745601.146169009</v>
      </c>
      <c r="DT43" s="1" t="b">
        <f t="shared" si="31"/>
        <v>1</v>
      </c>
      <c r="DU43" s="247" t="str">
        <f t="shared" si="62"/>
        <v xml:space="preserve">Adamu Urassa </v>
      </c>
      <c r="DV43" s="249">
        <f t="shared" si="63"/>
        <v>13745601.146169009</v>
      </c>
      <c r="DW43" s="248">
        <f t="shared" si="64"/>
        <v>745601.14616900869</v>
      </c>
      <c r="DZ43" s="1">
        <f t="shared" si="32"/>
        <v>1090608.1460866467</v>
      </c>
      <c r="EB43" s="1">
        <f t="shared" si="33"/>
        <v>3192467.458189968</v>
      </c>
    </row>
    <row r="44" spans="1:132" s="1" customFormat="1" x14ac:dyDescent="0.35">
      <c r="A44" s="210" t="s">
        <v>276</v>
      </c>
      <c r="B44" s="7" t="s">
        <v>617</v>
      </c>
      <c r="C44" s="522" t="s">
        <v>1172</v>
      </c>
      <c r="D44" s="71">
        <v>45357</v>
      </c>
      <c r="E44" s="11">
        <v>50000</v>
      </c>
      <c r="F44" s="11" t="s">
        <v>27</v>
      </c>
      <c r="G44" s="71">
        <v>45381</v>
      </c>
      <c r="H44" s="11">
        <v>150000</v>
      </c>
      <c r="I44" s="545" t="s">
        <v>27</v>
      </c>
      <c r="J44" s="555">
        <v>45649</v>
      </c>
      <c r="K44" s="11">
        <v>300000</v>
      </c>
      <c r="L44" s="11" t="s">
        <v>27</v>
      </c>
      <c r="M44" s="71">
        <v>45659</v>
      </c>
      <c r="N44" s="11">
        <v>500000</v>
      </c>
      <c r="O44" s="11" t="s">
        <v>30</v>
      </c>
      <c r="P44" s="10"/>
      <c r="Q44" s="10"/>
      <c r="R44" s="11"/>
      <c r="S44" s="11"/>
      <c r="T44" s="11"/>
      <c r="U44" s="11"/>
      <c r="V44" s="11"/>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f t="shared" si="65"/>
        <v>1000000</v>
      </c>
      <c r="BJ44" s="66"/>
      <c r="BK44" s="66"/>
      <c r="BL44" s="3">
        <f>E44+H44+K44+N44</f>
        <v>1000000</v>
      </c>
      <c r="BM44" s="184">
        <f t="shared" si="36"/>
        <v>1000000</v>
      </c>
      <c r="BN44" s="711" t="b">
        <f t="shared" si="37"/>
        <v>1</v>
      </c>
      <c r="BO44" s="10"/>
      <c r="BP44" s="200">
        <v>0</v>
      </c>
      <c r="BQ44" s="3"/>
      <c r="BR44" s="200">
        <v>0</v>
      </c>
      <c r="BS44" s="206">
        <v>46022</v>
      </c>
      <c r="BT44" s="204">
        <f>200000+300000</f>
        <v>500000</v>
      </c>
      <c r="BU44" s="3"/>
      <c r="BV44" s="3"/>
      <c r="BW44" s="71">
        <v>46078</v>
      </c>
      <c r="BX44" s="231">
        <v>500000</v>
      </c>
      <c r="BY44" s="71">
        <v>46099</v>
      </c>
      <c r="BZ44" s="3">
        <v>1000000</v>
      </c>
      <c r="CA44" s="3"/>
      <c r="CB44" s="3"/>
      <c r="CC44" s="3"/>
      <c r="CD44" s="3"/>
      <c r="CE44" s="71">
        <v>46176</v>
      </c>
      <c r="CF44" s="3">
        <v>500000</v>
      </c>
      <c r="CG44" s="3"/>
      <c r="CH44" s="3"/>
      <c r="CI44" s="3"/>
      <c r="CJ44" s="3"/>
      <c r="CK44" s="3"/>
      <c r="CL44" s="3"/>
      <c r="CM44" s="189">
        <f t="shared" si="38"/>
        <v>2500000</v>
      </c>
      <c r="CN44" s="189">
        <f t="shared" si="39"/>
        <v>3500000</v>
      </c>
      <c r="CO44" s="189">
        <f t="shared" si="40"/>
        <v>14865.92500417116</v>
      </c>
      <c r="CP44" s="190">
        <f t="shared" si="41"/>
        <v>1000000</v>
      </c>
      <c r="CQ44" s="189">
        <f t="shared" si="42"/>
        <v>13096.296378116613</v>
      </c>
      <c r="CR44" s="189">
        <f t="shared" si="43"/>
        <v>19974.24161749491</v>
      </c>
      <c r="CS44" s="189">
        <f t="shared" si="44"/>
        <v>1500000</v>
      </c>
      <c r="CT44" s="189">
        <f t="shared" si="45"/>
        <v>21335.841543431918</v>
      </c>
      <c r="CU44" s="189">
        <f t="shared" si="46"/>
        <v>2000000</v>
      </c>
      <c r="CV44" s="189">
        <f t="shared" si="47"/>
        <v>67906.208068881097</v>
      </c>
      <c r="CW44" s="189">
        <f t="shared" si="48"/>
        <v>3000000</v>
      </c>
      <c r="CX44" s="189">
        <f t="shared" si="49"/>
        <v>29144.458857960133</v>
      </c>
      <c r="CY44" s="189">
        <f t="shared" si="50"/>
        <v>3000000</v>
      </c>
      <c r="CZ44" s="388">
        <f t="shared" si="51"/>
        <v>4635.7544628269143</v>
      </c>
      <c r="DA44" s="189">
        <f t="shared" si="52"/>
        <v>11926.071299523122</v>
      </c>
      <c r="DB44" s="189">
        <f t="shared" si="53"/>
        <v>3000000</v>
      </c>
      <c r="DC44" s="189">
        <f t="shared" si="54"/>
        <v>16906.9939347449</v>
      </c>
      <c r="DD44" s="189">
        <f t="shared" si="55"/>
        <v>11447.640710951662</v>
      </c>
      <c r="DE44" s="189">
        <f t="shared" si="56"/>
        <v>3500000</v>
      </c>
      <c r="DF44" s="189">
        <f t="shared" si="57"/>
        <v>9384.2999376641128</v>
      </c>
      <c r="DG44" s="189">
        <f t="shared" si="58"/>
        <v>31334.105487924138</v>
      </c>
      <c r="DH44" s="189">
        <v>3751957.8373036906</v>
      </c>
      <c r="DI44" s="189">
        <f>'Member position mfumo and excel'!F46</f>
        <v>3751957.84</v>
      </c>
      <c r="DJ44" s="189">
        <f t="shared" si="35"/>
        <v>-2.6963092386722565E-3</v>
      </c>
      <c r="DK44" s="189">
        <f t="shared" si="59"/>
        <v>38524.200955584376</v>
      </c>
      <c r="DL44" s="189">
        <f t="shared" si="60"/>
        <v>10730.792927914643</v>
      </c>
      <c r="DM44" s="189"/>
      <c r="DN44" s="189"/>
      <c r="DO44" s="189"/>
      <c r="DP44" s="189"/>
      <c r="DQ44" s="189"/>
      <c r="DR44" s="189"/>
      <c r="DS44" s="186">
        <f t="shared" si="61"/>
        <v>3801212.8311871896</v>
      </c>
      <c r="DT44" s="1" t="b">
        <f t="shared" si="31"/>
        <v>1</v>
      </c>
      <c r="DU44" s="247" t="str">
        <f t="shared" si="62"/>
        <v xml:space="preserve">Innocent R. Kasigwa </v>
      </c>
      <c r="DV44" s="249">
        <f t="shared" si="63"/>
        <v>3801212.8311871896</v>
      </c>
      <c r="DW44" s="248">
        <f t="shared" si="64"/>
        <v>301212.83118718956</v>
      </c>
      <c r="DZ44" s="1">
        <f t="shared" si="32"/>
        <v>1569272.3045432146</v>
      </c>
      <c r="EB44" s="1">
        <f t="shared" si="33"/>
        <v>2137178.5126120956</v>
      </c>
    </row>
    <row r="45" spans="1:132" s="1" customFormat="1" x14ac:dyDescent="0.35">
      <c r="A45" s="210" t="s">
        <v>277</v>
      </c>
      <c r="B45" s="7" t="s">
        <v>58</v>
      </c>
      <c r="C45" s="522" t="s">
        <v>1173</v>
      </c>
      <c r="D45" s="71">
        <v>45361</v>
      </c>
      <c r="E45" s="11">
        <v>280000</v>
      </c>
      <c r="F45" s="11" t="s">
        <v>27</v>
      </c>
      <c r="G45" s="71">
        <v>45361</v>
      </c>
      <c r="H45" s="11">
        <v>70000</v>
      </c>
      <c r="I45" s="545" t="s">
        <v>29</v>
      </c>
      <c r="J45" s="555">
        <v>45361</v>
      </c>
      <c r="K45" s="11">
        <v>280000</v>
      </c>
      <c r="L45" s="11" t="s">
        <v>27</v>
      </c>
      <c r="M45" s="11"/>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f t="shared" si="65"/>
        <v>630000</v>
      </c>
      <c r="BJ45" s="66">
        <f>H45</f>
        <v>70000</v>
      </c>
      <c r="BK45" s="66"/>
      <c r="BL45" s="3">
        <f>E45+K45</f>
        <v>560000</v>
      </c>
      <c r="BM45" s="184">
        <f t="shared" si="36"/>
        <v>630000</v>
      </c>
      <c r="BN45" s="1" t="b">
        <f t="shared" si="37"/>
        <v>1</v>
      </c>
      <c r="BO45" s="10"/>
      <c r="BP45" s="200">
        <v>0</v>
      </c>
      <c r="BQ45" s="3"/>
      <c r="BR45" s="200">
        <v>0</v>
      </c>
      <c r="BS45" s="205"/>
      <c r="BT45" s="200"/>
      <c r="BU45" s="3"/>
      <c r="BV45" s="3"/>
      <c r="BW45" s="71">
        <v>46063</v>
      </c>
      <c r="BX45" s="231">
        <v>2000000</v>
      </c>
      <c r="BY45" s="3"/>
      <c r="BZ45" s="3"/>
      <c r="CA45" s="71">
        <v>46137</v>
      </c>
      <c r="CB45" s="3">
        <f>1000000+500000</f>
        <v>1500000</v>
      </c>
      <c r="CC45" s="71">
        <v>46150</v>
      </c>
      <c r="CD45" s="3">
        <f>1000000+1500000+2200000+1000000+500000+500000</f>
        <v>6700000</v>
      </c>
      <c r="CE45" s="71">
        <v>46174</v>
      </c>
      <c r="CF45" s="3">
        <f>3000000+2000000+1000000+1500000+4000000+5000000</f>
        <v>16500000</v>
      </c>
      <c r="CG45" s="3"/>
      <c r="CH45" s="3"/>
      <c r="CI45" s="3"/>
      <c r="CJ45" s="3"/>
      <c r="CK45" s="3"/>
      <c r="CL45" s="3"/>
      <c r="CM45" s="189">
        <f t="shared" si="38"/>
        <v>26700000</v>
      </c>
      <c r="CN45" s="189">
        <f t="shared" si="39"/>
        <v>27330000</v>
      </c>
      <c r="CO45" s="189">
        <f t="shared" si="40"/>
        <v>9365.5327526278306</v>
      </c>
      <c r="CP45" s="190">
        <f t="shared" si="41"/>
        <v>630000</v>
      </c>
      <c r="CQ45" s="189">
        <f t="shared" si="42"/>
        <v>8250.6667182134661</v>
      </c>
      <c r="CR45" s="189">
        <f t="shared" si="43"/>
        <v>12583.772219021794</v>
      </c>
      <c r="CS45" s="189">
        <f t="shared" si="44"/>
        <v>630000</v>
      </c>
      <c r="CT45" s="189">
        <f t="shared" si="45"/>
        <v>8961.0534482414059</v>
      </c>
      <c r="CU45" s="189">
        <f t="shared" si="46"/>
        <v>2630000</v>
      </c>
      <c r="CV45" s="189">
        <f t="shared" si="47"/>
        <v>89296.663610578631</v>
      </c>
      <c r="CW45" s="189">
        <f t="shared" si="48"/>
        <v>2630000</v>
      </c>
      <c r="CX45" s="189">
        <f t="shared" si="49"/>
        <v>25549.975598811718</v>
      </c>
      <c r="CY45" s="189">
        <f t="shared" si="50"/>
        <v>4130000</v>
      </c>
      <c r="CZ45" s="388">
        <f t="shared" si="51"/>
        <v>6381.8886438250511</v>
      </c>
      <c r="DA45" s="189">
        <f t="shared" si="52"/>
        <v>16418.224822343498</v>
      </c>
      <c r="DB45" s="189">
        <f t="shared" si="53"/>
        <v>10830000</v>
      </c>
      <c r="DC45" s="189">
        <f t="shared" si="54"/>
        <v>61034.248104429091</v>
      </c>
      <c r="DD45" s="189">
        <f t="shared" si="55"/>
        <v>41325.982966535506</v>
      </c>
      <c r="DE45" s="189">
        <f t="shared" si="56"/>
        <v>27330000</v>
      </c>
      <c r="DF45" s="189">
        <f t="shared" si="57"/>
        <v>73277.976370388627</v>
      </c>
      <c r="DG45" s="189">
        <f t="shared" si="58"/>
        <v>244674.60085284762</v>
      </c>
      <c r="DH45" s="189">
        <v>27927120.586107861</v>
      </c>
      <c r="DI45" s="189">
        <f>'Member position mfumo and excel'!F47</f>
        <v>27927120.579999998</v>
      </c>
      <c r="DJ45" s="189">
        <f t="shared" si="35"/>
        <v>6.1078630387783051E-3</v>
      </c>
      <c r="DK45" s="189">
        <f t="shared" si="59"/>
        <v>286748.95940281154</v>
      </c>
      <c r="DL45" s="189">
        <f t="shared" si="60"/>
        <v>79873.005262177452</v>
      </c>
      <c r="DM45" s="189"/>
      <c r="DN45" s="189"/>
      <c r="DO45" s="189"/>
      <c r="DP45" s="189"/>
      <c r="DQ45" s="189"/>
      <c r="DR45" s="189"/>
      <c r="DS45" s="186">
        <f t="shared" si="61"/>
        <v>28293742.550772849</v>
      </c>
      <c r="DT45" s="1" t="b">
        <f t="shared" si="31"/>
        <v>1</v>
      </c>
      <c r="DU45" s="247" t="str">
        <f t="shared" si="62"/>
        <v>Abduel Kitururu</v>
      </c>
      <c r="DV45" s="249">
        <f t="shared" si="63"/>
        <v>28293742.550772849</v>
      </c>
      <c r="DW45" s="248">
        <f t="shared" si="64"/>
        <v>963742.55077284947</v>
      </c>
      <c r="DZ45" s="1">
        <f t="shared" si="32"/>
        <v>669161.02513810457</v>
      </c>
      <c r="EB45" s="1">
        <f t="shared" si="33"/>
        <v>2758457.6887486828</v>
      </c>
    </row>
    <row r="46" spans="1:132" s="1" customFormat="1" x14ac:dyDescent="0.35">
      <c r="A46" s="210" t="s">
        <v>278</v>
      </c>
      <c r="B46" s="7" t="s">
        <v>279</v>
      </c>
      <c r="C46" s="522" t="s">
        <v>1174</v>
      </c>
      <c r="D46" s="71">
        <v>45360</v>
      </c>
      <c r="E46" s="11">
        <v>290000</v>
      </c>
      <c r="F46" s="11" t="s">
        <v>27</v>
      </c>
      <c r="G46" s="71">
        <v>45360</v>
      </c>
      <c r="H46" s="11">
        <v>110000</v>
      </c>
      <c r="I46" s="545" t="s">
        <v>29</v>
      </c>
      <c r="J46" s="555">
        <v>45523</v>
      </c>
      <c r="K46" s="11">
        <v>340000</v>
      </c>
      <c r="L46" s="11" t="s">
        <v>27</v>
      </c>
      <c r="M46" s="71">
        <v>45523</v>
      </c>
      <c r="N46" s="11">
        <v>60000</v>
      </c>
      <c r="O46" s="11" t="s">
        <v>25</v>
      </c>
      <c r="P46" s="11"/>
      <c r="Q46" s="11"/>
      <c r="R46" s="11"/>
      <c r="S46" s="11"/>
      <c r="T46" s="11"/>
      <c r="U46" s="11"/>
      <c r="V46" s="11"/>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f t="shared" si="65"/>
        <v>800000</v>
      </c>
      <c r="BJ46" s="66">
        <f>H46+N46</f>
        <v>170000</v>
      </c>
      <c r="BK46" s="66"/>
      <c r="BL46" s="3">
        <f>E46+K46</f>
        <v>630000</v>
      </c>
      <c r="BM46" s="184">
        <f t="shared" si="36"/>
        <v>800000</v>
      </c>
      <c r="BN46" s="711" t="b">
        <f t="shared" si="37"/>
        <v>1</v>
      </c>
      <c r="BO46" s="10"/>
      <c r="BP46" s="200">
        <v>0</v>
      </c>
      <c r="BQ46" s="3"/>
      <c r="BR46" s="200">
        <v>0</v>
      </c>
      <c r="BS46" s="205"/>
      <c r="BT46" s="200"/>
      <c r="BU46" s="3"/>
      <c r="BV46" s="3"/>
      <c r="BW46" s="3"/>
      <c r="BX46" s="231"/>
      <c r="BY46" s="3"/>
      <c r="BZ46" s="3"/>
      <c r="CA46" s="71">
        <v>46119</v>
      </c>
      <c r="CB46" s="3">
        <v>2500000</v>
      </c>
      <c r="CC46" s="3"/>
      <c r="CD46" s="3"/>
      <c r="CE46" s="3"/>
      <c r="CF46" s="3"/>
      <c r="CG46" s="3"/>
      <c r="CH46" s="3"/>
      <c r="CI46" s="3"/>
      <c r="CJ46" s="3"/>
      <c r="CK46" s="3"/>
      <c r="CL46" s="3"/>
      <c r="CM46" s="189">
        <f t="shared" si="38"/>
        <v>2500000</v>
      </c>
      <c r="CN46" s="189">
        <f t="shared" si="39"/>
        <v>3300000</v>
      </c>
      <c r="CO46" s="189">
        <f t="shared" si="40"/>
        <v>11892.740003336929</v>
      </c>
      <c r="CP46" s="190">
        <f t="shared" si="41"/>
        <v>800000</v>
      </c>
      <c r="CQ46" s="189">
        <f t="shared" si="42"/>
        <v>10477.037102493292</v>
      </c>
      <c r="CR46" s="189">
        <f t="shared" si="43"/>
        <v>15979.39329399593</v>
      </c>
      <c r="CS46" s="189">
        <f t="shared" si="44"/>
        <v>800000</v>
      </c>
      <c r="CT46" s="189">
        <f t="shared" si="45"/>
        <v>11379.115489830356</v>
      </c>
      <c r="CU46" s="189">
        <f t="shared" si="46"/>
        <v>800000</v>
      </c>
      <c r="CV46" s="189">
        <f t="shared" si="47"/>
        <v>27162.483227552439</v>
      </c>
      <c r="CW46" s="189">
        <f t="shared" si="48"/>
        <v>800000</v>
      </c>
      <c r="CX46" s="189">
        <f t="shared" si="49"/>
        <v>7771.8556954560363</v>
      </c>
      <c r="CY46" s="189">
        <f t="shared" si="50"/>
        <v>3300000</v>
      </c>
      <c r="CZ46" s="388">
        <f t="shared" si="51"/>
        <v>5099.329909109606</v>
      </c>
      <c r="DA46" s="189">
        <f t="shared" si="52"/>
        <v>13118.678429475436</v>
      </c>
      <c r="DB46" s="189">
        <f t="shared" si="53"/>
        <v>3300000</v>
      </c>
      <c r="DC46" s="189">
        <f t="shared" si="54"/>
        <v>18597.69332821939</v>
      </c>
      <c r="DD46" s="189">
        <f t="shared" si="55"/>
        <v>12592.404782046828</v>
      </c>
      <c r="DE46" s="189">
        <f t="shared" si="56"/>
        <v>3300000</v>
      </c>
      <c r="DF46" s="189">
        <f t="shared" si="57"/>
        <v>8848.0542269404486</v>
      </c>
      <c r="DG46" s="189">
        <f t="shared" si="58"/>
        <v>29543.585174328473</v>
      </c>
      <c r="DH46" s="189">
        <v>3472462.3706627861</v>
      </c>
      <c r="DI46" s="189">
        <f>'Member position mfumo and excel'!F48</f>
        <v>3472462.37</v>
      </c>
      <c r="DJ46" s="189">
        <f t="shared" si="35"/>
        <v>6.6278595477342606E-4</v>
      </c>
      <c r="DK46" s="189">
        <f t="shared" si="59"/>
        <v>35654.408705790098</v>
      </c>
      <c r="DL46" s="189">
        <f t="shared" si="60"/>
        <v>9931.4214778959577</v>
      </c>
      <c r="DM46" s="189"/>
      <c r="DN46" s="189"/>
      <c r="DO46" s="189"/>
      <c r="DP46" s="189"/>
      <c r="DQ46" s="189"/>
      <c r="DR46" s="189"/>
      <c r="DS46" s="186">
        <f t="shared" si="61"/>
        <v>3518048.2008464723</v>
      </c>
      <c r="DT46" s="1" t="b">
        <f t="shared" si="31"/>
        <v>1</v>
      </c>
      <c r="DU46" s="247" t="str">
        <f t="shared" si="62"/>
        <v xml:space="preserve">Ernest Phelician Shirima </v>
      </c>
      <c r="DV46" s="249">
        <f t="shared" si="63"/>
        <v>3518048.2008464723</v>
      </c>
      <c r="DW46" s="248">
        <f t="shared" si="64"/>
        <v>218048.20084647229</v>
      </c>
      <c r="DZ46" s="1">
        <f t="shared" si="32"/>
        <v>849728.28588965652</v>
      </c>
      <c r="EB46" s="1">
        <f t="shared" si="33"/>
        <v>876890.7691172089</v>
      </c>
    </row>
    <row r="47" spans="1:132" s="1" customFormat="1" x14ac:dyDescent="0.35">
      <c r="A47" s="210" t="s">
        <v>280</v>
      </c>
      <c r="B47" s="7" t="s">
        <v>779</v>
      </c>
      <c r="C47" s="72" t="s">
        <v>89</v>
      </c>
      <c r="D47" s="71">
        <v>45660</v>
      </c>
      <c r="E47" s="11">
        <v>1000000</v>
      </c>
      <c r="F47" s="11" t="s">
        <v>27</v>
      </c>
      <c r="G47" s="71"/>
      <c r="H47" s="11"/>
      <c r="I47" s="545"/>
      <c r="J47" s="545"/>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f t="shared" si="65"/>
        <v>1000000</v>
      </c>
      <c r="BJ47" s="66"/>
      <c r="BK47" s="66"/>
      <c r="BL47" s="3">
        <f>E47</f>
        <v>1000000</v>
      </c>
      <c r="BM47" s="184">
        <f t="shared" si="36"/>
        <v>1000000</v>
      </c>
      <c r="BN47" s="1" t="b">
        <f t="shared" si="37"/>
        <v>1</v>
      </c>
      <c r="BO47" s="10"/>
      <c r="BP47" s="200">
        <v>0</v>
      </c>
      <c r="BQ47" s="3"/>
      <c r="BR47" s="200">
        <v>0</v>
      </c>
      <c r="BS47" s="205"/>
      <c r="BT47" s="200"/>
      <c r="BU47" s="3"/>
      <c r="BV47" s="3"/>
      <c r="BW47" s="3"/>
      <c r="BX47" s="231"/>
      <c r="BY47" s="71">
        <v>46096</v>
      </c>
      <c r="BZ47" s="3">
        <f>350000+1600000</f>
        <v>1950000</v>
      </c>
      <c r="CA47" s="71">
        <v>46132</v>
      </c>
      <c r="CB47" s="3">
        <v>200000</v>
      </c>
      <c r="CC47" s="3"/>
      <c r="CD47" s="3"/>
      <c r="CE47" s="71">
        <v>46185</v>
      </c>
      <c r="CF47" s="3">
        <f>2500000+3500000</f>
        <v>6000000</v>
      </c>
      <c r="CG47" s="71">
        <v>46206</v>
      </c>
      <c r="CH47" s="3">
        <f>700000+500000</f>
        <v>1200000</v>
      </c>
      <c r="CI47" s="3"/>
      <c r="CJ47" s="3"/>
      <c r="CK47" s="3"/>
      <c r="CL47" s="3"/>
      <c r="CM47" s="189">
        <f t="shared" si="38"/>
        <v>9350000</v>
      </c>
      <c r="CN47" s="189">
        <f t="shared" si="39"/>
        <v>10350000</v>
      </c>
      <c r="CO47" s="189">
        <f t="shared" si="40"/>
        <v>14865.92500417116</v>
      </c>
      <c r="CP47" s="190">
        <f t="shared" si="41"/>
        <v>1000000</v>
      </c>
      <c r="CQ47" s="189">
        <f t="shared" si="42"/>
        <v>13096.296378116613</v>
      </c>
      <c r="CR47" s="189">
        <f t="shared" si="43"/>
        <v>19974.24161749491</v>
      </c>
      <c r="CS47" s="189">
        <f t="shared" si="44"/>
        <v>1000000</v>
      </c>
      <c r="CT47" s="189">
        <f t="shared" si="45"/>
        <v>14223.894362287945</v>
      </c>
      <c r="CU47" s="189">
        <f t="shared" si="46"/>
        <v>1000000</v>
      </c>
      <c r="CV47" s="189">
        <f t="shared" si="47"/>
        <v>33953.104034440548</v>
      </c>
      <c r="CW47" s="189">
        <f t="shared" si="48"/>
        <v>2950000</v>
      </c>
      <c r="CX47" s="189">
        <f t="shared" si="49"/>
        <v>28658.717876994131</v>
      </c>
      <c r="CY47" s="189">
        <f t="shared" si="50"/>
        <v>3150000</v>
      </c>
      <c r="CZ47" s="388">
        <f t="shared" si="51"/>
        <v>4867.5421859682601</v>
      </c>
      <c r="DA47" s="189">
        <f t="shared" si="52"/>
        <v>12522.374864499279</v>
      </c>
      <c r="DB47" s="189">
        <f t="shared" si="53"/>
        <v>3150000</v>
      </c>
      <c r="DC47" s="189">
        <f t="shared" si="54"/>
        <v>17752.343631482145</v>
      </c>
      <c r="DD47" s="189">
        <f t="shared" si="55"/>
        <v>12020.022746499246</v>
      </c>
      <c r="DE47" s="189">
        <f t="shared" si="56"/>
        <v>9150000</v>
      </c>
      <c r="DF47" s="189">
        <f t="shared" si="57"/>
        <v>24533.241265607609</v>
      </c>
      <c r="DG47" s="189">
        <f t="shared" si="58"/>
        <v>81916.304347001686</v>
      </c>
      <c r="DH47" s="189">
        <v>10628384.008314565</v>
      </c>
      <c r="DI47" s="189">
        <f>'Member position mfumo and excel'!F49</f>
        <v>10628383.99</v>
      </c>
      <c r="DJ47" s="189">
        <f t="shared" si="35"/>
        <v>1.8314564600586891E-2</v>
      </c>
      <c r="DK47" s="189">
        <f t="shared" si="59"/>
        <v>109129.6915169167</v>
      </c>
      <c r="DL47" s="189">
        <f t="shared" si="60"/>
        <v>30397.726439683203</v>
      </c>
      <c r="DM47" s="189"/>
      <c r="DN47" s="189"/>
      <c r="DO47" s="189"/>
      <c r="DP47" s="189"/>
      <c r="DQ47" s="189"/>
      <c r="DR47" s="189"/>
      <c r="DS47" s="186">
        <f t="shared" si="61"/>
        <v>10767911.426271165</v>
      </c>
      <c r="DT47" s="1" t="b">
        <f t="shared" si="31"/>
        <v>1</v>
      </c>
      <c r="DU47" s="247" t="str">
        <f t="shared" si="62"/>
        <v>Adolph William Ndeabura</v>
      </c>
      <c r="DV47" s="249">
        <f t="shared" si="63"/>
        <v>10767911.426271165</v>
      </c>
      <c r="DW47" s="248">
        <f t="shared" si="64"/>
        <v>417911.42627116479</v>
      </c>
      <c r="DZ47" s="1">
        <f t="shared" si="32"/>
        <v>1062160.3573620706</v>
      </c>
      <c r="EB47" s="1">
        <f t="shared" si="33"/>
        <v>1096113.4613965112</v>
      </c>
    </row>
    <row r="48" spans="1:132" s="1" customFormat="1" x14ac:dyDescent="0.35">
      <c r="A48" s="210" t="s">
        <v>281</v>
      </c>
      <c r="B48" s="7" t="s">
        <v>67</v>
      </c>
      <c r="C48" s="522"/>
      <c r="D48" s="71">
        <v>45369</v>
      </c>
      <c r="E48" s="11">
        <v>63000</v>
      </c>
      <c r="F48" s="11" t="s">
        <v>27</v>
      </c>
      <c r="G48" s="71">
        <v>45392</v>
      </c>
      <c r="H48" s="11">
        <v>50000</v>
      </c>
      <c r="I48" s="545" t="s">
        <v>27</v>
      </c>
      <c r="J48" s="555">
        <v>45635</v>
      </c>
      <c r="K48" s="11">
        <v>100000</v>
      </c>
      <c r="L48" s="11" t="s">
        <v>26</v>
      </c>
      <c r="M48" s="71">
        <v>45653</v>
      </c>
      <c r="N48" s="11">
        <v>300000</v>
      </c>
      <c r="O48" s="11" t="s">
        <v>26</v>
      </c>
      <c r="P48" s="71">
        <v>45909</v>
      </c>
      <c r="Q48" s="11">
        <v>200000</v>
      </c>
      <c r="R48" s="11" t="s">
        <v>26</v>
      </c>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f t="shared" si="65"/>
        <v>713000</v>
      </c>
      <c r="BJ48" s="66"/>
      <c r="BK48" s="66"/>
      <c r="BL48" s="3">
        <f>E48+H48+K48+N48+Q48</f>
        <v>713000</v>
      </c>
      <c r="BM48" s="184">
        <f t="shared" si="36"/>
        <v>713000</v>
      </c>
      <c r="BN48" s="711" t="b">
        <f t="shared" si="37"/>
        <v>1</v>
      </c>
      <c r="BO48" s="10"/>
      <c r="BP48" s="200">
        <v>0</v>
      </c>
      <c r="BQ48" s="3"/>
      <c r="BR48" s="200">
        <v>0</v>
      </c>
      <c r="BS48" s="205"/>
      <c r="BT48" s="200"/>
      <c r="BU48" s="3"/>
      <c r="BV48" s="3"/>
      <c r="BW48" s="3"/>
      <c r="BX48" s="231"/>
      <c r="BY48" s="71">
        <v>46093</v>
      </c>
      <c r="BZ48" s="3">
        <v>100000</v>
      </c>
      <c r="CA48" s="3"/>
      <c r="CB48" s="3"/>
      <c r="CC48" s="3"/>
      <c r="CD48" s="3"/>
      <c r="CE48" s="3"/>
      <c r="CF48" s="3"/>
      <c r="CG48" s="71">
        <v>46210</v>
      </c>
      <c r="CH48" s="3">
        <f>200000+2500000</f>
        <v>2700000</v>
      </c>
      <c r="CI48" s="3"/>
      <c r="CJ48" s="3"/>
      <c r="CK48" s="3"/>
      <c r="CL48" s="3"/>
      <c r="CM48" s="189">
        <f t="shared" si="38"/>
        <v>2800000</v>
      </c>
      <c r="CN48" s="189">
        <f t="shared" si="39"/>
        <v>3513000</v>
      </c>
      <c r="CO48" s="189">
        <f t="shared" si="40"/>
        <v>10599.404527974037</v>
      </c>
      <c r="CP48" s="190">
        <f t="shared" si="41"/>
        <v>713000</v>
      </c>
      <c r="CQ48" s="189">
        <f t="shared" si="42"/>
        <v>9337.6593175971448</v>
      </c>
      <c r="CR48" s="189">
        <f t="shared" si="43"/>
        <v>14241.634273273872</v>
      </c>
      <c r="CS48" s="189">
        <f t="shared" si="44"/>
        <v>713000</v>
      </c>
      <c r="CT48" s="189">
        <f t="shared" si="45"/>
        <v>10141.636680311303</v>
      </c>
      <c r="CU48" s="189">
        <f t="shared" si="46"/>
        <v>713000</v>
      </c>
      <c r="CV48" s="189">
        <f t="shared" si="47"/>
        <v>24208.563176556112</v>
      </c>
      <c r="CW48" s="189">
        <f t="shared" si="48"/>
        <v>813000</v>
      </c>
      <c r="CX48" s="189">
        <f t="shared" si="49"/>
        <v>7898.1483505071965</v>
      </c>
      <c r="CY48" s="189">
        <f t="shared" si="50"/>
        <v>813000</v>
      </c>
      <c r="CZ48" s="388">
        <f t="shared" si="51"/>
        <v>1256.2894594260938</v>
      </c>
      <c r="DA48" s="189">
        <f t="shared" si="52"/>
        <v>3231.9653221707663</v>
      </c>
      <c r="DB48" s="189">
        <f t="shared" si="53"/>
        <v>813000</v>
      </c>
      <c r="DC48" s="189">
        <f t="shared" si="54"/>
        <v>4581.795356315868</v>
      </c>
      <c r="DD48" s="189">
        <f t="shared" si="55"/>
        <v>3102.3106326679003</v>
      </c>
      <c r="DE48" s="189">
        <f t="shared" si="56"/>
        <v>813000</v>
      </c>
      <c r="DF48" s="189">
        <f t="shared" si="57"/>
        <v>2179.8388140916923</v>
      </c>
      <c r="DG48" s="189">
        <f t="shared" si="58"/>
        <v>7278.4650747663782</v>
      </c>
      <c r="DH48" s="189">
        <v>3611057.7109856587</v>
      </c>
      <c r="DI48" s="189">
        <f>'Member position mfumo and excel'!F50</f>
        <v>3611057.72</v>
      </c>
      <c r="DJ48" s="189">
        <f t="shared" si="35"/>
        <v>-9.0143415145576E-3</v>
      </c>
      <c r="DK48" s="189">
        <f t="shared" si="59"/>
        <v>37077.472336468578</v>
      </c>
      <c r="DL48" s="189">
        <f t="shared" si="60"/>
        <v>10327.81129949571</v>
      </c>
      <c r="DM48" s="189"/>
      <c r="DN48" s="189"/>
      <c r="DO48" s="189"/>
      <c r="DP48" s="189"/>
      <c r="DQ48" s="189"/>
      <c r="DR48" s="189"/>
      <c r="DS48" s="186">
        <f t="shared" si="61"/>
        <v>3658462.9946216233</v>
      </c>
      <c r="DT48" s="1" t="b">
        <f t="shared" si="31"/>
        <v>1</v>
      </c>
      <c r="DU48" s="247" t="str">
        <f t="shared" si="62"/>
        <v xml:space="preserve">Emmanuel Msaki </v>
      </c>
      <c r="DV48" s="249">
        <f t="shared" si="63"/>
        <v>3658462.9946216233</v>
      </c>
      <c r="DW48" s="248">
        <f t="shared" si="64"/>
        <v>145462.99462162331</v>
      </c>
      <c r="DZ48" s="1">
        <f t="shared" si="32"/>
        <v>757320.33479915641</v>
      </c>
      <c r="EB48" s="1">
        <f t="shared" si="33"/>
        <v>781528.89797571255</v>
      </c>
    </row>
    <row r="49" spans="1:132" s="1" customFormat="1" x14ac:dyDescent="0.35">
      <c r="A49" s="210" t="s">
        <v>282</v>
      </c>
      <c r="B49" s="7" t="s">
        <v>1030</v>
      </c>
      <c r="C49" s="522" t="s">
        <v>1175</v>
      </c>
      <c r="D49" s="71">
        <v>45370</v>
      </c>
      <c r="E49" s="11">
        <v>50000</v>
      </c>
      <c r="F49" s="11" t="s">
        <v>29</v>
      </c>
      <c r="G49" s="71">
        <v>45370</v>
      </c>
      <c r="H49" s="11">
        <v>50000</v>
      </c>
      <c r="I49" s="545" t="s">
        <v>27</v>
      </c>
      <c r="J49" s="555">
        <v>45386</v>
      </c>
      <c r="K49" s="11">
        <v>100000</v>
      </c>
      <c r="L49" s="11" t="s">
        <v>26</v>
      </c>
      <c r="M49" s="71">
        <v>45386</v>
      </c>
      <c r="N49" s="11">
        <v>10000</v>
      </c>
      <c r="O49" s="11" t="s">
        <v>25</v>
      </c>
      <c r="P49" s="71">
        <v>45641</v>
      </c>
      <c r="Q49" s="11">
        <v>150000</v>
      </c>
      <c r="R49" s="11" t="s">
        <v>27</v>
      </c>
      <c r="S49" s="71">
        <v>45649</v>
      </c>
      <c r="T49" s="11">
        <v>100000</v>
      </c>
      <c r="U49" s="11" t="s">
        <v>27</v>
      </c>
      <c r="V49" s="71">
        <v>45658</v>
      </c>
      <c r="W49" s="11">
        <v>50000</v>
      </c>
      <c r="X49" s="11" t="s">
        <v>27</v>
      </c>
      <c r="Y49" s="71">
        <v>45661</v>
      </c>
      <c r="Z49" s="11">
        <v>200000</v>
      </c>
      <c r="AA49" s="11" t="s">
        <v>27</v>
      </c>
      <c r="AB49" s="71">
        <v>45708</v>
      </c>
      <c r="AC49" s="11">
        <v>300000</v>
      </c>
      <c r="AD49" s="11" t="s">
        <v>27</v>
      </c>
      <c r="AE49" s="71">
        <v>45711</v>
      </c>
      <c r="AF49" s="11">
        <v>100000</v>
      </c>
      <c r="AG49" s="11" t="s">
        <v>30</v>
      </c>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f t="shared" si="65"/>
        <v>1110000</v>
      </c>
      <c r="BJ49" s="66">
        <f>E49+N49</f>
        <v>60000</v>
      </c>
      <c r="BK49" s="66">
        <f>AF49</f>
        <v>100000</v>
      </c>
      <c r="BL49" s="3">
        <f>H49+K49+Q49+T49+W49+Z49+AC49</f>
        <v>950000</v>
      </c>
      <c r="BM49" s="184">
        <f t="shared" si="36"/>
        <v>1110000</v>
      </c>
      <c r="BN49" s="711" t="b">
        <f t="shared" si="37"/>
        <v>1</v>
      </c>
      <c r="BO49" s="10"/>
      <c r="BP49" s="200">
        <v>0</v>
      </c>
      <c r="BQ49" s="3"/>
      <c r="BR49" s="200">
        <v>0</v>
      </c>
      <c r="BS49" s="205"/>
      <c r="BT49" s="200"/>
      <c r="BU49" s="3"/>
      <c r="BV49" s="3"/>
      <c r="BW49" s="71">
        <v>46075</v>
      </c>
      <c r="BX49" s="231">
        <v>300000</v>
      </c>
      <c r="BY49" s="71">
        <v>46111</v>
      </c>
      <c r="BZ49" s="231">
        <v>250000</v>
      </c>
      <c r="CA49" s="71"/>
      <c r="CB49" s="3"/>
      <c r="CC49" s="71">
        <v>46143</v>
      </c>
      <c r="CD49" s="3">
        <f>300000+150000</f>
        <v>450000</v>
      </c>
      <c r="CE49" s="71">
        <v>46185</v>
      </c>
      <c r="CF49" s="3">
        <f>650000+380000</f>
        <v>1030000</v>
      </c>
      <c r="CG49" s="71">
        <v>46204</v>
      </c>
      <c r="CH49" s="3">
        <v>200000</v>
      </c>
      <c r="CI49" s="3"/>
      <c r="CJ49" s="3"/>
      <c r="CK49" s="3"/>
      <c r="CL49" s="3"/>
      <c r="CM49" s="189">
        <f t="shared" si="38"/>
        <v>2230000</v>
      </c>
      <c r="CN49" s="189">
        <f t="shared" si="39"/>
        <v>3340000</v>
      </c>
      <c r="CO49" s="189">
        <f t="shared" si="40"/>
        <v>16501.176754629989</v>
      </c>
      <c r="CP49" s="190">
        <f t="shared" si="41"/>
        <v>1110000</v>
      </c>
      <c r="CQ49" s="189">
        <f t="shared" si="42"/>
        <v>14536.88897970944</v>
      </c>
      <c r="CR49" s="189">
        <f t="shared" si="43"/>
        <v>22171.40819541935</v>
      </c>
      <c r="CS49" s="189">
        <f t="shared" si="44"/>
        <v>1110000</v>
      </c>
      <c r="CT49" s="189">
        <f t="shared" si="45"/>
        <v>15788.522742139619</v>
      </c>
      <c r="CU49" s="189">
        <f t="shared" si="46"/>
        <v>1410000</v>
      </c>
      <c r="CV49" s="189">
        <f t="shared" si="47"/>
        <v>47873.876688561169</v>
      </c>
      <c r="CW49" s="189">
        <f t="shared" si="48"/>
        <v>1660000</v>
      </c>
      <c r="CX49" s="189">
        <f t="shared" si="49"/>
        <v>16126.600568071275</v>
      </c>
      <c r="CY49" s="189">
        <f t="shared" si="50"/>
        <v>1660000</v>
      </c>
      <c r="CZ49" s="388">
        <f t="shared" si="51"/>
        <v>2565.1174694308925</v>
      </c>
      <c r="DA49" s="189">
        <f t="shared" si="52"/>
        <v>6599.0927857361285</v>
      </c>
      <c r="DB49" s="189">
        <f t="shared" si="53"/>
        <v>2110000</v>
      </c>
      <c r="DC49" s="189">
        <f t="shared" si="54"/>
        <v>11891.25240077058</v>
      </c>
      <c r="DD49" s="189">
        <f t="shared" si="55"/>
        <v>8051.5073000360026</v>
      </c>
      <c r="DE49" s="189">
        <f t="shared" si="56"/>
        <v>3140000</v>
      </c>
      <c r="DF49" s="189">
        <f t="shared" si="57"/>
        <v>8419.0576583615166</v>
      </c>
      <c r="DG49" s="189">
        <f t="shared" si="58"/>
        <v>28111.16892345194</v>
      </c>
      <c r="DH49" s="189">
        <v>3538635.6704663187</v>
      </c>
      <c r="DI49" s="189">
        <f>'Member position mfumo and excel'!F51</f>
        <v>3538635.68</v>
      </c>
      <c r="DJ49" s="189">
        <f t="shared" si="35"/>
        <v>-9.5336814410984516E-3</v>
      </c>
      <c r="DK49" s="189">
        <f t="shared" si="59"/>
        <v>36333.860237515575</v>
      </c>
      <c r="DL49" s="189">
        <f t="shared" si="60"/>
        <v>10120.68052832783</v>
      </c>
      <c r="DM49" s="189"/>
      <c r="DN49" s="189"/>
      <c r="DO49" s="189"/>
      <c r="DP49" s="189"/>
      <c r="DQ49" s="189"/>
      <c r="DR49" s="189"/>
      <c r="DS49" s="186">
        <f t="shared" si="61"/>
        <v>3585090.2112321621</v>
      </c>
      <c r="DT49" s="1" t="b">
        <f t="shared" si="31"/>
        <v>1</v>
      </c>
      <c r="DU49" s="247" t="str">
        <f t="shared" si="62"/>
        <v xml:space="preserve">Nixon Billiam Matowo </v>
      </c>
      <c r="DV49" s="249">
        <f t="shared" si="63"/>
        <v>3585090.2112321621</v>
      </c>
      <c r="DW49" s="248">
        <f t="shared" si="64"/>
        <v>245090.21123216208</v>
      </c>
      <c r="DZ49" s="1">
        <f t="shared" si="32"/>
        <v>1178997.9966718983</v>
      </c>
      <c r="EB49" s="1">
        <f t="shared" si="33"/>
        <v>1526871.8733604595</v>
      </c>
    </row>
    <row r="50" spans="1:132" s="1" customFormat="1" x14ac:dyDescent="0.35">
      <c r="A50" s="210" t="s">
        <v>283</v>
      </c>
      <c r="B50" s="7" t="s">
        <v>53</v>
      </c>
      <c r="C50" s="522" t="s">
        <v>1176</v>
      </c>
      <c r="D50" s="71">
        <v>45359</v>
      </c>
      <c r="E50" s="11">
        <v>50000</v>
      </c>
      <c r="F50" s="11" t="s">
        <v>27</v>
      </c>
      <c r="G50" s="71">
        <v>45360</v>
      </c>
      <c r="H50" s="11">
        <v>90000</v>
      </c>
      <c r="I50" s="545" t="s">
        <v>27</v>
      </c>
      <c r="J50" s="555">
        <v>45360</v>
      </c>
      <c r="K50" s="11">
        <v>30000</v>
      </c>
      <c r="L50" s="11" t="s">
        <v>29</v>
      </c>
      <c r="M50" s="71">
        <v>45380</v>
      </c>
      <c r="N50" s="11">
        <v>150000</v>
      </c>
      <c r="O50" s="11" t="s">
        <v>27</v>
      </c>
      <c r="P50" s="71">
        <v>45380</v>
      </c>
      <c r="Q50" s="11">
        <v>30000</v>
      </c>
      <c r="R50" s="11" t="s">
        <v>29</v>
      </c>
      <c r="S50" s="71">
        <v>45905</v>
      </c>
      <c r="T50" s="11">
        <v>250000</v>
      </c>
      <c r="U50" s="11" t="s">
        <v>27</v>
      </c>
      <c r="V50" s="71">
        <v>45909</v>
      </c>
      <c r="W50" s="11">
        <v>100000</v>
      </c>
      <c r="X50" s="11" t="s">
        <v>30</v>
      </c>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f t="shared" si="65"/>
        <v>700000</v>
      </c>
      <c r="BJ50" s="66">
        <f>K50+Q50</f>
        <v>60000</v>
      </c>
      <c r="BK50" s="66">
        <f>W50</f>
        <v>100000</v>
      </c>
      <c r="BL50" s="3">
        <f>E50+H50+N50+T50</f>
        <v>540000</v>
      </c>
      <c r="BM50" s="184">
        <f t="shared" si="36"/>
        <v>700000</v>
      </c>
      <c r="BN50" s="711" t="b">
        <f t="shared" si="37"/>
        <v>1</v>
      </c>
      <c r="BO50" s="10"/>
      <c r="BP50" s="200">
        <v>0</v>
      </c>
      <c r="BQ50" s="71">
        <v>45966</v>
      </c>
      <c r="BR50" s="202">
        <f>150000+500000</f>
        <v>650000</v>
      </c>
      <c r="BS50" s="206">
        <v>46001</v>
      </c>
      <c r="BT50" s="200">
        <v>300000</v>
      </c>
      <c r="BU50" s="71">
        <v>46053</v>
      </c>
      <c r="BV50" s="204">
        <v>294949</v>
      </c>
      <c r="BW50" s="71">
        <v>46067</v>
      </c>
      <c r="BX50" s="231">
        <f>150000+750000+100000</f>
        <v>1000000</v>
      </c>
      <c r="BY50" s="71">
        <v>46082</v>
      </c>
      <c r="BZ50" s="231">
        <f>200000+150000</f>
        <v>350000</v>
      </c>
      <c r="CA50" s="71">
        <v>46132</v>
      </c>
      <c r="CB50" s="3">
        <f>690335+500000</f>
        <v>1190335</v>
      </c>
      <c r="CC50" s="71">
        <v>46143</v>
      </c>
      <c r="CD50" s="3">
        <f>340000+335238</f>
        <v>675238</v>
      </c>
      <c r="CE50" s="3"/>
      <c r="CF50" s="3"/>
      <c r="CG50" s="71">
        <v>46230</v>
      </c>
      <c r="CH50" s="3">
        <v>100000</v>
      </c>
      <c r="CI50" s="3"/>
      <c r="CJ50" s="3"/>
      <c r="CK50" s="3"/>
      <c r="CL50" s="3"/>
      <c r="CM50" s="189">
        <f t="shared" si="38"/>
        <v>4560522</v>
      </c>
      <c r="CN50" s="189">
        <f t="shared" si="39"/>
        <v>5260522</v>
      </c>
      <c r="CO50" s="189">
        <f t="shared" si="40"/>
        <v>10406.147502919812</v>
      </c>
      <c r="CP50" s="190">
        <f t="shared" si="41"/>
        <v>1350000</v>
      </c>
      <c r="CQ50" s="189">
        <f t="shared" si="42"/>
        <v>17680.000110457426</v>
      </c>
      <c r="CR50" s="189">
        <f t="shared" si="43"/>
        <v>26965.226183618128</v>
      </c>
      <c r="CS50" s="189">
        <f t="shared" si="44"/>
        <v>1944949</v>
      </c>
      <c r="CT50" s="189">
        <f t="shared" si="45"/>
        <v>27664.749116037576</v>
      </c>
      <c r="CU50" s="189">
        <f t="shared" si="46"/>
        <v>2944949</v>
      </c>
      <c r="CV50" s="189">
        <f t="shared" si="47"/>
        <v>99990.159773121661</v>
      </c>
      <c r="CW50" s="189">
        <f t="shared" si="48"/>
        <v>3294949</v>
      </c>
      <c r="CX50" s="189">
        <f t="shared" si="49"/>
        <v>32009.835189858961</v>
      </c>
      <c r="CY50" s="189">
        <f t="shared" si="50"/>
        <v>4485284</v>
      </c>
      <c r="CZ50" s="388">
        <f t="shared" si="51"/>
        <v>6930.8917733487178</v>
      </c>
      <c r="DA50" s="189">
        <f t="shared" si="52"/>
        <v>17830.605594203425</v>
      </c>
      <c r="DB50" s="189">
        <f t="shared" si="53"/>
        <v>5160522</v>
      </c>
      <c r="DC50" s="189">
        <f t="shared" si="54"/>
        <v>29082.971384705874</v>
      </c>
      <c r="DD50" s="189">
        <f t="shared" si="55"/>
        <v>19691.933912320565</v>
      </c>
      <c r="DE50" s="189">
        <f t="shared" si="56"/>
        <v>5160522</v>
      </c>
      <c r="DF50" s="189">
        <f t="shared" si="57"/>
        <v>13836.538937975507</v>
      </c>
      <c r="DG50" s="189">
        <f t="shared" si="58"/>
        <v>46200.097348786636</v>
      </c>
      <c r="DH50" s="189">
        <v>5608811.1568273567</v>
      </c>
      <c r="DI50" s="189">
        <f>'Member position mfumo and excel'!F52</f>
        <v>5608811.1699999999</v>
      </c>
      <c r="DJ50" s="189">
        <f t="shared" si="35"/>
        <v>-1.3172643259167671E-2</v>
      </c>
      <c r="DK50" s="189">
        <f t="shared" si="59"/>
        <v>57589.924380072727</v>
      </c>
      <c r="DL50" s="189">
        <f t="shared" si="60"/>
        <v>16041.489191932005</v>
      </c>
      <c r="DM50" s="189"/>
      <c r="DN50" s="189"/>
      <c r="DO50" s="189"/>
      <c r="DP50" s="189"/>
      <c r="DQ50" s="189"/>
      <c r="DR50" s="189"/>
      <c r="DS50" s="186">
        <f t="shared" si="61"/>
        <v>5682442.5703993607</v>
      </c>
      <c r="DT50" s="1" t="b">
        <f t="shared" si="31"/>
        <v>1</v>
      </c>
      <c r="DU50" s="247" t="str">
        <f t="shared" si="62"/>
        <v xml:space="preserve">Liggyle Vumilia </v>
      </c>
      <c r="DV50" s="249">
        <f t="shared" si="63"/>
        <v>5682442.5703993607</v>
      </c>
      <c r="DW50" s="248">
        <f t="shared" si="64"/>
        <v>421920.57039936073</v>
      </c>
      <c r="DZ50" s="1">
        <f t="shared" si="32"/>
        <v>1732716.122913033</v>
      </c>
      <c r="EB50" s="1">
        <f t="shared" si="33"/>
        <v>3127655.2826861544</v>
      </c>
    </row>
    <row r="51" spans="1:132" s="1" customFormat="1" x14ac:dyDescent="0.35">
      <c r="A51" s="210" t="s">
        <v>284</v>
      </c>
      <c r="B51" s="7" t="s">
        <v>1317</v>
      </c>
      <c r="C51" s="522"/>
      <c r="D51" s="71">
        <v>45392</v>
      </c>
      <c r="E51" s="11">
        <v>90000</v>
      </c>
      <c r="F51" s="11" t="s">
        <v>29</v>
      </c>
      <c r="G51" s="71">
        <v>45392</v>
      </c>
      <c r="H51" s="11">
        <v>130000</v>
      </c>
      <c r="I51" s="545" t="s">
        <v>27</v>
      </c>
      <c r="J51" s="555">
        <v>45524</v>
      </c>
      <c r="K51" s="11">
        <v>80000</v>
      </c>
      <c r="L51" s="11" t="s">
        <v>27</v>
      </c>
      <c r="M51" s="71">
        <v>45529</v>
      </c>
      <c r="N51" s="11">
        <v>270000</v>
      </c>
      <c r="O51" s="11" t="s">
        <v>27</v>
      </c>
      <c r="P51" s="71">
        <v>45530</v>
      </c>
      <c r="Q51" s="11">
        <v>230000</v>
      </c>
      <c r="R51" s="11" t="s">
        <v>27</v>
      </c>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f t="shared" si="65"/>
        <v>800000</v>
      </c>
      <c r="BJ51" s="66">
        <f>E51</f>
        <v>90000</v>
      </c>
      <c r="BK51" s="66"/>
      <c r="BL51" s="3">
        <f>H51+K51+N51+Q51</f>
        <v>710000</v>
      </c>
      <c r="BM51" s="184">
        <f t="shared" si="36"/>
        <v>800000</v>
      </c>
      <c r="BN51" s="1" t="b">
        <f t="shared" si="37"/>
        <v>1</v>
      </c>
      <c r="BO51" s="10"/>
      <c r="BP51" s="200">
        <v>0</v>
      </c>
      <c r="BQ51" s="3"/>
      <c r="BR51" s="200">
        <v>0</v>
      </c>
      <c r="BS51" s="205"/>
      <c r="BT51" s="200"/>
      <c r="BU51" s="3"/>
      <c r="BV51" s="3"/>
      <c r="BW51" s="3"/>
      <c r="BX51" s="231"/>
      <c r="BY51" s="71">
        <v>46093</v>
      </c>
      <c r="BZ51" s="3">
        <v>500000</v>
      </c>
      <c r="CA51" s="3"/>
      <c r="CB51" s="3"/>
      <c r="CC51" s="3"/>
      <c r="CD51" s="3"/>
      <c r="CE51" s="3"/>
      <c r="CF51" s="3"/>
      <c r="CG51" s="71">
        <v>46226</v>
      </c>
      <c r="CH51" s="3">
        <f>3500000+5000000+5000000</f>
        <v>13500000</v>
      </c>
      <c r="CI51" s="3"/>
      <c r="CJ51" s="3"/>
      <c r="CK51" s="3"/>
      <c r="CL51" s="3"/>
      <c r="CM51" s="189">
        <f t="shared" si="38"/>
        <v>14000000</v>
      </c>
      <c r="CN51" s="189">
        <f t="shared" si="39"/>
        <v>14800000</v>
      </c>
      <c r="CO51" s="189">
        <f t="shared" si="40"/>
        <v>11892.740003336929</v>
      </c>
      <c r="CP51" s="190">
        <f t="shared" si="41"/>
        <v>800000</v>
      </c>
      <c r="CQ51" s="189">
        <f t="shared" si="42"/>
        <v>10477.037102493292</v>
      </c>
      <c r="CR51" s="189">
        <f t="shared" si="43"/>
        <v>15979.39329399593</v>
      </c>
      <c r="CS51" s="189">
        <f t="shared" si="44"/>
        <v>800000</v>
      </c>
      <c r="CT51" s="189">
        <f t="shared" si="45"/>
        <v>11379.115489830356</v>
      </c>
      <c r="CU51" s="189">
        <f t="shared" si="46"/>
        <v>800000</v>
      </c>
      <c r="CV51" s="189">
        <f t="shared" si="47"/>
        <v>27162.483227552439</v>
      </c>
      <c r="CW51" s="189">
        <f t="shared" si="48"/>
        <v>1300000</v>
      </c>
      <c r="CX51" s="189">
        <f t="shared" si="49"/>
        <v>12629.265505116058</v>
      </c>
      <c r="CY51" s="189">
        <f t="shared" si="50"/>
        <v>1300000</v>
      </c>
      <c r="CZ51" s="388">
        <f t="shared" si="51"/>
        <v>2008.826933891663</v>
      </c>
      <c r="DA51" s="189">
        <f t="shared" si="52"/>
        <v>5167.9642297933542</v>
      </c>
      <c r="DB51" s="189">
        <f t="shared" si="53"/>
        <v>1300000</v>
      </c>
      <c r="DC51" s="189">
        <f t="shared" si="54"/>
        <v>7326.3640383894572</v>
      </c>
      <c r="DD51" s="189">
        <f t="shared" si="55"/>
        <v>4960.6443080790541</v>
      </c>
      <c r="DE51" s="189">
        <f t="shared" si="56"/>
        <v>1300000</v>
      </c>
      <c r="DF51" s="189">
        <f t="shared" si="57"/>
        <v>3485.597119703813</v>
      </c>
      <c r="DG51" s="189">
        <f t="shared" si="58"/>
        <v>11638.382038371821</v>
      </c>
      <c r="DH51" s="189">
        <v>14924107.813290555</v>
      </c>
      <c r="DI51" s="189">
        <f>'Member position mfumo and excel'!F53</f>
        <v>14924107.810000001</v>
      </c>
      <c r="DJ51" s="189">
        <f t="shared" si="35"/>
        <v>3.2905545085668564E-3</v>
      </c>
      <c r="DK51" s="189">
        <f t="shared" si="59"/>
        <v>153237.1506858902</v>
      </c>
      <c r="DL51" s="189">
        <f t="shared" si="60"/>
        <v>42683.718080740073</v>
      </c>
      <c r="DM51" s="189"/>
      <c r="DN51" s="189"/>
      <c r="DO51" s="189"/>
      <c r="DP51" s="189"/>
      <c r="DQ51" s="189"/>
      <c r="DR51" s="189"/>
      <c r="DS51" s="186">
        <f t="shared" si="61"/>
        <v>15120028.682057185</v>
      </c>
      <c r="DT51" s="1" t="b">
        <f t="shared" si="31"/>
        <v>1</v>
      </c>
      <c r="DU51" s="247" t="str">
        <f t="shared" si="62"/>
        <v xml:space="preserve">Innocent John Umbulla </v>
      </c>
      <c r="DV51" s="249">
        <f t="shared" si="63"/>
        <v>15120028.682057185</v>
      </c>
      <c r="DW51" s="248">
        <f t="shared" si="64"/>
        <v>320028.6820571851</v>
      </c>
      <c r="DZ51" s="1">
        <f t="shared" si="32"/>
        <v>849728.28588965652</v>
      </c>
      <c r="EB51" s="1">
        <f t="shared" si="33"/>
        <v>876890.7691172089</v>
      </c>
    </row>
    <row r="52" spans="1:132" s="1" customFormat="1" x14ac:dyDescent="0.35">
      <c r="A52" s="210" t="s">
        <v>285</v>
      </c>
      <c r="B52" s="7" t="s">
        <v>62</v>
      </c>
      <c r="C52" s="522" t="s">
        <v>1177</v>
      </c>
      <c r="D52" s="71">
        <v>45363</v>
      </c>
      <c r="E52" s="11">
        <v>50000</v>
      </c>
      <c r="F52" s="11" t="s">
        <v>29</v>
      </c>
      <c r="G52" s="11"/>
      <c r="H52" s="11"/>
      <c r="I52" s="545"/>
      <c r="J52" s="545"/>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f t="shared" si="65"/>
        <v>50000</v>
      </c>
      <c r="BJ52" s="66">
        <f>E52</f>
        <v>50000</v>
      </c>
      <c r="BK52" s="66"/>
      <c r="BL52" s="3"/>
      <c r="BM52" s="184">
        <f t="shared" si="36"/>
        <v>50000</v>
      </c>
      <c r="BN52" s="711" t="b">
        <f t="shared" si="37"/>
        <v>1</v>
      </c>
      <c r="BO52" s="10"/>
      <c r="BP52" s="200">
        <v>0</v>
      </c>
      <c r="BQ52" s="3"/>
      <c r="BR52" s="200">
        <v>0</v>
      </c>
      <c r="BS52" s="205"/>
      <c r="BT52" s="200"/>
      <c r="BU52" s="3"/>
      <c r="BV52" s="3"/>
      <c r="BW52" s="3"/>
      <c r="BX52" s="231"/>
      <c r="BY52" s="71">
        <v>46099</v>
      </c>
      <c r="BZ52" s="3">
        <f>1000000+150000</f>
        <v>1150000</v>
      </c>
      <c r="CA52" s="71">
        <v>46126</v>
      </c>
      <c r="CB52" s="3">
        <v>100000</v>
      </c>
      <c r="CC52" s="3"/>
      <c r="CD52" s="3"/>
      <c r="CE52" s="71">
        <v>46184</v>
      </c>
      <c r="CF52" s="3">
        <f>250000+300000+300000+1150000</f>
        <v>2000000</v>
      </c>
      <c r="CG52" s="3"/>
      <c r="CH52" s="3"/>
      <c r="CI52" s="3"/>
      <c r="CJ52" s="3"/>
      <c r="CK52" s="3"/>
      <c r="CL52" s="3"/>
      <c r="CM52" s="189">
        <f t="shared" si="38"/>
        <v>3250000</v>
      </c>
      <c r="CN52" s="189">
        <f t="shared" si="39"/>
        <v>3300000</v>
      </c>
      <c r="CO52" s="189">
        <f t="shared" si="40"/>
        <v>743.29625020855804</v>
      </c>
      <c r="CP52" s="190">
        <f t="shared" si="41"/>
        <v>50000</v>
      </c>
      <c r="CQ52" s="189">
        <f t="shared" si="42"/>
        <v>654.81481890583075</v>
      </c>
      <c r="CR52" s="189">
        <f t="shared" si="43"/>
        <v>998.71208087474565</v>
      </c>
      <c r="CS52" s="189">
        <f t="shared" si="44"/>
        <v>50000</v>
      </c>
      <c r="CT52" s="189">
        <f t="shared" si="45"/>
        <v>711.19471811439723</v>
      </c>
      <c r="CU52" s="189">
        <f t="shared" si="46"/>
        <v>50000</v>
      </c>
      <c r="CV52" s="189">
        <f t="shared" si="47"/>
        <v>1697.6552017220274</v>
      </c>
      <c r="CW52" s="189">
        <f t="shared" si="48"/>
        <v>1200000</v>
      </c>
      <c r="CX52" s="189">
        <f t="shared" si="49"/>
        <v>11657.783543184054</v>
      </c>
      <c r="CY52" s="189">
        <f t="shared" si="50"/>
        <v>1300000</v>
      </c>
      <c r="CZ52" s="388">
        <f t="shared" si="51"/>
        <v>2008.826933891663</v>
      </c>
      <c r="DA52" s="189">
        <f t="shared" si="52"/>
        <v>5167.9642297933542</v>
      </c>
      <c r="DB52" s="189">
        <f t="shared" si="53"/>
        <v>1300000</v>
      </c>
      <c r="DC52" s="189">
        <f t="shared" si="54"/>
        <v>7326.3640383894572</v>
      </c>
      <c r="DD52" s="189">
        <f t="shared" si="55"/>
        <v>4960.6443080790541</v>
      </c>
      <c r="DE52" s="189">
        <f t="shared" si="56"/>
        <v>3300000</v>
      </c>
      <c r="DF52" s="189">
        <f t="shared" si="57"/>
        <v>8848.0542269404486</v>
      </c>
      <c r="DG52" s="189">
        <f t="shared" si="58"/>
        <v>29543.585174328473</v>
      </c>
      <c r="DH52" s="189">
        <v>3374318.8955244324</v>
      </c>
      <c r="DI52" s="189">
        <f>'Member position mfumo and excel'!F54</f>
        <v>3374318.88</v>
      </c>
      <c r="DJ52" s="189">
        <f t="shared" si="35"/>
        <v>1.5524432528764009E-2</v>
      </c>
      <c r="DK52" s="189">
        <f t="shared" si="59"/>
        <v>34646.695100610981</v>
      </c>
      <c r="DL52" s="189">
        <f t="shared" si="60"/>
        <v>9650.72607709357</v>
      </c>
      <c r="DM52" s="189"/>
      <c r="DN52" s="189"/>
      <c r="DO52" s="189"/>
      <c r="DP52" s="189"/>
      <c r="DQ52" s="189"/>
      <c r="DR52" s="189"/>
      <c r="DS52" s="186">
        <f t="shared" si="61"/>
        <v>3418616.3167021372</v>
      </c>
      <c r="DT52" s="1" t="b">
        <f t="shared" si="31"/>
        <v>1</v>
      </c>
      <c r="DU52" s="247" t="str">
        <f t="shared" si="62"/>
        <v xml:space="preserve">Nalogwa Kiula </v>
      </c>
      <c r="DV52" s="249">
        <f t="shared" si="63"/>
        <v>3418616.3167021372</v>
      </c>
      <c r="DW52" s="248">
        <f t="shared" si="64"/>
        <v>118616.31670213724</v>
      </c>
      <c r="DZ52" s="1">
        <f t="shared" si="32"/>
        <v>53108.017868103532</v>
      </c>
      <c r="EB52" s="1">
        <f t="shared" si="33"/>
        <v>54805.673069825556</v>
      </c>
    </row>
    <row r="53" spans="1:132" s="1" customFormat="1" x14ac:dyDescent="0.35">
      <c r="A53" s="210" t="s">
        <v>286</v>
      </c>
      <c r="B53" s="7" t="s">
        <v>49</v>
      </c>
      <c r="C53" s="522" t="s">
        <v>104</v>
      </c>
      <c r="D53" s="71">
        <v>45357</v>
      </c>
      <c r="E53" s="11">
        <v>50000</v>
      </c>
      <c r="F53" s="11" t="s">
        <v>27</v>
      </c>
      <c r="G53" s="11"/>
      <c r="H53" s="11"/>
      <c r="I53" s="545"/>
      <c r="J53" s="545"/>
      <c r="K53" s="11"/>
      <c r="L53" s="11"/>
      <c r="M53" s="10"/>
      <c r="N53" s="10"/>
      <c r="O53" s="10"/>
      <c r="P53" s="10"/>
      <c r="Q53" s="10"/>
      <c r="R53" s="11"/>
      <c r="S53" s="11"/>
      <c r="T53" s="11"/>
      <c r="U53" s="11"/>
      <c r="V53" s="11"/>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f t="shared" si="65"/>
        <v>50000</v>
      </c>
      <c r="BJ53" s="66"/>
      <c r="BK53" s="66"/>
      <c r="BL53" s="3">
        <f>E53</f>
        <v>50000</v>
      </c>
      <c r="BM53" s="184">
        <f t="shared" si="36"/>
        <v>50000</v>
      </c>
      <c r="BN53" s="711" t="b">
        <f t="shared" si="37"/>
        <v>1</v>
      </c>
      <c r="BO53" s="10"/>
      <c r="BP53" s="200">
        <v>0</v>
      </c>
      <c r="BQ53" s="3"/>
      <c r="BR53" s="200">
        <v>0</v>
      </c>
      <c r="BS53" s="205"/>
      <c r="BT53" s="200"/>
      <c r="BU53" s="3"/>
      <c r="BV53" s="3"/>
      <c r="BW53" s="3"/>
      <c r="BX53" s="231"/>
      <c r="BY53" s="71">
        <v>46106</v>
      </c>
      <c r="BZ53" s="3">
        <v>700000</v>
      </c>
      <c r="CA53" s="3"/>
      <c r="CB53" s="3"/>
      <c r="CC53" s="373">
        <v>46152</v>
      </c>
      <c r="CD53" s="3">
        <v>1000000</v>
      </c>
      <c r="CE53" s="71">
        <v>46185</v>
      </c>
      <c r="CF53" s="3">
        <f>718795+1000000+800000</f>
        <v>2518795</v>
      </c>
      <c r="CG53" s="3"/>
      <c r="CH53" s="3"/>
      <c r="CI53" s="3"/>
      <c r="CJ53" s="3"/>
      <c r="CK53" s="3"/>
      <c r="CL53" s="3"/>
      <c r="CM53" s="189">
        <f t="shared" si="38"/>
        <v>4218795</v>
      </c>
      <c r="CN53" s="189">
        <f t="shared" si="39"/>
        <v>4268795</v>
      </c>
      <c r="CO53" s="189">
        <f t="shared" si="40"/>
        <v>743.29625020855804</v>
      </c>
      <c r="CP53" s="190">
        <f t="shared" si="41"/>
        <v>50000</v>
      </c>
      <c r="CQ53" s="189">
        <f t="shared" si="42"/>
        <v>654.81481890583075</v>
      </c>
      <c r="CR53" s="189">
        <f t="shared" si="43"/>
        <v>998.71208087474565</v>
      </c>
      <c r="CS53" s="189">
        <f t="shared" si="44"/>
        <v>50000</v>
      </c>
      <c r="CT53" s="189">
        <f t="shared" si="45"/>
        <v>711.19471811439723</v>
      </c>
      <c r="CU53" s="189">
        <f t="shared" si="46"/>
        <v>50000</v>
      </c>
      <c r="CV53" s="189">
        <f t="shared" si="47"/>
        <v>1697.6552017220274</v>
      </c>
      <c r="CW53" s="189">
        <f t="shared" si="48"/>
        <v>750000</v>
      </c>
      <c r="CX53" s="189">
        <f t="shared" si="49"/>
        <v>7286.1147144900333</v>
      </c>
      <c r="CY53" s="189">
        <f t="shared" si="50"/>
        <v>750000</v>
      </c>
      <c r="CZ53" s="388">
        <f t="shared" si="51"/>
        <v>1158.9386157067286</v>
      </c>
      <c r="DA53" s="189">
        <f t="shared" si="52"/>
        <v>2981.5178248807806</v>
      </c>
      <c r="DB53" s="189">
        <f t="shared" si="53"/>
        <v>1750000</v>
      </c>
      <c r="DC53" s="189">
        <f t="shared" si="54"/>
        <v>9862.4131286011907</v>
      </c>
      <c r="DD53" s="189">
        <f t="shared" si="55"/>
        <v>6677.7904147218032</v>
      </c>
      <c r="DE53" s="189">
        <f t="shared" si="56"/>
        <v>4268795</v>
      </c>
      <c r="DF53" s="189">
        <f t="shared" si="57"/>
        <v>11445.615043543106</v>
      </c>
      <c r="DG53" s="189">
        <f t="shared" si="58"/>
        <v>38216.820810378027</v>
      </c>
      <c r="DH53" s="189">
        <v>4351229.8836221462</v>
      </c>
      <c r="DI53" s="189">
        <f>'Member position mfumo and excel'!F55</f>
        <v>4351229.88</v>
      </c>
      <c r="DJ53" s="189">
        <f t="shared" si="35"/>
        <v>3.6221463233232498E-3</v>
      </c>
      <c r="DK53" s="189">
        <f t="shared" si="59"/>
        <v>44677.382238673461</v>
      </c>
      <c r="DL53" s="189">
        <f t="shared" si="60"/>
        <v>12444.741888799648</v>
      </c>
      <c r="DM53" s="189"/>
      <c r="DN53" s="189"/>
      <c r="DO53" s="189"/>
      <c r="DP53" s="189"/>
      <c r="DQ53" s="189"/>
      <c r="DR53" s="189"/>
      <c r="DS53" s="186">
        <f t="shared" si="61"/>
        <v>4408352.007749619</v>
      </c>
      <c r="DT53" s="1" t="b">
        <f t="shared" si="31"/>
        <v>1</v>
      </c>
      <c r="DU53" s="247" t="str">
        <f t="shared" si="62"/>
        <v xml:space="preserve">Omary Mwasema </v>
      </c>
      <c r="DV53" s="249">
        <f t="shared" si="63"/>
        <v>4408352.007749619</v>
      </c>
      <c r="DW53" s="248">
        <f t="shared" si="64"/>
        <v>139557.00774961896</v>
      </c>
      <c r="DZ53" s="1">
        <f t="shared" si="32"/>
        <v>53108.017868103532</v>
      </c>
      <c r="EB53" s="1">
        <f t="shared" si="33"/>
        <v>54805.673069825556</v>
      </c>
    </row>
    <row r="54" spans="1:132" s="1" customFormat="1" x14ac:dyDescent="0.35">
      <c r="A54" s="210" t="s">
        <v>287</v>
      </c>
      <c r="B54" s="7" t="s">
        <v>80</v>
      </c>
      <c r="C54" s="72" t="s">
        <v>81</v>
      </c>
      <c r="D54" s="71">
        <v>45409</v>
      </c>
      <c r="E54" s="11">
        <v>100000</v>
      </c>
      <c r="F54" s="11" t="s">
        <v>27</v>
      </c>
      <c r="G54" s="71">
        <v>45409</v>
      </c>
      <c r="H54" s="11">
        <v>100000</v>
      </c>
      <c r="I54" s="545" t="s">
        <v>25</v>
      </c>
      <c r="J54" s="545"/>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f t="shared" si="65"/>
        <v>200000</v>
      </c>
      <c r="BJ54" s="66">
        <f>H54</f>
        <v>100000</v>
      </c>
      <c r="BK54" s="66"/>
      <c r="BL54" s="3">
        <f>E54</f>
        <v>100000</v>
      </c>
      <c r="BM54" s="184">
        <f t="shared" si="36"/>
        <v>200000</v>
      </c>
      <c r="BN54" s="711" t="b">
        <f t="shared" si="37"/>
        <v>1</v>
      </c>
      <c r="BO54" s="10"/>
      <c r="BP54" s="200">
        <v>0</v>
      </c>
      <c r="BQ54" s="3"/>
      <c r="BR54" s="200">
        <v>0</v>
      </c>
      <c r="BS54" s="205"/>
      <c r="BT54" s="200"/>
      <c r="BU54" s="3"/>
      <c r="BV54" s="3"/>
      <c r="BW54" s="3"/>
      <c r="BX54" s="231"/>
      <c r="BY54" s="71">
        <v>46104</v>
      </c>
      <c r="BZ54" s="3">
        <v>1000000</v>
      </c>
      <c r="CA54" s="3"/>
      <c r="CB54" s="3"/>
      <c r="CC54" s="3"/>
      <c r="CD54" s="3"/>
      <c r="CE54" s="71"/>
      <c r="CF54" s="3"/>
      <c r="CG54" s="71">
        <v>46204</v>
      </c>
      <c r="CH54" s="3">
        <f>2500000+1620000</f>
        <v>4120000</v>
      </c>
      <c r="CI54" s="3"/>
      <c r="CJ54" s="3"/>
      <c r="CK54" s="3"/>
      <c r="CL54" s="3"/>
      <c r="CM54" s="189">
        <f t="shared" si="38"/>
        <v>5120000</v>
      </c>
      <c r="CN54" s="189">
        <f t="shared" si="39"/>
        <v>5320000</v>
      </c>
      <c r="CO54" s="189">
        <f t="shared" si="40"/>
        <v>2973.1850008342321</v>
      </c>
      <c r="CP54" s="190">
        <f t="shared" si="41"/>
        <v>200000</v>
      </c>
      <c r="CQ54" s="189">
        <f t="shared" si="42"/>
        <v>2619.259275623323</v>
      </c>
      <c r="CR54" s="189">
        <f t="shared" si="43"/>
        <v>3994.8483234989826</v>
      </c>
      <c r="CS54" s="189">
        <f t="shared" si="44"/>
        <v>200000</v>
      </c>
      <c r="CT54" s="189">
        <f t="shared" si="45"/>
        <v>2844.7788724575889</v>
      </c>
      <c r="CU54" s="189">
        <f t="shared" si="46"/>
        <v>200000</v>
      </c>
      <c r="CV54" s="189">
        <f t="shared" si="47"/>
        <v>6790.6208068881097</v>
      </c>
      <c r="CW54" s="189">
        <f t="shared" si="48"/>
        <v>1200000</v>
      </c>
      <c r="CX54" s="189">
        <f t="shared" si="49"/>
        <v>11657.783543184054</v>
      </c>
      <c r="CY54" s="189">
        <f t="shared" si="50"/>
        <v>1200000</v>
      </c>
      <c r="CZ54" s="388">
        <f t="shared" si="51"/>
        <v>1854.3017851307657</v>
      </c>
      <c r="DA54" s="189">
        <f t="shared" si="52"/>
        <v>4770.4285198092493</v>
      </c>
      <c r="DB54" s="189">
        <f t="shared" si="53"/>
        <v>1200000</v>
      </c>
      <c r="DC54" s="189">
        <f t="shared" si="54"/>
        <v>6762.7975738979594</v>
      </c>
      <c r="DD54" s="189">
        <f t="shared" si="55"/>
        <v>4579.0562843806647</v>
      </c>
      <c r="DE54" s="189">
        <f t="shared" si="56"/>
        <v>1200000</v>
      </c>
      <c r="DF54" s="189">
        <f t="shared" si="57"/>
        <v>3217.4742643419818</v>
      </c>
      <c r="DG54" s="189">
        <f t="shared" si="58"/>
        <v>10743.12188157399</v>
      </c>
      <c r="DH54" s="189">
        <f>3762807.65613162+1620000</f>
        <v>5382807.6561316196</v>
      </c>
      <c r="DI54" s="189">
        <f>'Member position mfumo and excel'!F56</f>
        <v>5382807.6600000001</v>
      </c>
      <c r="DJ54" s="189">
        <f t="shared" si="35"/>
        <v>-3.8683805614709854E-3</v>
      </c>
      <c r="DK54" s="189">
        <f t="shared" si="59"/>
        <v>55269.374775036376</v>
      </c>
      <c r="DL54" s="189">
        <f t="shared" si="60"/>
        <v>15395.107523450197</v>
      </c>
      <c r="DM54" s="189"/>
      <c r="DN54" s="189"/>
      <c r="DO54" s="189"/>
      <c r="DP54" s="189"/>
      <c r="DQ54" s="189"/>
      <c r="DR54" s="189"/>
      <c r="DS54" s="186">
        <f t="shared" si="61"/>
        <v>5453472.1384301092</v>
      </c>
      <c r="DT54" s="1" t="b">
        <f t="shared" si="31"/>
        <v>1</v>
      </c>
      <c r="DU54" s="247" t="str">
        <f t="shared" si="62"/>
        <v xml:space="preserve">Robert Masegese </v>
      </c>
      <c r="DV54" s="249">
        <f t="shared" si="63"/>
        <v>5453472.1384301092</v>
      </c>
      <c r="DW54" s="248">
        <f t="shared" si="64"/>
        <v>133472.13843010925</v>
      </c>
      <c r="DZ54" s="1">
        <f t="shared" si="32"/>
        <v>212432.07147241413</v>
      </c>
      <c r="EB54" s="1">
        <f t="shared" si="33"/>
        <v>219222.69227930222</v>
      </c>
    </row>
    <row r="55" spans="1:132" s="1" customFormat="1" x14ac:dyDescent="0.35">
      <c r="A55" s="210" t="s">
        <v>288</v>
      </c>
      <c r="B55" s="7" t="s">
        <v>289</v>
      </c>
      <c r="C55" s="522" t="s">
        <v>1239</v>
      </c>
      <c r="D55" s="71">
        <v>45360</v>
      </c>
      <c r="E55" s="11">
        <v>120000</v>
      </c>
      <c r="F55" s="11" t="s">
        <v>27</v>
      </c>
      <c r="G55" s="11"/>
      <c r="H55" s="10"/>
      <c r="I55" s="549"/>
      <c r="J55" s="549"/>
      <c r="K55" s="10"/>
      <c r="L55" s="11"/>
      <c r="M55" s="11"/>
      <c r="N55" s="11"/>
      <c r="O55" s="11"/>
      <c r="P55" s="11"/>
      <c r="Q55" s="11"/>
      <c r="R55" s="11"/>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f t="shared" si="65"/>
        <v>120000</v>
      </c>
      <c r="BJ55" s="66"/>
      <c r="BK55" s="66"/>
      <c r="BL55" s="3">
        <f>E55</f>
        <v>120000</v>
      </c>
      <c r="BM55" s="184">
        <f t="shared" si="36"/>
        <v>120000</v>
      </c>
      <c r="BN55" s="711" t="b">
        <f t="shared" si="37"/>
        <v>1</v>
      </c>
      <c r="BO55" s="10"/>
      <c r="BP55" s="200">
        <v>0</v>
      </c>
      <c r="BQ55" s="3"/>
      <c r="BR55" s="200">
        <v>0</v>
      </c>
      <c r="BS55" s="205"/>
      <c r="BT55" s="200"/>
      <c r="BU55" s="3"/>
      <c r="BV55" s="3"/>
      <c r="BW55" s="71">
        <v>46080</v>
      </c>
      <c r="BX55" s="231">
        <v>300000</v>
      </c>
      <c r="BY55" s="71">
        <v>46105</v>
      </c>
      <c r="BZ55" s="3">
        <f>520000+75000</f>
        <v>595000</v>
      </c>
      <c r="CA55" s="71">
        <v>46122</v>
      </c>
      <c r="CB55" s="3">
        <f>1000000+1100000+200000</f>
        <v>2300000</v>
      </c>
      <c r="CC55" s="71">
        <v>46143</v>
      </c>
      <c r="CD55" s="3">
        <f>50000+150000</f>
        <v>200000</v>
      </c>
      <c r="CE55" s="3"/>
      <c r="CF55" s="3"/>
      <c r="CG55" s="3"/>
      <c r="CH55" s="3"/>
      <c r="CI55" s="3"/>
      <c r="CJ55" s="3"/>
      <c r="CK55" s="3"/>
      <c r="CL55" s="3"/>
      <c r="CM55" s="189">
        <f t="shared" si="38"/>
        <v>3395000</v>
      </c>
      <c r="CN55" s="189">
        <f t="shared" si="39"/>
        <v>3515000</v>
      </c>
      <c r="CO55" s="189">
        <f t="shared" si="40"/>
        <v>1783.9110005005393</v>
      </c>
      <c r="CP55" s="190">
        <f t="shared" si="41"/>
        <v>120000</v>
      </c>
      <c r="CQ55" s="189">
        <f t="shared" si="42"/>
        <v>1571.5555653739937</v>
      </c>
      <c r="CR55" s="189">
        <f t="shared" si="43"/>
        <v>2396.9089940993895</v>
      </c>
      <c r="CS55" s="189">
        <f t="shared" si="44"/>
        <v>120000</v>
      </c>
      <c r="CT55" s="189">
        <f t="shared" si="45"/>
        <v>1706.8673234745534</v>
      </c>
      <c r="CU55" s="189">
        <f t="shared" si="46"/>
        <v>420000</v>
      </c>
      <c r="CV55" s="189">
        <f t="shared" si="47"/>
        <v>14260.303694465028</v>
      </c>
      <c r="CW55" s="189">
        <f t="shared" si="48"/>
        <v>1015000</v>
      </c>
      <c r="CX55" s="189">
        <f t="shared" si="49"/>
        <v>9860.5419136098462</v>
      </c>
      <c r="CY55" s="189">
        <f t="shared" si="50"/>
        <v>3315000</v>
      </c>
      <c r="CZ55" s="388">
        <f t="shared" si="51"/>
        <v>5122.5086814237402</v>
      </c>
      <c r="DA55" s="189">
        <f t="shared" si="52"/>
        <v>13178.308785973051</v>
      </c>
      <c r="DB55" s="189">
        <f t="shared" si="53"/>
        <v>3515000</v>
      </c>
      <c r="DC55" s="189">
        <f t="shared" si="54"/>
        <v>19809.361226876106</v>
      </c>
      <c r="DD55" s="189">
        <f t="shared" si="55"/>
        <v>13412.819032998364</v>
      </c>
      <c r="DE55" s="189">
        <f t="shared" si="56"/>
        <v>3515000</v>
      </c>
      <c r="DF55" s="189">
        <f t="shared" si="57"/>
        <v>9424.5183659683862</v>
      </c>
      <c r="DG55" s="189">
        <f t="shared" si="58"/>
        <v>31468.39451144381</v>
      </c>
      <c r="DH55" s="189">
        <v>3638995.9990962078</v>
      </c>
      <c r="DI55" s="189">
        <f>'Member position mfumo and excel'!F57</f>
        <v>3638996</v>
      </c>
      <c r="DJ55" s="189">
        <f t="shared" si="35"/>
        <v>-9.0379221364855766E-4</v>
      </c>
      <c r="DK55" s="189">
        <f t="shared" si="59"/>
        <v>37364.335961327233</v>
      </c>
      <c r="DL55" s="189">
        <f t="shared" si="60"/>
        <v>10407.716244453772</v>
      </c>
      <c r="DM55" s="189"/>
      <c r="DN55" s="189"/>
      <c r="DO55" s="189"/>
      <c r="DP55" s="189"/>
      <c r="DQ55" s="189"/>
      <c r="DR55" s="189"/>
      <c r="DS55" s="186">
        <f t="shared" si="61"/>
        <v>3686768.0513019888</v>
      </c>
      <c r="DT55" s="1" t="b">
        <f t="shared" si="31"/>
        <v>1</v>
      </c>
      <c r="DU55" s="247" t="str">
        <f t="shared" si="62"/>
        <v>Stanslaus Senani Nyembea</v>
      </c>
      <c r="DV55" s="249">
        <f t="shared" si="63"/>
        <v>3686768.0513019888</v>
      </c>
      <c r="DW55" s="248">
        <f t="shared" si="64"/>
        <v>171768.05130198877</v>
      </c>
      <c r="DZ55" s="1">
        <f t="shared" si="32"/>
        <v>127459.24288344846</v>
      </c>
      <c r="EB55" s="1">
        <f t="shared" si="33"/>
        <v>441719.54657791351</v>
      </c>
    </row>
    <row r="56" spans="1:132" s="1" customFormat="1" x14ac:dyDescent="0.35">
      <c r="A56" s="210" t="s">
        <v>290</v>
      </c>
      <c r="B56" s="7" t="s">
        <v>1040</v>
      </c>
      <c r="C56" s="522" t="s">
        <v>1240</v>
      </c>
      <c r="D56" s="71">
        <v>45384</v>
      </c>
      <c r="E56" s="11">
        <v>100000</v>
      </c>
      <c r="F56" s="11" t="s">
        <v>27</v>
      </c>
      <c r="G56" s="71"/>
      <c r="H56" s="11"/>
      <c r="I56" s="545"/>
      <c r="J56" s="545"/>
      <c r="K56" s="11"/>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f t="shared" si="65"/>
        <v>100000</v>
      </c>
      <c r="BJ56" s="66"/>
      <c r="BK56" s="66"/>
      <c r="BL56" s="3">
        <f>E56</f>
        <v>100000</v>
      </c>
      <c r="BM56" s="184">
        <f t="shared" si="36"/>
        <v>100000</v>
      </c>
      <c r="BN56" s="711" t="b">
        <f t="shared" si="37"/>
        <v>1</v>
      </c>
      <c r="BO56" s="10"/>
      <c r="BP56" s="200">
        <v>0</v>
      </c>
      <c r="BQ56" s="3"/>
      <c r="BR56" s="200">
        <v>0</v>
      </c>
      <c r="BS56" s="205"/>
      <c r="BT56" s="200"/>
      <c r="BU56" s="3"/>
      <c r="BV56" s="3"/>
      <c r="BW56" s="3"/>
      <c r="BX56" s="231"/>
      <c r="BY56" s="3"/>
      <c r="BZ56" s="3"/>
      <c r="CA56" s="3"/>
      <c r="CB56" s="3"/>
      <c r="CC56" s="3"/>
      <c r="CD56" s="3"/>
      <c r="CE56" s="71">
        <v>46185</v>
      </c>
      <c r="CF56" s="3">
        <v>3300000</v>
      </c>
      <c r="CG56" s="71">
        <v>46207</v>
      </c>
      <c r="CH56" s="3">
        <v>2000000</v>
      </c>
      <c r="CI56" s="3"/>
      <c r="CJ56" s="3"/>
      <c r="CK56" s="3"/>
      <c r="CL56" s="3"/>
      <c r="CM56" s="189">
        <f t="shared" si="38"/>
        <v>5300000</v>
      </c>
      <c r="CN56" s="189">
        <f t="shared" si="39"/>
        <v>5400000</v>
      </c>
      <c r="CO56" s="189">
        <f t="shared" si="40"/>
        <v>1486.5925004171161</v>
      </c>
      <c r="CP56" s="190">
        <f t="shared" si="41"/>
        <v>100000</v>
      </c>
      <c r="CQ56" s="189">
        <f t="shared" si="42"/>
        <v>1309.6296378116615</v>
      </c>
      <c r="CR56" s="189">
        <f t="shared" si="43"/>
        <v>1997.4241617494913</v>
      </c>
      <c r="CS56" s="189">
        <f t="shared" si="44"/>
        <v>100000</v>
      </c>
      <c r="CT56" s="189">
        <f t="shared" si="45"/>
        <v>1422.3894362287945</v>
      </c>
      <c r="CU56" s="189">
        <f t="shared" si="46"/>
        <v>100000</v>
      </c>
      <c r="CV56" s="189">
        <f t="shared" si="47"/>
        <v>3395.3104034440548</v>
      </c>
      <c r="CW56" s="189">
        <f t="shared" si="48"/>
        <v>100000</v>
      </c>
      <c r="CX56" s="189">
        <f t="shared" si="49"/>
        <v>971.48196193200454</v>
      </c>
      <c r="CY56" s="189">
        <f t="shared" si="50"/>
        <v>100000</v>
      </c>
      <c r="CZ56" s="388">
        <f t="shared" si="51"/>
        <v>154.52514876089714</v>
      </c>
      <c r="DA56" s="189">
        <f t="shared" si="52"/>
        <v>397.53570998410413</v>
      </c>
      <c r="DB56" s="189">
        <f t="shared" si="53"/>
        <v>100000</v>
      </c>
      <c r="DC56" s="189">
        <f t="shared" si="54"/>
        <v>563.56646449149662</v>
      </c>
      <c r="DD56" s="189">
        <f t="shared" si="55"/>
        <v>381.58802369838872</v>
      </c>
      <c r="DE56" s="189">
        <f t="shared" si="56"/>
        <v>3400000</v>
      </c>
      <c r="DF56" s="189">
        <f t="shared" si="57"/>
        <v>9116.1770823022798</v>
      </c>
      <c r="DG56" s="189">
        <f t="shared" si="58"/>
        <v>30438.845331126304</v>
      </c>
      <c r="DH56" s="189">
        <v>5451635.065861945</v>
      </c>
      <c r="DI56" s="189">
        <f>'Member position mfumo and excel'!F58</f>
        <v>5451635.0800000001</v>
      </c>
      <c r="DJ56" s="189">
        <f t="shared" si="35"/>
        <v>-1.41380550339818E-2</v>
      </c>
      <c r="DK56" s="189">
        <f t="shared" si="59"/>
        <v>55976.078069338022</v>
      </c>
      <c r="DL56" s="189">
        <f t="shared" si="60"/>
        <v>15591.957465162661</v>
      </c>
      <c r="DM56" s="189"/>
      <c r="DN56" s="189"/>
      <c r="DO56" s="189"/>
      <c r="DP56" s="189"/>
      <c r="DQ56" s="189"/>
      <c r="DR56" s="189"/>
      <c r="DS56" s="186">
        <f t="shared" si="61"/>
        <v>5523203.1013964452</v>
      </c>
      <c r="DT56" s="1" t="b">
        <f t="shared" si="31"/>
        <v>1</v>
      </c>
      <c r="DU56" s="247" t="str">
        <f t="shared" si="62"/>
        <v>Sifuni Ernest Mchome</v>
      </c>
      <c r="DV56" s="249">
        <f t="shared" si="63"/>
        <v>5523203.1013964452</v>
      </c>
      <c r="DW56" s="248">
        <f t="shared" si="64"/>
        <v>123203.10139644518</v>
      </c>
      <c r="DZ56" s="1">
        <f t="shared" si="32"/>
        <v>106216.03573620706</v>
      </c>
      <c r="EB56" s="1">
        <f t="shared" si="33"/>
        <v>109611.34613965111</v>
      </c>
    </row>
    <row r="57" spans="1:132" s="1" customFormat="1" x14ac:dyDescent="0.35">
      <c r="A57" s="210" t="s">
        <v>291</v>
      </c>
      <c r="B57" s="7" t="s">
        <v>1287</v>
      </c>
      <c r="C57" s="522" t="s">
        <v>1288</v>
      </c>
      <c r="D57" s="71">
        <v>45356</v>
      </c>
      <c r="E57" s="11">
        <v>10000</v>
      </c>
      <c r="F57" s="11" t="s">
        <v>29</v>
      </c>
      <c r="G57" s="71">
        <v>45356</v>
      </c>
      <c r="H57" s="11">
        <v>50000</v>
      </c>
      <c r="I57" s="545" t="s">
        <v>27</v>
      </c>
      <c r="J57" s="555">
        <v>45356</v>
      </c>
      <c r="K57" s="11">
        <v>40000</v>
      </c>
      <c r="L57" s="11" t="s">
        <v>29</v>
      </c>
      <c r="M57" s="71"/>
      <c r="N57" s="11"/>
      <c r="O57" s="11"/>
      <c r="P57" s="11"/>
      <c r="Q57" s="10"/>
      <c r="R57" s="11"/>
      <c r="S57" s="11"/>
      <c r="T57" s="11"/>
      <c r="U57" s="11"/>
      <c r="V57" s="11"/>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f t="shared" si="65"/>
        <v>100000</v>
      </c>
      <c r="BJ57" s="66">
        <f>E57+K57</f>
        <v>50000</v>
      </c>
      <c r="BK57" s="66"/>
      <c r="BL57" s="3">
        <f>H57+N57</f>
        <v>50000</v>
      </c>
      <c r="BM57" s="184">
        <f t="shared" si="36"/>
        <v>100000</v>
      </c>
      <c r="BN57" s="711" t="b">
        <f t="shared" si="37"/>
        <v>1</v>
      </c>
      <c r="BO57" s="10"/>
      <c r="BP57" s="200">
        <v>0</v>
      </c>
      <c r="BQ57" s="3"/>
      <c r="BR57" s="200">
        <v>0</v>
      </c>
      <c r="BS57" s="205"/>
      <c r="BT57" s="200"/>
      <c r="BU57" s="3"/>
      <c r="BV57" s="3"/>
      <c r="BW57" s="3"/>
      <c r="BX57" s="231"/>
      <c r="BY57" s="3"/>
      <c r="BZ57" s="3"/>
      <c r="CA57" s="3"/>
      <c r="CB57" s="3"/>
      <c r="CC57" s="3"/>
      <c r="CD57" s="3"/>
      <c r="CE57" s="3"/>
      <c r="CF57" s="3"/>
      <c r="CG57" s="71">
        <v>46217</v>
      </c>
      <c r="CH57" s="3">
        <f>2000000+1500000</f>
        <v>3500000</v>
      </c>
      <c r="CI57" s="3"/>
      <c r="CJ57" s="3"/>
      <c r="CK57" s="3"/>
      <c r="CL57" s="3"/>
      <c r="CM57" s="189">
        <f t="shared" si="38"/>
        <v>3500000</v>
      </c>
      <c r="CN57" s="189">
        <f t="shared" si="39"/>
        <v>3600000</v>
      </c>
      <c r="CO57" s="189">
        <f t="shared" si="40"/>
        <v>1486.5925004171161</v>
      </c>
      <c r="CP57" s="190">
        <f t="shared" si="41"/>
        <v>100000</v>
      </c>
      <c r="CQ57" s="189">
        <f t="shared" si="42"/>
        <v>1309.6296378116615</v>
      </c>
      <c r="CR57" s="189">
        <f t="shared" si="43"/>
        <v>1997.4241617494913</v>
      </c>
      <c r="CS57" s="189">
        <f t="shared" si="44"/>
        <v>100000</v>
      </c>
      <c r="CT57" s="189">
        <f t="shared" si="45"/>
        <v>1422.3894362287945</v>
      </c>
      <c r="CU57" s="189">
        <f t="shared" si="46"/>
        <v>100000</v>
      </c>
      <c r="CV57" s="189">
        <f t="shared" si="47"/>
        <v>3395.3104034440548</v>
      </c>
      <c r="CW57" s="189">
        <f t="shared" si="48"/>
        <v>100000</v>
      </c>
      <c r="CX57" s="189">
        <f t="shared" si="49"/>
        <v>971.48196193200454</v>
      </c>
      <c r="CY57" s="189">
        <f t="shared" si="50"/>
        <v>100000</v>
      </c>
      <c r="CZ57" s="388">
        <f t="shared" si="51"/>
        <v>154.52514876089714</v>
      </c>
      <c r="DA57" s="189">
        <f t="shared" si="52"/>
        <v>397.53570998410413</v>
      </c>
      <c r="DB57" s="189">
        <f t="shared" si="53"/>
        <v>100000</v>
      </c>
      <c r="DC57" s="189">
        <f t="shared" si="54"/>
        <v>563.56646449149662</v>
      </c>
      <c r="DD57" s="189">
        <f t="shared" si="55"/>
        <v>381.58802369838872</v>
      </c>
      <c r="DE57" s="189">
        <f t="shared" si="56"/>
        <v>100000</v>
      </c>
      <c r="DF57" s="189">
        <f t="shared" si="57"/>
        <v>268.12285536183174</v>
      </c>
      <c r="DG57" s="189">
        <f t="shared" si="58"/>
        <v>895.26015679783245</v>
      </c>
      <c r="DH57" s="189">
        <v>3613243.4264606778</v>
      </c>
      <c r="DI57" s="189">
        <f>'Member position mfumo and excel'!F59</f>
        <v>3613243.43</v>
      </c>
      <c r="DJ57" s="189">
        <f t="shared" si="35"/>
        <v>-3.5393224097788334E-3</v>
      </c>
      <c r="DK57" s="189">
        <f t="shared" si="59"/>
        <v>37099.914737434323</v>
      </c>
      <c r="DL57" s="189">
        <f t="shared" si="60"/>
        <v>10334.062558486035</v>
      </c>
      <c r="DM57" s="189"/>
      <c r="DN57" s="189"/>
      <c r="DO57" s="189"/>
      <c r="DP57" s="189"/>
      <c r="DQ57" s="189"/>
      <c r="DR57" s="189"/>
      <c r="DS57" s="186">
        <f t="shared" si="61"/>
        <v>3660677.403756598</v>
      </c>
      <c r="DT57" s="1" t="b">
        <f t="shared" si="31"/>
        <v>1</v>
      </c>
      <c r="DU57" s="247" t="str">
        <f t="shared" si="62"/>
        <v>Leo Richard Kilamile</v>
      </c>
      <c r="DV57" s="249">
        <f t="shared" si="63"/>
        <v>3660677.403756598</v>
      </c>
      <c r="DW57" s="248">
        <f t="shared" si="64"/>
        <v>60677.403756598011</v>
      </c>
      <c r="DZ57" s="1">
        <f t="shared" si="32"/>
        <v>106216.03573620706</v>
      </c>
      <c r="EB57" s="1">
        <f t="shared" si="33"/>
        <v>109611.34613965111</v>
      </c>
    </row>
    <row r="58" spans="1:132" s="1" customFormat="1" x14ac:dyDescent="0.35">
      <c r="A58" s="210" t="s">
        <v>292</v>
      </c>
      <c r="B58" s="7" t="s">
        <v>293</v>
      </c>
      <c r="C58" s="522" t="s">
        <v>1241</v>
      </c>
      <c r="D58" s="71">
        <v>45356</v>
      </c>
      <c r="E58" s="11">
        <v>50000</v>
      </c>
      <c r="F58" s="11" t="s">
        <v>27</v>
      </c>
      <c r="G58" s="71">
        <v>45356</v>
      </c>
      <c r="H58" s="11">
        <v>50000</v>
      </c>
      <c r="I58" s="545" t="s">
        <v>25</v>
      </c>
      <c r="J58" s="545"/>
      <c r="K58" s="11"/>
      <c r="L58" s="11"/>
      <c r="M58" s="11"/>
      <c r="N58" s="11"/>
      <c r="O58" s="11"/>
      <c r="P58" s="11"/>
      <c r="Q58" s="10"/>
      <c r="R58" s="11"/>
      <c r="S58" s="11"/>
      <c r="T58" s="11"/>
      <c r="U58" s="11"/>
      <c r="V58" s="11"/>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f t="shared" si="65"/>
        <v>100000</v>
      </c>
      <c r="BJ58" s="66">
        <f>H58</f>
        <v>50000</v>
      </c>
      <c r="BK58" s="66"/>
      <c r="BL58" s="3">
        <f>E58</f>
        <v>50000</v>
      </c>
      <c r="BM58" s="184">
        <f t="shared" si="36"/>
        <v>100000</v>
      </c>
      <c r="BN58" s="711" t="b">
        <f t="shared" si="37"/>
        <v>1</v>
      </c>
      <c r="BO58" s="10"/>
      <c r="BP58" s="200">
        <v>0</v>
      </c>
      <c r="BQ58" s="3"/>
      <c r="BR58" s="200">
        <v>0</v>
      </c>
      <c r="BS58" s="205"/>
      <c r="BT58" s="200"/>
      <c r="BU58" s="3"/>
      <c r="BV58" s="3"/>
      <c r="BW58" s="3"/>
      <c r="BX58" s="231"/>
      <c r="BY58" s="71">
        <v>46104</v>
      </c>
      <c r="BZ58" s="3">
        <v>3000000</v>
      </c>
      <c r="CA58" s="3"/>
      <c r="CB58" s="3"/>
      <c r="CC58" s="71">
        <v>46164</v>
      </c>
      <c r="CD58" s="3">
        <v>300000</v>
      </c>
      <c r="CE58" s="3"/>
      <c r="CF58" s="3"/>
      <c r="CG58" s="3"/>
      <c r="CH58" s="3"/>
      <c r="CI58" s="3"/>
      <c r="CJ58" s="3"/>
      <c r="CK58" s="3"/>
      <c r="CL58" s="3"/>
      <c r="CM58" s="189">
        <f t="shared" si="38"/>
        <v>3300000</v>
      </c>
      <c r="CN58" s="189">
        <f t="shared" si="39"/>
        <v>3400000</v>
      </c>
      <c r="CO58" s="189">
        <f t="shared" si="40"/>
        <v>1486.5925004171161</v>
      </c>
      <c r="CP58" s="190">
        <f t="shared" si="41"/>
        <v>100000</v>
      </c>
      <c r="CQ58" s="189">
        <f t="shared" si="42"/>
        <v>1309.6296378116615</v>
      </c>
      <c r="CR58" s="189">
        <f t="shared" si="43"/>
        <v>1997.4241617494913</v>
      </c>
      <c r="CS58" s="189">
        <f t="shared" si="44"/>
        <v>100000</v>
      </c>
      <c r="CT58" s="189">
        <f t="shared" si="45"/>
        <v>1422.3894362287945</v>
      </c>
      <c r="CU58" s="189">
        <f t="shared" si="46"/>
        <v>100000</v>
      </c>
      <c r="CV58" s="189">
        <f t="shared" si="47"/>
        <v>3395.3104034440548</v>
      </c>
      <c r="CW58" s="189">
        <f t="shared" si="48"/>
        <v>3100000</v>
      </c>
      <c r="CX58" s="189">
        <f t="shared" si="49"/>
        <v>30115.940819892141</v>
      </c>
      <c r="CY58" s="189">
        <f t="shared" si="50"/>
        <v>3100000</v>
      </c>
      <c r="CZ58" s="388">
        <f t="shared" si="51"/>
        <v>4790.2796115878109</v>
      </c>
      <c r="DA58" s="189">
        <f t="shared" si="52"/>
        <v>12323.607009507226</v>
      </c>
      <c r="DB58" s="189">
        <f t="shared" si="53"/>
        <v>3400000</v>
      </c>
      <c r="DC58" s="189">
        <f t="shared" si="54"/>
        <v>19161.259792710887</v>
      </c>
      <c r="DD58" s="189">
        <f t="shared" si="55"/>
        <v>12973.992805745218</v>
      </c>
      <c r="DE58" s="189">
        <f t="shared" si="56"/>
        <v>3400000</v>
      </c>
      <c r="DF58" s="189">
        <f t="shared" si="57"/>
        <v>9116.1770823022798</v>
      </c>
      <c r="DG58" s="189">
        <f t="shared" si="58"/>
        <v>30438.845331126304</v>
      </c>
      <c r="DH58" s="189">
        <v>3528531.4485925222</v>
      </c>
      <c r="DI58" s="189">
        <f>'Member position mfumo and excel'!F60</f>
        <v>3528531.45</v>
      </c>
      <c r="DJ58" s="189">
        <f t="shared" si="35"/>
        <v>-1.407478004693985E-3</v>
      </c>
      <c r="DK58" s="189">
        <f t="shared" si="59"/>
        <v>36230.112516766756</v>
      </c>
      <c r="DL58" s="189">
        <f t="shared" si="60"/>
        <v>10091.781932627369</v>
      </c>
      <c r="DM58" s="189"/>
      <c r="DN58" s="189"/>
      <c r="DO58" s="189"/>
      <c r="DP58" s="189"/>
      <c r="DQ58" s="189"/>
      <c r="DR58" s="189"/>
      <c r="DS58" s="186">
        <f t="shared" si="61"/>
        <v>3574853.3430419164</v>
      </c>
      <c r="DT58" s="1" t="b">
        <f t="shared" si="31"/>
        <v>1</v>
      </c>
      <c r="DU58" s="247" t="str">
        <f t="shared" si="62"/>
        <v>Patiens Buberwa Rweyemamu</v>
      </c>
      <c r="DV58" s="249">
        <f t="shared" si="63"/>
        <v>3574853.3430419164</v>
      </c>
      <c r="DW58" s="248">
        <f t="shared" si="64"/>
        <v>174853.34304191638</v>
      </c>
      <c r="DZ58" s="1">
        <f t="shared" si="32"/>
        <v>106216.03573620706</v>
      </c>
      <c r="EB58" s="1">
        <f t="shared" si="33"/>
        <v>109611.34613965111</v>
      </c>
    </row>
    <row r="59" spans="1:132" s="1" customFormat="1" x14ac:dyDescent="0.35">
      <c r="A59" s="210" t="s">
        <v>294</v>
      </c>
      <c r="B59" s="7" t="s">
        <v>1295</v>
      </c>
      <c r="C59" s="522" t="s">
        <v>1242</v>
      </c>
      <c r="D59" s="70">
        <v>45353</v>
      </c>
      <c r="E59" s="11">
        <v>40000</v>
      </c>
      <c r="F59" s="11" t="s">
        <v>27</v>
      </c>
      <c r="G59" s="70">
        <v>45353</v>
      </c>
      <c r="H59" s="11">
        <v>20000</v>
      </c>
      <c r="I59" s="556" t="s">
        <v>25</v>
      </c>
      <c r="J59" s="555">
        <v>45441</v>
      </c>
      <c r="K59" s="11">
        <v>100000</v>
      </c>
      <c r="L59" s="11" t="s">
        <v>27</v>
      </c>
      <c r="M59" s="71"/>
      <c r="N59" s="11"/>
      <c r="O59" s="11"/>
      <c r="P59" s="11"/>
      <c r="Q59" s="11"/>
      <c r="R59" s="11"/>
      <c r="S59" s="11"/>
      <c r="T59" s="11"/>
      <c r="U59" s="11"/>
      <c r="V59" s="11"/>
      <c r="W59" s="11"/>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f t="shared" si="65"/>
        <v>160000</v>
      </c>
      <c r="BJ59" s="66">
        <f>H59</f>
        <v>20000</v>
      </c>
      <c r="BK59" s="66"/>
      <c r="BL59" s="3">
        <f>E59+K59</f>
        <v>140000</v>
      </c>
      <c r="BM59" s="184">
        <f t="shared" si="36"/>
        <v>160000</v>
      </c>
      <c r="BN59" s="1" t="b">
        <f t="shared" si="37"/>
        <v>1</v>
      </c>
      <c r="BO59" s="10"/>
      <c r="BP59" s="200">
        <v>0</v>
      </c>
      <c r="BQ59" s="3"/>
      <c r="BR59" s="200">
        <v>0</v>
      </c>
      <c r="BS59" s="205"/>
      <c r="BT59" s="200"/>
      <c r="BU59" s="3"/>
      <c r="BV59" s="3"/>
      <c r="BW59" s="3"/>
      <c r="BX59" s="231"/>
      <c r="BY59" s="3"/>
      <c r="BZ59" s="3"/>
      <c r="CA59" s="3"/>
      <c r="CB59" s="3"/>
      <c r="CC59" s="3"/>
      <c r="CD59" s="3"/>
      <c r="CE59" s="71"/>
      <c r="CF59" s="3"/>
      <c r="CG59" s="71">
        <v>46204</v>
      </c>
      <c r="CH59" s="3">
        <f>3400000+50000000+9000000+10000000</f>
        <v>72400000</v>
      </c>
      <c r="CI59" s="3"/>
      <c r="CJ59" s="3"/>
      <c r="CK59" s="3"/>
      <c r="CL59" s="3"/>
      <c r="CM59" s="189">
        <f t="shared" si="38"/>
        <v>72400000</v>
      </c>
      <c r="CN59" s="189">
        <f t="shared" si="39"/>
        <v>72560000</v>
      </c>
      <c r="CO59" s="189">
        <f t="shared" si="40"/>
        <v>2378.5480006673856</v>
      </c>
      <c r="CP59" s="190">
        <f t="shared" si="41"/>
        <v>160000</v>
      </c>
      <c r="CQ59" s="189">
        <f t="shared" si="42"/>
        <v>2095.4074204986582</v>
      </c>
      <c r="CR59" s="189">
        <f t="shared" si="43"/>
        <v>3195.8786587991858</v>
      </c>
      <c r="CS59" s="189">
        <f t="shared" si="44"/>
        <v>160000</v>
      </c>
      <c r="CT59" s="189">
        <f t="shared" si="45"/>
        <v>2275.8230979660711</v>
      </c>
      <c r="CU59" s="189">
        <f t="shared" si="46"/>
        <v>160000</v>
      </c>
      <c r="CV59" s="189">
        <f t="shared" si="47"/>
        <v>5432.4966455104877</v>
      </c>
      <c r="CW59" s="189">
        <f t="shared" si="48"/>
        <v>160000</v>
      </c>
      <c r="CX59" s="189">
        <f t="shared" si="49"/>
        <v>1554.3711390912069</v>
      </c>
      <c r="CY59" s="189">
        <f t="shared" si="50"/>
        <v>160000</v>
      </c>
      <c r="CZ59" s="388">
        <f t="shared" si="51"/>
        <v>247.24023801743542</v>
      </c>
      <c r="DA59" s="189">
        <f t="shared" si="52"/>
        <v>636.05713597456656</v>
      </c>
      <c r="DB59" s="189">
        <f t="shared" si="53"/>
        <v>160000</v>
      </c>
      <c r="DC59" s="189">
        <f t="shared" si="54"/>
        <v>901.70634318639463</v>
      </c>
      <c r="DD59" s="189">
        <f t="shared" si="55"/>
        <v>610.54083791742198</v>
      </c>
      <c r="DE59" s="189">
        <f t="shared" si="56"/>
        <v>160000</v>
      </c>
      <c r="DF59" s="189">
        <f t="shared" si="57"/>
        <v>428.99656857893081</v>
      </c>
      <c r="DG59" s="189">
        <f t="shared" si="58"/>
        <v>1432.4162508765319</v>
      </c>
      <c r="DH59" s="189">
        <v>72581189.482337058</v>
      </c>
      <c r="DI59" s="189">
        <f>'Member position mfumo and excel'!F61</f>
        <v>72581189.5</v>
      </c>
      <c r="DJ59" s="189">
        <f t="shared" si="35"/>
        <v>-1.7662942409515381E-2</v>
      </c>
      <c r="DK59" s="189">
        <f t="shared" si="59"/>
        <v>745246.20223939244</v>
      </c>
      <c r="DL59" s="189">
        <f t="shared" si="60"/>
        <v>207585.94541041297</v>
      </c>
      <c r="DM59" s="189"/>
      <c r="DN59" s="189"/>
      <c r="DO59" s="189"/>
      <c r="DP59" s="189"/>
      <c r="DQ59" s="189"/>
      <c r="DR59" s="189"/>
      <c r="DS59" s="186">
        <f t="shared" si="61"/>
        <v>73534021.629986867</v>
      </c>
      <c r="DT59" s="1" t="b">
        <f t="shared" si="31"/>
        <v>1</v>
      </c>
      <c r="DU59" s="247" t="str">
        <f t="shared" si="62"/>
        <v>Jacobs Casthom Mwambegele</v>
      </c>
      <c r="DV59" s="249">
        <f t="shared" si="63"/>
        <v>73534021.629986867</v>
      </c>
      <c r="DW59" s="248">
        <f t="shared" si="64"/>
        <v>974021.62998686731</v>
      </c>
      <c r="DZ59" s="1">
        <f t="shared" si="32"/>
        <v>169945.65717793131</v>
      </c>
      <c r="EB59" s="1">
        <f t="shared" si="33"/>
        <v>175378.1538234418</v>
      </c>
    </row>
    <row r="60" spans="1:132" s="1" customFormat="1" x14ac:dyDescent="0.35">
      <c r="A60" s="210" t="s">
        <v>295</v>
      </c>
      <c r="B60" s="7" t="s">
        <v>47</v>
      </c>
      <c r="C60" s="522" t="s">
        <v>1243</v>
      </c>
      <c r="D60" s="71">
        <v>45357</v>
      </c>
      <c r="E60" s="11">
        <v>50000</v>
      </c>
      <c r="F60" s="11" t="s">
        <v>29</v>
      </c>
      <c r="G60" s="71">
        <v>45357</v>
      </c>
      <c r="H60" s="11">
        <v>50000</v>
      </c>
      <c r="I60" s="545" t="s">
        <v>27</v>
      </c>
      <c r="J60" s="545"/>
      <c r="K60" s="11"/>
      <c r="L60" s="11"/>
      <c r="M60" s="10"/>
      <c r="N60" s="10"/>
      <c r="O60" s="10"/>
      <c r="P60" s="10"/>
      <c r="Q60" s="10"/>
      <c r="R60" s="11"/>
      <c r="S60" s="11"/>
      <c r="T60" s="11"/>
      <c r="U60" s="11"/>
      <c r="V60" s="11"/>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f t="shared" si="65"/>
        <v>100000</v>
      </c>
      <c r="BJ60" s="66">
        <f>E60</f>
        <v>50000</v>
      </c>
      <c r="BK60" s="66"/>
      <c r="BL60" s="3">
        <f>H60</f>
        <v>50000</v>
      </c>
      <c r="BM60" s="184">
        <f t="shared" si="36"/>
        <v>100000</v>
      </c>
      <c r="BN60" s="711" t="b">
        <f t="shared" si="37"/>
        <v>1</v>
      </c>
      <c r="BO60" s="10"/>
      <c r="BP60" s="200">
        <v>0</v>
      </c>
      <c r="BQ60" s="3"/>
      <c r="BR60" s="200">
        <v>0</v>
      </c>
      <c r="BS60" s="205"/>
      <c r="BT60" s="200"/>
      <c r="BU60" s="3"/>
      <c r="BV60" s="3"/>
      <c r="BW60" s="3"/>
      <c r="BX60" s="231"/>
      <c r="BY60" s="71">
        <v>46109</v>
      </c>
      <c r="BZ60" s="3">
        <v>900000</v>
      </c>
      <c r="CA60" s="3"/>
      <c r="CB60" s="3"/>
      <c r="CC60" s="3"/>
      <c r="CD60" s="3"/>
      <c r="CE60" s="71">
        <v>46203</v>
      </c>
      <c r="CF60" s="3">
        <v>3000000</v>
      </c>
      <c r="CG60" s="3"/>
      <c r="CH60" s="3"/>
      <c r="CI60" s="3"/>
      <c r="CJ60" s="3"/>
      <c r="CK60" s="3"/>
      <c r="CL60" s="3"/>
      <c r="CM60" s="189">
        <f t="shared" si="38"/>
        <v>3900000</v>
      </c>
      <c r="CN60" s="189">
        <f t="shared" si="39"/>
        <v>4000000</v>
      </c>
      <c r="CO60" s="189">
        <f t="shared" si="40"/>
        <v>1486.5925004171161</v>
      </c>
      <c r="CP60" s="190">
        <f t="shared" si="41"/>
        <v>100000</v>
      </c>
      <c r="CQ60" s="189">
        <f t="shared" si="42"/>
        <v>1309.6296378116615</v>
      </c>
      <c r="CR60" s="189">
        <f t="shared" si="43"/>
        <v>1997.4241617494913</v>
      </c>
      <c r="CS60" s="189">
        <f t="shared" si="44"/>
        <v>100000</v>
      </c>
      <c r="CT60" s="189">
        <f t="shared" si="45"/>
        <v>1422.3894362287945</v>
      </c>
      <c r="CU60" s="189">
        <f t="shared" si="46"/>
        <v>100000</v>
      </c>
      <c r="CV60" s="189">
        <f t="shared" si="47"/>
        <v>3395.3104034440548</v>
      </c>
      <c r="CW60" s="189">
        <f t="shared" si="48"/>
        <v>1000000</v>
      </c>
      <c r="CX60" s="189">
        <f t="shared" si="49"/>
        <v>9714.8196193200456</v>
      </c>
      <c r="CY60" s="189">
        <f t="shared" si="50"/>
        <v>1000000</v>
      </c>
      <c r="CZ60" s="388">
        <f t="shared" si="51"/>
        <v>1545.2514876089715</v>
      </c>
      <c r="DA60" s="189">
        <f t="shared" si="52"/>
        <v>3975.3570998410414</v>
      </c>
      <c r="DB60" s="189">
        <f t="shared" si="53"/>
        <v>1000000</v>
      </c>
      <c r="DC60" s="189">
        <f t="shared" si="54"/>
        <v>5635.6646449149666</v>
      </c>
      <c r="DD60" s="189">
        <f t="shared" si="55"/>
        <v>3815.8802369838877</v>
      </c>
      <c r="DE60" s="189">
        <f t="shared" si="56"/>
        <v>4000000</v>
      </c>
      <c r="DF60" s="189">
        <f t="shared" si="57"/>
        <v>10724.91421447327</v>
      </c>
      <c r="DG60" s="189">
        <f t="shared" si="58"/>
        <v>35810.4062719133</v>
      </c>
      <c r="DH60" s="189">
        <v>4080833.6397147058</v>
      </c>
      <c r="DI60" s="189">
        <f>'Member position mfumo and excel'!F62</f>
        <v>4080833.63</v>
      </c>
      <c r="DJ60" s="189">
        <f t="shared" si="35"/>
        <v>9.7147058695554733E-3</v>
      </c>
      <c r="DK60" s="189">
        <f t="shared" si="59"/>
        <v>41901.018620096293</v>
      </c>
      <c r="DL60" s="189">
        <f t="shared" si="60"/>
        <v>11671.394685105637</v>
      </c>
      <c r="DM60" s="189"/>
      <c r="DN60" s="189"/>
      <c r="DO60" s="189"/>
      <c r="DP60" s="189"/>
      <c r="DQ60" s="189"/>
      <c r="DR60" s="189"/>
      <c r="DS60" s="186">
        <f t="shared" si="61"/>
        <v>4134406.0530199073</v>
      </c>
      <c r="DT60" s="1" t="b">
        <f t="shared" si="31"/>
        <v>1</v>
      </c>
      <c r="DU60" s="247" t="str">
        <f t="shared" si="62"/>
        <v>David Koillah</v>
      </c>
      <c r="DV60" s="249">
        <f t="shared" si="63"/>
        <v>4134406.0530199073</v>
      </c>
      <c r="DW60" s="248">
        <f t="shared" si="64"/>
        <v>134406.05301990733</v>
      </c>
      <c r="DZ60" s="1">
        <f t="shared" si="32"/>
        <v>106216.03573620706</v>
      </c>
      <c r="EB60" s="1">
        <f t="shared" si="33"/>
        <v>109611.34613965111</v>
      </c>
    </row>
    <row r="61" spans="1:132" s="1" customFormat="1" x14ac:dyDescent="0.35">
      <c r="A61" s="210" t="s">
        <v>296</v>
      </c>
      <c r="B61" s="7" t="s">
        <v>1034</v>
      </c>
      <c r="C61" s="522" t="s">
        <v>1244</v>
      </c>
      <c r="D61" s="71">
        <v>45355</v>
      </c>
      <c r="E61" s="11">
        <v>100000</v>
      </c>
      <c r="F61" s="11" t="s">
        <v>27</v>
      </c>
      <c r="G61" s="11"/>
      <c r="H61" s="11"/>
      <c r="I61" s="545"/>
      <c r="J61" s="545"/>
      <c r="K61" s="11"/>
      <c r="L61" s="11"/>
      <c r="M61" s="11"/>
      <c r="N61" s="11"/>
      <c r="O61" s="11"/>
      <c r="P61" s="11"/>
      <c r="Q61" s="10"/>
      <c r="R61" s="11"/>
      <c r="S61" s="11"/>
      <c r="T61" s="11"/>
      <c r="U61" s="11"/>
      <c r="V61" s="11"/>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f t="shared" si="65"/>
        <v>100000</v>
      </c>
      <c r="BJ61" s="66"/>
      <c r="BK61" s="66"/>
      <c r="BL61" s="3">
        <f>E61</f>
        <v>100000</v>
      </c>
      <c r="BM61" s="184">
        <f t="shared" si="36"/>
        <v>100000</v>
      </c>
      <c r="BN61" s="711" t="b">
        <f t="shared" si="37"/>
        <v>1</v>
      </c>
      <c r="BO61" s="10"/>
      <c r="BP61" s="200">
        <v>0</v>
      </c>
      <c r="BQ61" s="3"/>
      <c r="BR61" s="200">
        <v>0</v>
      </c>
      <c r="BS61" s="205"/>
      <c r="BT61" s="200"/>
      <c r="BU61" s="3"/>
      <c r="BV61" s="3"/>
      <c r="BW61" s="3"/>
      <c r="BX61" s="231"/>
      <c r="BY61" s="3"/>
      <c r="BZ61" s="3"/>
      <c r="CA61" s="3"/>
      <c r="CB61" s="3"/>
      <c r="CC61" s="3"/>
      <c r="CD61" s="3"/>
      <c r="CE61" s="3"/>
      <c r="CF61" s="3"/>
      <c r="CG61" s="71">
        <v>46205</v>
      </c>
      <c r="CH61" s="3">
        <v>6000000</v>
      </c>
      <c r="CI61" s="3"/>
      <c r="CJ61" s="3"/>
      <c r="CK61" s="3"/>
      <c r="CL61" s="3"/>
      <c r="CM61" s="189">
        <f t="shared" si="38"/>
        <v>6000000</v>
      </c>
      <c r="CN61" s="189">
        <f t="shared" si="39"/>
        <v>6100000</v>
      </c>
      <c r="CO61" s="189">
        <f t="shared" si="40"/>
        <v>1486.5925004171161</v>
      </c>
      <c r="CP61" s="190">
        <f t="shared" si="41"/>
        <v>100000</v>
      </c>
      <c r="CQ61" s="189">
        <f t="shared" si="42"/>
        <v>1309.6296378116615</v>
      </c>
      <c r="CR61" s="189">
        <f t="shared" si="43"/>
        <v>1997.4241617494913</v>
      </c>
      <c r="CS61" s="189">
        <f t="shared" si="44"/>
        <v>100000</v>
      </c>
      <c r="CT61" s="189">
        <f t="shared" si="45"/>
        <v>1422.3894362287945</v>
      </c>
      <c r="CU61" s="189">
        <f t="shared" si="46"/>
        <v>100000</v>
      </c>
      <c r="CV61" s="189">
        <f t="shared" si="47"/>
        <v>3395.3104034440548</v>
      </c>
      <c r="CW61" s="189">
        <f t="shared" si="48"/>
        <v>100000</v>
      </c>
      <c r="CX61" s="189">
        <f t="shared" si="49"/>
        <v>971.48196193200454</v>
      </c>
      <c r="CY61" s="189">
        <f t="shared" si="50"/>
        <v>100000</v>
      </c>
      <c r="CZ61" s="388">
        <f t="shared" si="51"/>
        <v>154.52514876089714</v>
      </c>
      <c r="DA61" s="189">
        <f t="shared" si="52"/>
        <v>397.53570998410413</v>
      </c>
      <c r="DB61" s="189">
        <f t="shared" si="53"/>
        <v>100000</v>
      </c>
      <c r="DC61" s="189">
        <f t="shared" si="54"/>
        <v>563.56646449149662</v>
      </c>
      <c r="DD61" s="189">
        <f t="shared" si="55"/>
        <v>381.58802369838872</v>
      </c>
      <c r="DE61" s="189">
        <f t="shared" si="56"/>
        <v>100000</v>
      </c>
      <c r="DF61" s="189">
        <f t="shared" si="57"/>
        <v>268.12285536183174</v>
      </c>
      <c r="DG61" s="189">
        <f t="shared" si="58"/>
        <v>895.26015679783245</v>
      </c>
      <c r="DH61" s="189">
        <v>6113243.4264606768</v>
      </c>
      <c r="DI61" s="189">
        <f>'Member position mfumo and excel'!F63</f>
        <v>6113243.4299999997</v>
      </c>
      <c r="DJ61" s="189">
        <f t="shared" si="35"/>
        <v>-3.5393228754401207E-3</v>
      </c>
      <c r="DK61" s="189">
        <f t="shared" si="59"/>
        <v>62769.31363936163</v>
      </c>
      <c r="DL61" s="189">
        <f t="shared" si="60"/>
        <v>17484.191499984365</v>
      </c>
      <c r="DM61" s="189"/>
      <c r="DN61" s="189"/>
      <c r="DO61" s="189"/>
      <c r="DP61" s="189"/>
      <c r="DQ61" s="189"/>
      <c r="DR61" s="189"/>
      <c r="DS61" s="186">
        <f t="shared" si="61"/>
        <v>6193496.9316000231</v>
      </c>
      <c r="DT61" s="1" t="b">
        <f t="shared" si="31"/>
        <v>1</v>
      </c>
      <c r="DU61" s="247" t="str">
        <f t="shared" si="62"/>
        <v>Beatus Adrian Rwegalulira</v>
      </c>
      <c r="DV61" s="249">
        <f t="shared" si="63"/>
        <v>6193496.9316000231</v>
      </c>
      <c r="DW61" s="248">
        <f t="shared" si="64"/>
        <v>93496.931600023061</v>
      </c>
      <c r="DZ61" s="1">
        <f t="shared" si="32"/>
        <v>106216.03573620706</v>
      </c>
      <c r="EB61" s="1">
        <f t="shared" si="33"/>
        <v>109611.34613965111</v>
      </c>
    </row>
    <row r="62" spans="1:132" s="1" customFormat="1" x14ac:dyDescent="0.35">
      <c r="A62" s="210" t="s">
        <v>297</v>
      </c>
      <c r="B62" s="7" t="s">
        <v>298</v>
      </c>
      <c r="C62" s="522" t="s">
        <v>1245</v>
      </c>
      <c r="D62" s="71"/>
      <c r="E62" s="239"/>
      <c r="F62" s="11"/>
      <c r="G62" s="11"/>
      <c r="H62" s="11"/>
      <c r="I62" s="545"/>
      <c r="J62" s="545"/>
      <c r="K62" s="11"/>
      <c r="L62" s="11"/>
      <c r="M62" s="11"/>
      <c r="N62" s="11"/>
      <c r="O62" s="11"/>
      <c r="P62" s="11"/>
      <c r="Q62" s="10"/>
      <c r="R62" s="11"/>
      <c r="S62" s="11"/>
      <c r="T62" s="11"/>
      <c r="U62" s="11"/>
      <c r="V62" s="11"/>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66"/>
      <c r="BK62" s="66"/>
      <c r="BL62" s="3"/>
      <c r="BM62" s="184"/>
      <c r="BO62" s="10"/>
      <c r="BP62" s="200"/>
      <c r="BQ62" s="3"/>
      <c r="BR62" s="200"/>
      <c r="BS62" s="205"/>
      <c r="BT62" s="200"/>
      <c r="BU62" s="3"/>
      <c r="BV62" s="3"/>
      <c r="BW62" s="3"/>
      <c r="BX62" s="231"/>
      <c r="BY62" s="71">
        <v>46083</v>
      </c>
      <c r="BZ62" s="3">
        <f>5000000+5000000+1000000+3500000+2500000+1500000+500000+1500000+5000000</f>
        <v>25500000</v>
      </c>
      <c r="CA62" s="71">
        <v>46127</v>
      </c>
      <c r="CB62" s="3">
        <f>1254480+997792+1000000+1500000+2500000+3500000</f>
        <v>10752272</v>
      </c>
      <c r="CC62" s="71">
        <v>46153</v>
      </c>
      <c r="CD62" s="3">
        <f>1299865+2000000+3000000</f>
        <v>6299865</v>
      </c>
      <c r="CE62" s="71">
        <v>46174</v>
      </c>
      <c r="CF62" s="3">
        <f>1000000+587298+1500000+2000000+3500000+4000000</f>
        <v>12587298</v>
      </c>
      <c r="CG62" s="71">
        <v>46226</v>
      </c>
      <c r="CH62" s="3">
        <f>5000000+10000000+10000000+10000000</f>
        <v>35000000</v>
      </c>
      <c r="CI62" s="3"/>
      <c r="CJ62" s="3"/>
      <c r="CK62" s="3"/>
      <c r="CL62" s="3"/>
      <c r="CM62" s="189">
        <f t="shared" si="38"/>
        <v>90139435</v>
      </c>
      <c r="CN62" s="189">
        <f t="shared" si="39"/>
        <v>90139435</v>
      </c>
      <c r="CO62" s="189"/>
      <c r="CP62" s="190"/>
      <c r="CQ62" s="189"/>
      <c r="CR62" s="189"/>
      <c r="CS62" s="189"/>
      <c r="CT62" s="189"/>
      <c r="CU62" s="189">
        <f t="shared" si="46"/>
        <v>0</v>
      </c>
      <c r="CV62" s="189">
        <f t="shared" si="47"/>
        <v>0</v>
      </c>
      <c r="CW62" s="189">
        <f t="shared" si="48"/>
        <v>25500000</v>
      </c>
      <c r="CX62" s="189">
        <f t="shared" si="49"/>
        <v>247727.90029266116</v>
      </c>
      <c r="CY62" s="189">
        <f t="shared" si="50"/>
        <v>36252272</v>
      </c>
      <c r="CZ62" s="388">
        <f t="shared" si="51"/>
        <v>56018.877237205059</v>
      </c>
      <c r="DA62" s="189">
        <f t="shared" si="52"/>
        <v>144115.72688056857</v>
      </c>
      <c r="DB62" s="189">
        <f t="shared" si="53"/>
        <v>42552137</v>
      </c>
      <c r="DC62" s="189">
        <f t="shared" si="54"/>
        <v>239809.57405647798</v>
      </c>
      <c r="DD62" s="189">
        <f t="shared" si="55"/>
        <v>162373.85861973083</v>
      </c>
      <c r="DE62" s="189">
        <f t="shared" si="56"/>
        <v>55139435</v>
      </c>
      <c r="DF62" s="189">
        <f t="shared" si="57"/>
        <v>147841.42755238127</v>
      </c>
      <c r="DG62" s="189">
        <f t="shared" si="58"/>
        <v>493641.39223843894</v>
      </c>
      <c r="DH62" s="189">
        <v>91630963.756877467</v>
      </c>
      <c r="DI62" s="189">
        <f>'Member position mfumo and excel'!F64</f>
        <v>91630963.760000005</v>
      </c>
      <c r="DJ62" s="189">
        <f t="shared" si="35"/>
        <v>-3.1225383281707764E-3</v>
      </c>
      <c r="DK62" s="189">
        <f t="shared" si="59"/>
        <v>940844.70417733281</v>
      </c>
      <c r="DL62" s="189">
        <f t="shared" si="60"/>
        <v>262069.28235817366</v>
      </c>
      <c r="DM62" s="189"/>
      <c r="DN62" s="189"/>
      <c r="DO62" s="189"/>
      <c r="DP62" s="189"/>
      <c r="DQ62" s="189"/>
      <c r="DR62" s="189"/>
      <c r="DS62" s="186">
        <f t="shared" si="61"/>
        <v>92833877.743412971</v>
      </c>
      <c r="DT62" s="1" t="b">
        <f t="shared" si="31"/>
        <v>1</v>
      </c>
      <c r="DU62" s="247" t="str">
        <f t="shared" si="62"/>
        <v xml:space="preserve">Emmanuel Metta </v>
      </c>
      <c r="DV62" s="249">
        <f t="shared" si="63"/>
        <v>92833877.743412971</v>
      </c>
      <c r="DW62" s="248">
        <f t="shared" si="64"/>
        <v>2694442.7434129715</v>
      </c>
      <c r="DZ62" s="1">
        <f t="shared" si="32"/>
        <v>0</v>
      </c>
      <c r="EB62" s="1">
        <f t="shared" si="33"/>
        <v>0</v>
      </c>
    </row>
    <row r="63" spans="1:132" s="1" customFormat="1" x14ac:dyDescent="0.35">
      <c r="A63" s="210" t="s">
        <v>299</v>
      </c>
      <c r="B63" s="7" t="s">
        <v>300</v>
      </c>
      <c r="C63" s="522" t="s">
        <v>1246</v>
      </c>
      <c r="D63" s="71"/>
      <c r="E63" s="239"/>
      <c r="F63" s="11"/>
      <c r="G63" s="11"/>
      <c r="H63" s="11"/>
      <c r="I63" s="545"/>
      <c r="J63" s="545"/>
      <c r="K63" s="11"/>
      <c r="L63" s="11"/>
      <c r="M63" s="11"/>
      <c r="N63" s="11"/>
      <c r="O63" s="11"/>
      <c r="P63" s="11"/>
      <c r="Q63" s="10"/>
      <c r="R63" s="11"/>
      <c r="S63" s="11"/>
      <c r="T63" s="11"/>
      <c r="U63" s="11"/>
      <c r="V63" s="11"/>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66"/>
      <c r="BK63" s="66"/>
      <c r="BL63" s="3"/>
      <c r="BM63" s="184"/>
      <c r="BN63" s="711"/>
      <c r="BO63" s="10"/>
      <c r="BP63" s="200"/>
      <c r="BQ63" s="3"/>
      <c r="BR63" s="200"/>
      <c r="BS63" s="205"/>
      <c r="BT63" s="200"/>
      <c r="BU63" s="3"/>
      <c r="BV63" s="3"/>
      <c r="BW63" s="3"/>
      <c r="BX63" s="231"/>
      <c r="BY63" s="71">
        <v>46093</v>
      </c>
      <c r="BZ63" s="3">
        <f>3000000+300000</f>
        <v>3300000</v>
      </c>
      <c r="CA63" s="3"/>
      <c r="CB63" s="3"/>
      <c r="CC63" s="71">
        <v>46146</v>
      </c>
      <c r="CD63" s="3">
        <f>200000+510000</f>
        <v>710000</v>
      </c>
      <c r="CE63" s="71">
        <v>46179</v>
      </c>
      <c r="CF63" s="3">
        <v>1000000</v>
      </c>
      <c r="CG63" s="3"/>
      <c r="CH63" s="3"/>
      <c r="CI63" s="3"/>
      <c r="CJ63" s="3"/>
      <c r="CK63" s="3"/>
      <c r="CL63" s="3"/>
      <c r="CM63" s="189">
        <f t="shared" si="38"/>
        <v>5010000</v>
      </c>
      <c r="CN63" s="189">
        <f t="shared" si="39"/>
        <v>5010000</v>
      </c>
      <c r="CO63" s="189"/>
      <c r="CP63" s="190"/>
      <c r="CQ63" s="189"/>
      <c r="CR63" s="189"/>
      <c r="CS63" s="189"/>
      <c r="CT63" s="189"/>
      <c r="CU63" s="189">
        <f t="shared" si="46"/>
        <v>0</v>
      </c>
      <c r="CV63" s="189">
        <f t="shared" si="47"/>
        <v>0</v>
      </c>
      <c r="CW63" s="189">
        <f t="shared" si="48"/>
        <v>3300000</v>
      </c>
      <c r="CX63" s="189">
        <f t="shared" si="49"/>
        <v>32058.904743756149</v>
      </c>
      <c r="CY63" s="189">
        <f t="shared" si="50"/>
        <v>3300000</v>
      </c>
      <c r="CZ63" s="388">
        <f t="shared" si="51"/>
        <v>5099.329909109606</v>
      </c>
      <c r="DA63" s="189">
        <f t="shared" si="52"/>
        <v>13118.678429475436</v>
      </c>
      <c r="DB63" s="189">
        <f t="shared" si="53"/>
        <v>4010000</v>
      </c>
      <c r="DC63" s="189">
        <f t="shared" si="54"/>
        <v>22599.015226109015</v>
      </c>
      <c r="DD63" s="189">
        <f t="shared" si="55"/>
        <v>15301.679750305388</v>
      </c>
      <c r="DE63" s="189">
        <f t="shared" si="56"/>
        <v>5010000</v>
      </c>
      <c r="DF63" s="189">
        <f t="shared" si="57"/>
        <v>13432.955053627771</v>
      </c>
      <c r="DG63" s="189">
        <f t="shared" si="58"/>
        <v>44852.533855571404</v>
      </c>
      <c r="DH63" s="189">
        <v>5156463.0969679542</v>
      </c>
      <c r="DI63" s="189">
        <f>'Member position mfumo and excel'!F65</f>
        <v>5156463.0999999996</v>
      </c>
      <c r="DJ63" s="189">
        <f t="shared" si="35"/>
        <v>-3.0320454388856888E-3</v>
      </c>
      <c r="DK63" s="189">
        <f t="shared" si="59"/>
        <v>52945.323263655169</v>
      </c>
      <c r="DL63" s="189">
        <f t="shared" si="60"/>
        <v>14747.750410159473</v>
      </c>
      <c r="DM63" s="189"/>
      <c r="DN63" s="189"/>
      <c r="DO63" s="189"/>
      <c r="DP63" s="189"/>
      <c r="DQ63" s="189"/>
      <c r="DR63" s="189"/>
      <c r="DS63" s="186">
        <f t="shared" si="61"/>
        <v>5224156.1706417687</v>
      </c>
      <c r="DT63" s="1" t="b">
        <f t="shared" si="31"/>
        <v>1</v>
      </c>
      <c r="DU63" s="247" t="str">
        <f t="shared" si="62"/>
        <v xml:space="preserve">Africa Silayo </v>
      </c>
      <c r="DV63" s="249">
        <f t="shared" si="63"/>
        <v>5224156.1706417687</v>
      </c>
      <c r="DW63" s="248">
        <f t="shared" si="64"/>
        <v>214156.17064176872</v>
      </c>
      <c r="DZ63" s="1">
        <f t="shared" si="32"/>
        <v>0</v>
      </c>
      <c r="EB63" s="1">
        <f t="shared" si="33"/>
        <v>0</v>
      </c>
    </row>
    <row r="64" spans="1:132" s="1" customFormat="1" x14ac:dyDescent="0.35">
      <c r="A64" s="210" t="s">
        <v>301</v>
      </c>
      <c r="B64" s="7" t="s">
        <v>302</v>
      </c>
      <c r="C64" s="522" t="s">
        <v>1247</v>
      </c>
      <c r="D64" s="71"/>
      <c r="E64" s="239"/>
      <c r="F64" s="11"/>
      <c r="G64" s="11"/>
      <c r="H64" s="11"/>
      <c r="I64" s="545"/>
      <c r="J64" s="545"/>
      <c r="K64" s="11"/>
      <c r="L64" s="11"/>
      <c r="M64" s="11"/>
      <c r="N64" s="11"/>
      <c r="O64" s="11"/>
      <c r="P64" s="11"/>
      <c r="Q64" s="10"/>
      <c r="R64" s="11"/>
      <c r="S64" s="11"/>
      <c r="T64" s="11"/>
      <c r="U64" s="11"/>
      <c r="V64" s="11"/>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66"/>
      <c r="BK64" s="66"/>
      <c r="BL64" s="3"/>
      <c r="BM64" s="184"/>
      <c r="BO64" s="10"/>
      <c r="BP64" s="200"/>
      <c r="BQ64" s="3"/>
      <c r="BR64" s="200"/>
      <c r="BS64" s="205"/>
      <c r="BT64" s="200"/>
      <c r="BU64" s="3"/>
      <c r="BV64" s="3"/>
      <c r="BW64" s="3"/>
      <c r="BX64" s="231"/>
      <c r="BY64" s="71">
        <v>46093</v>
      </c>
      <c r="BZ64" s="3">
        <v>3000000</v>
      </c>
      <c r="CA64" s="71">
        <v>46142</v>
      </c>
      <c r="CB64" s="3">
        <v>3000000</v>
      </c>
      <c r="CC64" s="3"/>
      <c r="CD64" s="3"/>
      <c r="CE64" s="71">
        <v>46176</v>
      </c>
      <c r="CF64" s="3">
        <v>1000000</v>
      </c>
      <c r="CG64" s="71">
        <v>46233</v>
      </c>
      <c r="CH64" s="3">
        <v>1000000</v>
      </c>
      <c r="CI64" s="3"/>
      <c r="CJ64" s="3"/>
      <c r="CK64" s="3"/>
      <c r="CL64" s="3"/>
      <c r="CM64" s="189">
        <f t="shared" si="38"/>
        <v>8000000</v>
      </c>
      <c r="CN64" s="189">
        <f t="shared" si="39"/>
        <v>8000000</v>
      </c>
      <c r="CO64" s="189"/>
      <c r="CP64" s="190"/>
      <c r="CQ64" s="189"/>
      <c r="CR64" s="189"/>
      <c r="CS64" s="189"/>
      <c r="CT64" s="189"/>
      <c r="CU64" s="189">
        <f t="shared" si="46"/>
        <v>0</v>
      </c>
      <c r="CV64" s="189">
        <f t="shared" si="47"/>
        <v>0</v>
      </c>
      <c r="CW64" s="189">
        <f t="shared" si="48"/>
        <v>3000000</v>
      </c>
      <c r="CX64" s="189">
        <f t="shared" si="49"/>
        <v>29144.458857960133</v>
      </c>
      <c r="CY64" s="189">
        <f t="shared" si="50"/>
        <v>6000000</v>
      </c>
      <c r="CZ64" s="388">
        <f t="shared" si="51"/>
        <v>9271.5089256538286</v>
      </c>
      <c r="DA64" s="189">
        <f t="shared" si="52"/>
        <v>23852.142599046245</v>
      </c>
      <c r="DB64" s="189">
        <f t="shared" si="53"/>
        <v>6000000</v>
      </c>
      <c r="DC64" s="189">
        <f t="shared" si="54"/>
        <v>33813.9878694898</v>
      </c>
      <c r="DD64" s="189">
        <f t="shared" si="55"/>
        <v>22895.281421903324</v>
      </c>
      <c r="DE64" s="189">
        <f t="shared" si="56"/>
        <v>7000000</v>
      </c>
      <c r="DF64" s="189">
        <f t="shared" si="57"/>
        <v>18768.599875328226</v>
      </c>
      <c r="DG64" s="189">
        <f t="shared" si="58"/>
        <v>62668.210975848277</v>
      </c>
      <c r="DH64" s="189">
        <v>8200414.19052523</v>
      </c>
      <c r="DI64" s="189">
        <f>'Member position mfumo and excel'!F66</f>
        <v>8200414.1900000004</v>
      </c>
      <c r="DJ64" s="189">
        <f t="shared" si="35"/>
        <v>5.2522961050271988E-4</v>
      </c>
      <c r="DK64" s="189">
        <f t="shared" si="59"/>
        <v>84199.881207047001</v>
      </c>
      <c r="DL64" s="189">
        <f t="shared" si="60"/>
        <v>23453.607534379222</v>
      </c>
      <c r="DM64" s="189"/>
      <c r="DN64" s="189"/>
      <c r="DO64" s="189"/>
      <c r="DP64" s="189"/>
      <c r="DQ64" s="189"/>
      <c r="DR64" s="189"/>
      <c r="DS64" s="186">
        <f t="shared" si="61"/>
        <v>8308067.6792666558</v>
      </c>
      <c r="DT64" s="1" t="b">
        <f t="shared" si="31"/>
        <v>1</v>
      </c>
      <c r="DU64" s="247" t="str">
        <f t="shared" si="62"/>
        <v>Ted Frank Silkiluwasha</v>
      </c>
      <c r="DV64" s="249">
        <f t="shared" si="63"/>
        <v>8308067.6792666558</v>
      </c>
      <c r="DW64" s="248">
        <f t="shared" si="64"/>
        <v>308067.67926665582</v>
      </c>
      <c r="DZ64" s="1">
        <f t="shared" si="32"/>
        <v>0</v>
      </c>
      <c r="EB64" s="1">
        <f t="shared" si="33"/>
        <v>0</v>
      </c>
    </row>
    <row r="65" spans="1:132" s="1" customFormat="1" x14ac:dyDescent="0.35">
      <c r="A65" s="210" t="s">
        <v>303</v>
      </c>
      <c r="B65" s="7" t="s">
        <v>304</v>
      </c>
      <c r="C65" s="522" t="s">
        <v>1203</v>
      </c>
      <c r="D65" s="71"/>
      <c r="E65" s="239"/>
      <c r="F65" s="11"/>
      <c r="G65" s="11"/>
      <c r="H65" s="11"/>
      <c r="I65" s="545"/>
      <c r="J65" s="545"/>
      <c r="K65" s="11"/>
      <c r="L65" s="11"/>
      <c r="M65" s="11"/>
      <c r="N65" s="11"/>
      <c r="O65" s="11"/>
      <c r="P65" s="11"/>
      <c r="Q65" s="10"/>
      <c r="R65" s="11"/>
      <c r="S65" s="11"/>
      <c r="T65" s="11"/>
      <c r="U65" s="11"/>
      <c r="V65" s="11"/>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66"/>
      <c r="BK65" s="66"/>
      <c r="BL65" s="3"/>
      <c r="BM65" s="184"/>
      <c r="BO65" s="10"/>
      <c r="BP65" s="200"/>
      <c r="BQ65" s="3"/>
      <c r="BR65" s="200"/>
      <c r="BS65" s="205"/>
      <c r="BT65" s="200"/>
      <c r="BU65" s="3"/>
      <c r="BV65" s="3"/>
      <c r="BW65" s="3"/>
      <c r="BX65" s="231"/>
      <c r="BY65" s="71">
        <v>46096</v>
      </c>
      <c r="BZ65" s="3">
        <f>3000000+1000000</f>
        <v>4000000</v>
      </c>
      <c r="CA65" s="71">
        <v>46141</v>
      </c>
      <c r="CB65" s="3">
        <v>1000000</v>
      </c>
      <c r="CC65" s="3"/>
      <c r="CD65" s="3"/>
      <c r="CE65" s="3"/>
      <c r="CF65" s="3"/>
      <c r="CG65" s="71">
        <v>46227</v>
      </c>
      <c r="CH65" s="3">
        <v>3000000</v>
      </c>
      <c r="CI65" s="3"/>
      <c r="CJ65" s="3"/>
      <c r="CK65" s="3"/>
      <c r="CL65" s="3"/>
      <c r="CM65" s="189">
        <f t="shared" si="38"/>
        <v>8000000</v>
      </c>
      <c r="CN65" s="189">
        <f t="shared" si="39"/>
        <v>8000000</v>
      </c>
      <c r="CO65" s="189"/>
      <c r="CP65" s="190"/>
      <c r="CQ65" s="189"/>
      <c r="CR65" s="189"/>
      <c r="CS65" s="189"/>
      <c r="CT65" s="189"/>
      <c r="CU65" s="189">
        <f t="shared" si="46"/>
        <v>0</v>
      </c>
      <c r="CV65" s="189">
        <f t="shared" si="47"/>
        <v>0</v>
      </c>
      <c r="CW65" s="189">
        <f t="shared" si="48"/>
        <v>4000000</v>
      </c>
      <c r="CX65" s="189">
        <f t="shared" si="49"/>
        <v>38859.278477280182</v>
      </c>
      <c r="CY65" s="189">
        <f t="shared" si="50"/>
        <v>5000000</v>
      </c>
      <c r="CZ65" s="388">
        <f t="shared" si="51"/>
        <v>7726.2574380448559</v>
      </c>
      <c r="DA65" s="189">
        <f t="shared" si="52"/>
        <v>19876.785499205205</v>
      </c>
      <c r="DB65" s="189">
        <f t="shared" si="53"/>
        <v>5000000</v>
      </c>
      <c r="DC65" s="189">
        <f t="shared" si="54"/>
        <v>28178.323224574837</v>
      </c>
      <c r="DD65" s="189">
        <f t="shared" si="55"/>
        <v>19079.401184919439</v>
      </c>
      <c r="DE65" s="189">
        <f t="shared" si="56"/>
        <v>5000000</v>
      </c>
      <c r="DF65" s="189">
        <f t="shared" si="57"/>
        <v>13406.142768091588</v>
      </c>
      <c r="DG65" s="189">
        <f t="shared" si="58"/>
        <v>44763.007839891623</v>
      </c>
      <c r="DH65" s="189">
        <v>8171889.1964320084</v>
      </c>
      <c r="DI65" s="189">
        <f>'Member position mfumo and excel'!F67</f>
        <v>8171889.2000000002</v>
      </c>
      <c r="DJ65" s="189">
        <f t="shared" si="35"/>
        <v>-3.567991778254509E-3</v>
      </c>
      <c r="DK65" s="189">
        <f t="shared" si="59"/>
        <v>83906.993426225396</v>
      </c>
      <c r="DL65" s="189">
        <f t="shared" si="60"/>
        <v>23372.02458005042</v>
      </c>
      <c r="DM65" s="189"/>
      <c r="DN65" s="189"/>
      <c r="DO65" s="189"/>
      <c r="DP65" s="189"/>
      <c r="DQ65" s="189"/>
      <c r="DR65" s="189"/>
      <c r="DS65" s="186">
        <f t="shared" si="61"/>
        <v>8279168.2144382838</v>
      </c>
      <c r="DT65" s="1" t="b">
        <f t="shared" si="31"/>
        <v>1</v>
      </c>
      <c r="DU65" s="247" t="str">
        <f t="shared" si="62"/>
        <v>Deogratius Mathew Lashayo</v>
      </c>
      <c r="DV65" s="249">
        <f t="shared" si="63"/>
        <v>8279168.2144382838</v>
      </c>
      <c r="DW65" s="248">
        <f t="shared" si="64"/>
        <v>279168.21443828382</v>
      </c>
      <c r="DZ65" s="1">
        <f t="shared" si="32"/>
        <v>0</v>
      </c>
      <c r="EB65" s="1">
        <f t="shared" si="33"/>
        <v>0</v>
      </c>
    </row>
    <row r="66" spans="1:132" s="1" customFormat="1" x14ac:dyDescent="0.35">
      <c r="A66" s="210" t="s">
        <v>305</v>
      </c>
      <c r="B66" s="7" t="s">
        <v>306</v>
      </c>
      <c r="C66" s="522" t="s">
        <v>1204</v>
      </c>
      <c r="D66" s="71"/>
      <c r="E66" s="239"/>
      <c r="F66" s="11"/>
      <c r="G66" s="11"/>
      <c r="H66" s="11"/>
      <c r="I66" s="545"/>
      <c r="J66" s="545"/>
      <c r="K66" s="11"/>
      <c r="L66" s="11"/>
      <c r="M66" s="11"/>
      <c r="N66" s="11"/>
      <c r="O66" s="11"/>
      <c r="P66" s="11"/>
      <c r="Q66" s="10"/>
      <c r="R66" s="11"/>
      <c r="S66" s="11"/>
      <c r="T66" s="11"/>
      <c r="U66" s="11"/>
      <c r="V66" s="11"/>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66"/>
      <c r="BK66" s="66"/>
      <c r="BL66" s="3"/>
      <c r="BM66" s="184"/>
      <c r="BO66" s="10"/>
      <c r="BP66" s="200"/>
      <c r="BQ66" s="3"/>
      <c r="BR66" s="200"/>
      <c r="BS66" s="205"/>
      <c r="BT66" s="200"/>
      <c r="BU66" s="3"/>
      <c r="BV66" s="3"/>
      <c r="BW66" s="3"/>
      <c r="BX66" s="231"/>
      <c r="BY66" s="71">
        <v>46097</v>
      </c>
      <c r="BZ66" s="3">
        <f>1200000+1800000</f>
        <v>3000000</v>
      </c>
      <c r="CA66" s="71">
        <v>46127</v>
      </c>
      <c r="CB66" s="3">
        <f>500000+300000+2200000</f>
        <v>3000000</v>
      </c>
      <c r="CC66" s="71">
        <v>46149</v>
      </c>
      <c r="CD66" s="3">
        <v>1037732</v>
      </c>
      <c r="CE66" s="71">
        <v>46184</v>
      </c>
      <c r="CF66" s="3">
        <f>500000+355000+1500000+1000000+400000+2100000+1000000</f>
        <v>6855000</v>
      </c>
      <c r="CG66" s="71">
        <v>46206</v>
      </c>
      <c r="CH66" s="3">
        <f>900000+2000000+1000000+2000000</f>
        <v>5900000</v>
      </c>
      <c r="CI66" s="3"/>
      <c r="CJ66" s="3"/>
      <c r="CK66" s="3"/>
      <c r="CL66" s="3"/>
      <c r="CM66" s="189">
        <f t="shared" ref="CM66:CM97" si="66">BP66+BR66+BT66+BV66+BX66+BZ66+CB66+CD66+CF66+CH66+CJ66+CL66</f>
        <v>19792732</v>
      </c>
      <c r="CN66" s="189">
        <f t="shared" ref="CN66:CN97" si="67">BM66+CM66</f>
        <v>19792732</v>
      </c>
      <c r="CO66" s="189"/>
      <c r="CP66" s="190"/>
      <c r="CQ66" s="189"/>
      <c r="CR66" s="189"/>
      <c r="CS66" s="189"/>
      <c r="CT66" s="189"/>
      <c r="CU66" s="189">
        <f t="shared" ref="CU66:CU97" si="68">CS66+BX66</f>
        <v>0</v>
      </c>
      <c r="CV66" s="189">
        <f t="shared" ref="CV66:CV97" si="69">CU66/$CU$153*$DS$175</f>
        <v>0</v>
      </c>
      <c r="CW66" s="189">
        <f t="shared" ref="CW66:CW75" si="70">CU66+BZ66</f>
        <v>3000000</v>
      </c>
      <c r="CX66" s="189">
        <f t="shared" ref="CX66:CX97" si="71">CW66/$CW$153*$DS$176</f>
        <v>29144.458857960133</v>
      </c>
      <c r="CY66" s="189">
        <f t="shared" ref="CY66:CY97" si="72">CW66+CB66</f>
        <v>6000000</v>
      </c>
      <c r="CZ66" s="388">
        <f t="shared" ref="CZ66:CZ97" si="73">CY66/$CY$153*750000</f>
        <v>9271.5089256538286</v>
      </c>
      <c r="DA66" s="189">
        <f t="shared" ref="DA66:DA97" si="74">CY66/$CY$153*$DS$185</f>
        <v>23852.142599046245</v>
      </c>
      <c r="DB66" s="189">
        <f t="shared" ref="DB66:DB97" si="75">CY66+CD66</f>
        <v>7037732</v>
      </c>
      <c r="DC66" s="189">
        <f t="shared" ref="DC66:DC97" si="76">DB66/$DB$153*$DC$154</f>
        <v>39662.297412786698</v>
      </c>
      <c r="DD66" s="189">
        <f t="shared" ref="DD66:DD92" si="77">DB66/$DB$153*$DD$154</f>
        <v>26855.14245198909</v>
      </c>
      <c r="DE66" s="189">
        <f t="shared" ref="DE66:DE97" si="78">DB66+CF66</f>
        <v>13892732</v>
      </c>
      <c r="DF66" s="189">
        <f t="shared" ref="DF66:DF97" si="79">DE66/$DE$153*$DF$154</f>
        <v>37249.589726166916</v>
      </c>
      <c r="DG66" s="189">
        <f t="shared" ref="DG66:DG97" si="80">DE66/$DE$153*$DG$154</f>
        <v>124376.09428670265</v>
      </c>
      <c r="DH66" s="189">
        <v>20083143.234260309</v>
      </c>
      <c r="DI66" s="189">
        <f>'Member position mfumo and excel'!F68</f>
        <v>20083143.23</v>
      </c>
      <c r="DJ66" s="189">
        <f t="shared" si="35"/>
        <v>4.2603090405464172E-3</v>
      </c>
      <c r="DK66" s="189">
        <f t="shared" ref="DK66:DK97" si="81">DH66/$DH$153*$DK$154</f>
        <v>206208.88595390823</v>
      </c>
      <c r="DL66" s="189">
        <f t="shared" ref="DL66:DL97" si="82">DH66/$DH$153*$DL$154</f>
        <v>57438.825470216412</v>
      </c>
      <c r="DM66" s="189"/>
      <c r="DN66" s="189"/>
      <c r="DO66" s="189"/>
      <c r="DP66" s="189"/>
      <c r="DQ66" s="189"/>
      <c r="DR66" s="189"/>
      <c r="DS66" s="186">
        <f t="shared" ref="DS66:DS97" si="83">CN66+CO66+CQ66+CR66+CT66+CV66+CX66+CZ66+DA66+DC66+DD66+DF66+DG66+DK66+DL66+DN66+DO66+DQ66+DR66</f>
        <v>20346790.945684433</v>
      </c>
      <c r="DT66" s="1" t="b">
        <f t="shared" si="31"/>
        <v>1</v>
      </c>
      <c r="DU66" s="247" t="str">
        <f t="shared" ref="DU66:DU97" si="84">B66</f>
        <v>Aminiel Kabby Kabura</v>
      </c>
      <c r="DV66" s="249">
        <f t="shared" ref="DV66:DV73" si="85">DS66</f>
        <v>20346790.945684433</v>
      </c>
      <c r="DW66" s="248">
        <f t="shared" ref="DW66:DW92" si="86">DS66-CN66</f>
        <v>554058.94568443298</v>
      </c>
      <c r="DZ66" s="1">
        <f t="shared" si="32"/>
        <v>0</v>
      </c>
      <c r="EB66" s="1">
        <f t="shared" si="33"/>
        <v>0</v>
      </c>
    </row>
    <row r="67" spans="1:132" s="1" customFormat="1" x14ac:dyDescent="0.35">
      <c r="A67" s="210" t="s">
        <v>307</v>
      </c>
      <c r="B67" s="7" t="s">
        <v>308</v>
      </c>
      <c r="C67" s="522" t="s">
        <v>1205</v>
      </c>
      <c r="D67" s="71"/>
      <c r="E67" s="239"/>
      <c r="F67" s="11"/>
      <c r="G67" s="11"/>
      <c r="H67" s="11"/>
      <c r="I67" s="545"/>
      <c r="J67" s="545"/>
      <c r="K67" s="11"/>
      <c r="L67" s="11"/>
      <c r="M67" s="11"/>
      <c r="N67" s="11"/>
      <c r="O67" s="11"/>
      <c r="P67" s="11"/>
      <c r="Q67" s="10"/>
      <c r="R67" s="11"/>
      <c r="S67" s="11"/>
      <c r="T67" s="11"/>
      <c r="U67" s="11"/>
      <c r="V67" s="11"/>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66"/>
      <c r="BK67" s="66"/>
      <c r="BL67" s="3"/>
      <c r="BM67" s="184"/>
      <c r="BO67" s="10"/>
      <c r="BP67" s="200"/>
      <c r="BQ67" s="3"/>
      <c r="BR67" s="200"/>
      <c r="BS67" s="205"/>
      <c r="BT67" s="200"/>
      <c r="BU67" s="3"/>
      <c r="BV67" s="3"/>
      <c r="BW67" s="3"/>
      <c r="BX67" s="231"/>
      <c r="BY67" s="71">
        <v>46100</v>
      </c>
      <c r="BZ67" s="3">
        <v>5000000</v>
      </c>
      <c r="CA67" s="71">
        <v>46122</v>
      </c>
      <c r="CB67" s="3">
        <v>5000000</v>
      </c>
      <c r="CC67" s="3"/>
      <c r="CD67" s="3"/>
      <c r="CE67" s="3"/>
      <c r="CF67" s="3"/>
      <c r="CG67" s="71">
        <v>46227</v>
      </c>
      <c r="CH67" s="3">
        <v>10000000</v>
      </c>
      <c r="CI67" s="3"/>
      <c r="CJ67" s="3"/>
      <c r="CK67" s="3"/>
      <c r="CL67" s="3"/>
      <c r="CM67" s="189">
        <f t="shared" si="66"/>
        <v>20000000</v>
      </c>
      <c r="CN67" s="189">
        <f t="shared" si="67"/>
        <v>20000000</v>
      </c>
      <c r="CO67" s="189"/>
      <c r="CP67" s="190"/>
      <c r="CQ67" s="189"/>
      <c r="CR67" s="189"/>
      <c r="CS67" s="189"/>
      <c r="CT67" s="189"/>
      <c r="CU67" s="189">
        <f t="shared" si="68"/>
        <v>0</v>
      </c>
      <c r="CV67" s="189">
        <f t="shared" si="69"/>
        <v>0</v>
      </c>
      <c r="CW67" s="189">
        <f t="shared" si="70"/>
        <v>5000000</v>
      </c>
      <c r="CX67" s="189">
        <f t="shared" si="71"/>
        <v>48574.098096600224</v>
      </c>
      <c r="CY67" s="189">
        <f t="shared" si="72"/>
        <v>10000000</v>
      </c>
      <c r="CZ67" s="388">
        <f t="shared" si="73"/>
        <v>15452.514876089712</v>
      </c>
      <c r="DA67" s="189">
        <f t="shared" si="74"/>
        <v>39753.570998410411</v>
      </c>
      <c r="DB67" s="189">
        <f t="shared" si="75"/>
        <v>10000000</v>
      </c>
      <c r="DC67" s="189">
        <f t="shared" si="76"/>
        <v>56356.646449149674</v>
      </c>
      <c r="DD67" s="189">
        <f t="shared" si="77"/>
        <v>38158.802369838879</v>
      </c>
      <c r="DE67" s="189">
        <f t="shared" si="78"/>
        <v>10000000</v>
      </c>
      <c r="DF67" s="189">
        <f t="shared" si="79"/>
        <v>26812.285536183175</v>
      </c>
      <c r="DG67" s="189">
        <f t="shared" si="80"/>
        <v>89526.015679783246</v>
      </c>
      <c r="DH67" s="189">
        <v>20314633.934006061</v>
      </c>
      <c r="DI67" s="189">
        <f>'Member position mfumo and excel'!F69</f>
        <v>20314633.940000001</v>
      </c>
      <c r="DJ67" s="189">
        <f t="shared" si="35"/>
        <v>-5.9939399361610413E-3</v>
      </c>
      <c r="DK67" s="189">
        <f t="shared" si="81"/>
        <v>208585.77679945226</v>
      </c>
      <c r="DL67" s="189">
        <f t="shared" si="82"/>
        <v>58100.900810992338</v>
      </c>
      <c r="DM67" s="189"/>
      <c r="DN67" s="189"/>
      <c r="DO67" s="189"/>
      <c r="DP67" s="189"/>
      <c r="DQ67" s="189"/>
      <c r="DR67" s="189"/>
      <c r="DS67" s="186">
        <f t="shared" si="83"/>
        <v>20581320.611616503</v>
      </c>
      <c r="DT67" s="1" t="b">
        <f t="shared" ref="DT67:DT130" si="87">DS67=CN67+CO67+CQ67+CR67+CT67+CV67+CX67+CZ67+DA67+DC67+DD67+DF67+DG67+DK67+DL67+DN67+DO67+DQ67+DR67</f>
        <v>1</v>
      </c>
      <c r="DU67" s="247" t="str">
        <f t="shared" si="84"/>
        <v>Gilbert Z. Mrema</v>
      </c>
      <c r="DV67" s="249">
        <f t="shared" si="85"/>
        <v>20581320.611616503</v>
      </c>
      <c r="DW67" s="248">
        <f t="shared" si="86"/>
        <v>581320.61161650345</v>
      </c>
      <c r="DZ67" s="1">
        <f t="shared" ref="DZ67:DZ130" si="88">BM67+BP67+BR67+BT67+CO67+CQ67+CR67+CT67</f>
        <v>0</v>
      </c>
      <c r="EB67" s="1">
        <f t="shared" ref="EB67:EB130" si="89">BM67+BP67+BR67+BT67+BV67+BX67+CO67+CQ67+CR67+CT67+CV67</f>
        <v>0</v>
      </c>
    </row>
    <row r="68" spans="1:132" s="1" customFormat="1" x14ac:dyDescent="0.35">
      <c r="A68" s="210" t="s">
        <v>309</v>
      </c>
      <c r="B68" s="7" t="s">
        <v>310</v>
      </c>
      <c r="C68" s="522" t="s">
        <v>1206</v>
      </c>
      <c r="D68" s="71"/>
      <c r="E68" s="239"/>
      <c r="F68" s="11"/>
      <c r="G68" s="11"/>
      <c r="H68" s="11"/>
      <c r="I68" s="545"/>
      <c r="J68" s="545"/>
      <c r="K68" s="11"/>
      <c r="L68" s="11"/>
      <c r="M68" s="11"/>
      <c r="N68" s="11"/>
      <c r="O68" s="11"/>
      <c r="P68" s="11"/>
      <c r="Q68" s="10"/>
      <c r="R68" s="11"/>
      <c r="S68" s="11"/>
      <c r="T68" s="11"/>
      <c r="U68" s="11"/>
      <c r="V68" s="11"/>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66"/>
      <c r="BK68" s="66"/>
      <c r="BL68" s="3"/>
      <c r="BM68" s="184"/>
      <c r="BN68" s="711"/>
      <c r="BO68" s="10"/>
      <c r="BP68" s="200"/>
      <c r="BQ68" s="3"/>
      <c r="BR68" s="200"/>
      <c r="BS68" s="205"/>
      <c r="BT68" s="200"/>
      <c r="BU68" s="3"/>
      <c r="BV68" s="3"/>
      <c r="BW68" s="3"/>
      <c r="BX68" s="231"/>
      <c r="BY68" s="71">
        <v>46099</v>
      </c>
      <c r="BZ68" s="3">
        <f>200000+300000+2600000</f>
        <v>3100000</v>
      </c>
      <c r="CA68" s="71">
        <v>46142</v>
      </c>
      <c r="CB68" s="3">
        <v>100000</v>
      </c>
      <c r="CC68" s="71">
        <v>46171</v>
      </c>
      <c r="CD68" s="3">
        <v>150000</v>
      </c>
      <c r="CE68" s="71">
        <v>46200</v>
      </c>
      <c r="CF68" s="3">
        <v>150000</v>
      </c>
      <c r="CG68" s="71">
        <v>46225</v>
      </c>
      <c r="CH68" s="3">
        <v>700000</v>
      </c>
      <c r="CI68" s="3"/>
      <c r="CJ68" s="3"/>
      <c r="CK68" s="3"/>
      <c r="CL68" s="3"/>
      <c r="CM68" s="189">
        <f t="shared" si="66"/>
        <v>4200000</v>
      </c>
      <c r="CN68" s="189">
        <f t="shared" si="67"/>
        <v>4200000</v>
      </c>
      <c r="CO68" s="189"/>
      <c r="CP68" s="190"/>
      <c r="CQ68" s="189"/>
      <c r="CR68" s="189"/>
      <c r="CS68" s="189"/>
      <c r="CT68" s="189"/>
      <c r="CU68" s="189">
        <f t="shared" si="68"/>
        <v>0</v>
      </c>
      <c r="CV68" s="189">
        <f t="shared" si="69"/>
        <v>0</v>
      </c>
      <c r="CW68" s="189">
        <f t="shared" si="70"/>
        <v>3100000</v>
      </c>
      <c r="CX68" s="189">
        <f t="shared" si="71"/>
        <v>30115.940819892141</v>
      </c>
      <c r="CY68" s="189">
        <f t="shared" si="72"/>
        <v>3200000</v>
      </c>
      <c r="CZ68" s="388">
        <f t="shared" si="73"/>
        <v>4944.8047603487084</v>
      </c>
      <c r="DA68" s="189">
        <f t="shared" si="74"/>
        <v>12721.142719491332</v>
      </c>
      <c r="DB68" s="189">
        <f t="shared" si="75"/>
        <v>3350000</v>
      </c>
      <c r="DC68" s="189">
        <f t="shared" si="76"/>
        <v>18879.476560465137</v>
      </c>
      <c r="DD68" s="189">
        <f t="shared" si="77"/>
        <v>12783.198793896023</v>
      </c>
      <c r="DE68" s="189">
        <f t="shared" si="78"/>
        <v>3500000</v>
      </c>
      <c r="DF68" s="189">
        <f t="shared" si="79"/>
        <v>9384.2999376641128</v>
      </c>
      <c r="DG68" s="189">
        <f t="shared" si="80"/>
        <v>31334.105487924138</v>
      </c>
      <c r="DH68" s="189">
        <v>4320162.9690796826</v>
      </c>
      <c r="DI68" s="189">
        <f>'Member position mfumo and excel'!F70</f>
        <v>4320162.97</v>
      </c>
      <c r="DJ68" s="189">
        <f t="shared" si="35"/>
        <v>-9.2031713575124741E-4</v>
      </c>
      <c r="DK68" s="189">
        <f t="shared" si="81"/>
        <v>44358.394629856419</v>
      </c>
      <c r="DL68" s="189">
        <f t="shared" si="82"/>
        <v>12355.888910882399</v>
      </c>
      <c r="DM68" s="189"/>
      <c r="DN68" s="189"/>
      <c r="DO68" s="189"/>
      <c r="DP68" s="189"/>
      <c r="DQ68" s="189"/>
      <c r="DR68" s="189"/>
      <c r="DS68" s="186">
        <f t="shared" si="83"/>
        <v>4376877.2526204214</v>
      </c>
      <c r="DT68" s="1" t="b">
        <f t="shared" si="87"/>
        <v>1</v>
      </c>
      <c r="DU68" s="247" t="str">
        <f t="shared" si="84"/>
        <v>Philemon Barabojick</v>
      </c>
      <c r="DV68" s="249">
        <f t="shared" si="85"/>
        <v>4376877.2526204214</v>
      </c>
      <c r="DW68" s="248">
        <f t="shared" si="86"/>
        <v>176877.25262042135</v>
      </c>
      <c r="DZ68" s="1">
        <f t="shared" si="88"/>
        <v>0</v>
      </c>
      <c r="EB68" s="1">
        <f t="shared" si="89"/>
        <v>0</v>
      </c>
    </row>
    <row r="69" spans="1:132" s="1" customFormat="1" x14ac:dyDescent="0.35">
      <c r="A69" s="210" t="s">
        <v>311</v>
      </c>
      <c r="B69" s="7" t="s">
        <v>312</v>
      </c>
      <c r="C69" s="522" t="s">
        <v>1248</v>
      </c>
      <c r="D69" s="71"/>
      <c r="E69" s="239"/>
      <c r="F69" s="11"/>
      <c r="G69" s="11"/>
      <c r="H69" s="11"/>
      <c r="I69" s="545"/>
      <c r="J69" s="545"/>
      <c r="K69" s="11"/>
      <c r="L69" s="11"/>
      <c r="M69" s="11"/>
      <c r="N69" s="11"/>
      <c r="O69" s="11"/>
      <c r="P69" s="11"/>
      <c r="Q69" s="10"/>
      <c r="R69" s="11"/>
      <c r="S69" s="11"/>
      <c r="T69" s="11"/>
      <c r="U69" s="11"/>
      <c r="V69" s="11"/>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66"/>
      <c r="BK69" s="66"/>
      <c r="BL69" s="3"/>
      <c r="BM69" s="184"/>
      <c r="BO69" s="10"/>
      <c r="BP69" s="200"/>
      <c r="BQ69" s="3"/>
      <c r="BR69" s="200"/>
      <c r="BS69" s="205"/>
      <c r="BT69" s="200"/>
      <c r="BU69" s="3"/>
      <c r="BV69" s="3"/>
      <c r="BW69" s="3"/>
      <c r="BX69" s="231"/>
      <c r="BY69" s="71">
        <v>46106</v>
      </c>
      <c r="BZ69" s="3">
        <v>5000000</v>
      </c>
      <c r="CA69" s="71">
        <v>46128</v>
      </c>
      <c r="CB69" s="3">
        <v>3000000</v>
      </c>
      <c r="CC69" s="71">
        <v>46152</v>
      </c>
      <c r="CD69" s="3">
        <v>5907261</v>
      </c>
      <c r="CE69" s="3"/>
      <c r="CF69" s="3"/>
      <c r="CG69" s="71">
        <v>46218</v>
      </c>
      <c r="CH69" s="3">
        <f>5000000+2000000</f>
        <v>7000000</v>
      </c>
      <c r="CI69" s="3"/>
      <c r="CJ69" s="3"/>
      <c r="CK69" s="3"/>
      <c r="CL69" s="3"/>
      <c r="CM69" s="189">
        <f t="shared" si="66"/>
        <v>20907261</v>
      </c>
      <c r="CN69" s="189">
        <f t="shared" si="67"/>
        <v>20907261</v>
      </c>
      <c r="CO69" s="189"/>
      <c r="CP69" s="190"/>
      <c r="CQ69" s="189"/>
      <c r="CR69" s="189"/>
      <c r="CS69" s="189"/>
      <c r="CT69" s="189"/>
      <c r="CU69" s="189">
        <f t="shared" si="68"/>
        <v>0</v>
      </c>
      <c r="CV69" s="189">
        <f t="shared" si="69"/>
        <v>0</v>
      </c>
      <c r="CW69" s="189">
        <f t="shared" si="70"/>
        <v>5000000</v>
      </c>
      <c r="CX69" s="189">
        <f t="shared" si="71"/>
        <v>48574.098096600224</v>
      </c>
      <c r="CY69" s="189">
        <f t="shared" si="72"/>
        <v>8000000</v>
      </c>
      <c r="CZ69" s="388">
        <f t="shared" si="73"/>
        <v>12362.011900871772</v>
      </c>
      <c r="DA69" s="189">
        <f t="shared" si="74"/>
        <v>31802.856798728331</v>
      </c>
      <c r="DB69" s="189">
        <f t="shared" si="75"/>
        <v>13907261</v>
      </c>
      <c r="DC69" s="189">
        <f t="shared" si="76"/>
        <v>78376.659125304752</v>
      </c>
      <c r="DD69" s="189">
        <f t="shared" si="77"/>
        <v>53068.442400476772</v>
      </c>
      <c r="DE69" s="189">
        <f t="shared" si="78"/>
        <v>13907261</v>
      </c>
      <c r="DF69" s="189">
        <f t="shared" si="79"/>
        <v>37288.545295822441</v>
      </c>
      <c r="DG69" s="189">
        <f t="shared" si="80"/>
        <v>124506.1666348838</v>
      </c>
      <c r="DH69" s="189">
        <v>21293239.780252691</v>
      </c>
      <c r="DI69" s="189">
        <f>'Member position mfumo and excel'!F71</f>
        <v>21293239.789999999</v>
      </c>
      <c r="DJ69" s="189">
        <f t="shared" si="35"/>
        <v>-9.7473077476024628E-3</v>
      </c>
      <c r="DK69" s="189">
        <f t="shared" si="81"/>
        <v>218633.8663334774</v>
      </c>
      <c r="DL69" s="189">
        <f t="shared" si="82"/>
        <v>60899.764004419332</v>
      </c>
      <c r="DM69" s="189"/>
      <c r="DN69" s="189"/>
      <c r="DO69" s="189"/>
      <c r="DP69" s="189"/>
      <c r="DQ69" s="189"/>
      <c r="DR69" s="189"/>
      <c r="DS69" s="186">
        <f t="shared" si="83"/>
        <v>21572773.410590589</v>
      </c>
      <c r="DT69" s="1" t="b">
        <f t="shared" si="87"/>
        <v>1</v>
      </c>
      <c r="DU69" s="247" t="str">
        <f t="shared" si="84"/>
        <v>Wasia Issa Mushi</v>
      </c>
      <c r="DV69" s="249">
        <f t="shared" si="85"/>
        <v>21572773.410590589</v>
      </c>
      <c r="DW69" s="248">
        <f t="shared" si="86"/>
        <v>665512.41059058905</v>
      </c>
      <c r="DZ69" s="1">
        <f t="shared" si="88"/>
        <v>0</v>
      </c>
      <c r="EB69" s="1">
        <f t="shared" si="89"/>
        <v>0</v>
      </c>
    </row>
    <row r="70" spans="1:132" s="1" customFormat="1" x14ac:dyDescent="0.35">
      <c r="A70" s="210" t="s">
        <v>313</v>
      </c>
      <c r="B70" s="7" t="s">
        <v>314</v>
      </c>
      <c r="C70" s="522" t="s">
        <v>1207</v>
      </c>
      <c r="D70" s="71"/>
      <c r="E70" s="239"/>
      <c r="F70" s="11"/>
      <c r="G70" s="11"/>
      <c r="H70" s="11"/>
      <c r="I70" s="545"/>
      <c r="J70" s="545"/>
      <c r="K70" s="11"/>
      <c r="L70" s="11"/>
      <c r="M70" s="11"/>
      <c r="N70" s="11"/>
      <c r="O70" s="11"/>
      <c r="P70" s="11"/>
      <c r="Q70" s="10"/>
      <c r="R70" s="11"/>
      <c r="S70" s="11"/>
      <c r="T70" s="11"/>
      <c r="U70" s="11"/>
      <c r="V70" s="11"/>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66"/>
      <c r="BK70" s="66"/>
      <c r="BL70" s="3"/>
      <c r="BM70" s="184"/>
      <c r="BN70" s="711"/>
      <c r="BO70" s="10"/>
      <c r="BP70" s="200"/>
      <c r="BQ70" s="3"/>
      <c r="BR70" s="200"/>
      <c r="BS70" s="205"/>
      <c r="BT70" s="200"/>
      <c r="BU70" s="3"/>
      <c r="BV70" s="3"/>
      <c r="BW70" s="3"/>
      <c r="BX70" s="231"/>
      <c r="BY70" s="71">
        <v>46111</v>
      </c>
      <c r="BZ70" s="3">
        <v>3000000</v>
      </c>
      <c r="CA70" s="3"/>
      <c r="CB70" s="3"/>
      <c r="CC70" s="71">
        <v>46143</v>
      </c>
      <c r="CD70" s="3">
        <v>200000</v>
      </c>
      <c r="CE70" s="71">
        <v>46177</v>
      </c>
      <c r="CF70" s="3">
        <v>500000</v>
      </c>
      <c r="CG70" s="3"/>
      <c r="CH70" s="3"/>
      <c r="CI70" s="3"/>
      <c r="CJ70" s="3"/>
      <c r="CK70" s="3"/>
      <c r="CL70" s="3"/>
      <c r="CM70" s="189">
        <f t="shared" si="66"/>
        <v>3700000</v>
      </c>
      <c r="CN70" s="189">
        <f t="shared" si="67"/>
        <v>3700000</v>
      </c>
      <c r="CO70" s="189"/>
      <c r="CP70" s="190"/>
      <c r="CQ70" s="189"/>
      <c r="CR70" s="189"/>
      <c r="CS70" s="189"/>
      <c r="CT70" s="189"/>
      <c r="CU70" s="189">
        <f t="shared" si="68"/>
        <v>0</v>
      </c>
      <c r="CV70" s="189">
        <f t="shared" si="69"/>
        <v>0</v>
      </c>
      <c r="CW70" s="189">
        <f t="shared" si="70"/>
        <v>3000000</v>
      </c>
      <c r="CX70" s="189">
        <f t="shared" si="71"/>
        <v>29144.458857960133</v>
      </c>
      <c r="CY70" s="189">
        <f t="shared" si="72"/>
        <v>3000000</v>
      </c>
      <c r="CZ70" s="388">
        <f t="shared" si="73"/>
        <v>4635.7544628269143</v>
      </c>
      <c r="DA70" s="189">
        <f t="shared" si="74"/>
        <v>11926.071299523122</v>
      </c>
      <c r="DB70" s="189">
        <f t="shared" si="75"/>
        <v>3200000</v>
      </c>
      <c r="DC70" s="189">
        <f t="shared" si="76"/>
        <v>18034.126863727892</v>
      </c>
      <c r="DD70" s="189">
        <f t="shared" si="77"/>
        <v>12210.816758348439</v>
      </c>
      <c r="DE70" s="189">
        <f t="shared" si="78"/>
        <v>3700000</v>
      </c>
      <c r="DF70" s="189">
        <f t="shared" si="79"/>
        <v>9920.545648387777</v>
      </c>
      <c r="DG70" s="189">
        <f t="shared" si="80"/>
        <v>33124.625801519804</v>
      </c>
      <c r="DH70" s="189">
        <v>3818996.3996922942</v>
      </c>
      <c r="DI70" s="189">
        <f>'Member position mfumo and excel'!F72</f>
        <v>3818996.41</v>
      </c>
      <c r="DJ70" s="189">
        <f t="shared" si="35"/>
        <v>-1.0307705961167812E-2</v>
      </c>
      <c r="DK70" s="189">
        <f t="shared" si="81"/>
        <v>39212.536795490298</v>
      </c>
      <c r="DL70" s="189">
        <f t="shared" si="82"/>
        <v>10922.526673967119</v>
      </c>
      <c r="DM70" s="189"/>
      <c r="DN70" s="189"/>
      <c r="DO70" s="189"/>
      <c r="DP70" s="189"/>
      <c r="DQ70" s="189"/>
      <c r="DR70" s="189"/>
      <c r="DS70" s="186">
        <f t="shared" si="83"/>
        <v>3869131.4631617516</v>
      </c>
      <c r="DT70" s="1" t="b">
        <f t="shared" si="87"/>
        <v>1</v>
      </c>
      <c r="DU70" s="247" t="str">
        <f t="shared" si="84"/>
        <v>Judica William Nassary</v>
      </c>
      <c r="DV70" s="249">
        <f t="shared" si="85"/>
        <v>3869131.4631617516</v>
      </c>
      <c r="DW70" s="248">
        <f t="shared" si="86"/>
        <v>169131.46316175163</v>
      </c>
      <c r="DZ70" s="1">
        <f t="shared" si="88"/>
        <v>0</v>
      </c>
      <c r="EB70" s="1">
        <f t="shared" si="89"/>
        <v>0</v>
      </c>
    </row>
    <row r="71" spans="1:132" s="1" customFormat="1" x14ac:dyDescent="0.35">
      <c r="A71" s="210" t="s">
        <v>315</v>
      </c>
      <c r="B71" s="7" t="s">
        <v>316</v>
      </c>
      <c r="C71" s="522" t="s">
        <v>1208</v>
      </c>
      <c r="D71" s="71"/>
      <c r="E71" s="239"/>
      <c r="F71" s="11"/>
      <c r="G71" s="11"/>
      <c r="H71" s="11"/>
      <c r="I71" s="545"/>
      <c r="J71" s="545"/>
      <c r="K71" s="11"/>
      <c r="L71" s="11"/>
      <c r="M71" s="11"/>
      <c r="N71" s="11"/>
      <c r="O71" s="11"/>
      <c r="P71" s="11"/>
      <c r="Q71" s="10"/>
      <c r="R71" s="11"/>
      <c r="S71" s="11"/>
      <c r="T71" s="11"/>
      <c r="U71" s="11"/>
      <c r="V71" s="11"/>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66"/>
      <c r="BK71" s="66"/>
      <c r="BL71" s="3"/>
      <c r="BM71" s="184"/>
      <c r="BO71" s="10"/>
      <c r="BP71" s="200"/>
      <c r="BQ71" s="3"/>
      <c r="BR71" s="200"/>
      <c r="BS71" s="205"/>
      <c r="BT71" s="200"/>
      <c r="BU71" s="3"/>
      <c r="BV71" s="3"/>
      <c r="BW71" s="3"/>
      <c r="BX71" s="231"/>
      <c r="BY71" s="71">
        <v>46112</v>
      </c>
      <c r="BZ71" s="3">
        <v>3000000</v>
      </c>
      <c r="CA71" s="71">
        <v>46137</v>
      </c>
      <c r="CB71" s="3">
        <v>1000000</v>
      </c>
      <c r="CC71" s="71">
        <v>46162</v>
      </c>
      <c r="CD71" s="3">
        <f>3000000</f>
        <v>3000000</v>
      </c>
      <c r="CE71" s="71">
        <v>46174</v>
      </c>
      <c r="CF71" s="3">
        <f>500000+5000000</f>
        <v>5500000</v>
      </c>
      <c r="CG71" s="71">
        <v>46204</v>
      </c>
      <c r="CH71" s="3">
        <v>2500000</v>
      </c>
      <c r="CI71" s="3"/>
      <c r="CJ71" s="3"/>
      <c r="CK71" s="3"/>
      <c r="CL71" s="3"/>
      <c r="CM71" s="189">
        <f t="shared" si="66"/>
        <v>15000000</v>
      </c>
      <c r="CN71" s="189">
        <f t="shared" si="67"/>
        <v>15000000</v>
      </c>
      <c r="CO71" s="189"/>
      <c r="CP71" s="190"/>
      <c r="CQ71" s="189"/>
      <c r="CR71" s="189"/>
      <c r="CS71" s="189"/>
      <c r="CT71" s="189"/>
      <c r="CU71" s="189">
        <f t="shared" si="68"/>
        <v>0</v>
      </c>
      <c r="CV71" s="189">
        <f t="shared" si="69"/>
        <v>0</v>
      </c>
      <c r="CW71" s="189">
        <f t="shared" si="70"/>
        <v>3000000</v>
      </c>
      <c r="CX71" s="189">
        <f t="shared" si="71"/>
        <v>29144.458857960133</v>
      </c>
      <c r="CY71" s="189">
        <f t="shared" si="72"/>
        <v>4000000</v>
      </c>
      <c r="CZ71" s="388">
        <f t="shared" si="73"/>
        <v>6181.005950435886</v>
      </c>
      <c r="DA71" s="189">
        <f t="shared" si="74"/>
        <v>15901.428399364166</v>
      </c>
      <c r="DB71" s="189">
        <f t="shared" si="75"/>
        <v>7000000</v>
      </c>
      <c r="DC71" s="189">
        <f t="shared" si="76"/>
        <v>39449.652514404763</v>
      </c>
      <c r="DD71" s="189">
        <f t="shared" si="77"/>
        <v>26711.161658887213</v>
      </c>
      <c r="DE71" s="189">
        <f t="shared" si="78"/>
        <v>12500000</v>
      </c>
      <c r="DF71" s="189">
        <f t="shared" si="79"/>
        <v>33515.356920228973</v>
      </c>
      <c r="DG71" s="189">
        <f t="shared" si="80"/>
        <v>111907.51959972907</v>
      </c>
      <c r="DH71" s="189">
        <v>15262810.58390101</v>
      </c>
      <c r="DI71" s="189">
        <f>'Member position mfumo and excel'!F73</f>
        <v>15262810.59</v>
      </c>
      <c r="DJ71" s="189">
        <f t="shared" si="35"/>
        <v>-6.0989893972873688E-3</v>
      </c>
      <c r="DK71" s="189">
        <f t="shared" si="81"/>
        <v>156714.86929708527</v>
      </c>
      <c r="DL71" s="189">
        <f t="shared" si="82"/>
        <v>43652.425473823059</v>
      </c>
      <c r="DM71" s="189"/>
      <c r="DN71" s="189"/>
      <c r="DO71" s="189"/>
      <c r="DP71" s="189"/>
      <c r="DQ71" s="189"/>
      <c r="DR71" s="189"/>
      <c r="DS71" s="186">
        <f t="shared" si="83"/>
        <v>15463177.878671918</v>
      </c>
      <c r="DT71" s="1" t="b">
        <f t="shared" si="87"/>
        <v>1</v>
      </c>
      <c r="DU71" s="247" t="str">
        <f t="shared" si="84"/>
        <v xml:space="preserve">Kusirye Boniface Ukio </v>
      </c>
      <c r="DV71" s="249">
        <f t="shared" si="85"/>
        <v>15463177.878671918</v>
      </c>
      <c r="DW71" s="248">
        <f t="shared" si="86"/>
        <v>463177.87867191806</v>
      </c>
      <c r="DZ71" s="1">
        <f t="shared" si="88"/>
        <v>0</v>
      </c>
      <c r="EB71" s="1">
        <f t="shared" si="89"/>
        <v>0</v>
      </c>
    </row>
    <row r="72" spans="1:132" s="1" customFormat="1" x14ac:dyDescent="0.35">
      <c r="A72" s="210" t="s">
        <v>317</v>
      </c>
      <c r="B72" s="7" t="s">
        <v>318</v>
      </c>
      <c r="C72" s="522" t="s">
        <v>1209</v>
      </c>
      <c r="D72" s="71"/>
      <c r="E72" s="239"/>
      <c r="F72" s="11"/>
      <c r="G72" s="11"/>
      <c r="H72" s="11"/>
      <c r="I72" s="545"/>
      <c r="J72" s="545"/>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350"/>
      <c r="BK72" s="350"/>
      <c r="BL72" s="7"/>
      <c r="BM72" s="7"/>
      <c r="BN72" s="213"/>
      <c r="BO72" s="11"/>
      <c r="BP72" s="202"/>
      <c r="BQ72" s="7"/>
      <c r="BR72" s="202"/>
      <c r="BS72" s="178"/>
      <c r="BT72" s="202"/>
      <c r="BU72" s="7"/>
      <c r="BV72" s="7"/>
      <c r="BW72" s="7"/>
      <c r="BX72" s="351"/>
      <c r="BY72" s="71">
        <v>46112</v>
      </c>
      <c r="BZ72" s="7">
        <v>3000000</v>
      </c>
      <c r="CA72" s="71">
        <v>46113</v>
      </c>
      <c r="CB72" s="7">
        <f>100000+100000+1100000</f>
        <v>1300000</v>
      </c>
      <c r="CC72" s="71">
        <v>46146</v>
      </c>
      <c r="CD72" s="7">
        <f>300000+600000</f>
        <v>900000</v>
      </c>
      <c r="CE72" s="71">
        <v>46175</v>
      </c>
      <c r="CF72" s="3">
        <f>600000+100000</f>
        <v>700000</v>
      </c>
      <c r="CG72" s="7"/>
      <c r="CH72" s="7"/>
      <c r="CI72" s="7"/>
      <c r="CJ72" s="7"/>
      <c r="CK72" s="7"/>
      <c r="CL72" s="7"/>
      <c r="CM72" s="7">
        <f t="shared" si="66"/>
        <v>5900000</v>
      </c>
      <c r="CN72" s="7">
        <f t="shared" si="67"/>
        <v>5900000</v>
      </c>
      <c r="CO72" s="7"/>
      <c r="CP72" s="286"/>
      <c r="CQ72" s="7"/>
      <c r="CR72" s="7"/>
      <c r="CS72" s="7"/>
      <c r="CT72" s="7"/>
      <c r="CU72" s="7">
        <f t="shared" si="68"/>
        <v>0</v>
      </c>
      <c r="CV72" s="7">
        <f t="shared" si="69"/>
        <v>0</v>
      </c>
      <c r="CW72" s="7">
        <f t="shared" si="70"/>
        <v>3000000</v>
      </c>
      <c r="CX72" s="7">
        <f t="shared" si="71"/>
        <v>29144.458857960133</v>
      </c>
      <c r="CY72" s="189">
        <f t="shared" si="72"/>
        <v>4300000</v>
      </c>
      <c r="CZ72" s="388">
        <f t="shared" si="73"/>
        <v>6644.5813967185768</v>
      </c>
      <c r="DA72" s="189">
        <f t="shared" si="74"/>
        <v>17094.035529316476</v>
      </c>
      <c r="DB72" s="189">
        <f t="shared" si="75"/>
        <v>5200000</v>
      </c>
      <c r="DC72" s="189">
        <f t="shared" si="76"/>
        <v>29305.456153557829</v>
      </c>
      <c r="DD72" s="189">
        <f t="shared" si="77"/>
        <v>19842.577232316216</v>
      </c>
      <c r="DE72" s="189">
        <f t="shared" si="78"/>
        <v>5900000</v>
      </c>
      <c r="DF72" s="189">
        <f t="shared" si="79"/>
        <v>15819.248466348074</v>
      </c>
      <c r="DG72" s="189">
        <f t="shared" si="80"/>
        <v>52820.349251072119</v>
      </c>
      <c r="DH72" s="189">
        <v>6070670.706887289</v>
      </c>
      <c r="DI72" s="189">
        <f>'Member position mfumo and excel'!F74</f>
        <v>6070670.7199999997</v>
      </c>
      <c r="DJ72" s="189">
        <f t="shared" si="35"/>
        <v>-1.3112710788846016E-2</v>
      </c>
      <c r="DK72" s="189">
        <f t="shared" si="81"/>
        <v>62332.187190933961</v>
      </c>
      <c r="DL72" s="189">
        <f t="shared" si="82"/>
        <v>17362.431326248374</v>
      </c>
      <c r="DM72" s="189"/>
      <c r="DN72" s="189"/>
      <c r="DO72" s="189"/>
      <c r="DP72" s="189"/>
      <c r="DQ72" s="189"/>
      <c r="DR72" s="189"/>
      <c r="DS72" s="186">
        <f t="shared" si="83"/>
        <v>6150365.3254044717</v>
      </c>
      <c r="DT72" s="1" t="b">
        <f t="shared" si="87"/>
        <v>1</v>
      </c>
      <c r="DU72" s="247" t="str">
        <f t="shared" si="84"/>
        <v>Eliud Hezron Massaga</v>
      </c>
      <c r="DV72" s="249">
        <f t="shared" si="85"/>
        <v>6150365.3254044717</v>
      </c>
      <c r="DW72" s="248">
        <f t="shared" si="86"/>
        <v>250365.32540447172</v>
      </c>
      <c r="DZ72" s="1">
        <f t="shared" si="88"/>
        <v>0</v>
      </c>
      <c r="EB72" s="1">
        <f t="shared" si="89"/>
        <v>0</v>
      </c>
    </row>
    <row r="73" spans="1:132" s="1" customFormat="1" x14ac:dyDescent="0.35">
      <c r="A73" s="210" t="s">
        <v>319</v>
      </c>
      <c r="B73" s="7" t="s">
        <v>320</v>
      </c>
      <c r="C73" s="522" t="s">
        <v>1210</v>
      </c>
      <c r="D73" s="71"/>
      <c r="E73" s="239"/>
      <c r="F73" s="11"/>
      <c r="G73" s="11"/>
      <c r="H73" s="11"/>
      <c r="I73" s="545"/>
      <c r="J73" s="545"/>
      <c r="K73" s="11"/>
      <c r="L73" s="11"/>
      <c r="M73" s="11"/>
      <c r="N73" s="11"/>
      <c r="O73" s="11"/>
      <c r="P73" s="11"/>
      <c r="Q73" s="10"/>
      <c r="R73" s="11"/>
      <c r="S73" s="11"/>
      <c r="T73" s="11"/>
      <c r="U73" s="11"/>
      <c r="V73" s="11"/>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66"/>
      <c r="BK73" s="66"/>
      <c r="BL73" s="3"/>
      <c r="BM73" s="184"/>
      <c r="BN73" s="711"/>
      <c r="BO73" s="10"/>
      <c r="BP73" s="200"/>
      <c r="BQ73" s="3"/>
      <c r="BR73" s="200"/>
      <c r="BS73" s="205"/>
      <c r="BT73" s="200"/>
      <c r="BU73" s="3"/>
      <c r="BV73" s="3"/>
      <c r="BW73" s="3"/>
      <c r="BX73" s="231"/>
      <c r="BY73" s="71">
        <v>46112</v>
      </c>
      <c r="BZ73" s="3">
        <v>3200000</v>
      </c>
      <c r="CA73" s="3"/>
      <c r="CB73" s="3"/>
      <c r="CC73" s="3"/>
      <c r="CD73" s="3"/>
      <c r="CE73" s="71">
        <v>46182</v>
      </c>
      <c r="CF73" s="3">
        <v>500000</v>
      </c>
      <c r="CG73" s="71">
        <v>46218</v>
      </c>
      <c r="CH73" s="3">
        <v>500000</v>
      </c>
      <c r="CI73" s="3"/>
      <c r="CJ73" s="3"/>
      <c r="CK73" s="3"/>
      <c r="CL73" s="3"/>
      <c r="CM73" s="189">
        <f t="shared" si="66"/>
        <v>4200000</v>
      </c>
      <c r="CN73" s="189">
        <f t="shared" si="67"/>
        <v>4200000</v>
      </c>
      <c r="CO73" s="189"/>
      <c r="CP73" s="190"/>
      <c r="CQ73" s="189"/>
      <c r="CR73" s="189"/>
      <c r="CS73" s="189"/>
      <c r="CT73" s="189"/>
      <c r="CU73" s="189">
        <f t="shared" si="68"/>
        <v>0</v>
      </c>
      <c r="CV73" s="189">
        <f t="shared" si="69"/>
        <v>0</v>
      </c>
      <c r="CW73" s="189">
        <f t="shared" si="70"/>
        <v>3200000</v>
      </c>
      <c r="CX73" s="189">
        <f t="shared" si="71"/>
        <v>31087.422781824145</v>
      </c>
      <c r="CY73" s="189">
        <f t="shared" si="72"/>
        <v>3200000</v>
      </c>
      <c r="CZ73" s="388">
        <f t="shared" si="73"/>
        <v>4944.8047603487084</v>
      </c>
      <c r="DA73" s="189">
        <f t="shared" si="74"/>
        <v>12721.142719491332</v>
      </c>
      <c r="DB73" s="189">
        <f t="shared" si="75"/>
        <v>3200000</v>
      </c>
      <c r="DC73" s="189">
        <f t="shared" si="76"/>
        <v>18034.126863727892</v>
      </c>
      <c r="DD73" s="189">
        <f t="shared" si="77"/>
        <v>12210.816758348439</v>
      </c>
      <c r="DE73" s="189">
        <f t="shared" si="78"/>
        <v>3700000</v>
      </c>
      <c r="DF73" s="189">
        <f t="shared" si="79"/>
        <v>9920.545648387777</v>
      </c>
      <c r="DG73" s="189">
        <f t="shared" si="80"/>
        <v>33124.625801519804</v>
      </c>
      <c r="DH73" s="189">
        <v>4322043.4853336485</v>
      </c>
      <c r="DI73" s="189">
        <f>'Member position mfumo and excel'!F75-500000</f>
        <v>4322043.49</v>
      </c>
      <c r="DJ73" s="189">
        <f t="shared" si="35"/>
        <v>-4.6663517132401466E-3</v>
      </c>
      <c r="DK73" s="189">
        <f t="shared" si="81"/>
        <v>44377.703318602267</v>
      </c>
      <c r="DL73" s="189">
        <f t="shared" si="82"/>
        <v>12361.267284359375</v>
      </c>
      <c r="DM73" s="189"/>
      <c r="DN73" s="189"/>
      <c r="DO73" s="189"/>
      <c r="DP73" s="189"/>
      <c r="DQ73" s="189"/>
      <c r="DR73" s="189"/>
      <c r="DS73" s="186">
        <f t="shared" si="83"/>
        <v>4378782.4559366107</v>
      </c>
      <c r="DT73" s="1" t="b">
        <f t="shared" si="87"/>
        <v>1</v>
      </c>
      <c r="DU73" s="247" t="str">
        <f t="shared" si="84"/>
        <v xml:space="preserve">Ludovic Jacob Swai </v>
      </c>
      <c r="DV73" s="249">
        <f t="shared" si="85"/>
        <v>4378782.4559366107</v>
      </c>
      <c r="DW73" s="248">
        <f t="shared" si="86"/>
        <v>178782.4559366107</v>
      </c>
      <c r="DZ73" s="1">
        <f t="shared" si="88"/>
        <v>0</v>
      </c>
      <c r="EB73" s="1">
        <f t="shared" si="89"/>
        <v>0</v>
      </c>
    </row>
    <row r="74" spans="1:132" s="1" customFormat="1" x14ac:dyDescent="0.35">
      <c r="A74" s="210" t="s">
        <v>321</v>
      </c>
      <c r="B74" s="7" t="s">
        <v>322</v>
      </c>
      <c r="C74" s="522" t="s">
        <v>1211</v>
      </c>
      <c r="D74" s="71"/>
      <c r="E74" s="239"/>
      <c r="F74" s="11"/>
      <c r="G74" s="11"/>
      <c r="H74" s="11"/>
      <c r="I74" s="545"/>
      <c r="J74" s="545"/>
      <c r="K74" s="11"/>
      <c r="L74" s="11"/>
      <c r="M74" s="11"/>
      <c r="N74" s="11"/>
      <c r="O74" s="11"/>
      <c r="P74" s="11"/>
      <c r="Q74" s="10"/>
      <c r="R74" s="11"/>
      <c r="S74" s="11"/>
      <c r="T74" s="11"/>
      <c r="U74" s="11"/>
      <c r="V74" s="11"/>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66"/>
      <c r="BK74" s="66"/>
      <c r="BL74" s="3"/>
      <c r="BM74" s="184"/>
      <c r="BN74" s="711"/>
      <c r="BO74" s="10"/>
      <c r="BP74" s="200"/>
      <c r="BQ74" s="3"/>
      <c r="BR74" s="200"/>
      <c r="BS74" s="205"/>
      <c r="BT74" s="200"/>
      <c r="BU74" s="3"/>
      <c r="BV74" s="3"/>
      <c r="BW74" s="3"/>
      <c r="BX74" s="231"/>
      <c r="BY74" s="71"/>
      <c r="BZ74" s="3"/>
      <c r="CA74" s="71">
        <v>46128</v>
      </c>
      <c r="CB74" s="3">
        <v>3300000</v>
      </c>
      <c r="CC74" s="3"/>
      <c r="CD74" s="3"/>
      <c r="CE74" s="3"/>
      <c r="CF74" s="3"/>
      <c r="CG74" s="3"/>
      <c r="CH74" s="3"/>
      <c r="CI74" s="3"/>
      <c r="CJ74" s="3"/>
      <c r="CK74" s="3"/>
      <c r="CL74" s="3"/>
      <c r="CM74" s="189">
        <f t="shared" si="66"/>
        <v>3300000</v>
      </c>
      <c r="CN74" s="189">
        <f t="shared" si="67"/>
        <v>3300000</v>
      </c>
      <c r="CO74" s="189"/>
      <c r="CP74" s="190"/>
      <c r="CQ74" s="189"/>
      <c r="CR74" s="189"/>
      <c r="CS74" s="189"/>
      <c r="CT74" s="189"/>
      <c r="CU74" s="189">
        <f t="shared" si="68"/>
        <v>0</v>
      </c>
      <c r="CV74" s="189">
        <f t="shared" si="69"/>
        <v>0</v>
      </c>
      <c r="CW74" s="189">
        <f t="shared" si="70"/>
        <v>0</v>
      </c>
      <c r="CX74" s="189">
        <f t="shared" si="71"/>
        <v>0</v>
      </c>
      <c r="CY74" s="189">
        <f t="shared" si="72"/>
        <v>3300000</v>
      </c>
      <c r="CZ74" s="388">
        <f t="shared" si="73"/>
        <v>5099.329909109606</v>
      </c>
      <c r="DA74" s="189">
        <f t="shared" si="74"/>
        <v>13118.678429475436</v>
      </c>
      <c r="DB74" s="189">
        <f t="shared" si="75"/>
        <v>3300000</v>
      </c>
      <c r="DC74" s="189">
        <f t="shared" si="76"/>
        <v>18597.69332821939</v>
      </c>
      <c r="DD74" s="189">
        <f t="shared" si="77"/>
        <v>12592.404782046828</v>
      </c>
      <c r="DE74" s="189">
        <f t="shared" si="78"/>
        <v>3300000</v>
      </c>
      <c r="DF74" s="189">
        <f t="shared" si="79"/>
        <v>8848.0542269404486</v>
      </c>
      <c r="DG74" s="189">
        <f t="shared" si="80"/>
        <v>29543.585174328473</v>
      </c>
      <c r="DH74" s="189">
        <v>3387799.7458501207</v>
      </c>
      <c r="DI74" s="189">
        <f>'Member position mfumo and excel'!F76</f>
        <v>3387799.74</v>
      </c>
      <c r="DJ74" s="189">
        <f t="shared" si="35"/>
        <v>5.850120447576046E-3</v>
      </c>
      <c r="DK74" s="189">
        <f t="shared" si="81"/>
        <v>34785.113230429895</v>
      </c>
      <c r="DL74" s="189">
        <f t="shared" si="82"/>
        <v>9689.282004321456</v>
      </c>
      <c r="DM74" s="189"/>
      <c r="DN74" s="189"/>
      <c r="DO74" s="189"/>
      <c r="DP74" s="189"/>
      <c r="DQ74" s="189"/>
      <c r="DR74" s="189"/>
      <c r="DS74" s="186">
        <f t="shared" si="83"/>
        <v>3432274.1410848722</v>
      </c>
      <c r="DT74" s="1" t="b">
        <f t="shared" si="87"/>
        <v>1</v>
      </c>
      <c r="DU74" s="247" t="str">
        <f t="shared" si="84"/>
        <v xml:space="preserve">David Isack Mushi </v>
      </c>
      <c r="DV74" s="249">
        <f t="shared" ref="DV74" si="90">DS74</f>
        <v>3432274.1410848722</v>
      </c>
      <c r="DW74" s="248">
        <f t="shared" si="86"/>
        <v>132274.14108487219</v>
      </c>
      <c r="DZ74" s="1">
        <f t="shared" si="88"/>
        <v>0</v>
      </c>
      <c r="EB74" s="1">
        <f t="shared" si="89"/>
        <v>0</v>
      </c>
    </row>
    <row r="75" spans="1:132" s="1" customFormat="1" x14ac:dyDescent="0.35">
      <c r="A75" s="210" t="s">
        <v>323</v>
      </c>
      <c r="B75" s="7" t="s">
        <v>324</v>
      </c>
      <c r="C75" s="522" t="s">
        <v>1212</v>
      </c>
      <c r="D75" s="71"/>
      <c r="E75" s="239"/>
      <c r="F75" s="11"/>
      <c r="G75" s="11"/>
      <c r="H75" s="11"/>
      <c r="I75" s="545"/>
      <c r="J75" s="545"/>
      <c r="K75" s="11"/>
      <c r="L75" s="11"/>
      <c r="M75" s="11"/>
      <c r="N75" s="11"/>
      <c r="O75" s="11"/>
      <c r="P75" s="11"/>
      <c r="Q75" s="10"/>
      <c r="R75" s="11"/>
      <c r="S75" s="11"/>
      <c r="T75" s="11"/>
      <c r="U75" s="11"/>
      <c r="V75" s="11"/>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66"/>
      <c r="BK75" s="66"/>
      <c r="BL75" s="3"/>
      <c r="BM75" s="184"/>
      <c r="BN75" s="711"/>
      <c r="BO75" s="10"/>
      <c r="BP75" s="200"/>
      <c r="BQ75" s="3"/>
      <c r="BR75" s="200"/>
      <c r="BS75" s="205"/>
      <c r="BT75" s="200"/>
      <c r="BU75" s="3"/>
      <c r="BV75" s="3"/>
      <c r="BW75" s="3"/>
      <c r="BX75" s="231"/>
      <c r="BY75" s="71"/>
      <c r="BZ75" s="3"/>
      <c r="CA75" s="71">
        <v>46129</v>
      </c>
      <c r="CB75" s="3">
        <v>3200000</v>
      </c>
      <c r="CC75" s="71">
        <v>46172</v>
      </c>
      <c r="CD75" s="3">
        <v>800000</v>
      </c>
      <c r="CE75" s="3"/>
      <c r="CF75" s="3"/>
      <c r="CG75" s="3"/>
      <c r="CH75" s="3"/>
      <c r="CI75" s="3"/>
      <c r="CJ75" s="3"/>
      <c r="CK75" s="3"/>
      <c r="CL75" s="3"/>
      <c r="CM75" s="189">
        <f t="shared" si="66"/>
        <v>4000000</v>
      </c>
      <c r="CN75" s="189">
        <f t="shared" si="67"/>
        <v>4000000</v>
      </c>
      <c r="CO75" s="189"/>
      <c r="CP75" s="190"/>
      <c r="CQ75" s="189"/>
      <c r="CR75" s="189"/>
      <c r="CS75" s="189"/>
      <c r="CT75" s="189"/>
      <c r="CU75" s="189">
        <f t="shared" si="68"/>
        <v>0</v>
      </c>
      <c r="CV75" s="189">
        <f t="shared" si="69"/>
        <v>0</v>
      </c>
      <c r="CW75" s="189">
        <f t="shared" si="70"/>
        <v>0</v>
      </c>
      <c r="CX75" s="189">
        <f t="shared" si="71"/>
        <v>0</v>
      </c>
      <c r="CY75" s="189">
        <f t="shared" si="72"/>
        <v>3200000</v>
      </c>
      <c r="CZ75" s="388">
        <f t="shared" si="73"/>
        <v>4944.8047603487084</v>
      </c>
      <c r="DA75" s="189">
        <f t="shared" si="74"/>
        <v>12721.142719491332</v>
      </c>
      <c r="DB75" s="189">
        <f t="shared" si="75"/>
        <v>4000000</v>
      </c>
      <c r="DC75" s="189">
        <f t="shared" si="76"/>
        <v>22542.658579659867</v>
      </c>
      <c r="DD75" s="189">
        <f t="shared" si="77"/>
        <v>15263.520947935551</v>
      </c>
      <c r="DE75" s="189">
        <f t="shared" si="78"/>
        <v>4000000</v>
      </c>
      <c r="DF75" s="189">
        <f t="shared" si="79"/>
        <v>10724.91421447327</v>
      </c>
      <c r="DG75" s="189">
        <f t="shared" si="80"/>
        <v>35810.4062719133</v>
      </c>
      <c r="DH75" s="189">
        <v>4102007.4474938214</v>
      </c>
      <c r="DI75" s="189">
        <f>'Member position mfumo and excel'!F77</f>
        <v>4102007.44</v>
      </c>
      <c r="DJ75" s="189">
        <f t="shared" si="35"/>
        <v>7.4938214384019375E-3</v>
      </c>
      <c r="DK75" s="189">
        <f t="shared" si="81"/>
        <v>42118.426187358229</v>
      </c>
      <c r="DL75" s="189">
        <f t="shared" si="82"/>
        <v>11731.952867426906</v>
      </c>
      <c r="DM75" s="189"/>
      <c r="DN75" s="189"/>
      <c r="DO75" s="189"/>
      <c r="DP75" s="189"/>
      <c r="DQ75" s="189"/>
      <c r="DR75" s="189"/>
      <c r="DS75" s="186">
        <f t="shared" si="83"/>
        <v>4155857.8265486066</v>
      </c>
      <c r="DT75" s="1" t="b">
        <f t="shared" si="87"/>
        <v>1</v>
      </c>
      <c r="DU75" s="247" t="str">
        <f t="shared" si="84"/>
        <v xml:space="preserve">Boniface Joseph </v>
      </c>
      <c r="DV75" s="249">
        <f t="shared" ref="DV75:DV78" si="91">DS75</f>
        <v>4155857.8265486066</v>
      </c>
      <c r="DW75" s="248">
        <f t="shared" si="86"/>
        <v>155857.82654860662</v>
      </c>
      <c r="DZ75" s="1">
        <f t="shared" si="88"/>
        <v>0</v>
      </c>
      <c r="EB75" s="1">
        <f t="shared" si="89"/>
        <v>0</v>
      </c>
    </row>
    <row r="76" spans="1:132" s="1" customFormat="1" x14ac:dyDescent="0.35">
      <c r="A76" s="210" t="s">
        <v>325</v>
      </c>
      <c r="B76" s="7" t="s">
        <v>326</v>
      </c>
      <c r="C76" s="522" t="s">
        <v>1213</v>
      </c>
      <c r="D76" s="71"/>
      <c r="E76" s="239"/>
      <c r="F76" s="11"/>
      <c r="G76" s="11"/>
      <c r="H76" s="11"/>
      <c r="I76" s="545"/>
      <c r="J76" s="545"/>
      <c r="K76" s="11"/>
      <c r="L76" s="11"/>
      <c r="M76" s="11"/>
      <c r="N76" s="11"/>
      <c r="O76" s="11"/>
      <c r="P76" s="11"/>
      <c r="Q76" s="10"/>
      <c r="R76" s="11"/>
      <c r="S76" s="11"/>
      <c r="T76" s="11"/>
      <c r="U76" s="11"/>
      <c r="V76" s="11"/>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66"/>
      <c r="BK76" s="66"/>
      <c r="BL76" s="3"/>
      <c r="BM76" s="184"/>
      <c r="BO76" s="10"/>
      <c r="BP76" s="200"/>
      <c r="BQ76" s="3"/>
      <c r="BR76" s="200"/>
      <c r="BS76" s="205"/>
      <c r="BT76" s="200"/>
      <c r="BU76" s="3"/>
      <c r="BV76" s="3"/>
      <c r="BW76" s="3"/>
      <c r="BX76" s="231"/>
      <c r="BY76" s="71"/>
      <c r="BZ76" s="3"/>
      <c r="CA76" s="71">
        <v>46122</v>
      </c>
      <c r="CB76" s="3">
        <f>1000000+500000+1700000+1000000</f>
        <v>4200000</v>
      </c>
      <c r="CC76" s="71">
        <v>46148</v>
      </c>
      <c r="CD76" s="3">
        <f>4000000+1000000+500000+500000+700000</f>
        <v>6700000</v>
      </c>
      <c r="CE76" s="71">
        <v>46174</v>
      </c>
      <c r="CF76" s="3">
        <v>300000</v>
      </c>
      <c r="CG76" s="71">
        <v>46218</v>
      </c>
      <c r="CH76" s="3">
        <f>1000000+1000000</f>
        <v>2000000</v>
      </c>
      <c r="CI76" s="3"/>
      <c r="CJ76" s="3"/>
      <c r="CK76" s="3"/>
      <c r="CL76" s="3"/>
      <c r="CM76" s="189">
        <f t="shared" si="66"/>
        <v>13200000</v>
      </c>
      <c r="CN76" s="189">
        <f t="shared" si="67"/>
        <v>13200000</v>
      </c>
      <c r="CO76" s="189"/>
      <c r="CP76" s="190"/>
      <c r="CQ76" s="189"/>
      <c r="CR76" s="189"/>
      <c r="CS76" s="189"/>
      <c r="CT76" s="189"/>
      <c r="CU76" s="189">
        <f t="shared" si="68"/>
        <v>0</v>
      </c>
      <c r="CV76" s="189">
        <f t="shared" si="69"/>
        <v>0</v>
      </c>
      <c r="CW76" s="189">
        <f>BM76+BP76+BR76+BT76+BV76+BX76+BZ76</f>
        <v>0</v>
      </c>
      <c r="CX76" s="189">
        <f t="shared" si="71"/>
        <v>0</v>
      </c>
      <c r="CY76" s="189">
        <f t="shared" si="72"/>
        <v>4200000</v>
      </c>
      <c r="CZ76" s="388">
        <f t="shared" si="73"/>
        <v>6490.0562479576802</v>
      </c>
      <c r="DA76" s="189">
        <f t="shared" si="74"/>
        <v>16696.499819332374</v>
      </c>
      <c r="DB76" s="189">
        <f t="shared" si="75"/>
        <v>10900000</v>
      </c>
      <c r="DC76" s="189">
        <f t="shared" si="76"/>
        <v>61428.744629573128</v>
      </c>
      <c r="DD76" s="189">
        <f t="shared" si="77"/>
        <v>41593.094583124366</v>
      </c>
      <c r="DE76" s="189">
        <f t="shared" si="78"/>
        <v>11200000</v>
      </c>
      <c r="DF76" s="189">
        <f t="shared" si="79"/>
        <v>30029.75980052516</v>
      </c>
      <c r="DG76" s="189">
        <f t="shared" si="80"/>
        <v>100269.13756135725</v>
      </c>
      <c r="DH76" s="189">
        <v>13456507.292641869</v>
      </c>
      <c r="DI76" s="189">
        <f>'Member position mfumo and excel'!F78</f>
        <v>13456507.289999999</v>
      </c>
      <c r="DJ76" s="189">
        <f t="shared" ref="DJ76:DJ139" si="92">DH76-DI76</f>
        <v>2.6418697088956833E-3</v>
      </c>
      <c r="DK76" s="189">
        <f t="shared" si="81"/>
        <v>138168.18140860723</v>
      </c>
      <c r="DL76" s="189">
        <f t="shared" si="82"/>
        <v>38486.30489784079</v>
      </c>
      <c r="DM76" s="189"/>
      <c r="DN76" s="189"/>
      <c r="DO76" s="189"/>
      <c r="DP76" s="189"/>
      <c r="DQ76" s="189"/>
      <c r="DR76" s="189"/>
      <c r="DS76" s="186">
        <f t="shared" si="83"/>
        <v>13633161.778948316</v>
      </c>
      <c r="DT76" s="1" t="b">
        <f t="shared" si="87"/>
        <v>1</v>
      </c>
      <c r="DU76" s="247" t="str">
        <f t="shared" si="84"/>
        <v>Paul Sifael Edwin Mikongoti</v>
      </c>
      <c r="DV76" s="249">
        <f t="shared" si="91"/>
        <v>13633161.778948316</v>
      </c>
      <c r="DW76" s="248">
        <f t="shared" si="86"/>
        <v>433161.77894831635</v>
      </c>
      <c r="DZ76" s="1">
        <f t="shared" si="88"/>
        <v>0</v>
      </c>
      <c r="EB76" s="1">
        <f t="shared" si="89"/>
        <v>0</v>
      </c>
    </row>
    <row r="77" spans="1:132" s="1" customFormat="1" x14ac:dyDescent="0.35">
      <c r="A77" s="311" t="s">
        <v>492</v>
      </c>
      <c r="B77" s="312" t="s">
        <v>493</v>
      </c>
      <c r="C77" s="661" t="s">
        <v>1214</v>
      </c>
      <c r="D77" s="313"/>
      <c r="E77" s="239"/>
      <c r="F77" s="314"/>
      <c r="G77" s="314"/>
      <c r="H77" s="314"/>
      <c r="I77" s="592"/>
      <c r="J77" s="592"/>
      <c r="K77" s="314"/>
      <c r="L77" s="314"/>
      <c r="M77" s="314"/>
      <c r="N77" s="314"/>
      <c r="O77" s="314"/>
      <c r="P77" s="314"/>
      <c r="Q77" s="266"/>
      <c r="R77" s="314"/>
      <c r="S77" s="314"/>
      <c r="T77" s="314"/>
      <c r="U77" s="314"/>
      <c r="V77" s="314"/>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c r="BI77" s="266"/>
      <c r="BJ77" s="315"/>
      <c r="BK77" s="315"/>
      <c r="BL77" s="316"/>
      <c r="BM77" s="317"/>
      <c r="BN77" s="711"/>
      <c r="BO77" s="266"/>
      <c r="BP77" s="318"/>
      <c r="BQ77" s="316"/>
      <c r="BR77" s="318"/>
      <c r="BS77" s="319"/>
      <c r="BT77" s="318"/>
      <c r="BU77" s="316"/>
      <c r="BV77" s="316"/>
      <c r="BW77" s="316"/>
      <c r="BX77" s="320"/>
      <c r="BY77" s="313"/>
      <c r="BZ77" s="316"/>
      <c r="CA77" s="313">
        <v>46135</v>
      </c>
      <c r="CB77" s="316">
        <v>2000000</v>
      </c>
      <c r="CC77" s="71">
        <v>46171</v>
      </c>
      <c r="CD77" s="316">
        <v>1200000</v>
      </c>
      <c r="CE77" s="71">
        <v>46184</v>
      </c>
      <c r="CF77" s="316">
        <v>1000000</v>
      </c>
      <c r="CG77" s="71">
        <v>46234</v>
      </c>
      <c r="CH77" s="316">
        <v>1000000</v>
      </c>
      <c r="CI77" s="316"/>
      <c r="CJ77" s="316"/>
      <c r="CK77" s="316"/>
      <c r="CL77" s="316"/>
      <c r="CM77" s="321">
        <f t="shared" si="66"/>
        <v>5200000</v>
      </c>
      <c r="CN77" s="321">
        <f t="shared" si="67"/>
        <v>5200000</v>
      </c>
      <c r="CO77" s="321"/>
      <c r="CP77" s="322"/>
      <c r="CQ77" s="321"/>
      <c r="CR77" s="321"/>
      <c r="CS77" s="321"/>
      <c r="CT77" s="321"/>
      <c r="CU77" s="321">
        <f t="shared" si="68"/>
        <v>0</v>
      </c>
      <c r="CV77" s="321">
        <f t="shared" si="69"/>
        <v>0</v>
      </c>
      <c r="CW77" s="321">
        <f>BM77+BP77+BR77+BT77+BV77+BX77+BZ77</f>
        <v>0</v>
      </c>
      <c r="CX77" s="321">
        <f t="shared" si="71"/>
        <v>0</v>
      </c>
      <c r="CY77" s="189">
        <f t="shared" si="72"/>
        <v>2000000</v>
      </c>
      <c r="CZ77" s="388">
        <f t="shared" si="73"/>
        <v>3090.502975217943</v>
      </c>
      <c r="DA77" s="189">
        <f t="shared" si="74"/>
        <v>7950.7141996820828</v>
      </c>
      <c r="DB77" s="189">
        <f t="shared" si="75"/>
        <v>3200000</v>
      </c>
      <c r="DC77" s="189">
        <f t="shared" si="76"/>
        <v>18034.126863727892</v>
      </c>
      <c r="DD77" s="189">
        <f t="shared" si="77"/>
        <v>12210.816758348439</v>
      </c>
      <c r="DE77" s="189">
        <f t="shared" si="78"/>
        <v>4200000</v>
      </c>
      <c r="DF77" s="189">
        <f t="shared" si="79"/>
        <v>11261.159925196935</v>
      </c>
      <c r="DG77" s="189">
        <f t="shared" si="80"/>
        <v>37600.926585508969</v>
      </c>
      <c r="DH77" s="189">
        <v>5290148.2473076824</v>
      </c>
      <c r="DI77" s="189">
        <f>'Member position mfumo and excel'!F79</f>
        <v>5290148.25</v>
      </c>
      <c r="DJ77" s="189">
        <f t="shared" si="92"/>
        <v>-2.6923175901174545E-3</v>
      </c>
      <c r="DK77" s="189">
        <f t="shared" si="81"/>
        <v>54317.970244189019</v>
      </c>
      <c r="DL77" s="189">
        <f t="shared" si="82"/>
        <v>15130.096835156532</v>
      </c>
      <c r="DM77" s="189"/>
      <c r="DN77" s="189"/>
      <c r="DO77" s="189"/>
      <c r="DP77" s="189"/>
      <c r="DQ77" s="189"/>
      <c r="DR77" s="189"/>
      <c r="DS77" s="186">
        <f t="shared" si="83"/>
        <v>5359596.3143870281</v>
      </c>
      <c r="DT77" s="1" t="b">
        <f t="shared" si="87"/>
        <v>1</v>
      </c>
      <c r="DU77" s="247" t="str">
        <f t="shared" si="84"/>
        <v xml:space="preserve">Daniel Michael Kisaka </v>
      </c>
      <c r="DV77" s="249">
        <f t="shared" si="91"/>
        <v>5359596.3143870281</v>
      </c>
      <c r="DW77" s="248">
        <f t="shared" si="86"/>
        <v>159596.31438702811</v>
      </c>
      <c r="DZ77" s="1">
        <f t="shared" si="88"/>
        <v>0</v>
      </c>
      <c r="EB77" s="1">
        <f t="shared" si="89"/>
        <v>0</v>
      </c>
    </row>
    <row r="78" spans="1:132" s="1" customFormat="1" x14ac:dyDescent="0.35">
      <c r="A78" s="311" t="s">
        <v>494</v>
      </c>
      <c r="B78" s="7" t="s">
        <v>327</v>
      </c>
      <c r="C78" s="522" t="s">
        <v>1249</v>
      </c>
      <c r="D78" s="71"/>
      <c r="E78" s="11"/>
      <c r="F78" s="11"/>
      <c r="G78" s="11"/>
      <c r="H78" s="11"/>
      <c r="I78" s="545"/>
      <c r="J78" s="545"/>
      <c r="K78" s="11"/>
      <c r="L78" s="11"/>
      <c r="M78" s="11"/>
      <c r="N78" s="11"/>
      <c r="O78" s="11"/>
      <c r="P78" s="11"/>
      <c r="Q78" s="10"/>
      <c r="R78" s="11"/>
      <c r="S78" s="11"/>
      <c r="T78" s="11"/>
      <c r="U78" s="11"/>
      <c r="V78" s="11"/>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3"/>
      <c r="BK78" s="3"/>
      <c r="BL78" s="3"/>
      <c r="BM78" s="184"/>
      <c r="BN78" s="3"/>
      <c r="BO78" s="10"/>
      <c r="BP78" s="200"/>
      <c r="BQ78" s="3"/>
      <c r="BR78" s="200"/>
      <c r="BS78" s="205"/>
      <c r="BT78" s="200"/>
      <c r="BU78" s="3"/>
      <c r="BV78" s="3"/>
      <c r="BW78" s="3"/>
      <c r="BX78" s="232"/>
      <c r="BY78" s="71"/>
      <c r="BZ78" s="3"/>
      <c r="CA78" s="71">
        <v>46116</v>
      </c>
      <c r="CB78" s="3">
        <v>1000000</v>
      </c>
      <c r="CC78" s="3"/>
      <c r="CD78" s="3"/>
      <c r="CE78" s="71">
        <v>46186</v>
      </c>
      <c r="CF78" s="3">
        <v>10000000</v>
      </c>
      <c r="CG78" s="3"/>
      <c r="CH78" s="3"/>
      <c r="CI78" s="3"/>
      <c r="CJ78" s="3"/>
      <c r="CK78" s="3"/>
      <c r="CL78" s="3"/>
      <c r="CM78" s="189">
        <f t="shared" si="66"/>
        <v>11000000</v>
      </c>
      <c r="CN78" s="189">
        <f t="shared" si="67"/>
        <v>11000000</v>
      </c>
      <c r="CO78" s="189"/>
      <c r="CP78" s="190"/>
      <c r="CQ78" s="189"/>
      <c r="CR78" s="189"/>
      <c r="CS78" s="189"/>
      <c r="CT78" s="189"/>
      <c r="CU78" s="189">
        <f t="shared" si="68"/>
        <v>0</v>
      </c>
      <c r="CV78" s="189">
        <f t="shared" si="69"/>
        <v>0</v>
      </c>
      <c r="CW78" s="189">
        <f t="shared" ref="CW78:CW113" si="93">CU78+BZ78</f>
        <v>0</v>
      </c>
      <c r="CX78" s="189">
        <f t="shared" si="71"/>
        <v>0</v>
      </c>
      <c r="CY78" s="189">
        <f t="shared" si="72"/>
        <v>1000000</v>
      </c>
      <c r="CZ78" s="388">
        <f t="shared" si="73"/>
        <v>1545.2514876089715</v>
      </c>
      <c r="DA78" s="189">
        <f t="shared" si="74"/>
        <v>3975.3570998410414</v>
      </c>
      <c r="DB78" s="189">
        <f t="shared" si="75"/>
        <v>1000000</v>
      </c>
      <c r="DC78" s="189">
        <f t="shared" si="76"/>
        <v>5635.6646449149666</v>
      </c>
      <c r="DD78" s="189">
        <f t="shared" si="77"/>
        <v>3815.8802369838877</v>
      </c>
      <c r="DE78" s="189">
        <f t="shared" si="78"/>
        <v>11000000</v>
      </c>
      <c r="DF78" s="189">
        <f t="shared" si="79"/>
        <v>29493.514089801498</v>
      </c>
      <c r="DG78" s="189">
        <f t="shared" si="80"/>
        <v>98478.617247761576</v>
      </c>
      <c r="DH78" s="189">
        <v>11142944.284806913</v>
      </c>
      <c r="DI78" s="189">
        <f>'Member position mfumo and excel'!F80</f>
        <v>11142944.279999999</v>
      </c>
      <c r="DJ78" s="189">
        <f t="shared" si="92"/>
        <v>4.806913435459137E-3</v>
      </c>
      <c r="DK78" s="189">
        <f t="shared" si="81"/>
        <v>114413.07271546393</v>
      </c>
      <c r="DL78" s="189">
        <f t="shared" si="82"/>
        <v>31869.395369720529</v>
      </c>
      <c r="DM78" s="189"/>
      <c r="DN78" s="189"/>
      <c r="DO78" s="189"/>
      <c r="DP78" s="189"/>
      <c r="DQ78" s="189"/>
      <c r="DR78" s="189"/>
      <c r="DS78" s="186">
        <f t="shared" si="83"/>
        <v>11289226.752892096</v>
      </c>
      <c r="DT78" s="1" t="b">
        <f t="shared" si="87"/>
        <v>1</v>
      </c>
      <c r="DU78" s="247" t="str">
        <f t="shared" si="84"/>
        <v>Shililiandumi Naiman</v>
      </c>
      <c r="DV78" s="249">
        <f t="shared" si="91"/>
        <v>11289226.752892096</v>
      </c>
      <c r="DW78" s="248">
        <f t="shared" si="86"/>
        <v>289226.7528920956</v>
      </c>
      <c r="DZ78" s="1">
        <f t="shared" si="88"/>
        <v>0</v>
      </c>
      <c r="EB78" s="1">
        <f t="shared" si="89"/>
        <v>0</v>
      </c>
    </row>
    <row r="79" spans="1:132" s="1" customFormat="1" x14ac:dyDescent="0.35">
      <c r="A79" s="311" t="s">
        <v>507</v>
      </c>
      <c r="B79" s="7" t="s">
        <v>508</v>
      </c>
      <c r="C79" s="522" t="s">
        <v>1250</v>
      </c>
      <c r="D79" s="71"/>
      <c r="E79" s="11"/>
      <c r="F79" s="11"/>
      <c r="G79" s="11"/>
      <c r="H79" s="11"/>
      <c r="I79" s="545"/>
      <c r="J79" s="545"/>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7"/>
      <c r="BK79" s="7"/>
      <c r="BL79" s="7"/>
      <c r="BM79" s="7"/>
      <c r="BN79" s="7"/>
      <c r="BO79" s="11"/>
      <c r="BP79" s="202"/>
      <c r="BQ79" s="7"/>
      <c r="BR79" s="202"/>
      <c r="BS79" s="178"/>
      <c r="BT79" s="202"/>
      <c r="BU79" s="7"/>
      <c r="BV79" s="7"/>
      <c r="BW79" s="7"/>
      <c r="BX79" s="7"/>
      <c r="BY79" s="71"/>
      <c r="BZ79" s="7"/>
      <c r="CA79" s="71">
        <v>46140</v>
      </c>
      <c r="CB79" s="7">
        <v>1000000</v>
      </c>
      <c r="CC79" s="71">
        <v>46162</v>
      </c>
      <c r="CD79" s="7">
        <v>2300000</v>
      </c>
      <c r="CE79" s="71">
        <v>46179</v>
      </c>
      <c r="CF79" s="7">
        <f>1000000+1000000</f>
        <v>2000000</v>
      </c>
      <c r="CG79" s="7"/>
      <c r="CH79" s="7"/>
      <c r="CI79" s="7"/>
      <c r="CJ79" s="7"/>
      <c r="CK79" s="7"/>
      <c r="CL79" s="7"/>
      <c r="CM79" s="7">
        <f t="shared" si="66"/>
        <v>5300000</v>
      </c>
      <c r="CN79" s="7">
        <f t="shared" si="67"/>
        <v>5300000</v>
      </c>
      <c r="CO79" s="7"/>
      <c r="CP79" s="286"/>
      <c r="CQ79" s="7"/>
      <c r="CR79" s="7"/>
      <c r="CS79" s="7"/>
      <c r="CT79" s="7"/>
      <c r="CU79" s="7">
        <f t="shared" si="68"/>
        <v>0</v>
      </c>
      <c r="CV79" s="7">
        <f t="shared" si="69"/>
        <v>0</v>
      </c>
      <c r="CW79" s="7">
        <f t="shared" si="93"/>
        <v>0</v>
      </c>
      <c r="CX79" s="7">
        <f t="shared" si="71"/>
        <v>0</v>
      </c>
      <c r="CY79" s="189">
        <f t="shared" si="72"/>
        <v>1000000</v>
      </c>
      <c r="CZ79" s="388">
        <f t="shared" si="73"/>
        <v>1545.2514876089715</v>
      </c>
      <c r="DA79" s="189">
        <f t="shared" si="74"/>
        <v>3975.3570998410414</v>
      </c>
      <c r="DB79" s="189">
        <f t="shared" si="75"/>
        <v>3300000</v>
      </c>
      <c r="DC79" s="189">
        <f t="shared" si="76"/>
        <v>18597.69332821939</v>
      </c>
      <c r="DD79" s="189">
        <f t="shared" si="77"/>
        <v>12592.404782046828</v>
      </c>
      <c r="DE79" s="189">
        <f t="shared" si="78"/>
        <v>5300000</v>
      </c>
      <c r="DF79" s="189">
        <f t="shared" si="79"/>
        <v>14210.511334177085</v>
      </c>
      <c r="DG79" s="189">
        <f t="shared" si="80"/>
        <v>47448.788310285126</v>
      </c>
      <c r="DH79" s="189">
        <v>5398370.0063421782</v>
      </c>
      <c r="DI79" s="189">
        <f>'Member position mfumo and excel'!F81</f>
        <v>5398370</v>
      </c>
      <c r="DJ79" s="189">
        <f t="shared" si="92"/>
        <v>6.3421782106161118E-3</v>
      </c>
      <c r="DK79" s="189">
        <f t="shared" si="81"/>
        <v>55429.165245198907</v>
      </c>
      <c r="DL79" s="189">
        <f t="shared" si="82"/>
        <v>15439.616647705494</v>
      </c>
      <c r="DM79" s="189"/>
      <c r="DN79" s="189"/>
      <c r="DO79" s="189"/>
      <c r="DP79" s="189"/>
      <c r="DQ79" s="189"/>
      <c r="DR79" s="189"/>
      <c r="DS79" s="186">
        <f t="shared" si="83"/>
        <v>5469238.7882350823</v>
      </c>
      <c r="DT79" s="1" t="b">
        <f t="shared" si="87"/>
        <v>1</v>
      </c>
      <c r="DU79" s="247" t="str">
        <f t="shared" si="84"/>
        <v xml:space="preserve">Alcard Mumwi </v>
      </c>
      <c r="DV79" s="249">
        <f t="shared" ref="DV79:DV81" si="94">DS79</f>
        <v>5469238.7882350823</v>
      </c>
      <c r="DW79" s="248">
        <f t="shared" si="86"/>
        <v>169238.78823508229</v>
      </c>
      <c r="DZ79" s="1">
        <f t="shared" si="88"/>
        <v>0</v>
      </c>
      <c r="EB79" s="1">
        <f t="shared" si="89"/>
        <v>0</v>
      </c>
    </row>
    <row r="80" spans="1:132" x14ac:dyDescent="0.35">
      <c r="A80" s="311" t="s">
        <v>511</v>
      </c>
      <c r="B80" s="7" t="s">
        <v>512</v>
      </c>
      <c r="C80" s="522" t="s">
        <v>1251</v>
      </c>
      <c r="D80" s="71"/>
      <c r="E80" s="11"/>
      <c r="F80" s="11"/>
      <c r="G80" s="11"/>
      <c r="H80" s="11"/>
      <c r="I80" s="545"/>
      <c r="J80" s="545"/>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7"/>
      <c r="BK80" s="7"/>
      <c r="BL80" s="7"/>
      <c r="BM80" s="7"/>
      <c r="BN80" s="7"/>
      <c r="BO80" s="11"/>
      <c r="BP80" s="202"/>
      <c r="BQ80" s="7"/>
      <c r="BR80" s="202"/>
      <c r="BS80" s="178"/>
      <c r="BT80" s="202"/>
      <c r="BU80" s="7"/>
      <c r="BV80" s="7"/>
      <c r="BW80" s="7"/>
      <c r="BX80" s="7"/>
      <c r="BY80" s="71"/>
      <c r="BZ80" s="7"/>
      <c r="CA80" s="71">
        <v>46141</v>
      </c>
      <c r="CB80" s="7">
        <f>4200000+2500000</f>
        <v>6700000</v>
      </c>
      <c r="CC80" s="71">
        <v>46149</v>
      </c>
      <c r="CD80" s="7">
        <f>1000000+1000000+2000000+1000000</f>
        <v>5000000</v>
      </c>
      <c r="CE80" s="7"/>
      <c r="CF80" s="7"/>
      <c r="CG80" s="71">
        <v>46207</v>
      </c>
      <c r="CH80" s="7">
        <v>500000</v>
      </c>
      <c r="CI80" s="7"/>
      <c r="CJ80" s="7"/>
      <c r="CK80" s="7"/>
      <c r="CL80" s="7"/>
      <c r="CM80" s="7">
        <f t="shared" si="66"/>
        <v>12200000</v>
      </c>
      <c r="CN80" s="7">
        <f t="shared" si="67"/>
        <v>12200000</v>
      </c>
      <c r="CO80" s="7"/>
      <c r="CP80" s="286"/>
      <c r="CQ80" s="7"/>
      <c r="CR80" s="7"/>
      <c r="CS80" s="7"/>
      <c r="CT80" s="7"/>
      <c r="CU80" s="7">
        <f t="shared" si="68"/>
        <v>0</v>
      </c>
      <c r="CV80" s="7">
        <f t="shared" si="69"/>
        <v>0</v>
      </c>
      <c r="CW80" s="7">
        <f t="shared" si="93"/>
        <v>0</v>
      </c>
      <c r="CX80" s="7">
        <f t="shared" si="71"/>
        <v>0</v>
      </c>
      <c r="CY80" s="189">
        <f t="shared" si="72"/>
        <v>6700000</v>
      </c>
      <c r="CZ80" s="388">
        <f t="shared" si="73"/>
        <v>10353.184966980107</v>
      </c>
      <c r="DA80" s="189">
        <f t="shared" si="74"/>
        <v>26634.892568934974</v>
      </c>
      <c r="DB80" s="189">
        <f t="shared" si="75"/>
        <v>11700000</v>
      </c>
      <c r="DC80" s="189">
        <f t="shared" si="76"/>
        <v>65937.276345505103</v>
      </c>
      <c r="DD80" s="189">
        <f t="shared" si="77"/>
        <v>44645.798772711481</v>
      </c>
      <c r="DE80" s="189">
        <f t="shared" si="78"/>
        <v>11700000</v>
      </c>
      <c r="DF80" s="189">
        <f t="shared" si="79"/>
        <v>31370.374077334316</v>
      </c>
      <c r="DG80" s="189">
        <f t="shared" si="80"/>
        <v>104745.4383453464</v>
      </c>
      <c r="DH80" s="189">
        <v>12483686.965076812</v>
      </c>
      <c r="DI80" s="189">
        <f>'Member position mfumo and excel'!F82</f>
        <v>12483686.960000001</v>
      </c>
      <c r="DJ80" s="189">
        <f t="shared" si="92"/>
        <v>5.0768107175827026E-3</v>
      </c>
      <c r="DK80" s="189">
        <f t="shared" si="81"/>
        <v>128179.49618933884</v>
      </c>
      <c r="DL80" s="189">
        <f t="shared" si="82"/>
        <v>35703.98858624047</v>
      </c>
      <c r="DM80" s="189"/>
      <c r="DN80" s="189"/>
      <c r="DO80" s="189"/>
      <c r="DP80" s="189"/>
      <c r="DQ80" s="189"/>
      <c r="DR80" s="189"/>
      <c r="DS80" s="186">
        <f t="shared" si="83"/>
        <v>12647570.449852392</v>
      </c>
      <c r="DT80" s="1" t="b">
        <f t="shared" si="87"/>
        <v>1</v>
      </c>
      <c r="DU80" s="247" t="str">
        <f t="shared" si="84"/>
        <v>Emmanuel Simforian Massawe</v>
      </c>
      <c r="DV80" s="249">
        <f t="shared" si="94"/>
        <v>12647570.449852392</v>
      </c>
      <c r="DW80" s="248">
        <f t="shared" si="86"/>
        <v>447570.44985239208</v>
      </c>
      <c r="DZ80" s="1">
        <f t="shared" si="88"/>
        <v>0</v>
      </c>
      <c r="EB80" s="1">
        <f t="shared" si="89"/>
        <v>0</v>
      </c>
    </row>
    <row r="81" spans="1:132" x14ac:dyDescent="0.35">
      <c r="A81" s="311" t="s">
        <v>545</v>
      </c>
      <c r="B81" s="7" t="s">
        <v>546</v>
      </c>
      <c r="C81" s="522" t="s">
        <v>1252</v>
      </c>
      <c r="D81" s="71"/>
      <c r="E81" s="11"/>
      <c r="F81" s="11"/>
      <c r="G81" s="11"/>
      <c r="H81" s="11"/>
      <c r="I81" s="545"/>
      <c r="J81" s="545"/>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7"/>
      <c r="BK81" s="7"/>
      <c r="BL81" s="7"/>
      <c r="BM81" s="7"/>
      <c r="BN81" s="7"/>
      <c r="BO81" s="11"/>
      <c r="BP81" s="202"/>
      <c r="BQ81" s="7"/>
      <c r="BR81" s="202"/>
      <c r="BS81" s="178"/>
      <c r="BT81" s="202"/>
      <c r="BU81" s="7"/>
      <c r="BV81" s="7"/>
      <c r="BW81" s="7"/>
      <c r="BX81" s="7"/>
      <c r="BY81" s="71"/>
      <c r="BZ81" s="7"/>
      <c r="CA81" s="71"/>
      <c r="CB81" s="7"/>
      <c r="CC81" s="71">
        <v>46149</v>
      </c>
      <c r="CD81" s="7">
        <f>300000+100000+100000</f>
        <v>500000</v>
      </c>
      <c r="CE81" s="71">
        <v>46176</v>
      </c>
      <c r="CF81" s="7">
        <f>200000+500000+300000+500000+100000+3000000</f>
        <v>4600000</v>
      </c>
      <c r="CG81" s="71">
        <v>46218</v>
      </c>
      <c r="CH81" s="7">
        <v>200000</v>
      </c>
      <c r="CI81" s="7"/>
      <c r="CJ81" s="7"/>
      <c r="CK81" s="7"/>
      <c r="CL81" s="7"/>
      <c r="CM81" s="7">
        <f t="shared" si="66"/>
        <v>5300000</v>
      </c>
      <c r="CN81" s="7">
        <f t="shared" si="67"/>
        <v>5300000</v>
      </c>
      <c r="CO81" s="7"/>
      <c r="CP81" s="286"/>
      <c r="CQ81" s="7"/>
      <c r="CR81" s="7"/>
      <c r="CS81" s="7"/>
      <c r="CT81" s="7"/>
      <c r="CU81" s="7">
        <f t="shared" si="68"/>
        <v>0</v>
      </c>
      <c r="CV81" s="7">
        <f t="shared" si="69"/>
        <v>0</v>
      </c>
      <c r="CW81" s="7">
        <f t="shared" si="93"/>
        <v>0</v>
      </c>
      <c r="CX81" s="7">
        <f t="shared" si="71"/>
        <v>0</v>
      </c>
      <c r="CY81" s="189">
        <f t="shared" si="72"/>
        <v>0</v>
      </c>
      <c r="CZ81" s="388">
        <f t="shared" si="73"/>
        <v>0</v>
      </c>
      <c r="DA81" s="189">
        <f t="shared" si="74"/>
        <v>0</v>
      </c>
      <c r="DB81" s="189">
        <f t="shared" si="75"/>
        <v>500000</v>
      </c>
      <c r="DC81" s="189">
        <f t="shared" si="76"/>
        <v>2817.8323224574833</v>
      </c>
      <c r="DD81" s="189">
        <f t="shared" si="77"/>
        <v>1907.9401184919438</v>
      </c>
      <c r="DE81" s="189">
        <f t="shared" si="78"/>
        <v>5100000</v>
      </c>
      <c r="DF81" s="189">
        <f t="shared" si="79"/>
        <v>13674.265623453421</v>
      </c>
      <c r="DG81" s="189">
        <f t="shared" si="80"/>
        <v>45658.267996689458</v>
      </c>
      <c r="DH81" s="189">
        <v>5364058.3060610918</v>
      </c>
      <c r="DI81" s="189">
        <f>'Member position mfumo and excel'!F83</f>
        <v>5364058.3099999996</v>
      </c>
      <c r="DJ81" s="189">
        <f t="shared" si="92"/>
        <v>-3.9389077574014664E-3</v>
      </c>
      <c r="DK81" s="189">
        <f t="shared" si="81"/>
        <v>55076.860956591481</v>
      </c>
      <c r="DL81" s="189">
        <f t="shared" si="82"/>
        <v>15341.483415220771</v>
      </c>
      <c r="DM81" s="189"/>
      <c r="DN81" s="189"/>
      <c r="DO81" s="189"/>
      <c r="DP81" s="189"/>
      <c r="DQ81" s="189"/>
      <c r="DR81" s="189"/>
      <c r="DS81" s="186">
        <f t="shared" si="83"/>
        <v>5434476.6504329043</v>
      </c>
      <c r="DT81" s="1" t="b">
        <f t="shared" si="87"/>
        <v>1</v>
      </c>
      <c r="DU81" s="247" t="str">
        <f t="shared" si="84"/>
        <v xml:space="preserve">Aisha Babu </v>
      </c>
      <c r="DV81" s="249">
        <f t="shared" si="94"/>
        <v>5434476.6504329043</v>
      </c>
      <c r="DW81" s="248">
        <f t="shared" si="86"/>
        <v>134476.65043290425</v>
      </c>
      <c r="DZ81" s="1">
        <f t="shared" si="88"/>
        <v>0</v>
      </c>
      <c r="EB81" s="1">
        <f t="shared" si="89"/>
        <v>0</v>
      </c>
    </row>
    <row r="82" spans="1:132" x14ac:dyDescent="0.35">
      <c r="A82" s="311" t="s">
        <v>566</v>
      </c>
      <c r="B82" s="7" t="s">
        <v>601</v>
      </c>
      <c r="C82" s="522" t="s">
        <v>1253</v>
      </c>
      <c r="D82" s="71"/>
      <c r="E82" s="11"/>
      <c r="F82" s="11"/>
      <c r="G82" s="11"/>
      <c r="H82" s="11"/>
      <c r="I82" s="545"/>
      <c r="J82" s="545"/>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7"/>
      <c r="BK82" s="7"/>
      <c r="BL82" s="7"/>
      <c r="BM82" s="7"/>
      <c r="BN82" s="7"/>
      <c r="BO82" s="11"/>
      <c r="BP82" s="202"/>
      <c r="BQ82" s="7"/>
      <c r="BR82" s="202"/>
      <c r="BS82" s="178"/>
      <c r="BT82" s="202"/>
      <c r="BU82" s="7"/>
      <c r="BV82" s="7"/>
      <c r="BW82" s="7"/>
      <c r="BX82" s="7"/>
      <c r="BY82" s="71"/>
      <c r="BZ82" s="7"/>
      <c r="CA82" s="71"/>
      <c r="CB82" s="7"/>
      <c r="CC82" s="71">
        <v>46150</v>
      </c>
      <c r="CD82" s="7">
        <f>3200000+2150000+2000000</f>
        <v>7350000</v>
      </c>
      <c r="CE82" s="7"/>
      <c r="CF82" s="7"/>
      <c r="CG82" s="71">
        <v>46227</v>
      </c>
      <c r="CH82" s="7">
        <f>2000000+2000000</f>
        <v>4000000</v>
      </c>
      <c r="CI82" s="7"/>
      <c r="CJ82" s="7"/>
      <c r="CK82" s="7"/>
      <c r="CL82" s="7"/>
      <c r="CM82" s="7">
        <f t="shared" si="66"/>
        <v>11350000</v>
      </c>
      <c r="CN82" s="7">
        <f t="shared" si="67"/>
        <v>11350000</v>
      </c>
      <c r="CO82" s="7"/>
      <c r="CP82" s="286"/>
      <c r="CQ82" s="7"/>
      <c r="CR82" s="7"/>
      <c r="CS82" s="7"/>
      <c r="CT82" s="7"/>
      <c r="CU82" s="7">
        <f t="shared" si="68"/>
        <v>0</v>
      </c>
      <c r="CV82" s="7">
        <f t="shared" si="69"/>
        <v>0</v>
      </c>
      <c r="CW82" s="7">
        <f t="shared" si="93"/>
        <v>0</v>
      </c>
      <c r="CX82" s="7">
        <f t="shared" si="71"/>
        <v>0</v>
      </c>
      <c r="CY82" s="189">
        <f t="shared" si="72"/>
        <v>0</v>
      </c>
      <c r="CZ82" s="388">
        <f t="shared" si="73"/>
        <v>0</v>
      </c>
      <c r="DA82" s="189">
        <f t="shared" si="74"/>
        <v>0</v>
      </c>
      <c r="DB82" s="189">
        <f t="shared" si="75"/>
        <v>7350000</v>
      </c>
      <c r="DC82" s="189">
        <f t="shared" si="76"/>
        <v>41422.135140125007</v>
      </c>
      <c r="DD82" s="189">
        <f t="shared" si="77"/>
        <v>28046.719741831574</v>
      </c>
      <c r="DE82" s="189">
        <f t="shared" si="78"/>
        <v>7350000</v>
      </c>
      <c r="DF82" s="189">
        <f t="shared" si="79"/>
        <v>19707.029869094633</v>
      </c>
      <c r="DG82" s="189">
        <f t="shared" si="80"/>
        <v>65801.621524640679</v>
      </c>
      <c r="DH82" s="189">
        <v>11504977.506275693</v>
      </c>
      <c r="DI82" s="189">
        <f>'Member position mfumo and excel'!F84</f>
        <v>11504977.51</v>
      </c>
      <c r="DJ82" s="189">
        <f t="shared" si="92"/>
        <v>-3.7243068218231201E-3</v>
      </c>
      <c r="DK82" s="189">
        <f t="shared" si="81"/>
        <v>118130.34278651669</v>
      </c>
      <c r="DL82" s="189">
        <f t="shared" si="82"/>
        <v>32904.829055563649</v>
      </c>
      <c r="DM82" s="189"/>
      <c r="DN82" s="189"/>
      <c r="DO82" s="189"/>
      <c r="DP82" s="189"/>
      <c r="DQ82" s="189"/>
      <c r="DR82" s="189"/>
      <c r="DS82" s="186">
        <f t="shared" si="83"/>
        <v>11656012.678117774</v>
      </c>
      <c r="DT82" s="1" t="b">
        <f t="shared" si="87"/>
        <v>1</v>
      </c>
      <c r="DU82" s="247" t="str">
        <f t="shared" si="84"/>
        <v>Diocles Mlashani Ishengoma</v>
      </c>
      <c r="DV82" s="249">
        <f t="shared" ref="DV82" si="95">DS82</f>
        <v>11656012.678117774</v>
      </c>
      <c r="DW82" s="248">
        <f t="shared" si="86"/>
        <v>306012.67811777443</v>
      </c>
      <c r="DZ82" s="1">
        <f t="shared" si="88"/>
        <v>0</v>
      </c>
      <c r="EB82" s="1">
        <f t="shared" si="89"/>
        <v>0</v>
      </c>
    </row>
    <row r="83" spans="1:132" x14ac:dyDescent="0.35">
      <c r="A83" s="311" t="s">
        <v>602</v>
      </c>
      <c r="B83" s="7" t="s">
        <v>600</v>
      </c>
      <c r="C83" s="522" t="s">
        <v>1254</v>
      </c>
      <c r="D83" s="71"/>
      <c r="E83" s="11"/>
      <c r="F83" s="11"/>
      <c r="G83" s="11"/>
      <c r="H83" s="11"/>
      <c r="I83" s="545"/>
      <c r="J83" s="545"/>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7"/>
      <c r="BK83" s="7"/>
      <c r="BL83" s="7"/>
      <c r="BM83" s="7"/>
      <c r="BN83" s="7"/>
      <c r="BO83" s="11"/>
      <c r="BP83" s="202"/>
      <c r="BQ83" s="7"/>
      <c r="BR83" s="202"/>
      <c r="BS83" s="178"/>
      <c r="BT83" s="202"/>
      <c r="BU83" s="7"/>
      <c r="BV83" s="7"/>
      <c r="BW83" s="7"/>
      <c r="BX83" s="7"/>
      <c r="BY83" s="71"/>
      <c r="BZ83" s="7"/>
      <c r="CA83" s="71"/>
      <c r="CB83" s="7"/>
      <c r="CC83" s="71">
        <v>46154</v>
      </c>
      <c r="CD83" s="7">
        <f>3200000+1000000</f>
        <v>4200000</v>
      </c>
      <c r="CE83" s="71">
        <v>46196</v>
      </c>
      <c r="CF83" s="7">
        <v>1100000</v>
      </c>
      <c r="CG83" s="71">
        <v>46227</v>
      </c>
      <c r="CH83" s="7">
        <f>1200000+1500000</f>
        <v>2700000</v>
      </c>
      <c r="CI83" s="7"/>
      <c r="CJ83" s="7"/>
      <c r="CK83" s="7"/>
      <c r="CL83" s="7"/>
      <c r="CM83" s="7">
        <f t="shared" si="66"/>
        <v>8000000</v>
      </c>
      <c r="CN83" s="7">
        <f t="shared" si="67"/>
        <v>8000000</v>
      </c>
      <c r="CO83" s="7"/>
      <c r="CP83" s="286"/>
      <c r="CQ83" s="7"/>
      <c r="CR83" s="7"/>
      <c r="CS83" s="7"/>
      <c r="CT83" s="7"/>
      <c r="CU83" s="7">
        <f t="shared" si="68"/>
        <v>0</v>
      </c>
      <c r="CV83" s="7">
        <f t="shared" si="69"/>
        <v>0</v>
      </c>
      <c r="CW83" s="7">
        <f t="shared" si="93"/>
        <v>0</v>
      </c>
      <c r="CX83" s="7">
        <f t="shared" si="71"/>
        <v>0</v>
      </c>
      <c r="CY83" s="189">
        <f t="shared" si="72"/>
        <v>0</v>
      </c>
      <c r="CZ83" s="388">
        <f t="shared" si="73"/>
        <v>0</v>
      </c>
      <c r="DA83" s="189">
        <f t="shared" si="74"/>
        <v>0</v>
      </c>
      <c r="DB83" s="189">
        <f t="shared" si="75"/>
        <v>4200000</v>
      </c>
      <c r="DC83" s="189">
        <f t="shared" si="76"/>
        <v>23669.791508642862</v>
      </c>
      <c r="DD83" s="189">
        <f t="shared" si="77"/>
        <v>16026.696995332328</v>
      </c>
      <c r="DE83" s="189">
        <f t="shared" si="78"/>
        <v>5300000</v>
      </c>
      <c r="DF83" s="189">
        <f t="shared" si="79"/>
        <v>14210.511334177085</v>
      </c>
      <c r="DG83" s="189">
        <f t="shared" si="80"/>
        <v>47448.788310285126</v>
      </c>
      <c r="DH83" s="189">
        <v>8101355.7881484367</v>
      </c>
      <c r="DI83" s="189">
        <f>'Member position mfumo and excel'!F85</f>
        <v>8101355.79</v>
      </c>
      <c r="DJ83" s="189">
        <f t="shared" si="92"/>
        <v>-1.8515633419156075E-3</v>
      </c>
      <c r="DK83" s="189">
        <f t="shared" si="81"/>
        <v>83182.773348967996</v>
      </c>
      <c r="DL83" s="189">
        <f t="shared" si="82"/>
        <v>23170.295394486064</v>
      </c>
      <c r="DM83" s="189"/>
      <c r="DN83" s="189"/>
      <c r="DO83" s="189"/>
      <c r="DP83" s="189"/>
      <c r="DQ83" s="189"/>
      <c r="DR83" s="189"/>
      <c r="DS83" s="186">
        <f t="shared" si="83"/>
        <v>8207708.8568918901</v>
      </c>
      <c r="DT83" s="1" t="b">
        <f t="shared" si="87"/>
        <v>1</v>
      </c>
      <c r="DU83" s="247" t="str">
        <f t="shared" si="84"/>
        <v xml:space="preserve">Edson Pascal Rwechungura </v>
      </c>
      <c r="DV83" s="249">
        <f t="shared" ref="DV83" si="96">DS83</f>
        <v>8207708.8568918901</v>
      </c>
      <c r="DW83" s="248">
        <f t="shared" si="86"/>
        <v>207708.85689189006</v>
      </c>
      <c r="DZ83" s="1">
        <f t="shared" si="88"/>
        <v>0</v>
      </c>
      <c r="EB83" s="1">
        <f t="shared" si="89"/>
        <v>0</v>
      </c>
    </row>
    <row r="84" spans="1:132" x14ac:dyDescent="0.35">
      <c r="A84" s="311" t="s">
        <v>607</v>
      </c>
      <c r="B84" s="7" t="s">
        <v>608</v>
      </c>
      <c r="C84" s="522" t="s">
        <v>1255</v>
      </c>
      <c r="D84" s="71"/>
      <c r="E84" s="11"/>
      <c r="F84" s="11"/>
      <c r="G84" s="11"/>
      <c r="H84" s="11"/>
      <c r="I84" s="545"/>
      <c r="J84" s="545"/>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7"/>
      <c r="BK84" s="7"/>
      <c r="BL84" s="7"/>
      <c r="BM84" s="7"/>
      <c r="BN84" s="7"/>
      <c r="BO84" s="11"/>
      <c r="BP84" s="202"/>
      <c r="BQ84" s="7"/>
      <c r="BR84" s="202"/>
      <c r="BS84" s="178"/>
      <c r="BT84" s="202"/>
      <c r="BU84" s="7"/>
      <c r="BV84" s="7"/>
      <c r="BW84" s="7"/>
      <c r="BX84" s="7"/>
      <c r="BY84" s="71"/>
      <c r="BZ84" s="7"/>
      <c r="CA84" s="71"/>
      <c r="CB84" s="7"/>
      <c r="CC84" s="71">
        <v>46154</v>
      </c>
      <c r="CD84" s="7">
        <f>3500000+300000+200000+400000</f>
        <v>4400000</v>
      </c>
      <c r="CE84" s="71">
        <v>46178</v>
      </c>
      <c r="CF84" s="7">
        <f>600000+400000+20000000+3600000</f>
        <v>24600000</v>
      </c>
      <c r="CG84" s="71">
        <v>46204</v>
      </c>
      <c r="CH84" s="7">
        <f>1200000+260000+270000+91032+2900000-2750000</f>
        <v>1971032</v>
      </c>
      <c r="CI84" s="7"/>
      <c r="CJ84" s="7"/>
      <c r="CK84" s="7"/>
      <c r="CL84" s="7"/>
      <c r="CM84" s="7">
        <f t="shared" si="66"/>
        <v>30971032</v>
      </c>
      <c r="CN84" s="7">
        <f t="shared" si="67"/>
        <v>30971032</v>
      </c>
      <c r="CO84" s="7"/>
      <c r="CP84" s="286"/>
      <c r="CQ84" s="7"/>
      <c r="CR84" s="7"/>
      <c r="CS84" s="7"/>
      <c r="CT84" s="7"/>
      <c r="CU84" s="7">
        <f t="shared" si="68"/>
        <v>0</v>
      </c>
      <c r="CV84" s="7">
        <f t="shared" si="69"/>
        <v>0</v>
      </c>
      <c r="CW84" s="7">
        <f t="shared" si="93"/>
        <v>0</v>
      </c>
      <c r="CX84" s="7">
        <f t="shared" si="71"/>
        <v>0</v>
      </c>
      <c r="CY84" s="189">
        <f t="shared" si="72"/>
        <v>0</v>
      </c>
      <c r="CZ84" s="388">
        <f t="shared" si="73"/>
        <v>0</v>
      </c>
      <c r="DA84" s="189">
        <f t="shared" si="74"/>
        <v>0</v>
      </c>
      <c r="DB84" s="189">
        <f t="shared" si="75"/>
        <v>4400000</v>
      </c>
      <c r="DC84" s="189">
        <f t="shared" si="76"/>
        <v>24796.924437625854</v>
      </c>
      <c r="DD84" s="189">
        <f t="shared" si="77"/>
        <v>16789.873042729105</v>
      </c>
      <c r="DE84" s="189">
        <f t="shared" si="78"/>
        <v>29000000</v>
      </c>
      <c r="DF84" s="189">
        <f t="shared" si="79"/>
        <v>77755.628054931221</v>
      </c>
      <c r="DG84" s="189">
        <f t="shared" si="80"/>
        <v>259625.44547137144</v>
      </c>
      <c r="DH84" s="189">
        <v>31349999.87100666</v>
      </c>
      <c r="DI84" s="189">
        <f>'Member position mfumo and excel'!F86</f>
        <v>31349999.870000001</v>
      </c>
      <c r="DJ84" s="189">
        <f t="shared" si="92"/>
        <v>1.0066591203212738E-3</v>
      </c>
      <c r="DK84" s="189">
        <f t="shared" si="81"/>
        <v>321894.26090569596</v>
      </c>
      <c r="DL84" s="189">
        <f t="shared" si="82"/>
        <v>89662.616557461472</v>
      </c>
      <c r="DM84" s="189"/>
      <c r="DN84" s="189"/>
      <c r="DO84" s="189"/>
      <c r="DP84" s="189"/>
      <c r="DQ84" s="189"/>
      <c r="DR84" s="189"/>
      <c r="DS84" s="186">
        <f t="shared" si="83"/>
        <v>31761556.748469815</v>
      </c>
      <c r="DT84" s="1" t="b">
        <f t="shared" si="87"/>
        <v>1</v>
      </c>
      <c r="DU84" s="247" t="str">
        <f t="shared" si="84"/>
        <v>Mathew J. Mndeme</v>
      </c>
      <c r="DV84" s="249">
        <f t="shared" ref="DV84" si="97">DS84</f>
        <v>31761556.748469815</v>
      </c>
      <c r="DW84" s="248">
        <f t="shared" si="86"/>
        <v>790524.74846981466</v>
      </c>
      <c r="DZ84" s="1">
        <f t="shared" si="88"/>
        <v>0</v>
      </c>
      <c r="EB84" s="1">
        <f t="shared" si="89"/>
        <v>0</v>
      </c>
    </row>
    <row r="85" spans="1:132" x14ac:dyDescent="0.35">
      <c r="A85" s="311" t="s">
        <v>609</v>
      </c>
      <c r="B85" s="7" t="s">
        <v>610</v>
      </c>
      <c r="C85" s="522" t="s">
        <v>1256</v>
      </c>
      <c r="D85" s="71"/>
      <c r="E85" s="11"/>
      <c r="F85" s="11"/>
      <c r="G85" s="11"/>
      <c r="H85" s="11"/>
      <c r="I85" s="545"/>
      <c r="J85" s="545"/>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7"/>
      <c r="BK85" s="7"/>
      <c r="BL85" s="7"/>
      <c r="BM85" s="7"/>
      <c r="BN85" s="7"/>
      <c r="BO85" s="11"/>
      <c r="BP85" s="202"/>
      <c r="BQ85" s="7"/>
      <c r="BR85" s="202"/>
      <c r="BS85" s="178"/>
      <c r="BT85" s="202"/>
      <c r="BU85" s="7"/>
      <c r="BV85" s="7"/>
      <c r="BW85" s="7"/>
      <c r="BX85" s="7"/>
      <c r="BY85" s="71"/>
      <c r="BZ85" s="7"/>
      <c r="CA85" s="71"/>
      <c r="CB85" s="7"/>
      <c r="CC85" s="71">
        <v>46155</v>
      </c>
      <c r="CD85" s="7">
        <v>1300000</v>
      </c>
      <c r="CE85" s="71">
        <v>46177</v>
      </c>
      <c r="CF85" s="7">
        <v>2100000</v>
      </c>
      <c r="CG85" s="7"/>
      <c r="CH85" s="7"/>
      <c r="CI85" s="7"/>
      <c r="CJ85" s="7"/>
      <c r="CK85" s="7"/>
      <c r="CL85" s="7"/>
      <c r="CM85" s="7">
        <f t="shared" si="66"/>
        <v>3400000</v>
      </c>
      <c r="CN85" s="7">
        <f t="shared" si="67"/>
        <v>3400000</v>
      </c>
      <c r="CO85" s="7"/>
      <c r="CP85" s="286"/>
      <c r="CQ85" s="7"/>
      <c r="CR85" s="7"/>
      <c r="CS85" s="7"/>
      <c r="CT85" s="7"/>
      <c r="CU85" s="7">
        <f t="shared" si="68"/>
        <v>0</v>
      </c>
      <c r="CV85" s="7">
        <f t="shared" si="69"/>
        <v>0</v>
      </c>
      <c r="CW85" s="7">
        <f t="shared" si="93"/>
        <v>0</v>
      </c>
      <c r="CX85" s="7">
        <f t="shared" si="71"/>
        <v>0</v>
      </c>
      <c r="CY85" s="189">
        <f t="shared" si="72"/>
        <v>0</v>
      </c>
      <c r="CZ85" s="388">
        <f t="shared" si="73"/>
        <v>0</v>
      </c>
      <c r="DA85" s="189">
        <f t="shared" si="74"/>
        <v>0</v>
      </c>
      <c r="DB85" s="189">
        <f t="shared" si="75"/>
        <v>1300000</v>
      </c>
      <c r="DC85" s="189">
        <f t="shared" si="76"/>
        <v>7326.3640383894572</v>
      </c>
      <c r="DD85" s="189">
        <f t="shared" si="77"/>
        <v>4960.6443080790541</v>
      </c>
      <c r="DE85" s="189">
        <f t="shared" si="78"/>
        <v>3400000</v>
      </c>
      <c r="DF85" s="189">
        <f t="shared" si="79"/>
        <v>9116.1770823022798</v>
      </c>
      <c r="DG85" s="189">
        <f t="shared" si="80"/>
        <v>30438.845331126304</v>
      </c>
      <c r="DH85" s="189">
        <v>3451842.0307598971</v>
      </c>
      <c r="DI85" s="189">
        <f>'Member position mfumo and excel'!F87</f>
        <v>3451842.03</v>
      </c>
      <c r="DJ85" s="189">
        <f t="shared" si="92"/>
        <v>7.5989728793501854E-4</v>
      </c>
      <c r="DK85" s="189">
        <f t="shared" si="81"/>
        <v>35442.68401360586</v>
      </c>
      <c r="DL85" s="189">
        <f t="shared" si="82"/>
        <v>9872.4462422466841</v>
      </c>
      <c r="DM85" s="189"/>
      <c r="DN85" s="189"/>
      <c r="DO85" s="189"/>
      <c r="DP85" s="189"/>
      <c r="DQ85" s="189"/>
      <c r="DR85" s="189"/>
      <c r="DS85" s="186">
        <f t="shared" si="83"/>
        <v>3497157.1610157499</v>
      </c>
      <c r="DT85" s="1" t="b">
        <f t="shared" si="87"/>
        <v>1</v>
      </c>
      <c r="DU85" s="247" t="str">
        <f t="shared" si="84"/>
        <v>Wariael Samile Ayo</v>
      </c>
      <c r="DV85" s="249">
        <f t="shared" ref="DV85" si="98">DS85</f>
        <v>3497157.1610157499</v>
      </c>
      <c r="DW85" s="248">
        <f t="shared" si="86"/>
        <v>97157.161015749909</v>
      </c>
      <c r="DZ85" s="1">
        <f t="shared" si="88"/>
        <v>0</v>
      </c>
      <c r="EB85" s="1">
        <f t="shared" si="89"/>
        <v>0</v>
      </c>
    </row>
    <row r="86" spans="1:132" x14ac:dyDescent="0.35">
      <c r="A86" s="311" t="s">
        <v>611</v>
      </c>
      <c r="B86" s="7" t="s">
        <v>993</v>
      </c>
      <c r="C86" s="522" t="s">
        <v>1257</v>
      </c>
      <c r="D86" s="71"/>
      <c r="E86" s="11"/>
      <c r="F86" s="11"/>
      <c r="G86" s="11"/>
      <c r="H86" s="11"/>
      <c r="I86" s="545"/>
      <c r="J86" s="545"/>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7"/>
      <c r="BK86" s="7"/>
      <c r="BL86" s="7"/>
      <c r="BM86" s="7"/>
      <c r="BN86" s="7"/>
      <c r="BO86" s="11"/>
      <c r="BP86" s="202"/>
      <c r="BQ86" s="7"/>
      <c r="BR86" s="202"/>
      <c r="BS86" s="178"/>
      <c r="BT86" s="202"/>
      <c r="BU86" s="7"/>
      <c r="BV86" s="7"/>
      <c r="BW86" s="7"/>
      <c r="BX86" s="7"/>
      <c r="BY86" s="71"/>
      <c r="BZ86" s="7"/>
      <c r="CA86" s="71"/>
      <c r="CB86" s="7"/>
      <c r="CC86" s="71">
        <v>46155</v>
      </c>
      <c r="CD86" s="7">
        <f>300000+200000</f>
        <v>500000</v>
      </c>
      <c r="CE86" s="71">
        <v>46177</v>
      </c>
      <c r="CF86" s="7">
        <f>200000+300000+2100000+200000</f>
        <v>2800000</v>
      </c>
      <c r="CG86" s="7"/>
      <c r="CH86" s="7"/>
      <c r="CI86" s="7"/>
      <c r="CJ86" s="7"/>
      <c r="CK86" s="7"/>
      <c r="CL86" s="7"/>
      <c r="CM86" s="7">
        <f t="shared" si="66"/>
        <v>3300000</v>
      </c>
      <c r="CN86" s="7">
        <f t="shared" si="67"/>
        <v>3300000</v>
      </c>
      <c r="CO86" s="7"/>
      <c r="CP86" s="286"/>
      <c r="CQ86" s="7"/>
      <c r="CR86" s="7"/>
      <c r="CS86" s="7"/>
      <c r="CT86" s="7"/>
      <c r="CU86" s="7">
        <f t="shared" si="68"/>
        <v>0</v>
      </c>
      <c r="CV86" s="7">
        <f t="shared" si="69"/>
        <v>0</v>
      </c>
      <c r="CW86" s="7">
        <f t="shared" si="93"/>
        <v>0</v>
      </c>
      <c r="CX86" s="7">
        <f t="shared" si="71"/>
        <v>0</v>
      </c>
      <c r="CY86" s="189">
        <f t="shared" si="72"/>
        <v>0</v>
      </c>
      <c r="CZ86" s="388">
        <f t="shared" si="73"/>
        <v>0</v>
      </c>
      <c r="DA86" s="189">
        <f t="shared" si="74"/>
        <v>0</v>
      </c>
      <c r="DB86" s="189">
        <f t="shared" si="75"/>
        <v>500000</v>
      </c>
      <c r="DC86" s="189">
        <f t="shared" si="76"/>
        <v>2817.8323224574833</v>
      </c>
      <c r="DD86" s="189">
        <f t="shared" si="77"/>
        <v>1907.9401184919438</v>
      </c>
      <c r="DE86" s="189">
        <f t="shared" si="78"/>
        <v>3300000</v>
      </c>
      <c r="DF86" s="189">
        <f t="shared" si="79"/>
        <v>8848.0542269404486</v>
      </c>
      <c r="DG86" s="189">
        <f t="shared" si="80"/>
        <v>29543.585174328473</v>
      </c>
      <c r="DH86" s="189">
        <v>3343117.4118422186</v>
      </c>
      <c r="DI86" s="189">
        <f>'Member position mfumo and excel'!F88</f>
        <v>3343117.41</v>
      </c>
      <c r="DJ86" s="189">
        <f t="shared" si="92"/>
        <v>1.8422184512019157E-3</v>
      </c>
      <c r="DK86" s="189">
        <f t="shared" si="81"/>
        <v>34326.325768222698</v>
      </c>
      <c r="DL86" s="189">
        <f t="shared" si="82"/>
        <v>9561.4882244960172</v>
      </c>
      <c r="DM86" s="189"/>
      <c r="DN86" s="189"/>
      <c r="DO86" s="189"/>
      <c r="DP86" s="189"/>
      <c r="DQ86" s="189"/>
      <c r="DR86" s="189"/>
      <c r="DS86" s="186">
        <f t="shared" si="83"/>
        <v>3387005.2258349373</v>
      </c>
      <c r="DT86" s="1" t="b">
        <f t="shared" si="87"/>
        <v>1</v>
      </c>
      <c r="DU86" s="247" t="str">
        <f t="shared" si="84"/>
        <v xml:space="preserve">Shukuru Willson Ndosi </v>
      </c>
      <c r="DV86" s="249">
        <f t="shared" ref="DV86" si="99">DS86</f>
        <v>3387005.2258349373</v>
      </c>
      <c r="DW86" s="248">
        <f t="shared" si="86"/>
        <v>87005.225834937301</v>
      </c>
      <c r="DZ86" s="1">
        <f t="shared" si="88"/>
        <v>0</v>
      </c>
      <c r="EB86" s="1">
        <f t="shared" si="89"/>
        <v>0</v>
      </c>
    </row>
    <row r="87" spans="1:132" x14ac:dyDescent="0.35">
      <c r="A87" s="311" t="s">
        <v>620</v>
      </c>
      <c r="B87" s="7" t="s">
        <v>622</v>
      </c>
      <c r="C87" s="522" t="s">
        <v>1258</v>
      </c>
      <c r="D87" s="71"/>
      <c r="E87" s="11"/>
      <c r="F87" s="11"/>
      <c r="G87" s="11"/>
      <c r="H87" s="11"/>
      <c r="I87" s="545"/>
      <c r="J87" s="545"/>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7"/>
      <c r="BK87" s="7"/>
      <c r="BL87" s="7"/>
      <c r="BM87" s="7"/>
      <c r="BN87" s="7"/>
      <c r="BO87" s="11"/>
      <c r="BP87" s="202"/>
      <c r="BQ87" s="7"/>
      <c r="BR87" s="202"/>
      <c r="BS87" s="178"/>
      <c r="BT87" s="202"/>
      <c r="BU87" s="7"/>
      <c r="BV87" s="7"/>
      <c r="BW87" s="7"/>
      <c r="BX87" s="7"/>
      <c r="BY87" s="71"/>
      <c r="BZ87" s="7"/>
      <c r="CA87" s="71"/>
      <c r="CB87" s="7"/>
      <c r="CC87" s="71">
        <v>46156</v>
      </c>
      <c r="CD87" s="7">
        <f>3200000+300000</f>
        <v>3500000</v>
      </c>
      <c r="CE87" s="7"/>
      <c r="CF87" s="7"/>
      <c r="CG87" s="71">
        <v>46229</v>
      </c>
      <c r="CH87" s="7">
        <v>1000000</v>
      </c>
      <c r="CI87" s="7"/>
      <c r="CJ87" s="7"/>
      <c r="CK87" s="7"/>
      <c r="CL87" s="7"/>
      <c r="CM87" s="7">
        <f t="shared" si="66"/>
        <v>4500000</v>
      </c>
      <c r="CN87" s="7">
        <f t="shared" si="67"/>
        <v>4500000</v>
      </c>
      <c r="CO87" s="7"/>
      <c r="CP87" s="286"/>
      <c r="CQ87" s="7"/>
      <c r="CR87" s="7"/>
      <c r="CS87" s="7"/>
      <c r="CT87" s="7"/>
      <c r="CU87" s="7">
        <f t="shared" si="68"/>
        <v>0</v>
      </c>
      <c r="CV87" s="7">
        <f t="shared" si="69"/>
        <v>0</v>
      </c>
      <c r="CW87" s="7">
        <f t="shared" si="93"/>
        <v>0</v>
      </c>
      <c r="CX87" s="7">
        <f t="shared" si="71"/>
        <v>0</v>
      </c>
      <c r="CY87" s="189">
        <f t="shared" si="72"/>
        <v>0</v>
      </c>
      <c r="CZ87" s="388">
        <f t="shared" si="73"/>
        <v>0</v>
      </c>
      <c r="DA87" s="189">
        <f t="shared" si="74"/>
        <v>0</v>
      </c>
      <c r="DB87" s="189">
        <f t="shared" si="75"/>
        <v>3500000</v>
      </c>
      <c r="DC87" s="189">
        <f t="shared" si="76"/>
        <v>19724.826257202381</v>
      </c>
      <c r="DD87" s="189">
        <f t="shared" si="77"/>
        <v>13355.580829443606</v>
      </c>
      <c r="DE87" s="189">
        <f t="shared" si="78"/>
        <v>3500000</v>
      </c>
      <c r="DF87" s="189">
        <f t="shared" si="79"/>
        <v>9384.2999376641128</v>
      </c>
      <c r="DG87" s="189">
        <f t="shared" si="80"/>
        <v>31334.105487924138</v>
      </c>
      <c r="DH87" s="189">
        <v>4573798.8125122348</v>
      </c>
      <c r="DI87" s="189">
        <f>'Member position mfumo and excel'!F89</f>
        <v>4573798.82</v>
      </c>
      <c r="DJ87" s="189">
        <f t="shared" si="92"/>
        <v>-7.4877655133605003E-3</v>
      </c>
      <c r="DK87" s="189">
        <f t="shared" si="81"/>
        <v>46962.66648621521</v>
      </c>
      <c r="DL87" s="189">
        <f t="shared" si="82"/>
        <v>13081.300504773772</v>
      </c>
      <c r="DM87" s="189"/>
      <c r="DN87" s="189"/>
      <c r="DO87" s="189"/>
      <c r="DP87" s="189"/>
      <c r="DQ87" s="189"/>
      <c r="DR87" s="189"/>
      <c r="DS87" s="186">
        <f t="shared" si="83"/>
        <v>4633842.7795032235</v>
      </c>
      <c r="DT87" s="1" t="b">
        <f t="shared" si="87"/>
        <v>1</v>
      </c>
      <c r="DU87" s="247" t="str">
        <f t="shared" si="84"/>
        <v>Joseph Placid Njuu</v>
      </c>
      <c r="DV87" s="249">
        <f t="shared" ref="DV87:DV90" si="100">DS87</f>
        <v>4633842.7795032235</v>
      </c>
      <c r="DW87" s="248">
        <f t="shared" si="86"/>
        <v>133842.77950322349</v>
      </c>
      <c r="DZ87" s="1">
        <f t="shared" si="88"/>
        <v>0</v>
      </c>
      <c r="EB87" s="1">
        <f t="shared" si="89"/>
        <v>0</v>
      </c>
    </row>
    <row r="88" spans="1:132" x14ac:dyDescent="0.35">
      <c r="A88" s="311" t="s">
        <v>621</v>
      </c>
      <c r="B88" s="7" t="s">
        <v>623</v>
      </c>
      <c r="C88" s="522" t="s">
        <v>1259</v>
      </c>
      <c r="D88" s="71"/>
      <c r="E88" s="11"/>
      <c r="F88" s="11"/>
      <c r="G88" s="11"/>
      <c r="H88" s="11"/>
      <c r="I88" s="545"/>
      <c r="J88" s="545"/>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7"/>
      <c r="BK88" s="7"/>
      <c r="BL88" s="7"/>
      <c r="BM88" s="7"/>
      <c r="BN88" s="7"/>
      <c r="BO88" s="11"/>
      <c r="BP88" s="202"/>
      <c r="BQ88" s="7"/>
      <c r="BR88" s="202"/>
      <c r="BS88" s="178"/>
      <c r="BT88" s="202"/>
      <c r="BU88" s="7"/>
      <c r="BV88" s="7"/>
      <c r="BW88" s="7"/>
      <c r="BX88" s="7"/>
      <c r="BY88" s="71"/>
      <c r="BZ88" s="7"/>
      <c r="CA88" s="71"/>
      <c r="CB88" s="7"/>
      <c r="CC88" s="71">
        <v>46157</v>
      </c>
      <c r="CD88" s="7">
        <v>3200000</v>
      </c>
      <c r="CE88" s="71">
        <v>46184</v>
      </c>
      <c r="CF88" s="7">
        <v>1000000</v>
      </c>
      <c r="CG88" s="7"/>
      <c r="CH88" s="7"/>
      <c r="CI88" s="7"/>
      <c r="CJ88" s="7"/>
      <c r="CK88" s="7"/>
      <c r="CL88" s="7"/>
      <c r="CM88" s="7">
        <f t="shared" si="66"/>
        <v>4200000</v>
      </c>
      <c r="CN88" s="7">
        <f t="shared" si="67"/>
        <v>4200000</v>
      </c>
      <c r="CO88" s="7"/>
      <c r="CP88" s="286"/>
      <c r="CQ88" s="7"/>
      <c r="CR88" s="7"/>
      <c r="CS88" s="7"/>
      <c r="CT88" s="7"/>
      <c r="CU88" s="7">
        <f t="shared" si="68"/>
        <v>0</v>
      </c>
      <c r="CV88" s="7">
        <f t="shared" si="69"/>
        <v>0</v>
      </c>
      <c r="CW88" s="7">
        <f t="shared" si="93"/>
        <v>0</v>
      </c>
      <c r="CX88" s="7">
        <f t="shared" si="71"/>
        <v>0</v>
      </c>
      <c r="CY88" s="189">
        <f t="shared" si="72"/>
        <v>0</v>
      </c>
      <c r="CZ88" s="388">
        <f t="shared" si="73"/>
        <v>0</v>
      </c>
      <c r="DA88" s="189">
        <f t="shared" si="74"/>
        <v>0</v>
      </c>
      <c r="DB88" s="189">
        <f t="shared" si="75"/>
        <v>3200000</v>
      </c>
      <c r="DC88" s="189">
        <f t="shared" si="76"/>
        <v>18034.126863727892</v>
      </c>
      <c r="DD88" s="189">
        <f t="shared" si="77"/>
        <v>12210.816758348439</v>
      </c>
      <c r="DE88" s="189">
        <f t="shared" si="78"/>
        <v>4200000</v>
      </c>
      <c r="DF88" s="189">
        <f t="shared" si="79"/>
        <v>11261.159925196935</v>
      </c>
      <c r="DG88" s="189">
        <f t="shared" si="80"/>
        <v>37600.926585508969</v>
      </c>
      <c r="DH88" s="189">
        <v>4279107.0301327826</v>
      </c>
      <c r="DI88" s="189">
        <f>'Member position mfumo and excel'!F90</f>
        <v>4279107.04</v>
      </c>
      <c r="DJ88" s="189">
        <f t="shared" si="92"/>
        <v>-9.8672173917293549E-3</v>
      </c>
      <c r="DK88" s="189">
        <f t="shared" si="81"/>
        <v>43936.842120207963</v>
      </c>
      <c r="DL88" s="189">
        <f t="shared" si="82"/>
        <v>12238.466807968553</v>
      </c>
      <c r="DM88" s="189"/>
      <c r="DN88" s="189"/>
      <c r="DO88" s="189"/>
      <c r="DP88" s="189"/>
      <c r="DQ88" s="189"/>
      <c r="DR88" s="189"/>
      <c r="DS88" s="186">
        <f t="shared" si="83"/>
        <v>4335282.3390609594</v>
      </c>
      <c r="DT88" s="1" t="b">
        <f t="shared" si="87"/>
        <v>1</v>
      </c>
      <c r="DU88" s="247" t="str">
        <f t="shared" si="84"/>
        <v>Stephano Migire Lolloo</v>
      </c>
      <c r="DV88" s="249">
        <f t="shared" si="100"/>
        <v>4335282.3390609594</v>
      </c>
      <c r="DW88" s="248">
        <f t="shared" si="86"/>
        <v>135282.33906095941</v>
      </c>
      <c r="DZ88" s="1">
        <f t="shared" si="88"/>
        <v>0</v>
      </c>
      <c r="EB88" s="1">
        <f t="shared" si="89"/>
        <v>0</v>
      </c>
    </row>
    <row r="89" spans="1:132" x14ac:dyDescent="0.35">
      <c r="A89" s="311" t="s">
        <v>628</v>
      </c>
      <c r="B89" s="7" t="s">
        <v>629</v>
      </c>
      <c r="C89" s="522" t="s">
        <v>1260</v>
      </c>
      <c r="D89" s="71"/>
      <c r="E89" s="11"/>
      <c r="F89" s="11"/>
      <c r="G89" s="11"/>
      <c r="H89" s="11"/>
      <c r="I89" s="545"/>
      <c r="J89" s="545"/>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7"/>
      <c r="BK89" s="7"/>
      <c r="BL89" s="7"/>
      <c r="BM89" s="7"/>
      <c r="BN89" s="7"/>
      <c r="BO89" s="11"/>
      <c r="BP89" s="202"/>
      <c r="BQ89" s="7"/>
      <c r="BR89" s="202"/>
      <c r="BS89" s="178"/>
      <c r="BT89" s="202"/>
      <c r="BU89" s="7"/>
      <c r="BV89" s="7"/>
      <c r="BW89" s="7"/>
      <c r="BX89" s="7"/>
      <c r="BY89" s="71"/>
      <c r="BZ89" s="7"/>
      <c r="CA89" s="71"/>
      <c r="CB89" s="7"/>
      <c r="CC89" s="71">
        <v>46162</v>
      </c>
      <c r="CD89" s="7">
        <f>1200000+700000+500000+1000000+600000</f>
        <v>4000000</v>
      </c>
      <c r="CE89" s="71">
        <v>46183</v>
      </c>
      <c r="CF89" s="7">
        <f>500000+2500000+500000+1000000+1500000+1000000+1500000+1200000+7000000</f>
        <v>16700000</v>
      </c>
      <c r="CG89" s="7"/>
      <c r="CH89" s="7"/>
      <c r="CI89" s="7"/>
      <c r="CJ89" s="7"/>
      <c r="CK89" s="7"/>
      <c r="CL89" s="7"/>
      <c r="CM89" s="7">
        <f t="shared" si="66"/>
        <v>20700000</v>
      </c>
      <c r="CN89" s="7">
        <f t="shared" si="67"/>
        <v>20700000</v>
      </c>
      <c r="CO89" s="7"/>
      <c r="CP89" s="286"/>
      <c r="CQ89" s="7"/>
      <c r="CR89" s="7"/>
      <c r="CS89" s="7"/>
      <c r="CT89" s="7"/>
      <c r="CU89" s="7">
        <f t="shared" si="68"/>
        <v>0</v>
      </c>
      <c r="CV89" s="7">
        <f t="shared" si="69"/>
        <v>0</v>
      </c>
      <c r="CW89" s="7">
        <f t="shared" si="93"/>
        <v>0</v>
      </c>
      <c r="CX89" s="7">
        <f t="shared" si="71"/>
        <v>0</v>
      </c>
      <c r="CY89" s="189">
        <f t="shared" si="72"/>
        <v>0</v>
      </c>
      <c r="CZ89" s="388">
        <f t="shared" si="73"/>
        <v>0</v>
      </c>
      <c r="DA89" s="189">
        <f t="shared" si="74"/>
        <v>0</v>
      </c>
      <c r="DB89" s="189">
        <f t="shared" si="75"/>
        <v>4000000</v>
      </c>
      <c r="DC89" s="189">
        <f t="shared" si="76"/>
        <v>22542.658579659867</v>
      </c>
      <c r="DD89" s="189">
        <f t="shared" si="77"/>
        <v>15263.520947935551</v>
      </c>
      <c r="DE89" s="189">
        <f t="shared" si="78"/>
        <v>20700000</v>
      </c>
      <c r="DF89" s="189">
        <f t="shared" si="79"/>
        <v>55501.43105989918</v>
      </c>
      <c r="DG89" s="189">
        <f t="shared" si="80"/>
        <v>185318.85245715131</v>
      </c>
      <c r="DH89" s="189">
        <v>20978626.463044647</v>
      </c>
      <c r="DI89" s="189">
        <f>'Member position mfumo and excel'!F91</f>
        <v>20978626.460000001</v>
      </c>
      <c r="DJ89" s="189">
        <f t="shared" si="92"/>
        <v>3.0446462333202362E-3</v>
      </c>
      <c r="DK89" s="189">
        <f t="shared" si="81"/>
        <v>215403.49243776864</v>
      </c>
      <c r="DL89" s="189">
        <f t="shared" si="82"/>
        <v>59999.953690519324</v>
      </c>
      <c r="DM89" s="189"/>
      <c r="DN89" s="189"/>
      <c r="DO89" s="189"/>
      <c r="DP89" s="189"/>
      <c r="DQ89" s="189"/>
      <c r="DR89" s="189"/>
      <c r="DS89" s="186">
        <f t="shared" si="83"/>
        <v>21254029.909172934</v>
      </c>
      <c r="DT89" s="1" t="b">
        <f t="shared" si="87"/>
        <v>1</v>
      </c>
      <c r="DU89" s="247" t="str">
        <f t="shared" si="84"/>
        <v>CPA Emmanuel Wanjara Marero</v>
      </c>
      <c r="DV89" s="249">
        <f t="shared" si="100"/>
        <v>21254029.909172934</v>
      </c>
      <c r="DW89" s="248">
        <f t="shared" si="86"/>
        <v>554029.90917293355</v>
      </c>
      <c r="DZ89" s="1">
        <f t="shared" si="88"/>
        <v>0</v>
      </c>
      <c r="EB89" s="1">
        <f t="shared" si="89"/>
        <v>0</v>
      </c>
    </row>
    <row r="90" spans="1:132" x14ac:dyDescent="0.35">
      <c r="A90" s="311" t="s">
        <v>630</v>
      </c>
      <c r="B90" s="7" t="s">
        <v>631</v>
      </c>
      <c r="C90" s="522" t="s">
        <v>1261</v>
      </c>
      <c r="D90" s="71"/>
      <c r="E90" s="11"/>
      <c r="F90" s="11"/>
      <c r="G90" s="11"/>
      <c r="H90" s="11"/>
      <c r="I90" s="545"/>
      <c r="J90" s="545"/>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7"/>
      <c r="BK90" s="7"/>
      <c r="BL90" s="7"/>
      <c r="BM90" s="7"/>
      <c r="BN90" s="7"/>
      <c r="BO90" s="11"/>
      <c r="BP90" s="202"/>
      <c r="BQ90" s="7"/>
      <c r="BR90" s="202"/>
      <c r="BS90" s="178"/>
      <c r="BT90" s="202"/>
      <c r="BU90" s="7"/>
      <c r="BV90" s="7"/>
      <c r="BW90" s="7"/>
      <c r="BX90" s="7"/>
      <c r="BY90" s="71"/>
      <c r="BZ90" s="7"/>
      <c r="CA90" s="71"/>
      <c r="CB90" s="7"/>
      <c r="CC90" s="71">
        <v>46164</v>
      </c>
      <c r="CD90" s="7">
        <v>5000000</v>
      </c>
      <c r="CE90" s="7"/>
      <c r="CF90" s="7"/>
      <c r="CG90" s="71">
        <v>46221</v>
      </c>
      <c r="CH90" s="7">
        <v>5000000</v>
      </c>
      <c r="CI90" s="7"/>
      <c r="CJ90" s="7"/>
      <c r="CK90" s="7"/>
      <c r="CL90" s="7"/>
      <c r="CM90" s="7">
        <f t="shared" si="66"/>
        <v>10000000</v>
      </c>
      <c r="CN90" s="7">
        <f t="shared" si="67"/>
        <v>10000000</v>
      </c>
      <c r="CO90" s="7"/>
      <c r="CP90" s="286"/>
      <c r="CQ90" s="7"/>
      <c r="CR90" s="7"/>
      <c r="CS90" s="7"/>
      <c r="CT90" s="7"/>
      <c r="CU90" s="7">
        <f t="shared" si="68"/>
        <v>0</v>
      </c>
      <c r="CV90" s="7">
        <f t="shared" si="69"/>
        <v>0</v>
      </c>
      <c r="CW90" s="7">
        <f t="shared" si="93"/>
        <v>0</v>
      </c>
      <c r="CX90" s="7">
        <f t="shared" si="71"/>
        <v>0</v>
      </c>
      <c r="CY90" s="189">
        <f t="shared" si="72"/>
        <v>0</v>
      </c>
      <c r="CZ90" s="388">
        <f t="shared" si="73"/>
        <v>0</v>
      </c>
      <c r="DA90" s="189">
        <f t="shared" si="74"/>
        <v>0</v>
      </c>
      <c r="DB90" s="189">
        <f t="shared" si="75"/>
        <v>5000000</v>
      </c>
      <c r="DC90" s="189">
        <f t="shared" si="76"/>
        <v>28178.323224574837</v>
      </c>
      <c r="DD90" s="189">
        <f t="shared" si="77"/>
        <v>19079.401184919439</v>
      </c>
      <c r="DE90" s="189">
        <f t="shared" si="78"/>
        <v>5000000</v>
      </c>
      <c r="DF90" s="189">
        <f t="shared" si="79"/>
        <v>13406.142768091588</v>
      </c>
      <c r="DG90" s="189">
        <f t="shared" si="80"/>
        <v>44763.007839891623</v>
      </c>
      <c r="DH90" s="189">
        <v>10105426.875017479</v>
      </c>
      <c r="DI90" s="189">
        <f>'Member position mfumo and excel'!F92</f>
        <v>10105426.869999999</v>
      </c>
      <c r="DJ90" s="189">
        <f t="shared" si="92"/>
        <v>5.017479881644249E-3</v>
      </c>
      <c r="DK90" s="189">
        <f t="shared" si="81"/>
        <v>103760.09341163219</v>
      </c>
      <c r="DL90" s="189">
        <f t="shared" si="82"/>
        <v>28902.042066103008</v>
      </c>
      <c r="DM90" s="189"/>
      <c r="DN90" s="189"/>
      <c r="DO90" s="189"/>
      <c r="DP90" s="189"/>
      <c r="DQ90" s="189"/>
      <c r="DR90" s="189"/>
      <c r="DS90" s="186">
        <f t="shared" si="83"/>
        <v>10238089.010495214</v>
      </c>
      <c r="DT90" s="1" t="b">
        <f t="shared" si="87"/>
        <v>1</v>
      </c>
      <c r="DU90" s="247" t="str">
        <f t="shared" si="84"/>
        <v>Emmanuel Jonas Mungure</v>
      </c>
      <c r="DV90" s="249">
        <f t="shared" si="100"/>
        <v>10238089.010495214</v>
      </c>
      <c r="DW90" s="248">
        <f t="shared" si="86"/>
        <v>238089.01049521379</v>
      </c>
      <c r="DZ90" s="1">
        <f t="shared" si="88"/>
        <v>0</v>
      </c>
      <c r="EB90" s="1">
        <f t="shared" si="89"/>
        <v>0</v>
      </c>
    </row>
    <row r="91" spans="1:132" x14ac:dyDescent="0.35">
      <c r="A91" s="311" t="s">
        <v>661</v>
      </c>
      <c r="B91" s="7" t="s">
        <v>660</v>
      </c>
      <c r="C91" s="522" t="s">
        <v>1262</v>
      </c>
      <c r="D91" s="71"/>
      <c r="E91" s="11"/>
      <c r="F91" s="11"/>
      <c r="G91" s="11"/>
      <c r="H91" s="11"/>
      <c r="I91" s="545"/>
      <c r="J91" s="545"/>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7"/>
      <c r="BK91" s="7"/>
      <c r="BL91" s="7"/>
      <c r="BM91" s="7"/>
      <c r="BN91" s="7"/>
      <c r="BO91" s="11"/>
      <c r="BP91" s="202"/>
      <c r="BQ91" s="7"/>
      <c r="BR91" s="202"/>
      <c r="BS91" s="178"/>
      <c r="BT91" s="202"/>
      <c r="BU91" s="7"/>
      <c r="BV91" s="7"/>
      <c r="BW91" s="7"/>
      <c r="BX91" s="7"/>
      <c r="BY91" s="71"/>
      <c r="BZ91" s="7"/>
      <c r="CA91" s="71"/>
      <c r="CB91" s="7"/>
      <c r="CC91" s="71">
        <v>46164</v>
      </c>
      <c r="CD91" s="7">
        <v>3300000</v>
      </c>
      <c r="CE91" s="7"/>
      <c r="CF91" s="7"/>
      <c r="CG91" s="71">
        <v>46204</v>
      </c>
      <c r="CH91" s="7">
        <v>2000000</v>
      </c>
      <c r="CI91" s="7"/>
      <c r="CJ91" s="7"/>
      <c r="CK91" s="7"/>
      <c r="CL91" s="7"/>
      <c r="CM91" s="7">
        <f t="shared" si="66"/>
        <v>5300000</v>
      </c>
      <c r="CN91" s="7">
        <f t="shared" si="67"/>
        <v>5300000</v>
      </c>
      <c r="CO91" s="7"/>
      <c r="CP91" s="286"/>
      <c r="CQ91" s="7"/>
      <c r="CR91" s="7"/>
      <c r="CS91" s="7"/>
      <c r="CT91" s="7"/>
      <c r="CU91" s="7">
        <f t="shared" si="68"/>
        <v>0</v>
      </c>
      <c r="CV91" s="7">
        <f t="shared" si="69"/>
        <v>0</v>
      </c>
      <c r="CW91" s="7">
        <f t="shared" si="93"/>
        <v>0</v>
      </c>
      <c r="CX91" s="7">
        <f t="shared" si="71"/>
        <v>0</v>
      </c>
      <c r="CY91" s="189">
        <f t="shared" si="72"/>
        <v>0</v>
      </c>
      <c r="CZ91" s="388">
        <f t="shared" si="73"/>
        <v>0</v>
      </c>
      <c r="DA91" s="189">
        <f t="shared" si="74"/>
        <v>0</v>
      </c>
      <c r="DB91" s="189">
        <f t="shared" si="75"/>
        <v>3300000</v>
      </c>
      <c r="DC91" s="189">
        <f t="shared" si="76"/>
        <v>18597.69332821939</v>
      </c>
      <c r="DD91" s="189">
        <f t="shared" si="77"/>
        <v>12592.404782046828</v>
      </c>
      <c r="DE91" s="189">
        <f t="shared" si="78"/>
        <v>3300000</v>
      </c>
      <c r="DF91" s="189">
        <f t="shared" si="79"/>
        <v>8848.0542269404486</v>
      </c>
      <c r="DG91" s="189">
        <f t="shared" si="80"/>
        <v>29543.585174328473</v>
      </c>
      <c r="DH91" s="189">
        <v>5369581.7375115352</v>
      </c>
      <c r="DI91" s="189">
        <f>'Member position mfumo and excel'!F93</f>
        <v>5369581.7300000004</v>
      </c>
      <c r="DJ91" s="189">
        <f t="shared" si="92"/>
        <v>7.5115347281098366E-3</v>
      </c>
      <c r="DK91" s="189">
        <f t="shared" si="81"/>
        <v>55133.57422267503</v>
      </c>
      <c r="DL91" s="189">
        <f t="shared" si="82"/>
        <v>15357.280714048849</v>
      </c>
      <c r="DM91" s="189"/>
      <c r="DN91" s="189"/>
      <c r="DO91" s="189"/>
      <c r="DP91" s="189"/>
      <c r="DQ91" s="189"/>
      <c r="DR91" s="189"/>
      <c r="DS91" s="186">
        <f t="shared" si="83"/>
        <v>5440072.5924482588</v>
      </c>
      <c r="DT91" s="1" t="b">
        <f t="shared" si="87"/>
        <v>1</v>
      </c>
      <c r="DU91" s="247" t="str">
        <f t="shared" si="84"/>
        <v>Adam Lyson Mwaipungu</v>
      </c>
      <c r="DV91" s="249">
        <f t="shared" ref="DV91:DV92" si="101">DS91</f>
        <v>5440072.5924482588</v>
      </c>
      <c r="DW91" s="248">
        <f t="shared" si="86"/>
        <v>140072.59244825877</v>
      </c>
      <c r="DZ91" s="1">
        <f t="shared" si="88"/>
        <v>0</v>
      </c>
      <c r="EB91" s="1">
        <f t="shared" si="89"/>
        <v>0</v>
      </c>
    </row>
    <row r="92" spans="1:132" x14ac:dyDescent="0.35">
      <c r="A92" s="311" t="s">
        <v>662</v>
      </c>
      <c r="B92" s="7" t="s">
        <v>663</v>
      </c>
      <c r="C92" s="522" t="s">
        <v>1263</v>
      </c>
      <c r="D92" s="71"/>
      <c r="E92" s="11"/>
      <c r="F92" s="11"/>
      <c r="G92" s="11"/>
      <c r="H92" s="11"/>
      <c r="I92" s="545"/>
      <c r="J92" s="545"/>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7"/>
      <c r="BK92" s="7"/>
      <c r="BL92" s="7"/>
      <c r="BM92" s="7"/>
      <c r="BN92" s="7"/>
      <c r="BO92" s="11"/>
      <c r="BP92" s="202"/>
      <c r="BQ92" s="7"/>
      <c r="BR92" s="202"/>
      <c r="BS92" s="178"/>
      <c r="BT92" s="202"/>
      <c r="BU92" s="7"/>
      <c r="BV92" s="7"/>
      <c r="BW92" s="7"/>
      <c r="BX92" s="7"/>
      <c r="BY92" s="71"/>
      <c r="BZ92" s="7"/>
      <c r="CA92" s="71"/>
      <c r="CB92" s="7"/>
      <c r="CC92" s="71">
        <v>46165</v>
      </c>
      <c r="CD92" s="7">
        <v>3800000</v>
      </c>
      <c r="CE92" s="71">
        <v>46178</v>
      </c>
      <c r="CF92" s="543">
        <f>200000</f>
        <v>200000</v>
      </c>
      <c r="CG92" s="71">
        <v>46221</v>
      </c>
      <c r="CH92" s="7">
        <v>400000</v>
      </c>
      <c r="CI92" s="7"/>
      <c r="CJ92" s="7"/>
      <c r="CK92" s="7"/>
      <c r="CL92" s="7"/>
      <c r="CM92" s="7">
        <f t="shared" si="66"/>
        <v>4400000</v>
      </c>
      <c r="CN92" s="7">
        <f t="shared" si="67"/>
        <v>4400000</v>
      </c>
      <c r="CO92" s="7"/>
      <c r="CP92" s="286"/>
      <c r="CQ92" s="7"/>
      <c r="CR92" s="7"/>
      <c r="CS92" s="7"/>
      <c r="CT92" s="7"/>
      <c r="CU92" s="7">
        <f t="shared" si="68"/>
        <v>0</v>
      </c>
      <c r="CV92" s="7">
        <f t="shared" si="69"/>
        <v>0</v>
      </c>
      <c r="CW92" s="7">
        <f t="shared" si="93"/>
        <v>0</v>
      </c>
      <c r="CX92" s="7">
        <f t="shared" si="71"/>
        <v>0</v>
      </c>
      <c r="CY92" s="189">
        <f t="shared" si="72"/>
        <v>0</v>
      </c>
      <c r="CZ92" s="388">
        <f t="shared" si="73"/>
        <v>0</v>
      </c>
      <c r="DA92" s="189">
        <f t="shared" si="74"/>
        <v>0</v>
      </c>
      <c r="DB92" s="189">
        <f t="shared" si="75"/>
        <v>3800000</v>
      </c>
      <c r="DC92" s="189">
        <f t="shared" si="76"/>
        <v>21415.525650676875</v>
      </c>
      <c r="DD92" s="189">
        <f t="shared" si="77"/>
        <v>14500.344900538772</v>
      </c>
      <c r="DE92" s="189">
        <f t="shared" si="78"/>
        <v>4000000</v>
      </c>
      <c r="DF92" s="189">
        <f t="shared" si="79"/>
        <v>10724.91421447327</v>
      </c>
      <c r="DG92" s="189">
        <f t="shared" si="80"/>
        <v>35810.4062719133</v>
      </c>
      <c r="DH92" s="189">
        <v>4482451.1910376027</v>
      </c>
      <c r="DI92" s="189">
        <f>'Member position mfumo and excel'!F94</f>
        <v>4482451.1900000004</v>
      </c>
      <c r="DJ92" s="189">
        <f t="shared" si="92"/>
        <v>1.0376023128628731E-3</v>
      </c>
      <c r="DK92" s="189">
        <f t="shared" si="81"/>
        <v>46024.731072465365</v>
      </c>
      <c r="DL92" s="189">
        <f t="shared" si="82"/>
        <v>12820.041595956651</v>
      </c>
      <c r="DM92" s="189"/>
      <c r="DN92" s="189"/>
      <c r="DO92" s="189"/>
      <c r="DP92" s="189"/>
      <c r="DQ92" s="189"/>
      <c r="DR92" s="189"/>
      <c r="DS92" s="186">
        <f t="shared" si="83"/>
        <v>4541295.963706024</v>
      </c>
      <c r="DT92" s="1" t="b">
        <f t="shared" si="87"/>
        <v>1</v>
      </c>
      <c r="DU92" s="247" t="str">
        <f t="shared" si="84"/>
        <v>Everest Thadei Sikilo</v>
      </c>
      <c r="DV92" s="249">
        <f t="shared" si="101"/>
        <v>4541295.963706024</v>
      </c>
      <c r="DW92" s="248">
        <f t="shared" si="86"/>
        <v>141295.96370602399</v>
      </c>
      <c r="DZ92" s="1">
        <f t="shared" si="88"/>
        <v>0</v>
      </c>
      <c r="EB92" s="1">
        <f t="shared" si="89"/>
        <v>0</v>
      </c>
    </row>
    <row r="93" spans="1:132" x14ac:dyDescent="0.35">
      <c r="A93" s="311" t="s">
        <v>699</v>
      </c>
      <c r="B93" s="7" t="s">
        <v>700</v>
      </c>
      <c r="C93" s="522" t="s">
        <v>1264</v>
      </c>
      <c r="D93" s="71"/>
      <c r="E93" s="11"/>
      <c r="F93" s="11"/>
      <c r="G93" s="11"/>
      <c r="H93" s="11"/>
      <c r="I93" s="545"/>
      <c r="J93" s="545"/>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7"/>
      <c r="BK93" s="7"/>
      <c r="BL93" s="7"/>
      <c r="BM93" s="7"/>
      <c r="BN93" s="7"/>
      <c r="BO93" s="11"/>
      <c r="BP93" s="202"/>
      <c r="BQ93" s="7"/>
      <c r="BR93" s="202"/>
      <c r="BS93" s="178"/>
      <c r="BT93" s="202"/>
      <c r="BU93" s="7"/>
      <c r="BV93" s="7"/>
      <c r="BW93" s="7"/>
      <c r="BX93" s="7"/>
      <c r="BY93" s="71"/>
      <c r="BZ93" s="7"/>
      <c r="CA93" s="71"/>
      <c r="CB93" s="7"/>
      <c r="CC93" s="71"/>
      <c r="CD93" s="7"/>
      <c r="CE93" s="71">
        <v>46182</v>
      </c>
      <c r="CF93" s="7">
        <f>3500000+4000000</f>
        <v>7500000</v>
      </c>
      <c r="CG93" s="7"/>
      <c r="CH93" s="7"/>
      <c r="CI93" s="7"/>
      <c r="CJ93" s="7"/>
      <c r="CK93" s="7"/>
      <c r="CL93" s="7"/>
      <c r="CM93" s="7">
        <f t="shared" si="66"/>
        <v>7500000</v>
      </c>
      <c r="CN93" s="7">
        <f t="shared" si="67"/>
        <v>7500000</v>
      </c>
      <c r="CO93" s="7"/>
      <c r="CP93" s="286"/>
      <c r="CQ93" s="7"/>
      <c r="CR93" s="7"/>
      <c r="CS93" s="7"/>
      <c r="CT93" s="7"/>
      <c r="CU93" s="7">
        <f t="shared" si="68"/>
        <v>0</v>
      </c>
      <c r="CV93" s="7">
        <f t="shared" si="69"/>
        <v>0</v>
      </c>
      <c r="CW93" s="7">
        <f t="shared" si="93"/>
        <v>0</v>
      </c>
      <c r="CX93" s="7">
        <f t="shared" si="71"/>
        <v>0</v>
      </c>
      <c r="CY93" s="189">
        <f t="shared" si="72"/>
        <v>0</v>
      </c>
      <c r="CZ93" s="388">
        <f t="shared" si="73"/>
        <v>0</v>
      </c>
      <c r="DA93" s="189">
        <f t="shared" si="74"/>
        <v>0</v>
      </c>
      <c r="DB93" s="189">
        <f t="shared" si="75"/>
        <v>0</v>
      </c>
      <c r="DC93" s="189"/>
      <c r="DD93" s="189"/>
      <c r="DE93" s="189">
        <f t="shared" si="78"/>
        <v>7500000</v>
      </c>
      <c r="DF93" s="189">
        <f t="shared" si="79"/>
        <v>20109.214152137381</v>
      </c>
      <c r="DG93" s="189">
        <f t="shared" si="80"/>
        <v>67144.511759837435</v>
      </c>
      <c r="DH93" s="189">
        <v>7587253.7259119749</v>
      </c>
      <c r="DI93" s="189">
        <f>'Member position mfumo and excel'!F95</f>
        <v>7587253.7199999997</v>
      </c>
      <c r="DJ93" s="189">
        <f t="shared" si="92"/>
        <v>5.9119751676917076E-3</v>
      </c>
      <c r="DK93" s="189">
        <f t="shared" si="81"/>
        <v>77904.096984227508</v>
      </c>
      <c r="DL93" s="189">
        <f t="shared" si="82"/>
        <v>21699.936980853701</v>
      </c>
      <c r="DM93" s="189"/>
      <c r="DN93" s="189"/>
      <c r="DO93" s="189"/>
      <c r="DP93" s="189"/>
      <c r="DQ93" s="189"/>
      <c r="DR93" s="189"/>
      <c r="DS93" s="186">
        <f t="shared" si="83"/>
        <v>7686857.7598770559</v>
      </c>
      <c r="DT93" s="1" t="b">
        <f t="shared" si="87"/>
        <v>1</v>
      </c>
      <c r="DU93" s="247" t="str">
        <f t="shared" si="84"/>
        <v xml:space="preserve">Kaanaeli Gabriel Nko </v>
      </c>
      <c r="DV93" s="249">
        <f t="shared" ref="DV93" si="102">DS93</f>
        <v>7686857.7598770559</v>
      </c>
      <c r="DW93" s="248">
        <f t="shared" ref="DW93" si="103">DS93-CN93</f>
        <v>186857.75987705588</v>
      </c>
      <c r="DZ93" s="1">
        <f t="shared" si="88"/>
        <v>0</v>
      </c>
      <c r="EB93" s="1">
        <f t="shared" si="89"/>
        <v>0</v>
      </c>
    </row>
    <row r="94" spans="1:132" x14ac:dyDescent="0.35">
      <c r="A94" s="311" t="s">
        <v>710</v>
      </c>
      <c r="B94" s="7" t="s">
        <v>742</v>
      </c>
      <c r="C94" s="522" t="s">
        <v>1265</v>
      </c>
      <c r="D94" s="71"/>
      <c r="E94" s="11"/>
      <c r="F94" s="11"/>
      <c r="G94" s="11"/>
      <c r="H94" s="11"/>
      <c r="I94" s="545"/>
      <c r="J94" s="545"/>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7"/>
      <c r="BK94" s="7"/>
      <c r="BL94" s="7"/>
      <c r="BM94" s="7"/>
      <c r="BN94" s="7"/>
      <c r="BO94" s="11"/>
      <c r="BP94" s="202"/>
      <c r="BQ94" s="7"/>
      <c r="BR94" s="202"/>
      <c r="BS94" s="178"/>
      <c r="BT94" s="202"/>
      <c r="BU94" s="7"/>
      <c r="BV94" s="7"/>
      <c r="BW94" s="7"/>
      <c r="BX94" s="7"/>
      <c r="BY94" s="71"/>
      <c r="BZ94" s="7"/>
      <c r="CA94" s="71"/>
      <c r="CB94" s="7"/>
      <c r="CC94" s="71"/>
      <c r="CD94" s="7"/>
      <c r="CE94" s="71">
        <v>46185</v>
      </c>
      <c r="CF94" s="7">
        <f>1200000+1300000+900000</f>
        <v>3400000</v>
      </c>
      <c r="CG94" s="71">
        <v>46227</v>
      </c>
      <c r="CH94" s="7">
        <v>600000</v>
      </c>
      <c r="CI94" s="7"/>
      <c r="CJ94" s="7"/>
      <c r="CK94" s="7"/>
      <c r="CL94" s="7"/>
      <c r="CM94" s="7">
        <f t="shared" si="66"/>
        <v>4000000</v>
      </c>
      <c r="CN94" s="7">
        <f t="shared" si="67"/>
        <v>4000000</v>
      </c>
      <c r="CO94" s="7"/>
      <c r="CP94" s="286"/>
      <c r="CQ94" s="7"/>
      <c r="CR94" s="7"/>
      <c r="CS94" s="7"/>
      <c r="CT94" s="7"/>
      <c r="CU94" s="7">
        <f t="shared" si="68"/>
        <v>0</v>
      </c>
      <c r="CV94" s="7">
        <f t="shared" si="69"/>
        <v>0</v>
      </c>
      <c r="CW94" s="7">
        <f t="shared" si="93"/>
        <v>0</v>
      </c>
      <c r="CX94" s="7">
        <f t="shared" si="71"/>
        <v>0</v>
      </c>
      <c r="CY94" s="189">
        <f t="shared" si="72"/>
        <v>0</v>
      </c>
      <c r="CZ94" s="388">
        <f t="shared" si="73"/>
        <v>0</v>
      </c>
      <c r="DA94" s="189">
        <f t="shared" si="74"/>
        <v>0</v>
      </c>
      <c r="DB94" s="189">
        <f t="shared" si="75"/>
        <v>0</v>
      </c>
      <c r="DC94" s="189"/>
      <c r="DD94" s="189"/>
      <c r="DE94" s="189">
        <f t="shared" si="78"/>
        <v>3400000</v>
      </c>
      <c r="DF94" s="189">
        <f t="shared" si="79"/>
        <v>9116.1770823022798</v>
      </c>
      <c r="DG94" s="189">
        <f t="shared" si="80"/>
        <v>30438.845331126304</v>
      </c>
      <c r="DH94" s="189">
        <v>4039555.0224134284</v>
      </c>
      <c r="DI94" s="189">
        <f>'Member position mfumo and excel'!F96</f>
        <v>4039555.03</v>
      </c>
      <c r="DJ94" s="189">
        <f t="shared" si="92"/>
        <v>-7.5865713879466057E-3</v>
      </c>
      <c r="DK94" s="189">
        <f t="shared" si="81"/>
        <v>41477.179702645699</v>
      </c>
      <c r="DL94" s="189">
        <f t="shared" si="82"/>
        <v>11553.335710613279</v>
      </c>
      <c r="DM94" s="189"/>
      <c r="DN94" s="189"/>
      <c r="DO94" s="189"/>
      <c r="DP94" s="189"/>
      <c r="DQ94" s="189"/>
      <c r="DR94" s="189"/>
      <c r="DS94" s="186">
        <f t="shared" si="83"/>
        <v>4092585.5378266871</v>
      </c>
      <c r="DT94" s="1" t="b">
        <f t="shared" si="87"/>
        <v>1</v>
      </c>
      <c r="DU94" s="247" t="str">
        <f t="shared" si="84"/>
        <v xml:space="preserve">Jonas Mgundulwa Mwano </v>
      </c>
      <c r="DV94" s="249">
        <f t="shared" ref="DV94" si="104">DS94</f>
        <v>4092585.5378266871</v>
      </c>
      <c r="DW94" s="248">
        <f t="shared" ref="DW94" si="105">DS94-CN94</f>
        <v>92585.537826687098</v>
      </c>
      <c r="DZ94" s="1">
        <f t="shared" si="88"/>
        <v>0</v>
      </c>
      <c r="EB94" s="1">
        <f t="shared" si="89"/>
        <v>0</v>
      </c>
    </row>
    <row r="95" spans="1:132" x14ac:dyDescent="0.35">
      <c r="A95" s="311" t="s">
        <v>714</v>
      </c>
      <c r="B95" s="7" t="s">
        <v>715</v>
      </c>
      <c r="C95" s="522" t="s">
        <v>1266</v>
      </c>
      <c r="D95" s="71"/>
      <c r="E95" s="11"/>
      <c r="F95" s="11"/>
      <c r="G95" s="11"/>
      <c r="H95" s="11"/>
      <c r="I95" s="545"/>
      <c r="J95" s="545"/>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7"/>
      <c r="BK95" s="7"/>
      <c r="BL95" s="7"/>
      <c r="BM95" s="7"/>
      <c r="BN95" s="7"/>
      <c r="BO95" s="11"/>
      <c r="BP95" s="202"/>
      <c r="BQ95" s="7"/>
      <c r="BR95" s="202"/>
      <c r="BS95" s="178"/>
      <c r="BT95" s="202"/>
      <c r="BU95" s="7"/>
      <c r="BV95" s="7"/>
      <c r="BW95" s="7"/>
      <c r="BX95" s="7"/>
      <c r="BY95" s="71"/>
      <c r="BZ95" s="7"/>
      <c r="CA95" s="71"/>
      <c r="CB95" s="7"/>
      <c r="CC95" s="71"/>
      <c r="CD95" s="7"/>
      <c r="CE95" s="71">
        <v>46186</v>
      </c>
      <c r="CF95" s="7">
        <f>3500000+1000000</f>
        <v>4500000</v>
      </c>
      <c r="CG95" s="7"/>
      <c r="CH95" s="7"/>
      <c r="CI95" s="7"/>
      <c r="CJ95" s="7"/>
      <c r="CK95" s="7"/>
      <c r="CL95" s="7"/>
      <c r="CM95" s="7">
        <f t="shared" si="66"/>
        <v>4500000</v>
      </c>
      <c r="CN95" s="7">
        <f t="shared" si="67"/>
        <v>4500000</v>
      </c>
      <c r="CO95" s="7"/>
      <c r="CP95" s="286"/>
      <c r="CQ95" s="7"/>
      <c r="CR95" s="7"/>
      <c r="CS95" s="7"/>
      <c r="CT95" s="7"/>
      <c r="CU95" s="7">
        <f t="shared" si="68"/>
        <v>0</v>
      </c>
      <c r="CV95" s="7">
        <f t="shared" si="69"/>
        <v>0</v>
      </c>
      <c r="CW95" s="7">
        <f t="shared" si="93"/>
        <v>0</v>
      </c>
      <c r="CX95" s="7">
        <f t="shared" si="71"/>
        <v>0</v>
      </c>
      <c r="CY95" s="189">
        <f t="shared" si="72"/>
        <v>0</v>
      </c>
      <c r="CZ95" s="388">
        <f t="shared" si="73"/>
        <v>0</v>
      </c>
      <c r="DA95" s="189">
        <f t="shared" si="74"/>
        <v>0</v>
      </c>
      <c r="DB95" s="189">
        <f t="shared" si="75"/>
        <v>0</v>
      </c>
      <c r="DC95" s="189"/>
      <c r="DD95" s="189"/>
      <c r="DE95" s="189">
        <f t="shared" si="78"/>
        <v>4500000</v>
      </c>
      <c r="DF95" s="189">
        <f t="shared" si="79"/>
        <v>12065.52849128243</v>
      </c>
      <c r="DG95" s="189">
        <f t="shared" si="80"/>
        <v>40286.707055902458</v>
      </c>
      <c r="DH95" s="189">
        <v>4552352.2355471849</v>
      </c>
      <c r="DI95" s="189">
        <f>'Member position mfumo and excel'!F97</f>
        <v>4552352.24</v>
      </c>
      <c r="DJ95" s="189">
        <f t="shared" si="92"/>
        <v>-4.4528152793645859E-3</v>
      </c>
      <c r="DK95" s="189">
        <f t="shared" si="81"/>
        <v>46742.458190536505</v>
      </c>
      <c r="DL95" s="189">
        <f t="shared" si="82"/>
        <v>13019.962188512221</v>
      </c>
      <c r="DM95" s="189"/>
      <c r="DN95" s="189"/>
      <c r="DO95" s="189"/>
      <c r="DP95" s="189"/>
      <c r="DQ95" s="189"/>
      <c r="DR95" s="189"/>
      <c r="DS95" s="186">
        <f t="shared" si="83"/>
        <v>4612114.6559262332</v>
      </c>
      <c r="DT95" s="1" t="b">
        <f t="shared" si="87"/>
        <v>1</v>
      </c>
      <c r="DU95" s="247" t="str">
        <f t="shared" si="84"/>
        <v>Edwin Banyenza Mwombeki</v>
      </c>
      <c r="DV95" s="249">
        <f t="shared" ref="DV95" si="106">DS95</f>
        <v>4612114.6559262332</v>
      </c>
      <c r="DW95" s="248">
        <f t="shared" ref="DW95" si="107">DS95-CN95</f>
        <v>112114.65592623316</v>
      </c>
      <c r="DZ95" s="1">
        <f t="shared" si="88"/>
        <v>0</v>
      </c>
      <c r="EB95" s="1">
        <f t="shared" si="89"/>
        <v>0</v>
      </c>
    </row>
    <row r="96" spans="1:132" x14ac:dyDescent="0.35">
      <c r="A96" s="311" t="s">
        <v>716</v>
      </c>
      <c r="B96" s="7" t="s">
        <v>918</v>
      </c>
      <c r="C96" s="522" t="s">
        <v>1267</v>
      </c>
      <c r="D96" s="71"/>
      <c r="E96" s="11"/>
      <c r="F96" s="11"/>
      <c r="G96" s="11"/>
      <c r="H96" s="11"/>
      <c r="I96" s="545"/>
      <c r="J96" s="545"/>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7"/>
      <c r="BK96" s="7"/>
      <c r="BL96" s="7"/>
      <c r="BM96" s="7"/>
      <c r="BN96" s="7"/>
      <c r="BO96" s="11"/>
      <c r="BP96" s="202"/>
      <c r="BQ96" s="7"/>
      <c r="BR96" s="202"/>
      <c r="BS96" s="178"/>
      <c r="BT96" s="202"/>
      <c r="BU96" s="7"/>
      <c r="BV96" s="7"/>
      <c r="BW96" s="7"/>
      <c r="BX96" s="7"/>
      <c r="BY96" s="71"/>
      <c r="BZ96" s="7"/>
      <c r="CA96" s="71"/>
      <c r="CB96" s="7"/>
      <c r="CC96" s="71"/>
      <c r="CD96" s="7"/>
      <c r="CE96" s="71">
        <v>46186</v>
      </c>
      <c r="CF96" s="7">
        <v>3400000</v>
      </c>
      <c r="CG96" s="71">
        <v>46233</v>
      </c>
      <c r="CH96" s="7">
        <v>100000</v>
      </c>
      <c r="CI96" s="7"/>
      <c r="CJ96" s="7"/>
      <c r="CK96" s="7"/>
      <c r="CL96" s="7"/>
      <c r="CM96" s="7">
        <f t="shared" si="66"/>
        <v>3500000</v>
      </c>
      <c r="CN96" s="7">
        <f t="shared" si="67"/>
        <v>3500000</v>
      </c>
      <c r="CO96" s="7"/>
      <c r="CP96" s="286"/>
      <c r="CQ96" s="7"/>
      <c r="CR96" s="7"/>
      <c r="CS96" s="7"/>
      <c r="CT96" s="7"/>
      <c r="CU96" s="7">
        <f t="shared" si="68"/>
        <v>0</v>
      </c>
      <c r="CV96" s="7">
        <f t="shared" si="69"/>
        <v>0</v>
      </c>
      <c r="CW96" s="7">
        <f t="shared" si="93"/>
        <v>0</v>
      </c>
      <c r="CX96" s="7">
        <f t="shared" si="71"/>
        <v>0</v>
      </c>
      <c r="CY96" s="189">
        <f t="shared" si="72"/>
        <v>0</v>
      </c>
      <c r="CZ96" s="388">
        <f t="shared" si="73"/>
        <v>0</v>
      </c>
      <c r="DA96" s="189">
        <f t="shared" si="74"/>
        <v>0</v>
      </c>
      <c r="DB96" s="189">
        <f t="shared" si="75"/>
        <v>0</v>
      </c>
      <c r="DC96" s="189"/>
      <c r="DD96" s="189"/>
      <c r="DE96" s="189">
        <f t="shared" si="78"/>
        <v>3400000</v>
      </c>
      <c r="DF96" s="189">
        <f t="shared" si="79"/>
        <v>9116.1770823022798</v>
      </c>
      <c r="DG96" s="189">
        <f t="shared" si="80"/>
        <v>30438.845331126304</v>
      </c>
      <c r="DH96" s="189">
        <v>3539555.0224134284</v>
      </c>
      <c r="DI96" s="189">
        <f>'Member position mfumo and excel'!F98</f>
        <v>3539555.03</v>
      </c>
      <c r="DJ96" s="189">
        <f t="shared" si="92"/>
        <v>-7.5865713879466057E-3</v>
      </c>
      <c r="DK96" s="189">
        <f t="shared" si="81"/>
        <v>36343.29992226023</v>
      </c>
      <c r="DL96" s="189">
        <f t="shared" si="82"/>
        <v>10123.309922313611</v>
      </c>
      <c r="DM96" s="189"/>
      <c r="DN96" s="189"/>
      <c r="DO96" s="189"/>
      <c r="DP96" s="189"/>
      <c r="DQ96" s="189"/>
      <c r="DR96" s="189"/>
      <c r="DS96" s="186">
        <f t="shared" si="83"/>
        <v>3586021.6322580026</v>
      </c>
      <c r="DT96" s="1" t="b">
        <f t="shared" si="87"/>
        <v>1</v>
      </c>
      <c r="DU96" s="247" t="str">
        <f t="shared" si="84"/>
        <v>Nuhu Manase Ngangaji</v>
      </c>
      <c r="DV96" s="249">
        <f t="shared" ref="DV96" si="108">DS96</f>
        <v>3586021.6322580026</v>
      </c>
      <c r="DW96" s="248">
        <f t="shared" ref="DW96" si="109">DS96-CN96</f>
        <v>86021.632258002646</v>
      </c>
      <c r="DZ96" s="1">
        <f t="shared" si="88"/>
        <v>0</v>
      </c>
      <c r="EB96" s="1">
        <f t="shared" si="89"/>
        <v>0</v>
      </c>
    </row>
    <row r="97" spans="1:132" x14ac:dyDescent="0.35">
      <c r="A97" s="311" t="s">
        <v>717</v>
      </c>
      <c r="B97" s="7" t="s">
        <v>718</v>
      </c>
      <c r="C97" s="522" t="s">
        <v>1268</v>
      </c>
      <c r="D97" s="71"/>
      <c r="E97" s="11"/>
      <c r="F97" s="11"/>
      <c r="G97" s="11"/>
      <c r="H97" s="11"/>
      <c r="I97" s="545"/>
      <c r="J97" s="545"/>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7"/>
      <c r="BK97" s="7"/>
      <c r="BL97" s="7"/>
      <c r="BM97" s="7"/>
      <c r="BN97" s="7"/>
      <c r="BO97" s="11"/>
      <c r="BP97" s="202"/>
      <c r="BQ97" s="7"/>
      <c r="BR97" s="202"/>
      <c r="BS97" s="178"/>
      <c r="BT97" s="202"/>
      <c r="BU97" s="7"/>
      <c r="BV97" s="7"/>
      <c r="BW97" s="7"/>
      <c r="BX97" s="7"/>
      <c r="BY97" s="71"/>
      <c r="BZ97" s="7"/>
      <c r="CA97" s="71"/>
      <c r="CB97" s="7"/>
      <c r="CC97" s="71"/>
      <c r="CD97" s="7"/>
      <c r="CE97" s="71">
        <v>46187</v>
      </c>
      <c r="CF97" s="7">
        <v>3300000</v>
      </c>
      <c r="CG97" s="71">
        <v>46206</v>
      </c>
      <c r="CH97" s="7">
        <f>1000000+1000000+1000000+1000000+1000000</f>
        <v>5000000</v>
      </c>
      <c r="CI97" s="7"/>
      <c r="CJ97" s="7"/>
      <c r="CK97" s="7"/>
      <c r="CL97" s="7"/>
      <c r="CM97" s="7">
        <f t="shared" si="66"/>
        <v>8300000</v>
      </c>
      <c r="CN97" s="7">
        <f t="shared" si="67"/>
        <v>8300000</v>
      </c>
      <c r="CO97" s="7"/>
      <c r="CP97" s="286"/>
      <c r="CQ97" s="7"/>
      <c r="CR97" s="7"/>
      <c r="CS97" s="7"/>
      <c r="CT97" s="7"/>
      <c r="CU97" s="7">
        <f t="shared" si="68"/>
        <v>0</v>
      </c>
      <c r="CV97" s="7">
        <f t="shared" si="69"/>
        <v>0</v>
      </c>
      <c r="CW97" s="7">
        <f t="shared" si="93"/>
        <v>0</v>
      </c>
      <c r="CX97" s="7">
        <f t="shared" si="71"/>
        <v>0</v>
      </c>
      <c r="CY97" s="189">
        <f t="shared" si="72"/>
        <v>0</v>
      </c>
      <c r="CZ97" s="388">
        <f t="shared" si="73"/>
        <v>0</v>
      </c>
      <c r="DA97" s="189">
        <f t="shared" si="74"/>
        <v>0</v>
      </c>
      <c r="DB97" s="189">
        <f t="shared" si="75"/>
        <v>0</v>
      </c>
      <c r="DC97" s="189"/>
      <c r="DD97" s="189"/>
      <c r="DE97" s="189">
        <f t="shared" si="78"/>
        <v>3300000</v>
      </c>
      <c r="DF97" s="189">
        <f t="shared" si="79"/>
        <v>8848.0542269404486</v>
      </c>
      <c r="DG97" s="189">
        <f t="shared" si="80"/>
        <v>29543.585174328473</v>
      </c>
      <c r="DH97" s="189">
        <v>8338391.6394012691</v>
      </c>
      <c r="DI97" s="189">
        <f>'Member position mfumo and excel'!F99</f>
        <v>8338391.6399999997</v>
      </c>
      <c r="DJ97" s="189">
        <f t="shared" si="92"/>
        <v>-5.9873051941394806E-4</v>
      </c>
      <c r="DK97" s="189">
        <f t="shared" si="81"/>
        <v>85616.60047691474</v>
      </c>
      <c r="DL97" s="189">
        <f t="shared" si="82"/>
        <v>23848.230154572291</v>
      </c>
      <c r="DM97" s="189"/>
      <c r="DN97" s="189"/>
      <c r="DO97" s="189"/>
      <c r="DP97" s="189"/>
      <c r="DQ97" s="189"/>
      <c r="DR97" s="189"/>
      <c r="DS97" s="186">
        <f t="shared" si="83"/>
        <v>8447856.4700327553</v>
      </c>
      <c r="DT97" s="1" t="b">
        <f t="shared" si="87"/>
        <v>1</v>
      </c>
      <c r="DU97" s="247" t="str">
        <f t="shared" si="84"/>
        <v>Paul Silas Masatu</v>
      </c>
      <c r="DV97" s="249">
        <f t="shared" ref="DV97" si="110">DS97</f>
        <v>8447856.4700327553</v>
      </c>
      <c r="DW97" s="248">
        <f t="shared" ref="DW97" si="111">DS97-CN97</f>
        <v>147856.47003275529</v>
      </c>
      <c r="DZ97" s="1">
        <f t="shared" si="88"/>
        <v>0</v>
      </c>
      <c r="EB97" s="1">
        <f t="shared" si="89"/>
        <v>0</v>
      </c>
    </row>
    <row r="98" spans="1:132" x14ac:dyDescent="0.35">
      <c r="A98" s="311" t="s">
        <v>719</v>
      </c>
      <c r="B98" s="7" t="s">
        <v>720</v>
      </c>
      <c r="C98" s="522"/>
      <c r="D98" s="71"/>
      <c r="E98" s="11"/>
      <c r="F98" s="11"/>
      <c r="G98" s="11"/>
      <c r="H98" s="11"/>
      <c r="I98" s="545"/>
      <c r="J98" s="545"/>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7"/>
      <c r="BK98" s="7"/>
      <c r="BL98" s="7"/>
      <c r="BM98" s="7"/>
      <c r="BN98" s="7"/>
      <c r="BO98" s="11"/>
      <c r="BP98" s="202"/>
      <c r="BQ98" s="7"/>
      <c r="BR98" s="202"/>
      <c r="BS98" s="178"/>
      <c r="BT98" s="202"/>
      <c r="BU98" s="7"/>
      <c r="BV98" s="7"/>
      <c r="BW98" s="7"/>
      <c r="BX98" s="7"/>
      <c r="BY98" s="71"/>
      <c r="BZ98" s="7"/>
      <c r="CA98" s="71"/>
      <c r="CB98" s="7"/>
      <c r="CC98" s="71"/>
      <c r="CD98" s="7"/>
      <c r="CE98" s="71">
        <v>46187</v>
      </c>
      <c r="CF98" s="7">
        <v>3300000</v>
      </c>
      <c r="CG98" s="71">
        <v>46229</v>
      </c>
      <c r="CH98" s="7">
        <f>500000+3000000</f>
        <v>3500000</v>
      </c>
      <c r="CI98" s="7"/>
      <c r="CJ98" s="7"/>
      <c r="CK98" s="7"/>
      <c r="CL98" s="7"/>
      <c r="CM98" s="7">
        <f t="shared" ref="CM98:CM129" si="112">BP98+BR98+BT98+BV98+BX98+BZ98+CB98+CD98+CF98+CH98+CJ98+CL98</f>
        <v>6800000</v>
      </c>
      <c r="CN98" s="7">
        <f t="shared" ref="CN98:CN129" si="113">BM98+CM98</f>
        <v>6800000</v>
      </c>
      <c r="CO98" s="7"/>
      <c r="CP98" s="286"/>
      <c r="CQ98" s="7"/>
      <c r="CR98" s="7"/>
      <c r="CS98" s="7"/>
      <c r="CT98" s="7"/>
      <c r="CU98" s="7">
        <f t="shared" ref="CU98:CU113" si="114">CS98+BX98</f>
        <v>0</v>
      </c>
      <c r="CV98" s="7">
        <f t="shared" ref="CV98:CV129" si="115">CU98/$CU$153*$DS$175</f>
        <v>0</v>
      </c>
      <c r="CW98" s="7">
        <f t="shared" si="93"/>
        <v>0</v>
      </c>
      <c r="CX98" s="7">
        <f t="shared" ref="CX98:CX129" si="116">CW98/$CW$153*$DS$176</f>
        <v>0</v>
      </c>
      <c r="CY98" s="189">
        <f t="shared" ref="CY98:CY113" si="117">CW98+CB98</f>
        <v>0</v>
      </c>
      <c r="CZ98" s="388">
        <f t="shared" ref="CZ98:CZ129" si="118">CY98/$CY$153*750000</f>
        <v>0</v>
      </c>
      <c r="DA98" s="189">
        <f t="shared" ref="DA98:DA113" si="119">CY98/$CY$153*$DS$185</f>
        <v>0</v>
      </c>
      <c r="DB98" s="189">
        <f t="shared" ref="DB98:DB113" si="120">CY98+CD98</f>
        <v>0</v>
      </c>
      <c r="DC98" s="189"/>
      <c r="DD98" s="189"/>
      <c r="DE98" s="189">
        <f t="shared" ref="DE98:DE129" si="121">DB98+CF98</f>
        <v>3300000</v>
      </c>
      <c r="DF98" s="189">
        <f t="shared" ref="DF98:DF129" si="122">DE98/$DE$153*$DF$154</f>
        <v>8848.0542269404486</v>
      </c>
      <c r="DG98" s="189">
        <f t="shared" ref="DG98:DG129" si="123">DE98/$DE$153*$DG$154</f>
        <v>29543.585174328473</v>
      </c>
      <c r="DH98" s="189">
        <f>3838391.63940127+3000000</f>
        <v>6838391.6394012701</v>
      </c>
      <c r="DI98" s="189">
        <f>'Member position mfumo and excel'!F100</f>
        <v>6838391.6399999997</v>
      </c>
      <c r="DJ98" s="189">
        <f t="shared" si="92"/>
        <v>-5.9872958809137344E-4</v>
      </c>
      <c r="DK98" s="189">
        <f t="shared" ref="DK98:DK129" si="124">DH98/$DH$153*$DK$154</f>
        <v>70214.961135758364</v>
      </c>
      <c r="DL98" s="189">
        <f t="shared" ref="DL98:DL129" si="125">DH98/$DH$153*$DL$154</f>
        <v>19558.152789673295</v>
      </c>
      <c r="DM98" s="189"/>
      <c r="DN98" s="189"/>
      <c r="DO98" s="189"/>
      <c r="DP98" s="189"/>
      <c r="DQ98" s="189"/>
      <c r="DR98" s="189"/>
      <c r="DS98" s="186">
        <f t="shared" ref="DS98:DS129" si="126">CN98+CO98+CQ98+CR98+CT98+CV98+CX98+CZ98+DA98+DC98+DD98+DF98+DG98+DK98+DL98+DN98+DO98+DQ98+DR98</f>
        <v>6928164.7533267001</v>
      </c>
      <c r="DT98" s="1" t="b">
        <f t="shared" si="87"/>
        <v>1</v>
      </c>
      <c r="DU98" s="247" t="str">
        <f t="shared" ref="DU98:DU103" si="127">B98</f>
        <v>Jackson N. Mmary</v>
      </c>
      <c r="DV98" s="249">
        <f t="shared" ref="DV98" si="128">DS98</f>
        <v>6928164.7533267001</v>
      </c>
      <c r="DW98" s="248">
        <f t="shared" ref="DW98" si="129">DS98-CN98</f>
        <v>128164.75332670007</v>
      </c>
      <c r="DZ98" s="1">
        <f t="shared" si="88"/>
        <v>0</v>
      </c>
      <c r="EB98" s="1">
        <f t="shared" si="89"/>
        <v>0</v>
      </c>
    </row>
    <row r="99" spans="1:132" x14ac:dyDescent="0.35">
      <c r="A99" s="311" t="s">
        <v>721</v>
      </c>
      <c r="B99" s="7" t="s">
        <v>722</v>
      </c>
      <c r="C99" s="522" t="s">
        <v>1194</v>
      </c>
      <c r="D99" s="71"/>
      <c r="E99" s="11"/>
      <c r="F99" s="11"/>
      <c r="G99" s="11"/>
      <c r="H99" s="11"/>
      <c r="I99" s="545"/>
      <c r="J99" s="545"/>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7"/>
      <c r="BK99" s="7"/>
      <c r="BL99" s="7"/>
      <c r="BM99" s="7"/>
      <c r="BN99" s="7"/>
      <c r="BO99" s="11"/>
      <c r="BP99" s="202"/>
      <c r="BQ99" s="7"/>
      <c r="BR99" s="202"/>
      <c r="BS99" s="178"/>
      <c r="BT99" s="202"/>
      <c r="BU99" s="7"/>
      <c r="BV99" s="7"/>
      <c r="BW99" s="7"/>
      <c r="BX99" s="7"/>
      <c r="BY99" s="71"/>
      <c r="BZ99" s="7"/>
      <c r="CA99" s="71"/>
      <c r="CB99" s="7"/>
      <c r="CC99" s="71"/>
      <c r="CD99" s="7"/>
      <c r="CE99" s="71">
        <v>46187</v>
      </c>
      <c r="CF99" s="7">
        <f>1800000+1500000+250000</f>
        <v>3550000</v>
      </c>
      <c r="CG99" s="71">
        <v>46217</v>
      </c>
      <c r="CH99" s="7">
        <f>450000+200000</f>
        <v>650000</v>
      </c>
      <c r="CI99" s="7"/>
      <c r="CJ99" s="7"/>
      <c r="CK99" s="7"/>
      <c r="CL99" s="7"/>
      <c r="CM99" s="7">
        <f t="shared" si="112"/>
        <v>4200000</v>
      </c>
      <c r="CN99" s="7">
        <f t="shared" si="113"/>
        <v>4200000</v>
      </c>
      <c r="CO99" s="7"/>
      <c r="CP99" s="286"/>
      <c r="CQ99" s="7"/>
      <c r="CR99" s="7"/>
      <c r="CS99" s="7"/>
      <c r="CT99" s="7"/>
      <c r="CU99" s="7">
        <f t="shared" si="114"/>
        <v>0</v>
      </c>
      <c r="CV99" s="7">
        <f t="shared" si="115"/>
        <v>0</v>
      </c>
      <c r="CW99" s="7">
        <f t="shared" si="93"/>
        <v>0</v>
      </c>
      <c r="CX99" s="7">
        <f t="shared" si="116"/>
        <v>0</v>
      </c>
      <c r="CY99" s="189">
        <f t="shared" si="117"/>
        <v>0</v>
      </c>
      <c r="CZ99" s="388">
        <f t="shared" si="118"/>
        <v>0</v>
      </c>
      <c r="DA99" s="189">
        <f t="shared" si="119"/>
        <v>0</v>
      </c>
      <c r="DB99" s="189">
        <f t="shared" si="120"/>
        <v>0</v>
      </c>
      <c r="DC99" s="189"/>
      <c r="DD99" s="189"/>
      <c r="DE99" s="189">
        <f t="shared" si="121"/>
        <v>3550000</v>
      </c>
      <c r="DF99" s="189">
        <f t="shared" si="122"/>
        <v>9518.3613653450284</v>
      </c>
      <c r="DG99" s="189">
        <f t="shared" si="123"/>
        <v>31781.735566323052</v>
      </c>
      <c r="DH99" s="189">
        <v>4241300.096931668</v>
      </c>
      <c r="DI99" s="189">
        <f>'Member position mfumo and excel'!F101</f>
        <v>4241300.0999999996</v>
      </c>
      <c r="DJ99" s="189">
        <f t="shared" si="92"/>
        <v>-3.0683316290378571E-3</v>
      </c>
      <c r="DK99" s="189">
        <f t="shared" si="124"/>
        <v>43548.649620368786</v>
      </c>
      <c r="DL99" s="189">
        <f t="shared" si="125"/>
        <v>12130.337029060318</v>
      </c>
      <c r="DM99" s="189"/>
      <c r="DN99" s="189"/>
      <c r="DO99" s="189"/>
      <c r="DP99" s="189"/>
      <c r="DQ99" s="189"/>
      <c r="DR99" s="189"/>
      <c r="DS99" s="186">
        <f t="shared" si="126"/>
        <v>4296979.0835810974</v>
      </c>
      <c r="DT99" s="1" t="b">
        <f t="shared" si="87"/>
        <v>1</v>
      </c>
      <c r="DU99" s="247" t="str">
        <f t="shared" si="127"/>
        <v xml:space="preserve">Daniel Mdachi </v>
      </c>
      <c r="DV99" s="249">
        <f t="shared" ref="DV99" si="130">DS99</f>
        <v>4296979.0835810974</v>
      </c>
      <c r="DW99" s="248">
        <f t="shared" ref="DW99" si="131">DS99-CN99</f>
        <v>96979.083581097424</v>
      </c>
      <c r="DZ99" s="1">
        <f t="shared" si="88"/>
        <v>0</v>
      </c>
      <c r="EB99" s="1">
        <f t="shared" si="89"/>
        <v>0</v>
      </c>
    </row>
    <row r="100" spans="1:132" x14ac:dyDescent="0.35">
      <c r="A100" s="311" t="s">
        <v>723</v>
      </c>
      <c r="B100" s="7" t="s">
        <v>724</v>
      </c>
      <c r="C100" s="522" t="s">
        <v>1195</v>
      </c>
      <c r="D100" s="71"/>
      <c r="E100" s="11"/>
      <c r="F100" s="11"/>
      <c r="G100" s="11"/>
      <c r="H100" s="11"/>
      <c r="I100" s="545"/>
      <c r="J100" s="545"/>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7"/>
      <c r="BK100" s="7"/>
      <c r="BL100" s="7"/>
      <c r="BM100" s="7"/>
      <c r="BN100" s="7"/>
      <c r="BO100" s="11"/>
      <c r="BP100" s="202"/>
      <c r="BQ100" s="7"/>
      <c r="BR100" s="202"/>
      <c r="BS100" s="178"/>
      <c r="BT100" s="202"/>
      <c r="BU100" s="7"/>
      <c r="BV100" s="7"/>
      <c r="BW100" s="7"/>
      <c r="BX100" s="7"/>
      <c r="BY100" s="71"/>
      <c r="BZ100" s="7"/>
      <c r="CA100" s="71"/>
      <c r="CB100" s="7"/>
      <c r="CC100" s="71"/>
      <c r="CD100" s="7"/>
      <c r="CE100" s="71">
        <v>46187</v>
      </c>
      <c r="CF100" s="7">
        <f>3500000</f>
        <v>3500000</v>
      </c>
      <c r="CG100" s="71">
        <v>46204</v>
      </c>
      <c r="CH100" s="7">
        <v>200000</v>
      </c>
      <c r="CI100" s="7"/>
      <c r="CJ100" s="7"/>
      <c r="CK100" s="7"/>
      <c r="CL100" s="7"/>
      <c r="CM100" s="7">
        <f t="shared" si="112"/>
        <v>3700000</v>
      </c>
      <c r="CN100" s="7">
        <f t="shared" si="113"/>
        <v>3700000</v>
      </c>
      <c r="CO100" s="7"/>
      <c r="CP100" s="286"/>
      <c r="CQ100" s="7"/>
      <c r="CR100" s="7"/>
      <c r="CS100" s="7"/>
      <c r="CT100" s="7"/>
      <c r="CU100" s="7">
        <f t="shared" si="114"/>
        <v>0</v>
      </c>
      <c r="CV100" s="7">
        <f t="shared" si="115"/>
        <v>0</v>
      </c>
      <c r="CW100" s="7">
        <f t="shared" si="93"/>
        <v>0</v>
      </c>
      <c r="CX100" s="7">
        <f t="shared" si="116"/>
        <v>0</v>
      </c>
      <c r="CY100" s="189">
        <f t="shared" si="117"/>
        <v>0</v>
      </c>
      <c r="CZ100" s="388">
        <f t="shared" si="118"/>
        <v>0</v>
      </c>
      <c r="DA100" s="189">
        <f t="shared" si="119"/>
        <v>0</v>
      </c>
      <c r="DB100" s="189">
        <f t="shared" si="120"/>
        <v>0</v>
      </c>
      <c r="DC100" s="189"/>
      <c r="DD100" s="189"/>
      <c r="DE100" s="189">
        <f t="shared" si="121"/>
        <v>3500000</v>
      </c>
      <c r="DF100" s="189">
        <f t="shared" si="122"/>
        <v>9384.2999376641128</v>
      </c>
      <c r="DG100" s="189">
        <f t="shared" si="123"/>
        <v>31334.105487924138</v>
      </c>
      <c r="DH100" s="189">
        <v>3740718.4054255881</v>
      </c>
      <c r="DI100" s="189">
        <f>'Member position mfumo and excel'!F102</f>
        <v>3740718.41</v>
      </c>
      <c r="DJ100" s="189">
        <f t="shared" si="92"/>
        <v>-4.5744120143353939E-3</v>
      </c>
      <c r="DK100" s="189">
        <f t="shared" si="124"/>
        <v>38408.797171460355</v>
      </c>
      <c r="DL100" s="189">
        <f t="shared" si="125"/>
        <v>10698.647573051592</v>
      </c>
      <c r="DM100" s="189"/>
      <c r="DN100" s="189"/>
      <c r="DO100" s="189"/>
      <c r="DP100" s="189"/>
      <c r="DQ100" s="189"/>
      <c r="DR100" s="189"/>
      <c r="DS100" s="186">
        <f t="shared" si="126"/>
        <v>3789825.8501701001</v>
      </c>
      <c r="DT100" s="1" t="b">
        <f t="shared" si="87"/>
        <v>1</v>
      </c>
      <c r="DU100" s="247" t="str">
        <f t="shared" si="127"/>
        <v xml:space="preserve">Salum Miraji Mwegero </v>
      </c>
      <c r="DV100" s="249">
        <f t="shared" ref="DV100" si="132">DS100</f>
        <v>3789825.8501701001</v>
      </c>
      <c r="DW100" s="248">
        <f t="shared" ref="DW100" si="133">DS100-CN100</f>
        <v>89825.850170100108</v>
      </c>
      <c r="DZ100" s="1">
        <f t="shared" si="88"/>
        <v>0</v>
      </c>
      <c r="EB100" s="1">
        <f t="shared" si="89"/>
        <v>0</v>
      </c>
    </row>
    <row r="101" spans="1:132" x14ac:dyDescent="0.35">
      <c r="A101" s="311" t="s">
        <v>725</v>
      </c>
      <c r="B101" s="7" t="s">
        <v>726</v>
      </c>
      <c r="C101" s="522" t="s">
        <v>1196</v>
      </c>
      <c r="D101" s="71"/>
      <c r="E101" s="11"/>
      <c r="F101" s="11"/>
      <c r="G101" s="11"/>
      <c r="H101" s="11"/>
      <c r="I101" s="545"/>
      <c r="J101" s="545"/>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7"/>
      <c r="BK101" s="7"/>
      <c r="BL101" s="7"/>
      <c r="BM101" s="7"/>
      <c r="BN101" s="7"/>
      <c r="BO101" s="11"/>
      <c r="BP101" s="202"/>
      <c r="BQ101" s="7"/>
      <c r="BR101" s="202"/>
      <c r="BS101" s="178"/>
      <c r="BT101" s="202"/>
      <c r="BU101" s="7"/>
      <c r="BV101" s="7"/>
      <c r="BW101" s="7"/>
      <c r="BX101" s="7"/>
      <c r="BY101" s="71"/>
      <c r="BZ101" s="7"/>
      <c r="CA101" s="71"/>
      <c r="CB101" s="7"/>
      <c r="CC101" s="71"/>
      <c r="CD101" s="7"/>
      <c r="CE101" s="71">
        <v>46187</v>
      </c>
      <c r="CF101" s="7">
        <f>5000000+8000000</f>
        <v>13000000</v>
      </c>
      <c r="CG101" s="7"/>
      <c r="CH101" s="7"/>
      <c r="CI101" s="7"/>
      <c r="CJ101" s="7"/>
      <c r="CK101" s="7"/>
      <c r="CL101" s="7"/>
      <c r="CM101" s="7">
        <f t="shared" si="112"/>
        <v>13000000</v>
      </c>
      <c r="CN101" s="7">
        <f t="shared" si="113"/>
        <v>13000000</v>
      </c>
      <c r="CO101" s="7"/>
      <c r="CP101" s="286"/>
      <c r="CQ101" s="7"/>
      <c r="CR101" s="7"/>
      <c r="CS101" s="7"/>
      <c r="CT101" s="7"/>
      <c r="CU101" s="7">
        <f t="shared" si="114"/>
        <v>0</v>
      </c>
      <c r="CV101" s="7">
        <f t="shared" si="115"/>
        <v>0</v>
      </c>
      <c r="CW101" s="7">
        <f t="shared" si="93"/>
        <v>0</v>
      </c>
      <c r="CX101" s="7">
        <f t="shared" si="116"/>
        <v>0</v>
      </c>
      <c r="CY101" s="189">
        <f t="shared" si="117"/>
        <v>0</v>
      </c>
      <c r="CZ101" s="388">
        <f t="shared" si="118"/>
        <v>0</v>
      </c>
      <c r="DA101" s="189">
        <f t="shared" si="119"/>
        <v>0</v>
      </c>
      <c r="DB101" s="189">
        <f t="shared" si="120"/>
        <v>0</v>
      </c>
      <c r="DC101" s="189"/>
      <c r="DD101" s="189"/>
      <c r="DE101" s="189">
        <f t="shared" si="121"/>
        <v>13000000</v>
      </c>
      <c r="DF101" s="189">
        <f t="shared" si="122"/>
        <v>34855.971197038132</v>
      </c>
      <c r="DG101" s="189">
        <f t="shared" si="123"/>
        <v>116383.82038371822</v>
      </c>
      <c r="DH101" s="189">
        <v>13151239.791580757</v>
      </c>
      <c r="DI101" s="189">
        <f>'Member position mfumo and excel'!F103</f>
        <v>13151239.789999999</v>
      </c>
      <c r="DJ101" s="189">
        <f t="shared" si="92"/>
        <v>1.5807580202817917E-3</v>
      </c>
      <c r="DK101" s="189">
        <f t="shared" si="124"/>
        <v>135033.76810599436</v>
      </c>
      <c r="DL101" s="189">
        <f t="shared" si="125"/>
        <v>37613.224100146421</v>
      </c>
      <c r="DM101" s="189"/>
      <c r="DN101" s="189"/>
      <c r="DO101" s="189"/>
      <c r="DP101" s="189"/>
      <c r="DQ101" s="189"/>
      <c r="DR101" s="189"/>
      <c r="DS101" s="186">
        <f t="shared" si="126"/>
        <v>13323886.783786898</v>
      </c>
      <c r="DT101" s="1" t="b">
        <f t="shared" si="87"/>
        <v>1</v>
      </c>
      <c r="DU101" s="247" t="str">
        <f t="shared" si="127"/>
        <v xml:space="preserve">Juma Selemani Nantubwi </v>
      </c>
      <c r="DV101" s="249">
        <f t="shared" ref="DV101" si="134">DS101</f>
        <v>13323886.783786898</v>
      </c>
      <c r="DW101" s="248">
        <f t="shared" ref="DW101" si="135">DS101-CN101</f>
        <v>323886.78378689848</v>
      </c>
      <c r="DZ101" s="1">
        <f t="shared" si="88"/>
        <v>0</v>
      </c>
      <c r="EB101" s="1">
        <f t="shared" si="89"/>
        <v>0</v>
      </c>
    </row>
    <row r="102" spans="1:132" x14ac:dyDescent="0.35">
      <c r="A102" s="311" t="s">
        <v>727</v>
      </c>
      <c r="B102" s="7" t="s">
        <v>731</v>
      </c>
      <c r="C102" s="522" t="s">
        <v>1197</v>
      </c>
      <c r="D102" s="71"/>
      <c r="E102" s="11"/>
      <c r="F102" s="11"/>
      <c r="G102" s="11"/>
      <c r="H102" s="11"/>
      <c r="I102" s="545"/>
      <c r="J102" s="545"/>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7"/>
      <c r="BK102" s="7"/>
      <c r="BL102" s="7"/>
      <c r="BM102" s="7"/>
      <c r="BN102" s="7"/>
      <c r="BO102" s="11"/>
      <c r="BP102" s="202"/>
      <c r="BQ102" s="7"/>
      <c r="BR102" s="202"/>
      <c r="BS102" s="178"/>
      <c r="BT102" s="202"/>
      <c r="BU102" s="7"/>
      <c r="BV102" s="7"/>
      <c r="BW102" s="7"/>
      <c r="BX102" s="7"/>
      <c r="BY102" s="71"/>
      <c r="BZ102" s="7"/>
      <c r="CA102" s="71"/>
      <c r="CB102" s="7"/>
      <c r="CC102" s="71"/>
      <c r="CD102" s="7"/>
      <c r="CE102" s="71">
        <v>46184</v>
      </c>
      <c r="CF102" s="7">
        <f>3300000+1700000</f>
        <v>5000000</v>
      </c>
      <c r="CG102" s="71">
        <v>46226</v>
      </c>
      <c r="CH102" s="7">
        <v>5000000</v>
      </c>
      <c r="CI102" s="7"/>
      <c r="CJ102" s="7"/>
      <c r="CK102" s="7"/>
      <c r="CL102" s="7"/>
      <c r="CM102" s="7">
        <f t="shared" si="112"/>
        <v>10000000</v>
      </c>
      <c r="CN102" s="7">
        <f t="shared" si="113"/>
        <v>10000000</v>
      </c>
      <c r="CO102" s="7"/>
      <c r="CP102" s="286"/>
      <c r="CQ102" s="7"/>
      <c r="CR102" s="7"/>
      <c r="CS102" s="7"/>
      <c r="CT102" s="7"/>
      <c r="CU102" s="7">
        <f t="shared" si="114"/>
        <v>0</v>
      </c>
      <c r="CV102" s="7">
        <f t="shared" si="115"/>
        <v>0</v>
      </c>
      <c r="CW102" s="7">
        <f t="shared" si="93"/>
        <v>0</v>
      </c>
      <c r="CX102" s="7">
        <f t="shared" si="116"/>
        <v>0</v>
      </c>
      <c r="CY102" s="189">
        <f t="shared" si="117"/>
        <v>0</v>
      </c>
      <c r="CZ102" s="388">
        <f t="shared" si="118"/>
        <v>0</v>
      </c>
      <c r="DA102" s="189">
        <f t="shared" si="119"/>
        <v>0</v>
      </c>
      <c r="DB102" s="189">
        <f t="shared" si="120"/>
        <v>0</v>
      </c>
      <c r="DC102" s="189"/>
      <c r="DD102" s="189"/>
      <c r="DE102" s="189">
        <f t="shared" si="121"/>
        <v>5000000</v>
      </c>
      <c r="DF102" s="189">
        <f t="shared" si="122"/>
        <v>13406.142768091588</v>
      </c>
      <c r="DG102" s="189">
        <f t="shared" si="123"/>
        <v>44763.007839891623</v>
      </c>
      <c r="DH102" s="189">
        <v>10058169.150607985</v>
      </c>
      <c r="DI102" s="189">
        <f>'Member position mfumo and excel'!F104</f>
        <v>10058169.15</v>
      </c>
      <c r="DJ102" s="189">
        <f t="shared" si="92"/>
        <v>6.0798414051532745E-4</v>
      </c>
      <c r="DK102" s="189">
        <f t="shared" si="124"/>
        <v>103274.86246000632</v>
      </c>
      <c r="DL102" s="189">
        <f t="shared" si="125"/>
        <v>28766.882536899135</v>
      </c>
      <c r="DM102" s="189"/>
      <c r="DN102" s="189"/>
      <c r="DO102" s="189"/>
      <c r="DP102" s="189"/>
      <c r="DQ102" s="189"/>
      <c r="DR102" s="189"/>
      <c r="DS102" s="186">
        <f t="shared" si="126"/>
        <v>10190210.89560489</v>
      </c>
      <c r="DT102" s="1" t="b">
        <f t="shared" si="87"/>
        <v>1</v>
      </c>
      <c r="DU102" s="247" t="str">
        <f t="shared" si="127"/>
        <v xml:space="preserve">Is-Haka Mkwawa </v>
      </c>
      <c r="DV102" s="249">
        <f t="shared" ref="DV102" si="136">DS102</f>
        <v>10190210.89560489</v>
      </c>
      <c r="DW102" s="248">
        <f t="shared" ref="DW102" si="137">DS102-CN102</f>
        <v>190210.89560488984</v>
      </c>
      <c r="DZ102" s="1">
        <f t="shared" si="88"/>
        <v>0</v>
      </c>
      <c r="EB102" s="1">
        <f t="shared" si="89"/>
        <v>0</v>
      </c>
    </row>
    <row r="103" spans="1:132" x14ac:dyDescent="0.35">
      <c r="A103" s="311" t="s">
        <v>739</v>
      </c>
      <c r="B103" s="7" t="s">
        <v>740</v>
      </c>
      <c r="C103" s="522" t="s">
        <v>1198</v>
      </c>
      <c r="D103" s="71"/>
      <c r="E103" s="11"/>
      <c r="F103" s="11"/>
      <c r="G103" s="11"/>
      <c r="H103" s="11"/>
      <c r="I103" s="545"/>
      <c r="J103" s="545"/>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7"/>
      <c r="BK103" s="7"/>
      <c r="BL103" s="7"/>
      <c r="BM103" s="7"/>
      <c r="BN103" s="7"/>
      <c r="BO103" s="11"/>
      <c r="BP103" s="202"/>
      <c r="BQ103" s="7"/>
      <c r="BR103" s="202"/>
      <c r="BS103" s="178"/>
      <c r="BT103" s="202"/>
      <c r="BU103" s="7"/>
      <c r="BV103" s="7"/>
      <c r="BW103" s="7"/>
      <c r="BX103" s="7"/>
      <c r="BY103" s="71"/>
      <c r="BZ103" s="7"/>
      <c r="CA103" s="71"/>
      <c r="CB103" s="7"/>
      <c r="CC103" s="71"/>
      <c r="CD103" s="7"/>
      <c r="CE103" s="71">
        <v>46185</v>
      </c>
      <c r="CF103" s="7">
        <f>2000000+2000000</f>
        <v>4000000</v>
      </c>
      <c r="CG103" s="71">
        <v>46228</v>
      </c>
      <c r="CH103" s="7">
        <v>2000000</v>
      </c>
      <c r="CI103" s="7"/>
      <c r="CJ103" s="7"/>
      <c r="CK103" s="7"/>
      <c r="CL103" s="7"/>
      <c r="CM103" s="7">
        <f t="shared" si="112"/>
        <v>6000000</v>
      </c>
      <c r="CN103" s="7">
        <f t="shared" si="113"/>
        <v>6000000</v>
      </c>
      <c r="CO103" s="7"/>
      <c r="CP103" s="286"/>
      <c r="CQ103" s="7"/>
      <c r="CR103" s="7"/>
      <c r="CS103" s="7"/>
      <c r="CT103" s="7"/>
      <c r="CU103" s="7">
        <f t="shared" si="114"/>
        <v>0</v>
      </c>
      <c r="CV103" s="7">
        <f t="shared" si="115"/>
        <v>0</v>
      </c>
      <c r="CW103" s="7">
        <f t="shared" si="93"/>
        <v>0</v>
      </c>
      <c r="CX103" s="7">
        <f t="shared" si="116"/>
        <v>0</v>
      </c>
      <c r="CY103" s="189">
        <f t="shared" si="117"/>
        <v>0</v>
      </c>
      <c r="CZ103" s="388">
        <f t="shared" si="118"/>
        <v>0</v>
      </c>
      <c r="DA103" s="189">
        <f t="shared" si="119"/>
        <v>0</v>
      </c>
      <c r="DB103" s="189">
        <f t="shared" si="120"/>
        <v>0</v>
      </c>
      <c r="DC103" s="189"/>
      <c r="DD103" s="189"/>
      <c r="DE103" s="189">
        <f t="shared" si="121"/>
        <v>4000000</v>
      </c>
      <c r="DF103" s="189">
        <f t="shared" si="122"/>
        <v>10724.91421447327</v>
      </c>
      <c r="DG103" s="189">
        <f t="shared" si="123"/>
        <v>35810.4062719133</v>
      </c>
      <c r="DH103" s="189">
        <v>6046535.3204863863</v>
      </c>
      <c r="DI103" s="189">
        <f>'Member position mfumo and excel'!F105</f>
        <v>6046535.3200000003</v>
      </c>
      <c r="DJ103" s="189">
        <f t="shared" si="92"/>
        <v>4.863860085606575E-4</v>
      </c>
      <c r="DK103" s="189">
        <f t="shared" si="124"/>
        <v>62084.370846463193</v>
      </c>
      <c r="DL103" s="189">
        <f t="shared" si="125"/>
        <v>17293.402876320637</v>
      </c>
      <c r="DM103" s="189"/>
      <c r="DN103" s="189"/>
      <c r="DO103" s="189"/>
      <c r="DP103" s="189"/>
      <c r="DQ103" s="189"/>
      <c r="DR103" s="189"/>
      <c r="DS103" s="186">
        <f t="shared" si="126"/>
        <v>6125913.09420917</v>
      </c>
      <c r="DT103" s="1" t="b">
        <f t="shared" si="87"/>
        <v>1</v>
      </c>
      <c r="DU103" s="247" t="str">
        <f t="shared" si="127"/>
        <v>James Ignas Koola</v>
      </c>
      <c r="DV103" s="249">
        <f t="shared" ref="DV103" si="138">DS103</f>
        <v>6125913.09420917</v>
      </c>
      <c r="DW103" s="248">
        <f t="shared" ref="DW103" si="139">DS103-CN103</f>
        <v>125913.09420916997</v>
      </c>
      <c r="DZ103" s="1">
        <f t="shared" si="88"/>
        <v>0</v>
      </c>
      <c r="EB103" s="1">
        <f t="shared" si="89"/>
        <v>0</v>
      </c>
    </row>
    <row r="104" spans="1:132" x14ac:dyDescent="0.35">
      <c r="A104" s="311" t="s">
        <v>749</v>
      </c>
      <c r="B104" s="7" t="s">
        <v>750</v>
      </c>
      <c r="C104" s="522" t="s">
        <v>1199</v>
      </c>
      <c r="D104" s="71"/>
      <c r="E104" s="11"/>
      <c r="F104" s="11"/>
      <c r="G104" s="11"/>
      <c r="H104" s="11"/>
      <c r="I104" s="545"/>
      <c r="J104" s="545"/>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7"/>
      <c r="BK104" s="7"/>
      <c r="BL104" s="7"/>
      <c r="BM104" s="7"/>
      <c r="BN104" s="7"/>
      <c r="BO104" s="11"/>
      <c r="BP104" s="202"/>
      <c r="BQ104" s="7"/>
      <c r="BR104" s="202"/>
      <c r="BS104" s="178"/>
      <c r="BT104" s="202"/>
      <c r="BU104" s="7"/>
      <c r="BV104" s="7"/>
      <c r="BW104" s="7"/>
      <c r="BX104" s="7"/>
      <c r="BY104" s="71"/>
      <c r="BZ104" s="7"/>
      <c r="CA104" s="71"/>
      <c r="CB104" s="7"/>
      <c r="CC104" s="71"/>
      <c r="CD104" s="7"/>
      <c r="CE104" s="71">
        <v>46192</v>
      </c>
      <c r="CF104" s="7">
        <v>3300000</v>
      </c>
      <c r="CG104" s="7"/>
      <c r="CH104" s="7"/>
      <c r="CI104" s="7"/>
      <c r="CJ104" s="7"/>
      <c r="CK104" s="7"/>
      <c r="CL104" s="7"/>
      <c r="CM104" s="7">
        <f t="shared" si="112"/>
        <v>3300000</v>
      </c>
      <c r="CN104" s="7">
        <f t="shared" si="113"/>
        <v>3300000</v>
      </c>
      <c r="CO104" s="7"/>
      <c r="CP104" s="286"/>
      <c r="CQ104" s="7"/>
      <c r="CR104" s="7"/>
      <c r="CS104" s="7"/>
      <c r="CT104" s="7"/>
      <c r="CU104" s="7">
        <f t="shared" si="114"/>
        <v>0</v>
      </c>
      <c r="CV104" s="7">
        <f t="shared" si="115"/>
        <v>0</v>
      </c>
      <c r="CW104" s="7">
        <f t="shared" si="93"/>
        <v>0</v>
      </c>
      <c r="CX104" s="7">
        <f t="shared" si="116"/>
        <v>0</v>
      </c>
      <c r="CY104" s="189">
        <f t="shared" si="117"/>
        <v>0</v>
      </c>
      <c r="CZ104" s="388">
        <f t="shared" si="118"/>
        <v>0</v>
      </c>
      <c r="DA104" s="189">
        <f t="shared" si="119"/>
        <v>0</v>
      </c>
      <c r="DB104" s="189">
        <f t="shared" si="120"/>
        <v>0</v>
      </c>
      <c r="DC104" s="189"/>
      <c r="DD104" s="189"/>
      <c r="DE104" s="189">
        <f t="shared" si="121"/>
        <v>3300000</v>
      </c>
      <c r="DF104" s="189">
        <f t="shared" si="122"/>
        <v>8848.0542269404486</v>
      </c>
      <c r="DG104" s="189">
        <f t="shared" si="123"/>
        <v>29543.585174328473</v>
      </c>
      <c r="DH104" s="189">
        <v>3338391.6394012691</v>
      </c>
      <c r="DI104" s="189">
        <f>'Member position mfumo and excel'!F106</f>
        <v>3338391.64</v>
      </c>
      <c r="DJ104" s="189">
        <f t="shared" si="92"/>
        <v>-5.9873098507523537E-4</v>
      </c>
      <c r="DK104" s="189">
        <f t="shared" si="124"/>
        <v>34277.802673060105</v>
      </c>
      <c r="DL104" s="189">
        <f t="shared" si="125"/>
        <v>9547.9722715756288</v>
      </c>
      <c r="DM104" s="189"/>
      <c r="DN104" s="189"/>
      <c r="DO104" s="189"/>
      <c r="DP104" s="189"/>
      <c r="DQ104" s="189"/>
      <c r="DR104" s="189"/>
      <c r="DS104" s="186">
        <f t="shared" si="126"/>
        <v>3382217.4143459047</v>
      </c>
      <c r="DT104" s="1" t="b">
        <f t="shared" si="87"/>
        <v>1</v>
      </c>
      <c r="DU104" s="247" t="str">
        <f t="shared" ref="DU104" si="140">B104</f>
        <v xml:space="preserve">Fredrick Mjema </v>
      </c>
      <c r="DV104" s="249">
        <f t="shared" ref="DV104" si="141">DS104</f>
        <v>3382217.4143459047</v>
      </c>
      <c r="DW104" s="248">
        <f t="shared" ref="DW104" si="142">DS104-CN104</f>
        <v>82217.414345904719</v>
      </c>
      <c r="DZ104" s="1">
        <f t="shared" si="88"/>
        <v>0</v>
      </c>
      <c r="EB104" s="1">
        <f t="shared" si="89"/>
        <v>0</v>
      </c>
    </row>
    <row r="105" spans="1:132" x14ac:dyDescent="0.35">
      <c r="A105" s="311" t="s">
        <v>757</v>
      </c>
      <c r="B105" s="7" t="s">
        <v>758</v>
      </c>
      <c r="C105" s="522" t="s">
        <v>1200</v>
      </c>
      <c r="D105" s="71"/>
      <c r="E105" s="11"/>
      <c r="F105" s="11"/>
      <c r="G105" s="11"/>
      <c r="H105" s="11"/>
      <c r="I105" s="545"/>
      <c r="J105" s="545"/>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7"/>
      <c r="BK105" s="7"/>
      <c r="BL105" s="7"/>
      <c r="BM105" s="7"/>
      <c r="BN105" s="7"/>
      <c r="BO105" s="11"/>
      <c r="BP105" s="202"/>
      <c r="BQ105" s="7"/>
      <c r="BR105" s="202"/>
      <c r="BS105" s="178"/>
      <c r="BT105" s="202"/>
      <c r="BU105" s="7"/>
      <c r="BV105" s="7"/>
      <c r="BW105" s="7"/>
      <c r="BX105" s="7"/>
      <c r="BY105" s="71"/>
      <c r="BZ105" s="7"/>
      <c r="CA105" s="71"/>
      <c r="CB105" s="7"/>
      <c r="CC105" s="71"/>
      <c r="CD105" s="7"/>
      <c r="CE105" s="71">
        <v>46193</v>
      </c>
      <c r="CF105" s="7">
        <v>3300000</v>
      </c>
      <c r="CG105" s="71">
        <v>46206</v>
      </c>
      <c r="CH105" s="7">
        <f>600000+1000000</f>
        <v>1600000</v>
      </c>
      <c r="CI105" s="7"/>
      <c r="CJ105" s="7"/>
      <c r="CK105" s="7"/>
      <c r="CL105" s="7"/>
      <c r="CM105" s="7">
        <f t="shared" si="112"/>
        <v>4900000</v>
      </c>
      <c r="CN105" s="7">
        <f t="shared" si="113"/>
        <v>4900000</v>
      </c>
      <c r="CO105" s="7"/>
      <c r="CP105" s="286"/>
      <c r="CQ105" s="7"/>
      <c r="CR105" s="7"/>
      <c r="CS105" s="7"/>
      <c r="CT105" s="7"/>
      <c r="CU105" s="7">
        <f t="shared" si="114"/>
        <v>0</v>
      </c>
      <c r="CV105" s="7">
        <f t="shared" si="115"/>
        <v>0</v>
      </c>
      <c r="CW105" s="7">
        <f t="shared" si="93"/>
        <v>0</v>
      </c>
      <c r="CX105" s="7">
        <f t="shared" si="116"/>
        <v>0</v>
      </c>
      <c r="CY105" s="189">
        <f t="shared" si="117"/>
        <v>0</v>
      </c>
      <c r="CZ105" s="388">
        <f t="shared" si="118"/>
        <v>0</v>
      </c>
      <c r="DA105" s="189">
        <f t="shared" si="119"/>
        <v>0</v>
      </c>
      <c r="DB105" s="189">
        <f t="shared" si="120"/>
        <v>0</v>
      </c>
      <c r="DC105" s="189"/>
      <c r="DD105" s="189"/>
      <c r="DE105" s="189">
        <f t="shared" si="121"/>
        <v>3300000</v>
      </c>
      <c r="DF105" s="189">
        <f t="shared" si="122"/>
        <v>8848.0542269404486</v>
      </c>
      <c r="DG105" s="189">
        <f t="shared" si="123"/>
        <v>29543.585174328473</v>
      </c>
      <c r="DH105" s="189">
        <v>4938391.6394012691</v>
      </c>
      <c r="DI105" s="189">
        <f>'Member position mfumo and excel'!F107</f>
        <v>4938391.6399999997</v>
      </c>
      <c r="DJ105" s="189">
        <f t="shared" si="92"/>
        <v>-5.9873051941394806E-4</v>
      </c>
      <c r="DK105" s="189">
        <f t="shared" si="124"/>
        <v>50706.21797029359</v>
      </c>
      <c r="DL105" s="189">
        <f t="shared" si="125"/>
        <v>14124.054794134561</v>
      </c>
      <c r="DM105" s="189"/>
      <c r="DN105" s="189"/>
      <c r="DO105" s="189"/>
      <c r="DP105" s="189"/>
      <c r="DQ105" s="189"/>
      <c r="DR105" s="189"/>
      <c r="DS105" s="186">
        <f t="shared" si="126"/>
        <v>5003221.9121656977</v>
      </c>
      <c r="DT105" s="1" t="b">
        <f t="shared" si="87"/>
        <v>1</v>
      </c>
      <c r="DU105" s="247" t="str">
        <f t="shared" ref="DU105" si="143">B105</f>
        <v>Fulgence Thomas Massawe</v>
      </c>
      <c r="DV105" s="249">
        <f t="shared" ref="DV105" si="144">DS105</f>
        <v>5003221.9121656977</v>
      </c>
      <c r="DW105" s="248">
        <f t="shared" ref="DW105" si="145">DS105-CN105</f>
        <v>103221.91216569766</v>
      </c>
      <c r="DZ105" s="1">
        <f t="shared" si="88"/>
        <v>0</v>
      </c>
      <c r="EB105" s="1">
        <f t="shared" si="89"/>
        <v>0</v>
      </c>
    </row>
    <row r="106" spans="1:132" x14ac:dyDescent="0.35">
      <c r="A106" s="311" t="s">
        <v>762</v>
      </c>
      <c r="B106" s="7" t="s">
        <v>764</v>
      </c>
      <c r="C106" s="522" t="s">
        <v>1201</v>
      </c>
      <c r="D106" s="71"/>
      <c r="E106" s="11"/>
      <c r="F106" s="11"/>
      <c r="G106" s="11"/>
      <c r="H106" s="11"/>
      <c r="I106" s="545"/>
      <c r="J106" s="545"/>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7"/>
      <c r="BK106" s="7"/>
      <c r="BL106" s="7"/>
      <c r="BM106" s="7"/>
      <c r="BN106" s="7"/>
      <c r="BO106" s="11"/>
      <c r="BP106" s="202"/>
      <c r="BQ106" s="7"/>
      <c r="BR106" s="202"/>
      <c r="BS106" s="178"/>
      <c r="BT106" s="202"/>
      <c r="BU106" s="7"/>
      <c r="BV106" s="7"/>
      <c r="BW106" s="7"/>
      <c r="BX106" s="7"/>
      <c r="BY106" s="71"/>
      <c r="BZ106" s="7"/>
      <c r="CA106" s="71"/>
      <c r="CB106" s="7"/>
      <c r="CC106" s="71"/>
      <c r="CD106" s="7"/>
      <c r="CE106" s="71">
        <v>46193</v>
      </c>
      <c r="CF106" s="7">
        <v>3300000</v>
      </c>
      <c r="CG106" s="71">
        <v>46205</v>
      </c>
      <c r="CH106" s="7">
        <f>500000+5000000+5000000</f>
        <v>10500000</v>
      </c>
      <c r="CI106" s="7"/>
      <c r="CJ106" s="7"/>
      <c r="CK106" s="7"/>
      <c r="CL106" s="7"/>
      <c r="CM106" s="7">
        <f t="shared" si="112"/>
        <v>13800000</v>
      </c>
      <c r="CN106" s="7">
        <f t="shared" si="113"/>
        <v>13800000</v>
      </c>
      <c r="CO106" s="7"/>
      <c r="CP106" s="286"/>
      <c r="CQ106" s="7"/>
      <c r="CR106" s="7"/>
      <c r="CS106" s="7"/>
      <c r="CT106" s="7"/>
      <c r="CU106" s="7">
        <f t="shared" si="114"/>
        <v>0</v>
      </c>
      <c r="CV106" s="7">
        <f t="shared" si="115"/>
        <v>0</v>
      </c>
      <c r="CW106" s="7">
        <f t="shared" si="93"/>
        <v>0</v>
      </c>
      <c r="CX106" s="7">
        <f t="shared" si="116"/>
        <v>0</v>
      </c>
      <c r="CY106" s="189">
        <f t="shared" si="117"/>
        <v>0</v>
      </c>
      <c r="CZ106" s="388">
        <f t="shared" si="118"/>
        <v>0</v>
      </c>
      <c r="DA106" s="189">
        <f t="shared" si="119"/>
        <v>0</v>
      </c>
      <c r="DB106" s="189">
        <f t="shared" si="120"/>
        <v>0</v>
      </c>
      <c r="DC106" s="189"/>
      <c r="DD106" s="189"/>
      <c r="DE106" s="189">
        <f t="shared" si="121"/>
        <v>3300000</v>
      </c>
      <c r="DF106" s="189">
        <f t="shared" si="122"/>
        <v>8848.0542269404486</v>
      </c>
      <c r="DG106" s="189">
        <f t="shared" si="123"/>
        <v>29543.585174328473</v>
      </c>
      <c r="DH106" s="189">
        <v>13838391.639401268</v>
      </c>
      <c r="DI106" s="189">
        <f>'Member position mfumo and excel'!F108</f>
        <v>13838391.640000001</v>
      </c>
      <c r="DJ106" s="189">
        <f t="shared" si="92"/>
        <v>-5.9873238205909729E-4</v>
      </c>
      <c r="DK106" s="189">
        <f t="shared" si="124"/>
        <v>142089.27806115482</v>
      </c>
      <c r="DL106" s="189">
        <f t="shared" si="125"/>
        <v>39578.513825868613</v>
      </c>
      <c r="DM106" s="189"/>
      <c r="DN106" s="189"/>
      <c r="DO106" s="189"/>
      <c r="DP106" s="189"/>
      <c r="DQ106" s="189"/>
      <c r="DR106" s="189"/>
      <c r="DS106" s="186">
        <f t="shared" si="126"/>
        <v>14020059.431288293</v>
      </c>
      <c r="DT106" s="1" t="b">
        <f t="shared" si="87"/>
        <v>1</v>
      </c>
      <c r="DU106" s="247" t="str">
        <f t="shared" ref="DU106" si="146">B106</f>
        <v xml:space="preserve">Baltazar Thomas Mrosso </v>
      </c>
      <c r="DV106" s="249">
        <f t="shared" ref="DV106" si="147">DS106</f>
        <v>14020059.431288293</v>
      </c>
      <c r="DW106" s="248">
        <f t="shared" ref="DW106" si="148">DS106-CN106</f>
        <v>220059.43128829263</v>
      </c>
      <c r="DZ106" s="1">
        <f t="shared" si="88"/>
        <v>0</v>
      </c>
      <c r="EB106" s="1">
        <f t="shared" si="89"/>
        <v>0</v>
      </c>
    </row>
    <row r="107" spans="1:132" x14ac:dyDescent="0.35">
      <c r="A107" s="311" t="s">
        <v>769</v>
      </c>
      <c r="B107" s="7" t="s">
        <v>770</v>
      </c>
      <c r="C107" s="522" t="s">
        <v>1202</v>
      </c>
      <c r="D107" s="71"/>
      <c r="E107" s="11"/>
      <c r="F107" s="11"/>
      <c r="G107" s="11"/>
      <c r="H107" s="11"/>
      <c r="I107" s="545"/>
      <c r="J107" s="545"/>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7"/>
      <c r="BK107" s="7"/>
      <c r="BL107" s="7"/>
      <c r="BM107" s="7"/>
      <c r="BN107" s="7"/>
      <c r="BO107" s="11"/>
      <c r="BP107" s="202"/>
      <c r="BQ107" s="7"/>
      <c r="BR107" s="202"/>
      <c r="BS107" s="178"/>
      <c r="BT107" s="202"/>
      <c r="BU107" s="7"/>
      <c r="BV107" s="7"/>
      <c r="BW107" s="7"/>
      <c r="BX107" s="7"/>
      <c r="BY107" s="71"/>
      <c r="BZ107" s="7"/>
      <c r="CA107" s="71"/>
      <c r="CB107" s="7"/>
      <c r="CC107" s="71"/>
      <c r="CD107" s="7"/>
      <c r="CE107" s="71">
        <v>46193</v>
      </c>
      <c r="CF107" s="7">
        <f>1650000+1650000+1000000</f>
        <v>4300000</v>
      </c>
      <c r="CG107" s="71">
        <v>46228</v>
      </c>
      <c r="CH107" s="7">
        <f>500000+5000000+1700000-500000-5000000</f>
        <v>1700000</v>
      </c>
      <c r="CI107" s="7"/>
      <c r="CJ107" s="7"/>
      <c r="CK107" s="7"/>
      <c r="CL107" s="7"/>
      <c r="CM107" s="7">
        <f t="shared" si="112"/>
        <v>6000000</v>
      </c>
      <c r="CN107" s="7">
        <f t="shared" si="113"/>
        <v>6000000</v>
      </c>
      <c r="CO107" s="7"/>
      <c r="CP107" s="286"/>
      <c r="CQ107" s="7"/>
      <c r="CR107" s="7"/>
      <c r="CS107" s="7"/>
      <c r="CT107" s="7"/>
      <c r="CU107" s="7">
        <f t="shared" si="114"/>
        <v>0</v>
      </c>
      <c r="CV107" s="7">
        <f t="shared" si="115"/>
        <v>0</v>
      </c>
      <c r="CW107" s="7">
        <f t="shared" si="93"/>
        <v>0</v>
      </c>
      <c r="CX107" s="7">
        <f t="shared" si="116"/>
        <v>0</v>
      </c>
      <c r="CY107" s="189">
        <f t="shared" si="117"/>
        <v>0</v>
      </c>
      <c r="CZ107" s="388">
        <f t="shared" si="118"/>
        <v>0</v>
      </c>
      <c r="DA107" s="189">
        <f t="shared" si="119"/>
        <v>0</v>
      </c>
      <c r="DB107" s="189">
        <f t="shared" si="120"/>
        <v>0</v>
      </c>
      <c r="DC107" s="189"/>
      <c r="DD107" s="189"/>
      <c r="DE107" s="189">
        <f t="shared" si="121"/>
        <v>4300000</v>
      </c>
      <c r="DF107" s="189">
        <f t="shared" si="122"/>
        <v>11529.282780558766</v>
      </c>
      <c r="DG107" s="189">
        <f t="shared" si="123"/>
        <v>38496.186742306796</v>
      </c>
      <c r="DH107" s="189">
        <f>11550025.4695229-5500000</f>
        <v>6050025.4695229009</v>
      </c>
      <c r="DI107" s="189">
        <f>'Member position mfumo and excel'!F109</f>
        <v>6050025.4699999997</v>
      </c>
      <c r="DJ107" s="189">
        <f t="shared" si="92"/>
        <v>-4.7709885984659195E-4</v>
      </c>
      <c r="DK107" s="189">
        <f t="shared" si="124"/>
        <v>62120.206857601384</v>
      </c>
      <c r="DL107" s="189">
        <f t="shared" si="125"/>
        <v>17303.38488257509</v>
      </c>
      <c r="DM107" s="189"/>
      <c r="DN107" s="189"/>
      <c r="DO107" s="189"/>
      <c r="DP107" s="189"/>
      <c r="DQ107" s="189"/>
      <c r="DR107" s="189"/>
      <c r="DS107" s="186">
        <f t="shared" si="126"/>
        <v>6129449.0612630416</v>
      </c>
      <c r="DT107" s="1" t="b">
        <f t="shared" si="87"/>
        <v>1</v>
      </c>
      <c r="DU107" s="247" t="str">
        <f t="shared" ref="DU107" si="149">B107</f>
        <v xml:space="preserve">Alex Gerald Heruka </v>
      </c>
      <c r="DV107" s="249">
        <f t="shared" ref="DV107" si="150">DS107</f>
        <v>6129449.0612630416</v>
      </c>
      <c r="DW107" s="248">
        <f t="shared" ref="DW107" si="151">DS107-CN107</f>
        <v>129449.06126304157</v>
      </c>
      <c r="DZ107" s="1">
        <f t="shared" si="88"/>
        <v>0</v>
      </c>
      <c r="EB107" s="1">
        <f t="shared" si="89"/>
        <v>0</v>
      </c>
    </row>
    <row r="108" spans="1:132" x14ac:dyDescent="0.35">
      <c r="A108" s="311" t="s">
        <v>772</v>
      </c>
      <c r="B108" s="7" t="s">
        <v>773</v>
      </c>
      <c r="C108" s="522" t="s">
        <v>1230</v>
      </c>
      <c r="D108" s="71"/>
      <c r="E108" s="11"/>
      <c r="F108" s="11"/>
      <c r="G108" s="11"/>
      <c r="H108" s="11"/>
      <c r="I108" s="545"/>
      <c r="J108" s="545"/>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7"/>
      <c r="BK108" s="7"/>
      <c r="BL108" s="7"/>
      <c r="BM108" s="7"/>
      <c r="BN108" s="7"/>
      <c r="BO108" s="11"/>
      <c r="BP108" s="202"/>
      <c r="BQ108" s="7"/>
      <c r="BR108" s="202"/>
      <c r="BS108" s="178"/>
      <c r="BT108" s="202"/>
      <c r="BU108" s="7"/>
      <c r="BV108" s="7"/>
      <c r="BW108" s="7"/>
      <c r="BX108" s="7"/>
      <c r="BY108" s="71"/>
      <c r="BZ108" s="7"/>
      <c r="CA108" s="71"/>
      <c r="CB108" s="7"/>
      <c r="CC108" s="71"/>
      <c r="CD108" s="7"/>
      <c r="CE108" s="71">
        <v>46193</v>
      </c>
      <c r="CF108" s="7">
        <v>3500000</v>
      </c>
      <c r="CG108" s="71">
        <v>46207</v>
      </c>
      <c r="CH108" s="7">
        <f>2500000+1000000+1000000+1000000</f>
        <v>5500000</v>
      </c>
      <c r="CI108" s="7"/>
      <c r="CJ108" s="7"/>
      <c r="CK108" s="7"/>
      <c r="CL108" s="7"/>
      <c r="CM108" s="7">
        <f t="shared" si="112"/>
        <v>9000000</v>
      </c>
      <c r="CN108" s="7">
        <f t="shared" si="113"/>
        <v>9000000</v>
      </c>
      <c r="CO108" s="7"/>
      <c r="CP108" s="286"/>
      <c r="CQ108" s="7"/>
      <c r="CR108" s="7"/>
      <c r="CS108" s="7"/>
      <c r="CT108" s="7"/>
      <c r="CU108" s="7">
        <f t="shared" si="114"/>
        <v>0</v>
      </c>
      <c r="CV108" s="7">
        <f t="shared" si="115"/>
        <v>0</v>
      </c>
      <c r="CW108" s="7">
        <f t="shared" si="93"/>
        <v>0</v>
      </c>
      <c r="CX108" s="7">
        <f t="shared" si="116"/>
        <v>0</v>
      </c>
      <c r="CY108" s="189">
        <f t="shared" si="117"/>
        <v>0</v>
      </c>
      <c r="CZ108" s="388">
        <f t="shared" si="118"/>
        <v>0</v>
      </c>
      <c r="DA108" s="189">
        <f t="shared" si="119"/>
        <v>0</v>
      </c>
      <c r="DB108" s="189">
        <f t="shared" si="120"/>
        <v>0</v>
      </c>
      <c r="DC108" s="189"/>
      <c r="DD108" s="189"/>
      <c r="DE108" s="189">
        <f t="shared" si="121"/>
        <v>3500000</v>
      </c>
      <c r="DF108" s="189">
        <f t="shared" si="122"/>
        <v>9384.2999376641128</v>
      </c>
      <c r="DG108" s="189">
        <f t="shared" si="123"/>
        <v>31334.105487924138</v>
      </c>
      <c r="DH108" s="189">
        <v>9040718.4054255877</v>
      </c>
      <c r="DI108" s="189">
        <f>'Member position mfumo and excel'!F110</f>
        <v>9040718.4100000001</v>
      </c>
      <c r="DJ108" s="189">
        <f t="shared" si="92"/>
        <v>-4.5744124799966812E-3</v>
      </c>
      <c r="DK108" s="189">
        <f t="shared" si="124"/>
        <v>92827.922843546272</v>
      </c>
      <c r="DL108" s="189">
        <f t="shared" si="125"/>
        <v>25856.920929028056</v>
      </c>
      <c r="DM108" s="189"/>
      <c r="DN108" s="189"/>
      <c r="DO108" s="189"/>
      <c r="DP108" s="189"/>
      <c r="DQ108" s="189"/>
      <c r="DR108" s="189"/>
      <c r="DS108" s="186">
        <f t="shared" si="126"/>
        <v>9159403.2491981611</v>
      </c>
      <c r="DT108" s="1" t="b">
        <f t="shared" si="87"/>
        <v>1</v>
      </c>
      <c r="DU108" s="247" t="str">
        <f t="shared" ref="DU108" si="152">B108</f>
        <v>Francis Mwasilu</v>
      </c>
      <c r="DV108" s="249">
        <f t="shared" ref="DV108" si="153">DS108</f>
        <v>9159403.2491981611</v>
      </c>
      <c r="DW108" s="248">
        <f t="shared" ref="DW108" si="154">DS108-CN108</f>
        <v>159403.24919816107</v>
      </c>
      <c r="DZ108" s="1">
        <f t="shared" si="88"/>
        <v>0</v>
      </c>
      <c r="EB108" s="1">
        <f t="shared" si="89"/>
        <v>0</v>
      </c>
    </row>
    <row r="109" spans="1:132" x14ac:dyDescent="0.35">
      <c r="A109" s="311" t="s">
        <v>776</v>
      </c>
      <c r="B109" s="7" t="s">
        <v>777</v>
      </c>
      <c r="C109" s="522" t="s">
        <v>1231</v>
      </c>
      <c r="D109" s="71"/>
      <c r="E109" s="11"/>
      <c r="F109" s="11"/>
      <c r="G109" s="11"/>
      <c r="H109" s="11"/>
      <c r="I109" s="545"/>
      <c r="J109" s="545"/>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7"/>
      <c r="BK109" s="7"/>
      <c r="BL109" s="7"/>
      <c r="BM109" s="7"/>
      <c r="BN109" s="7"/>
      <c r="BO109" s="11"/>
      <c r="BP109" s="202"/>
      <c r="BQ109" s="7"/>
      <c r="BR109" s="202"/>
      <c r="BS109" s="178"/>
      <c r="BT109" s="202"/>
      <c r="BU109" s="7"/>
      <c r="BV109" s="7"/>
      <c r="BW109" s="7"/>
      <c r="BX109" s="7"/>
      <c r="BY109" s="71"/>
      <c r="BZ109" s="7"/>
      <c r="CA109" s="71"/>
      <c r="CB109" s="7"/>
      <c r="CC109" s="71"/>
      <c r="CD109" s="7"/>
      <c r="CE109" s="71">
        <v>46193</v>
      </c>
      <c r="CF109" s="7">
        <v>3300000</v>
      </c>
      <c r="CG109" s="7"/>
      <c r="CH109" s="7"/>
      <c r="CI109" s="7"/>
      <c r="CJ109" s="7"/>
      <c r="CK109" s="7"/>
      <c r="CL109" s="7"/>
      <c r="CM109" s="7">
        <f t="shared" si="112"/>
        <v>3300000</v>
      </c>
      <c r="CN109" s="7">
        <f t="shared" si="113"/>
        <v>3300000</v>
      </c>
      <c r="CO109" s="7"/>
      <c r="CP109" s="286"/>
      <c r="CQ109" s="7"/>
      <c r="CR109" s="7"/>
      <c r="CS109" s="7"/>
      <c r="CT109" s="7"/>
      <c r="CU109" s="7">
        <f t="shared" si="114"/>
        <v>0</v>
      </c>
      <c r="CV109" s="7">
        <f t="shared" si="115"/>
        <v>0</v>
      </c>
      <c r="CW109" s="7">
        <f t="shared" si="93"/>
        <v>0</v>
      </c>
      <c r="CX109" s="7">
        <f t="shared" si="116"/>
        <v>0</v>
      </c>
      <c r="CY109" s="189">
        <f t="shared" si="117"/>
        <v>0</v>
      </c>
      <c r="CZ109" s="388">
        <f t="shared" si="118"/>
        <v>0</v>
      </c>
      <c r="DA109" s="189">
        <f t="shared" si="119"/>
        <v>0</v>
      </c>
      <c r="DB109" s="189">
        <f t="shared" si="120"/>
        <v>0</v>
      </c>
      <c r="DC109" s="189"/>
      <c r="DD109" s="189"/>
      <c r="DE109" s="189">
        <f t="shared" si="121"/>
        <v>3300000</v>
      </c>
      <c r="DF109" s="189">
        <f t="shared" si="122"/>
        <v>8848.0542269404486</v>
      </c>
      <c r="DG109" s="189">
        <f t="shared" si="123"/>
        <v>29543.585174328473</v>
      </c>
      <c r="DH109" s="189">
        <v>3338391.6394012691</v>
      </c>
      <c r="DI109" s="189">
        <f>'Member position mfumo and excel'!F111</f>
        <v>3338391.64</v>
      </c>
      <c r="DJ109" s="189">
        <f t="shared" si="92"/>
        <v>-5.9873098507523537E-4</v>
      </c>
      <c r="DK109" s="189">
        <f t="shared" si="124"/>
        <v>34277.802673060105</v>
      </c>
      <c r="DL109" s="189">
        <f t="shared" si="125"/>
        <v>9547.9722715756288</v>
      </c>
      <c r="DM109" s="189"/>
      <c r="DN109" s="189"/>
      <c r="DO109" s="189"/>
      <c r="DP109" s="189"/>
      <c r="DQ109" s="189"/>
      <c r="DR109" s="189"/>
      <c r="DS109" s="186">
        <f t="shared" si="126"/>
        <v>3382217.4143459047</v>
      </c>
      <c r="DT109" s="1" t="b">
        <f t="shared" si="87"/>
        <v>1</v>
      </c>
      <c r="DU109" s="247" t="str">
        <f t="shared" ref="DU109" si="155">B109</f>
        <v>David J. Msechu</v>
      </c>
      <c r="DV109" s="249">
        <f t="shared" ref="DV109" si="156">DS109</f>
        <v>3382217.4143459047</v>
      </c>
      <c r="DW109" s="248">
        <f t="shared" ref="DW109" si="157">DS109-CN109</f>
        <v>82217.414345904719</v>
      </c>
      <c r="DZ109" s="1">
        <f t="shared" si="88"/>
        <v>0</v>
      </c>
      <c r="EB109" s="1">
        <f t="shared" si="89"/>
        <v>0</v>
      </c>
    </row>
    <row r="110" spans="1:132" x14ac:dyDescent="0.35">
      <c r="A110" s="311" t="s">
        <v>783</v>
      </c>
      <c r="B110" s="7" t="s">
        <v>784</v>
      </c>
      <c r="C110" s="522" t="s">
        <v>1232</v>
      </c>
      <c r="D110" s="71"/>
      <c r="E110" s="11"/>
      <c r="F110" s="11"/>
      <c r="G110" s="11"/>
      <c r="H110" s="11"/>
      <c r="I110" s="545"/>
      <c r="J110" s="545"/>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7"/>
      <c r="BK110" s="7"/>
      <c r="BL110" s="7"/>
      <c r="BM110" s="7"/>
      <c r="BN110" s="7"/>
      <c r="BO110" s="11"/>
      <c r="BP110" s="202"/>
      <c r="BQ110" s="7"/>
      <c r="BR110" s="202"/>
      <c r="BS110" s="178"/>
      <c r="BT110" s="202"/>
      <c r="BU110" s="7"/>
      <c r="BV110" s="7"/>
      <c r="BW110" s="7"/>
      <c r="BX110" s="7"/>
      <c r="BY110" s="71"/>
      <c r="BZ110" s="7"/>
      <c r="CA110" s="71"/>
      <c r="CB110" s="7"/>
      <c r="CC110" s="71"/>
      <c r="CD110" s="7"/>
      <c r="CE110" s="71">
        <v>46194</v>
      </c>
      <c r="CF110" s="7">
        <f>3300000+1000000</f>
        <v>4300000</v>
      </c>
      <c r="CG110" s="71">
        <v>46221</v>
      </c>
      <c r="CH110" s="7">
        <f>1700000+500000+750000+350000+850000+510000+1080075</f>
        <v>5740075</v>
      </c>
      <c r="CI110" s="7"/>
      <c r="CJ110" s="7"/>
      <c r="CK110" s="7"/>
      <c r="CL110" s="7"/>
      <c r="CM110" s="7">
        <f t="shared" si="112"/>
        <v>10040075</v>
      </c>
      <c r="CN110" s="7">
        <f t="shared" si="113"/>
        <v>10040075</v>
      </c>
      <c r="CO110" s="7"/>
      <c r="CP110" s="286"/>
      <c r="CQ110" s="7"/>
      <c r="CR110" s="7"/>
      <c r="CS110" s="7"/>
      <c r="CT110" s="7"/>
      <c r="CU110" s="7">
        <f t="shared" si="114"/>
        <v>0</v>
      </c>
      <c r="CV110" s="7">
        <f t="shared" si="115"/>
        <v>0</v>
      </c>
      <c r="CW110" s="7">
        <f t="shared" si="93"/>
        <v>0</v>
      </c>
      <c r="CX110" s="7">
        <f t="shared" si="116"/>
        <v>0</v>
      </c>
      <c r="CY110" s="189">
        <f t="shared" si="117"/>
        <v>0</v>
      </c>
      <c r="CZ110" s="388">
        <f t="shared" si="118"/>
        <v>0</v>
      </c>
      <c r="DA110" s="189">
        <f t="shared" si="119"/>
        <v>0</v>
      </c>
      <c r="DB110" s="189">
        <f t="shared" si="120"/>
        <v>0</v>
      </c>
      <c r="DC110" s="189"/>
      <c r="DD110" s="189"/>
      <c r="DE110" s="189">
        <f t="shared" si="121"/>
        <v>4300000</v>
      </c>
      <c r="DF110" s="189">
        <f t="shared" si="122"/>
        <v>11529.282780558766</v>
      </c>
      <c r="DG110" s="189">
        <f t="shared" si="123"/>
        <v>38496.186742306796</v>
      </c>
      <c r="DH110" s="189">
        <v>10090100.469522865</v>
      </c>
      <c r="DI110" s="189">
        <f>'Member position mfumo and excel'!F112</f>
        <v>10090100.470000001</v>
      </c>
      <c r="DJ110" s="189">
        <f t="shared" si="92"/>
        <v>-4.7713518142700195E-4</v>
      </c>
      <c r="DK110" s="189">
        <f t="shared" si="124"/>
        <v>103602.72556508261</v>
      </c>
      <c r="DL110" s="189">
        <f t="shared" si="125"/>
        <v>28858.207755904536</v>
      </c>
      <c r="DM110" s="189"/>
      <c r="DN110" s="189"/>
      <c r="DO110" s="189"/>
      <c r="DP110" s="189"/>
      <c r="DQ110" s="189"/>
      <c r="DR110" s="189"/>
      <c r="DS110" s="186">
        <f t="shared" si="126"/>
        <v>10222561.402843853</v>
      </c>
      <c r="DT110" s="1" t="b">
        <f t="shared" si="87"/>
        <v>1</v>
      </c>
      <c r="DU110" s="247" t="str">
        <f t="shared" ref="DU110" si="158">B110</f>
        <v>Salum Masudi Hassan</v>
      </c>
      <c r="DV110" s="249">
        <f t="shared" ref="DV110" si="159">DS110</f>
        <v>10222561.402843853</v>
      </c>
      <c r="DW110" s="248">
        <f t="shared" ref="DW110" si="160">DS110-CN110</f>
        <v>182486.40284385346</v>
      </c>
      <c r="DZ110" s="1">
        <f t="shared" si="88"/>
        <v>0</v>
      </c>
      <c r="EB110" s="1">
        <f t="shared" si="89"/>
        <v>0</v>
      </c>
    </row>
    <row r="111" spans="1:132" x14ac:dyDescent="0.35">
      <c r="A111" s="311" t="s">
        <v>850</v>
      </c>
      <c r="B111" s="7" t="s">
        <v>986</v>
      </c>
      <c r="C111" s="522" t="s">
        <v>1233</v>
      </c>
      <c r="D111" s="71"/>
      <c r="E111" s="11"/>
      <c r="F111" s="11"/>
      <c r="G111" s="11"/>
      <c r="H111" s="11"/>
      <c r="I111" s="545"/>
      <c r="J111" s="545"/>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7"/>
      <c r="BK111" s="7"/>
      <c r="BL111" s="7"/>
      <c r="BM111" s="7"/>
      <c r="BN111" s="7"/>
      <c r="BO111" s="11"/>
      <c r="BP111" s="202"/>
      <c r="BQ111" s="7"/>
      <c r="BR111" s="202"/>
      <c r="BS111" s="178"/>
      <c r="BT111" s="202"/>
      <c r="BU111" s="7"/>
      <c r="BV111" s="7"/>
      <c r="BW111" s="7"/>
      <c r="BX111" s="7"/>
      <c r="BY111" s="71"/>
      <c r="BZ111" s="7"/>
      <c r="CA111" s="71"/>
      <c r="CB111" s="7"/>
      <c r="CC111" s="71"/>
      <c r="CD111" s="7"/>
      <c r="CE111" s="71">
        <v>46195</v>
      </c>
      <c r="CF111" s="7">
        <f>3300000+1000000</f>
        <v>4300000</v>
      </c>
      <c r="CG111" s="7"/>
      <c r="CH111" s="7"/>
      <c r="CI111" s="7"/>
      <c r="CJ111" s="7"/>
      <c r="CK111" s="7"/>
      <c r="CL111" s="7"/>
      <c r="CM111" s="7">
        <f t="shared" si="112"/>
        <v>4300000</v>
      </c>
      <c r="CN111" s="7">
        <f t="shared" si="113"/>
        <v>4300000</v>
      </c>
      <c r="CO111" s="7"/>
      <c r="CP111" s="286"/>
      <c r="CQ111" s="7"/>
      <c r="CR111" s="7"/>
      <c r="CS111" s="7"/>
      <c r="CT111" s="7"/>
      <c r="CU111" s="7">
        <f t="shared" si="114"/>
        <v>0</v>
      </c>
      <c r="CV111" s="7">
        <f t="shared" si="115"/>
        <v>0</v>
      </c>
      <c r="CW111" s="7">
        <f t="shared" si="93"/>
        <v>0</v>
      </c>
      <c r="CX111" s="7">
        <f t="shared" si="116"/>
        <v>0</v>
      </c>
      <c r="CY111" s="189">
        <f t="shared" si="117"/>
        <v>0</v>
      </c>
      <c r="CZ111" s="388">
        <f t="shared" si="118"/>
        <v>0</v>
      </c>
      <c r="DA111" s="189">
        <f t="shared" si="119"/>
        <v>0</v>
      </c>
      <c r="DB111" s="189">
        <f t="shared" si="120"/>
        <v>0</v>
      </c>
      <c r="DC111" s="189"/>
      <c r="DD111" s="189"/>
      <c r="DE111" s="189">
        <f t="shared" si="121"/>
        <v>4300000</v>
      </c>
      <c r="DF111" s="189">
        <f t="shared" si="122"/>
        <v>11529.282780558766</v>
      </c>
      <c r="DG111" s="189">
        <f t="shared" si="123"/>
        <v>38496.186742306796</v>
      </c>
      <c r="DH111" s="189">
        <v>4350025.4695228655</v>
      </c>
      <c r="DI111" s="189">
        <f>'Member position mfumo and excel'!F113</f>
        <v>4350025.47</v>
      </c>
      <c r="DJ111" s="189">
        <f t="shared" si="92"/>
        <v>-4.7713425010442734E-4</v>
      </c>
      <c r="DK111" s="189">
        <f t="shared" si="124"/>
        <v>44665.015604290442</v>
      </c>
      <c r="DL111" s="189">
        <f t="shared" si="125"/>
        <v>12441.297202356123</v>
      </c>
      <c r="DM111" s="189"/>
      <c r="DN111" s="189"/>
      <c r="DO111" s="189"/>
      <c r="DP111" s="189"/>
      <c r="DQ111" s="189"/>
      <c r="DR111" s="189"/>
      <c r="DS111" s="186">
        <f t="shared" si="126"/>
        <v>4407131.7823295118</v>
      </c>
      <c r="DT111" s="1" t="b">
        <f t="shared" si="87"/>
        <v>1</v>
      </c>
      <c r="DU111" s="247" t="str">
        <f t="shared" ref="DU111" si="161">B111</f>
        <v>William Baraka Tigahwa</v>
      </c>
      <c r="DV111" s="249">
        <f t="shared" ref="DV111" si="162">DS111</f>
        <v>4407131.7823295118</v>
      </c>
      <c r="DW111" s="248">
        <f t="shared" ref="DW111" si="163">DS111-CN111</f>
        <v>107131.78232951183</v>
      </c>
      <c r="DZ111" s="1">
        <f t="shared" si="88"/>
        <v>0</v>
      </c>
      <c r="EB111" s="1">
        <f t="shared" si="89"/>
        <v>0</v>
      </c>
    </row>
    <row r="112" spans="1:132" x14ac:dyDescent="0.35">
      <c r="A112" s="311" t="s">
        <v>868</v>
      </c>
      <c r="B112" s="7" t="s">
        <v>869</v>
      </c>
      <c r="C112" s="522"/>
      <c r="D112" s="71"/>
      <c r="E112" s="11"/>
      <c r="F112" s="11"/>
      <c r="G112" s="11"/>
      <c r="H112" s="11"/>
      <c r="I112" s="545"/>
      <c r="J112" s="545"/>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7"/>
      <c r="BK112" s="7"/>
      <c r="BL112" s="7"/>
      <c r="BM112" s="7"/>
      <c r="BN112" s="7"/>
      <c r="BO112" s="11"/>
      <c r="BP112" s="202"/>
      <c r="BQ112" s="7"/>
      <c r="BR112" s="202"/>
      <c r="BS112" s="178"/>
      <c r="BT112" s="202"/>
      <c r="BU112" s="7"/>
      <c r="BV112" s="7"/>
      <c r="BW112" s="7"/>
      <c r="BX112" s="7"/>
      <c r="BY112" s="71"/>
      <c r="BZ112" s="7"/>
      <c r="CA112" s="71"/>
      <c r="CB112" s="7"/>
      <c r="CC112" s="71"/>
      <c r="CD112" s="7"/>
      <c r="CE112" s="71">
        <v>46197</v>
      </c>
      <c r="CF112" s="7">
        <v>3600000</v>
      </c>
      <c r="CG112" s="7"/>
      <c r="CH112" s="7"/>
      <c r="CI112" s="7"/>
      <c r="CJ112" s="7"/>
      <c r="CK112" s="7"/>
      <c r="CL112" s="7"/>
      <c r="CM112" s="7">
        <f t="shared" si="112"/>
        <v>3600000</v>
      </c>
      <c r="CN112" s="7">
        <f t="shared" si="113"/>
        <v>3600000</v>
      </c>
      <c r="CO112" s="7"/>
      <c r="CP112" s="286"/>
      <c r="CQ112" s="7"/>
      <c r="CR112" s="7"/>
      <c r="CS112" s="7"/>
      <c r="CT112" s="7"/>
      <c r="CU112" s="7">
        <f t="shared" si="114"/>
        <v>0</v>
      </c>
      <c r="CV112" s="7">
        <f t="shared" si="115"/>
        <v>0</v>
      </c>
      <c r="CW112" s="7">
        <f t="shared" si="93"/>
        <v>0</v>
      </c>
      <c r="CX112" s="7">
        <f t="shared" si="116"/>
        <v>0</v>
      </c>
      <c r="CY112" s="189">
        <f t="shared" si="117"/>
        <v>0</v>
      </c>
      <c r="CZ112" s="388">
        <f t="shared" si="118"/>
        <v>0</v>
      </c>
      <c r="DA112" s="189">
        <f t="shared" si="119"/>
        <v>0</v>
      </c>
      <c r="DB112" s="189">
        <f t="shared" si="120"/>
        <v>0</v>
      </c>
      <c r="DC112" s="189"/>
      <c r="DD112" s="189"/>
      <c r="DE112" s="189">
        <f t="shared" si="121"/>
        <v>3600000</v>
      </c>
      <c r="DF112" s="189">
        <f t="shared" si="122"/>
        <v>9652.422793025944</v>
      </c>
      <c r="DG112" s="189">
        <f t="shared" si="123"/>
        <v>32229.365644721969</v>
      </c>
      <c r="DH112" s="189">
        <v>3641881.7884377479</v>
      </c>
      <c r="DI112" s="189">
        <f>'Member position mfumo and excel'!F114</f>
        <v>3641881.79</v>
      </c>
      <c r="DJ112" s="189">
        <f t="shared" si="92"/>
        <v>-1.5622521750628948E-3</v>
      </c>
      <c r="DK112" s="189">
        <f t="shared" si="124"/>
        <v>37393.966552429207</v>
      </c>
      <c r="DL112" s="189">
        <f t="shared" si="125"/>
        <v>10415.969750809778</v>
      </c>
      <c r="DM112" s="189"/>
      <c r="DN112" s="189"/>
      <c r="DO112" s="189"/>
      <c r="DP112" s="189"/>
      <c r="DQ112" s="189"/>
      <c r="DR112" s="189"/>
      <c r="DS112" s="186">
        <f t="shared" si="126"/>
        <v>3689691.7247409872</v>
      </c>
      <c r="DT112" s="1" t="b">
        <f t="shared" si="87"/>
        <v>1</v>
      </c>
      <c r="DU112" s="247" t="str">
        <f t="shared" ref="DU112" si="164">B112</f>
        <v xml:space="preserve">Joseph Albin Swai </v>
      </c>
      <c r="DV112" s="249">
        <f t="shared" ref="DV112" si="165">DS112</f>
        <v>3689691.7247409872</v>
      </c>
      <c r="DW112" s="248">
        <f t="shared" ref="DW112" si="166">DS112-CN112</f>
        <v>89691.724740987178</v>
      </c>
      <c r="DZ112" s="1">
        <f t="shared" si="88"/>
        <v>0</v>
      </c>
      <c r="EB112" s="1">
        <f t="shared" si="89"/>
        <v>0</v>
      </c>
    </row>
    <row r="113" spans="1:132" x14ac:dyDescent="0.35">
      <c r="A113" s="311" t="s">
        <v>872</v>
      </c>
      <c r="B113" s="7" t="s">
        <v>871</v>
      </c>
      <c r="C113" s="522" t="s">
        <v>1235</v>
      </c>
      <c r="D113" s="71"/>
      <c r="E113" s="11"/>
      <c r="F113" s="11"/>
      <c r="G113" s="11"/>
      <c r="H113" s="11"/>
      <c r="I113" s="545"/>
      <c r="J113" s="545"/>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7"/>
      <c r="BK113" s="7"/>
      <c r="BL113" s="7"/>
      <c r="BM113" s="7"/>
      <c r="BN113" s="7"/>
      <c r="BO113" s="11"/>
      <c r="BP113" s="202"/>
      <c r="BQ113" s="7"/>
      <c r="BR113" s="202"/>
      <c r="BS113" s="178"/>
      <c r="BT113" s="202"/>
      <c r="BU113" s="7"/>
      <c r="BV113" s="7"/>
      <c r="BW113" s="7"/>
      <c r="BX113" s="7"/>
      <c r="BY113" s="71"/>
      <c r="BZ113" s="7"/>
      <c r="CA113" s="71"/>
      <c r="CB113" s="7"/>
      <c r="CC113" s="71"/>
      <c r="CD113" s="7"/>
      <c r="CE113" s="71">
        <v>46197</v>
      </c>
      <c r="CF113" s="7">
        <v>3300000</v>
      </c>
      <c r="CG113" s="71">
        <v>46227</v>
      </c>
      <c r="CH113" s="7">
        <v>5000000</v>
      </c>
      <c r="CI113" s="7"/>
      <c r="CJ113" s="7"/>
      <c r="CK113" s="7"/>
      <c r="CL113" s="7"/>
      <c r="CM113" s="7">
        <f t="shared" si="112"/>
        <v>8300000</v>
      </c>
      <c r="CN113" s="7">
        <f t="shared" si="113"/>
        <v>8300000</v>
      </c>
      <c r="CO113" s="7"/>
      <c r="CP113" s="286"/>
      <c r="CQ113" s="7"/>
      <c r="CR113" s="7"/>
      <c r="CS113" s="7"/>
      <c r="CT113" s="7"/>
      <c r="CU113" s="7">
        <f t="shared" si="114"/>
        <v>0</v>
      </c>
      <c r="CV113" s="7">
        <f t="shared" si="115"/>
        <v>0</v>
      </c>
      <c r="CW113" s="7">
        <f t="shared" si="93"/>
        <v>0</v>
      </c>
      <c r="CX113" s="7">
        <f t="shared" si="116"/>
        <v>0</v>
      </c>
      <c r="CY113" s="189">
        <f t="shared" si="117"/>
        <v>0</v>
      </c>
      <c r="CZ113" s="388">
        <f t="shared" si="118"/>
        <v>0</v>
      </c>
      <c r="DA113" s="189">
        <f t="shared" si="119"/>
        <v>0</v>
      </c>
      <c r="DB113" s="189">
        <f t="shared" si="120"/>
        <v>0</v>
      </c>
      <c r="DC113" s="189"/>
      <c r="DD113" s="189"/>
      <c r="DE113" s="189">
        <f t="shared" si="121"/>
        <v>3300000</v>
      </c>
      <c r="DF113" s="189">
        <f t="shared" si="122"/>
        <v>8848.0542269404486</v>
      </c>
      <c r="DG113" s="189">
        <f t="shared" si="123"/>
        <v>29543.585174328473</v>
      </c>
      <c r="DH113" s="189">
        <v>8338391.6394012691</v>
      </c>
      <c r="DI113" s="189">
        <f>'Member position mfumo and excel'!F115</f>
        <v>8338391.6399999997</v>
      </c>
      <c r="DJ113" s="189">
        <f t="shared" si="92"/>
        <v>-5.9873051941394806E-4</v>
      </c>
      <c r="DK113" s="189">
        <f t="shared" si="124"/>
        <v>85616.60047691474</v>
      </c>
      <c r="DL113" s="189">
        <f t="shared" si="125"/>
        <v>23848.230154572291</v>
      </c>
      <c r="DM113" s="189"/>
      <c r="DN113" s="189"/>
      <c r="DO113" s="189"/>
      <c r="DP113" s="189"/>
      <c r="DQ113" s="189"/>
      <c r="DR113" s="189"/>
      <c r="DS113" s="186">
        <f t="shared" si="126"/>
        <v>8447856.4700327553</v>
      </c>
      <c r="DT113" s="1" t="b">
        <f t="shared" si="87"/>
        <v>1</v>
      </c>
      <c r="DU113" s="247" t="str">
        <f t="shared" ref="DU113" si="167">B113</f>
        <v>Bruno Sunguya</v>
      </c>
      <c r="DV113" s="249">
        <f t="shared" ref="DV113" si="168">DS113</f>
        <v>8447856.4700327553</v>
      </c>
      <c r="DW113" s="248">
        <f t="shared" ref="DW113" si="169">DS113-CN113</f>
        <v>147856.47003275529</v>
      </c>
      <c r="DZ113" s="1">
        <f t="shared" si="88"/>
        <v>0</v>
      </c>
      <c r="EB113" s="1">
        <f t="shared" si="89"/>
        <v>0</v>
      </c>
    </row>
    <row r="114" spans="1:132" x14ac:dyDescent="0.35">
      <c r="A114" s="311" t="s">
        <v>879</v>
      </c>
      <c r="B114" s="7" t="s">
        <v>878</v>
      </c>
      <c r="C114" s="522" t="s">
        <v>1234</v>
      </c>
      <c r="D114" s="71"/>
      <c r="E114" s="11"/>
      <c r="F114" s="11"/>
      <c r="G114" s="11"/>
      <c r="H114" s="11"/>
      <c r="I114" s="545"/>
      <c r="J114" s="545"/>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7"/>
      <c r="BK114" s="7"/>
      <c r="BL114" s="7"/>
      <c r="BM114" s="7"/>
      <c r="BN114" s="7"/>
      <c r="BO114" s="11"/>
      <c r="BP114" s="202"/>
      <c r="BQ114" s="7"/>
      <c r="BR114" s="202"/>
      <c r="BS114" s="178"/>
      <c r="BT114" s="202"/>
      <c r="BU114" s="7"/>
      <c r="BV114" s="7"/>
      <c r="BW114" s="7"/>
      <c r="BX114" s="7"/>
      <c r="BY114" s="71"/>
      <c r="BZ114" s="7"/>
      <c r="CA114" s="71"/>
      <c r="CB114" s="7"/>
      <c r="CC114" s="71"/>
      <c r="CD114" s="7"/>
      <c r="CE114" s="71">
        <v>46199</v>
      </c>
      <c r="CF114" s="7">
        <v>3300000</v>
      </c>
      <c r="CG114" s="71">
        <v>46209</v>
      </c>
      <c r="CH114" s="7">
        <v>300000</v>
      </c>
      <c r="CI114" s="7"/>
      <c r="CJ114" s="7"/>
      <c r="CK114" s="7"/>
      <c r="CL114" s="7"/>
      <c r="CM114" s="7">
        <f t="shared" si="112"/>
        <v>3600000</v>
      </c>
      <c r="CN114" s="7">
        <f t="shared" si="113"/>
        <v>3600000</v>
      </c>
      <c r="CO114" s="7"/>
      <c r="CP114" s="286"/>
      <c r="CQ114" s="7"/>
      <c r="CR114" s="7"/>
      <c r="CS114" s="7"/>
      <c r="CT114" s="7"/>
      <c r="CU114" s="7"/>
      <c r="CV114" s="7"/>
      <c r="CW114" s="7"/>
      <c r="CX114" s="7"/>
      <c r="CY114" s="189"/>
      <c r="CZ114" s="388"/>
      <c r="DA114" s="189"/>
      <c r="DB114" s="189"/>
      <c r="DC114" s="189"/>
      <c r="DD114" s="189"/>
      <c r="DE114" s="189">
        <f t="shared" si="121"/>
        <v>3300000</v>
      </c>
      <c r="DF114" s="189">
        <f t="shared" si="122"/>
        <v>8848.0542269404486</v>
      </c>
      <c r="DG114" s="189">
        <f t="shared" si="123"/>
        <v>29543.585174328473</v>
      </c>
      <c r="DH114" s="189">
        <v>3638391.6394012691</v>
      </c>
      <c r="DI114" s="189">
        <f>'Member position mfumo and excel'!F116</f>
        <v>3638391.64</v>
      </c>
      <c r="DJ114" s="189">
        <f t="shared" si="92"/>
        <v>-5.9873098507523537E-4</v>
      </c>
      <c r="DK114" s="189">
        <f t="shared" si="124"/>
        <v>37358.130541291386</v>
      </c>
      <c r="DL114" s="189">
        <f t="shared" si="125"/>
        <v>10405.98774455543</v>
      </c>
      <c r="DM114" s="189"/>
      <c r="DN114" s="189"/>
      <c r="DO114" s="189"/>
      <c r="DP114" s="189"/>
      <c r="DQ114" s="189"/>
      <c r="DR114" s="189"/>
      <c r="DS114" s="186">
        <f t="shared" si="126"/>
        <v>3686155.757687116</v>
      </c>
      <c r="DT114" s="1" t="b">
        <f t="shared" si="87"/>
        <v>1</v>
      </c>
      <c r="DU114" s="247" t="str">
        <f t="shared" ref="DU114:DU115" si="170">B114</f>
        <v xml:space="preserve">Nicholaus Abdon Killinga </v>
      </c>
      <c r="DV114" s="249">
        <f t="shared" ref="DV114:DV115" si="171">DS114</f>
        <v>3686155.757687116</v>
      </c>
      <c r="DW114" s="248">
        <f t="shared" ref="DW114:DW115" si="172">DS114-CN114</f>
        <v>86155.757687116042</v>
      </c>
      <c r="DZ114" s="1">
        <f t="shared" si="88"/>
        <v>0</v>
      </c>
      <c r="EB114" s="1">
        <f t="shared" si="89"/>
        <v>0</v>
      </c>
    </row>
    <row r="115" spans="1:132" x14ac:dyDescent="0.35">
      <c r="A115" s="311" t="s">
        <v>881</v>
      </c>
      <c r="B115" s="7" t="s">
        <v>880</v>
      </c>
      <c r="C115" s="522" t="s">
        <v>1236</v>
      </c>
      <c r="D115" s="71"/>
      <c r="E115" s="11"/>
      <c r="F115" s="11"/>
      <c r="G115" s="11"/>
      <c r="H115" s="11"/>
      <c r="I115" s="545"/>
      <c r="J115" s="545"/>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7"/>
      <c r="BK115" s="7"/>
      <c r="BL115" s="7"/>
      <c r="BM115" s="7"/>
      <c r="BN115" s="7"/>
      <c r="BO115" s="11"/>
      <c r="BP115" s="202"/>
      <c r="BQ115" s="7"/>
      <c r="BR115" s="202"/>
      <c r="BS115" s="178"/>
      <c r="BT115" s="202"/>
      <c r="BU115" s="7"/>
      <c r="BV115" s="7"/>
      <c r="BW115" s="7"/>
      <c r="BX115" s="7"/>
      <c r="BY115" s="71"/>
      <c r="BZ115" s="7"/>
      <c r="CA115" s="71"/>
      <c r="CB115" s="7"/>
      <c r="CC115" s="71"/>
      <c r="CD115" s="7"/>
      <c r="CE115" s="71">
        <v>46199</v>
      </c>
      <c r="CF115" s="7">
        <f>1500000+1800000</f>
        <v>3300000</v>
      </c>
      <c r="CG115" s="7"/>
      <c r="CH115" s="7"/>
      <c r="CI115" s="7"/>
      <c r="CJ115" s="7"/>
      <c r="CK115" s="7"/>
      <c r="CL115" s="7"/>
      <c r="CM115" s="7">
        <f t="shared" si="112"/>
        <v>3300000</v>
      </c>
      <c r="CN115" s="7">
        <f t="shared" si="113"/>
        <v>3300000</v>
      </c>
      <c r="CO115" s="7"/>
      <c r="CP115" s="286"/>
      <c r="CQ115" s="7"/>
      <c r="CR115" s="7"/>
      <c r="CS115" s="7"/>
      <c r="CT115" s="7"/>
      <c r="CU115" s="7"/>
      <c r="CV115" s="7"/>
      <c r="CW115" s="7"/>
      <c r="CX115" s="7"/>
      <c r="CY115" s="189"/>
      <c r="CZ115" s="388"/>
      <c r="DA115" s="189"/>
      <c r="DB115" s="189"/>
      <c r="DC115" s="189"/>
      <c r="DD115" s="189"/>
      <c r="DE115" s="189">
        <f t="shared" si="121"/>
        <v>3300000</v>
      </c>
      <c r="DF115" s="189">
        <f t="shared" si="122"/>
        <v>8848.0542269404486</v>
      </c>
      <c r="DG115" s="189">
        <f t="shared" si="123"/>
        <v>29543.585174328473</v>
      </c>
      <c r="DH115" s="189">
        <v>3338391.6394012691</v>
      </c>
      <c r="DI115" s="189">
        <f>'Member position mfumo and excel'!F117</f>
        <v>3338391.64</v>
      </c>
      <c r="DJ115" s="189">
        <f t="shared" si="92"/>
        <v>-5.9873098507523537E-4</v>
      </c>
      <c r="DK115" s="189">
        <f t="shared" si="124"/>
        <v>34277.802673060105</v>
      </c>
      <c r="DL115" s="189">
        <f t="shared" si="125"/>
        <v>9547.9722715756288</v>
      </c>
      <c r="DM115" s="189"/>
      <c r="DN115" s="189"/>
      <c r="DO115" s="189"/>
      <c r="DP115" s="189"/>
      <c r="DQ115" s="189"/>
      <c r="DR115" s="189"/>
      <c r="DS115" s="186">
        <f t="shared" si="126"/>
        <v>3382217.4143459047</v>
      </c>
      <c r="DT115" s="1" t="b">
        <f t="shared" si="87"/>
        <v>1</v>
      </c>
      <c r="DU115" s="247" t="str">
        <f t="shared" si="170"/>
        <v>Edwin Francis Kordun</v>
      </c>
      <c r="DV115" s="249">
        <f t="shared" si="171"/>
        <v>3382217.4143459047</v>
      </c>
      <c r="DW115" s="248">
        <f t="shared" si="172"/>
        <v>82217.414345904719</v>
      </c>
      <c r="DZ115" s="1">
        <f t="shared" si="88"/>
        <v>0</v>
      </c>
      <c r="EB115" s="1">
        <f t="shared" si="89"/>
        <v>0</v>
      </c>
    </row>
    <row r="116" spans="1:132" x14ac:dyDescent="0.35">
      <c r="A116" s="311" t="s">
        <v>882</v>
      </c>
      <c r="B116" s="7" t="s">
        <v>884</v>
      </c>
      <c r="C116" s="522" t="s">
        <v>1237</v>
      </c>
      <c r="D116" s="71"/>
      <c r="E116" s="11"/>
      <c r="F116" s="11"/>
      <c r="G116" s="11"/>
      <c r="H116" s="11"/>
      <c r="I116" s="545"/>
      <c r="J116" s="545"/>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7"/>
      <c r="BK116" s="7"/>
      <c r="BL116" s="7"/>
      <c r="BM116" s="7"/>
      <c r="BN116" s="7"/>
      <c r="BO116" s="11"/>
      <c r="BP116" s="202"/>
      <c r="BQ116" s="7"/>
      <c r="BR116" s="202"/>
      <c r="BS116" s="178"/>
      <c r="BT116" s="202"/>
      <c r="BU116" s="7"/>
      <c r="BV116" s="7"/>
      <c r="BW116" s="7"/>
      <c r="BX116" s="7"/>
      <c r="BY116" s="71"/>
      <c r="BZ116" s="7"/>
      <c r="CA116" s="71"/>
      <c r="CB116" s="7"/>
      <c r="CC116" s="71"/>
      <c r="CD116" s="7"/>
      <c r="CE116" s="71">
        <v>46199</v>
      </c>
      <c r="CF116" s="7">
        <v>3300000</v>
      </c>
      <c r="CG116" s="71">
        <v>46227</v>
      </c>
      <c r="CH116" s="7">
        <v>3000000</v>
      </c>
      <c r="CI116" s="7"/>
      <c r="CJ116" s="7"/>
      <c r="CK116" s="7"/>
      <c r="CL116" s="7"/>
      <c r="CM116" s="7">
        <f t="shared" si="112"/>
        <v>6300000</v>
      </c>
      <c r="CN116" s="7">
        <f t="shared" si="113"/>
        <v>6300000</v>
      </c>
      <c r="CO116" s="7"/>
      <c r="CP116" s="286"/>
      <c r="CQ116" s="7"/>
      <c r="CR116" s="7"/>
      <c r="CS116" s="7"/>
      <c r="CT116" s="7"/>
      <c r="CU116" s="7"/>
      <c r="CV116" s="7"/>
      <c r="CW116" s="7"/>
      <c r="CX116" s="7"/>
      <c r="CY116" s="189"/>
      <c r="CZ116" s="388"/>
      <c r="DA116" s="189"/>
      <c r="DB116" s="189"/>
      <c r="DC116" s="189"/>
      <c r="DD116" s="189"/>
      <c r="DE116" s="189">
        <f t="shared" si="121"/>
        <v>3300000</v>
      </c>
      <c r="DF116" s="189">
        <f t="shared" si="122"/>
        <v>8848.0542269404486</v>
      </c>
      <c r="DG116" s="189">
        <f t="shared" si="123"/>
        <v>29543.585174328473</v>
      </c>
      <c r="DH116" s="189">
        <v>6338391.6394012691</v>
      </c>
      <c r="DI116" s="189">
        <f>'Member position mfumo and excel'!F118</f>
        <v>6338391.6399999997</v>
      </c>
      <c r="DJ116" s="189">
        <f t="shared" si="92"/>
        <v>-5.9873051941394806E-4</v>
      </c>
      <c r="DK116" s="189">
        <f t="shared" si="124"/>
        <v>65081.081355372895</v>
      </c>
      <c r="DL116" s="189">
        <f t="shared" si="125"/>
        <v>18128.127001373628</v>
      </c>
      <c r="DM116" s="189"/>
      <c r="DN116" s="189"/>
      <c r="DO116" s="189"/>
      <c r="DP116" s="189"/>
      <c r="DQ116" s="189"/>
      <c r="DR116" s="189"/>
      <c r="DS116" s="186">
        <f t="shared" si="126"/>
        <v>6421600.8477580156</v>
      </c>
      <c r="DT116" s="1" t="b">
        <f t="shared" si="87"/>
        <v>1</v>
      </c>
      <c r="DU116" s="247" t="str">
        <f t="shared" ref="DU116:DU117" si="173">B116</f>
        <v>Calvin Francis Masao</v>
      </c>
      <c r="DV116" s="249">
        <f t="shared" ref="DV116:DV117" si="174">DS116</f>
        <v>6421600.8477580156</v>
      </c>
      <c r="DW116" s="248">
        <f t="shared" ref="DW116:DW117" si="175">DS116-CN116</f>
        <v>121600.84775801562</v>
      </c>
      <c r="DZ116" s="1">
        <f t="shared" si="88"/>
        <v>0</v>
      </c>
      <c r="EB116" s="1">
        <f t="shared" si="89"/>
        <v>0</v>
      </c>
    </row>
    <row r="117" spans="1:132" x14ac:dyDescent="0.35">
      <c r="A117" s="311" t="s">
        <v>883</v>
      </c>
      <c r="B117" s="7" t="s">
        <v>885</v>
      </c>
      <c r="C117" s="522" t="s">
        <v>1238</v>
      </c>
      <c r="D117" s="71"/>
      <c r="E117" s="11"/>
      <c r="F117" s="11"/>
      <c r="G117" s="11"/>
      <c r="H117" s="11"/>
      <c r="I117" s="545"/>
      <c r="J117" s="545"/>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7"/>
      <c r="BK117" s="7"/>
      <c r="BL117" s="7"/>
      <c r="BM117" s="7"/>
      <c r="BN117" s="7"/>
      <c r="BO117" s="11"/>
      <c r="BP117" s="202"/>
      <c r="BQ117" s="7"/>
      <c r="BR117" s="202"/>
      <c r="BS117" s="178"/>
      <c r="BT117" s="202"/>
      <c r="BU117" s="7"/>
      <c r="BV117" s="7"/>
      <c r="BW117" s="7"/>
      <c r="BX117" s="7"/>
      <c r="BY117" s="71"/>
      <c r="BZ117" s="7"/>
      <c r="CA117" s="71"/>
      <c r="CB117" s="7"/>
      <c r="CC117" s="71"/>
      <c r="CD117" s="7"/>
      <c r="CE117" s="71">
        <v>46199</v>
      </c>
      <c r="CF117" s="7">
        <v>3300000</v>
      </c>
      <c r="CG117" s="71">
        <v>46231</v>
      </c>
      <c r="CH117" s="7">
        <f>600000</f>
        <v>600000</v>
      </c>
      <c r="CI117" s="7"/>
      <c r="CJ117" s="7"/>
      <c r="CK117" s="7"/>
      <c r="CL117" s="7"/>
      <c r="CM117" s="7">
        <f t="shared" si="112"/>
        <v>3900000</v>
      </c>
      <c r="CN117" s="7">
        <f t="shared" si="113"/>
        <v>3900000</v>
      </c>
      <c r="CO117" s="7"/>
      <c r="CP117" s="286"/>
      <c r="CQ117" s="7"/>
      <c r="CR117" s="7"/>
      <c r="CS117" s="7"/>
      <c r="CT117" s="7"/>
      <c r="CU117" s="7"/>
      <c r="CV117" s="7"/>
      <c r="CW117" s="7"/>
      <c r="CX117" s="7"/>
      <c r="CY117" s="189"/>
      <c r="CZ117" s="388"/>
      <c r="DA117" s="189"/>
      <c r="DB117" s="189"/>
      <c r="DC117" s="189"/>
      <c r="DD117" s="189"/>
      <c r="DE117" s="189">
        <f t="shared" si="121"/>
        <v>3300000</v>
      </c>
      <c r="DF117" s="189">
        <f t="shared" si="122"/>
        <v>8848.0542269404486</v>
      </c>
      <c r="DG117" s="189">
        <f t="shared" si="123"/>
        <v>29543.585174328473</v>
      </c>
      <c r="DH117" s="189">
        <v>3938391.6394012691</v>
      </c>
      <c r="DI117" s="189">
        <f>'Member position mfumo and excel'!F119</f>
        <v>3938391.64</v>
      </c>
      <c r="DJ117" s="189">
        <f t="shared" si="92"/>
        <v>-5.9873098507523537E-4</v>
      </c>
      <c r="DK117" s="189">
        <f t="shared" si="124"/>
        <v>40438.45840952266</v>
      </c>
      <c r="DL117" s="189">
        <f t="shared" si="125"/>
        <v>11264.003217535228</v>
      </c>
      <c r="DM117" s="189"/>
      <c r="DN117" s="189"/>
      <c r="DO117" s="189"/>
      <c r="DP117" s="189"/>
      <c r="DQ117" s="189"/>
      <c r="DR117" s="189"/>
      <c r="DS117" s="186">
        <f t="shared" si="126"/>
        <v>3990094.1010283269</v>
      </c>
      <c r="DT117" s="1" t="b">
        <f t="shared" si="87"/>
        <v>1</v>
      </c>
      <c r="DU117" s="247" t="str">
        <f t="shared" si="173"/>
        <v>Nyirabu Zablon Musira</v>
      </c>
      <c r="DV117" s="249">
        <f t="shared" si="174"/>
        <v>3990094.1010283269</v>
      </c>
      <c r="DW117" s="248">
        <f t="shared" si="175"/>
        <v>90094.101028326899</v>
      </c>
      <c r="DZ117" s="1">
        <f t="shared" si="88"/>
        <v>0</v>
      </c>
      <c r="EB117" s="1">
        <f t="shared" si="89"/>
        <v>0</v>
      </c>
    </row>
    <row r="118" spans="1:132" x14ac:dyDescent="0.35">
      <c r="A118" s="311" t="s">
        <v>901</v>
      </c>
      <c r="B118" s="7" t="s">
        <v>902</v>
      </c>
      <c r="C118" s="522" t="s">
        <v>1215</v>
      </c>
      <c r="D118" s="71"/>
      <c r="E118" s="11"/>
      <c r="F118" s="11"/>
      <c r="G118" s="11"/>
      <c r="H118" s="11"/>
      <c r="I118" s="545"/>
      <c r="J118" s="545"/>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7"/>
      <c r="BK118" s="7"/>
      <c r="BL118" s="7"/>
      <c r="BM118" s="7"/>
      <c r="BN118" s="7"/>
      <c r="BO118" s="11"/>
      <c r="BP118" s="202"/>
      <c r="BQ118" s="7"/>
      <c r="BR118" s="202"/>
      <c r="BS118" s="178"/>
      <c r="BT118" s="202"/>
      <c r="BU118" s="7"/>
      <c r="BV118" s="7"/>
      <c r="BW118" s="7"/>
      <c r="BX118" s="7"/>
      <c r="BY118" s="71"/>
      <c r="BZ118" s="7"/>
      <c r="CA118" s="71"/>
      <c r="CB118" s="7"/>
      <c r="CC118" s="71"/>
      <c r="CD118" s="7"/>
      <c r="CE118" s="71">
        <v>46200</v>
      </c>
      <c r="CF118" s="7">
        <v>5000000</v>
      </c>
      <c r="CG118" s="71">
        <v>46229</v>
      </c>
      <c r="CH118" s="7">
        <v>5000000</v>
      </c>
      <c r="CI118" s="7"/>
      <c r="CJ118" s="7"/>
      <c r="CK118" s="7"/>
      <c r="CL118" s="7"/>
      <c r="CM118" s="7">
        <f t="shared" si="112"/>
        <v>10000000</v>
      </c>
      <c r="CN118" s="7">
        <f t="shared" si="113"/>
        <v>10000000</v>
      </c>
      <c r="CO118" s="7"/>
      <c r="CP118" s="286"/>
      <c r="CQ118" s="7"/>
      <c r="CR118" s="7"/>
      <c r="CS118" s="7"/>
      <c r="CT118" s="7"/>
      <c r="CU118" s="7"/>
      <c r="CV118" s="7"/>
      <c r="CW118" s="7"/>
      <c r="CX118" s="7"/>
      <c r="CY118" s="189"/>
      <c r="CZ118" s="388"/>
      <c r="DA118" s="189"/>
      <c r="DB118" s="189"/>
      <c r="DC118" s="189"/>
      <c r="DD118" s="189"/>
      <c r="DE118" s="189">
        <f t="shared" si="121"/>
        <v>5000000</v>
      </c>
      <c r="DF118" s="189">
        <f t="shared" si="122"/>
        <v>13406.142768091588</v>
      </c>
      <c r="DG118" s="189">
        <f t="shared" si="123"/>
        <v>44763.007839891623</v>
      </c>
      <c r="DH118" s="189">
        <v>10058169.150607985</v>
      </c>
      <c r="DI118" s="189">
        <f>'Member position mfumo and excel'!F120</f>
        <v>10058169.15</v>
      </c>
      <c r="DJ118" s="189">
        <f t="shared" si="92"/>
        <v>6.0798414051532745E-4</v>
      </c>
      <c r="DK118" s="189">
        <f t="shared" si="124"/>
        <v>103274.86246000632</v>
      </c>
      <c r="DL118" s="189">
        <f t="shared" si="125"/>
        <v>28766.882536899135</v>
      </c>
      <c r="DM118" s="189"/>
      <c r="DN118" s="189"/>
      <c r="DO118" s="189"/>
      <c r="DP118" s="189"/>
      <c r="DQ118" s="189"/>
      <c r="DR118" s="189"/>
      <c r="DS118" s="186">
        <f t="shared" si="126"/>
        <v>10190210.89560489</v>
      </c>
      <c r="DT118" s="1" t="b">
        <f t="shared" si="87"/>
        <v>1</v>
      </c>
      <c r="DU118" s="247" t="str">
        <f t="shared" ref="DU118" si="176">B118</f>
        <v xml:space="preserve">Kajiru Gad Kilonzo </v>
      </c>
      <c r="DV118" s="249">
        <f t="shared" ref="DV118" si="177">DS118</f>
        <v>10190210.89560489</v>
      </c>
      <c r="DW118" s="248">
        <f t="shared" ref="DW118" si="178">DS118-CN118</f>
        <v>190210.89560488984</v>
      </c>
      <c r="DZ118" s="1">
        <f t="shared" si="88"/>
        <v>0</v>
      </c>
      <c r="EB118" s="1">
        <f t="shared" si="89"/>
        <v>0</v>
      </c>
    </row>
    <row r="119" spans="1:132" x14ac:dyDescent="0.35">
      <c r="A119" s="311" t="s">
        <v>910</v>
      </c>
      <c r="B119" s="7" t="s">
        <v>911</v>
      </c>
      <c r="C119" s="522" t="s">
        <v>1216</v>
      </c>
      <c r="D119" s="71"/>
      <c r="E119" s="11"/>
      <c r="F119" s="11"/>
      <c r="G119" s="11"/>
      <c r="H119" s="11"/>
      <c r="I119" s="545"/>
      <c r="J119" s="545"/>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7"/>
      <c r="BK119" s="7"/>
      <c r="BL119" s="7"/>
      <c r="BM119" s="7"/>
      <c r="BN119" s="7"/>
      <c r="BO119" s="11"/>
      <c r="BP119" s="202"/>
      <c r="BQ119" s="7"/>
      <c r="BR119" s="202"/>
      <c r="BS119" s="178"/>
      <c r="BT119" s="202"/>
      <c r="BU119" s="7"/>
      <c r="BV119" s="7"/>
      <c r="BW119" s="7"/>
      <c r="BX119" s="7"/>
      <c r="BY119" s="71"/>
      <c r="BZ119" s="7"/>
      <c r="CA119" s="71"/>
      <c r="CB119" s="7"/>
      <c r="CC119" s="71"/>
      <c r="CD119" s="7"/>
      <c r="CE119" s="71">
        <v>46200</v>
      </c>
      <c r="CF119" s="7">
        <v>5000000</v>
      </c>
      <c r="CG119" s="7"/>
      <c r="CH119" s="7"/>
      <c r="CI119" s="7"/>
      <c r="CJ119" s="7"/>
      <c r="CK119" s="7"/>
      <c r="CL119" s="7"/>
      <c r="CM119" s="7">
        <f t="shared" si="112"/>
        <v>5000000</v>
      </c>
      <c r="CN119" s="7">
        <f t="shared" si="113"/>
        <v>5000000</v>
      </c>
      <c r="CO119" s="7"/>
      <c r="CP119" s="286"/>
      <c r="CQ119" s="7"/>
      <c r="CR119" s="7"/>
      <c r="CS119" s="7"/>
      <c r="CT119" s="7"/>
      <c r="CU119" s="7"/>
      <c r="CV119" s="7"/>
      <c r="CW119" s="7"/>
      <c r="CX119" s="7"/>
      <c r="CY119" s="189"/>
      <c r="CZ119" s="388"/>
      <c r="DA119" s="189"/>
      <c r="DB119" s="189"/>
      <c r="DC119" s="189"/>
      <c r="DD119" s="189"/>
      <c r="DE119" s="189">
        <f t="shared" si="121"/>
        <v>5000000</v>
      </c>
      <c r="DF119" s="189">
        <f t="shared" si="122"/>
        <v>13406.142768091588</v>
      </c>
      <c r="DG119" s="189">
        <f t="shared" si="123"/>
        <v>44763.007839891623</v>
      </c>
      <c r="DH119" s="189">
        <v>5058169.1506079836</v>
      </c>
      <c r="DI119" s="189">
        <f>'Member position mfumo and excel'!F121</f>
        <v>5058169.1500000004</v>
      </c>
      <c r="DJ119" s="189">
        <f t="shared" si="92"/>
        <v>6.0798320919275284E-4</v>
      </c>
      <c r="DK119" s="189">
        <f t="shared" si="124"/>
        <v>51936.064656151677</v>
      </c>
      <c r="DL119" s="189">
        <f t="shared" si="125"/>
        <v>14466.624653902469</v>
      </c>
      <c r="DM119" s="189"/>
      <c r="DN119" s="189"/>
      <c r="DO119" s="189"/>
      <c r="DP119" s="189"/>
      <c r="DQ119" s="189"/>
      <c r="DR119" s="189"/>
      <c r="DS119" s="186">
        <f t="shared" si="126"/>
        <v>5124571.8399180379</v>
      </c>
      <c r="DT119" s="1" t="b">
        <f t="shared" si="87"/>
        <v>1</v>
      </c>
      <c r="DU119" s="247" t="str">
        <f t="shared" ref="DU119" si="179">B119</f>
        <v>Vicent Athumani Tango</v>
      </c>
      <c r="DV119" s="249">
        <f t="shared" ref="DV119" si="180">DS119</f>
        <v>5124571.8399180379</v>
      </c>
      <c r="DW119" s="248">
        <f t="shared" ref="DW119" si="181">DS119-CN119</f>
        <v>124571.83991803788</v>
      </c>
      <c r="DZ119" s="1">
        <f t="shared" si="88"/>
        <v>0</v>
      </c>
      <c r="EB119" s="1">
        <f t="shared" si="89"/>
        <v>0</v>
      </c>
    </row>
    <row r="120" spans="1:132" x14ac:dyDescent="0.35">
      <c r="A120" s="311" t="s">
        <v>912</v>
      </c>
      <c r="B120" s="7" t="s">
        <v>914</v>
      </c>
      <c r="C120" s="522" t="s">
        <v>1217</v>
      </c>
      <c r="D120" s="71"/>
      <c r="E120" s="11"/>
      <c r="F120" s="11"/>
      <c r="G120" s="11"/>
      <c r="H120" s="11"/>
      <c r="I120" s="545"/>
      <c r="J120" s="545"/>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7"/>
      <c r="BK120" s="7"/>
      <c r="BL120" s="7"/>
      <c r="BM120" s="7"/>
      <c r="BN120" s="7"/>
      <c r="BO120" s="11"/>
      <c r="BP120" s="202"/>
      <c r="BQ120" s="7"/>
      <c r="BR120" s="202"/>
      <c r="BS120" s="178"/>
      <c r="BT120" s="202"/>
      <c r="BU120" s="7"/>
      <c r="BV120" s="7"/>
      <c r="BW120" s="7"/>
      <c r="BX120" s="7"/>
      <c r="BY120" s="71"/>
      <c r="BZ120" s="7"/>
      <c r="CA120" s="71"/>
      <c r="CB120" s="7"/>
      <c r="CC120" s="71"/>
      <c r="CD120" s="7"/>
      <c r="CE120" s="71">
        <v>46201</v>
      </c>
      <c r="CF120" s="7">
        <f>3300000+1700000+5000000</f>
        <v>10000000</v>
      </c>
      <c r="CG120" s="71">
        <v>46218</v>
      </c>
      <c r="CH120" s="7">
        <f>5000000+5000000</f>
        <v>10000000</v>
      </c>
      <c r="CI120" s="7"/>
      <c r="CJ120" s="7"/>
      <c r="CK120" s="7"/>
      <c r="CL120" s="7"/>
      <c r="CM120" s="7">
        <f t="shared" si="112"/>
        <v>20000000</v>
      </c>
      <c r="CN120" s="7">
        <f t="shared" si="113"/>
        <v>20000000</v>
      </c>
      <c r="CO120" s="7"/>
      <c r="CP120" s="286"/>
      <c r="CQ120" s="7"/>
      <c r="CR120" s="7"/>
      <c r="CS120" s="7"/>
      <c r="CT120" s="7"/>
      <c r="CU120" s="7"/>
      <c r="CV120" s="7"/>
      <c r="CW120" s="7"/>
      <c r="CX120" s="7"/>
      <c r="CY120" s="189"/>
      <c r="CZ120" s="388"/>
      <c r="DA120" s="189"/>
      <c r="DB120" s="189"/>
      <c r="DC120" s="189"/>
      <c r="DD120" s="189"/>
      <c r="DE120" s="189">
        <f t="shared" si="121"/>
        <v>10000000</v>
      </c>
      <c r="DF120" s="189">
        <f t="shared" si="122"/>
        <v>26812.285536183175</v>
      </c>
      <c r="DG120" s="189">
        <f t="shared" si="123"/>
        <v>89526.015679783246</v>
      </c>
      <c r="DH120" s="189">
        <v>20116338.301215969</v>
      </c>
      <c r="DI120" s="189">
        <f>'Member position mfumo and excel'!F122</f>
        <v>20116338.309999999</v>
      </c>
      <c r="DJ120" s="189">
        <f t="shared" si="92"/>
        <v>-8.784029632806778E-3</v>
      </c>
      <c r="DK120" s="189">
        <f t="shared" si="124"/>
        <v>206549.72492001264</v>
      </c>
      <c r="DL120" s="189">
        <f t="shared" si="125"/>
        <v>57533.765073798269</v>
      </c>
      <c r="DM120" s="189"/>
      <c r="DN120" s="189"/>
      <c r="DO120" s="189"/>
      <c r="DP120" s="189"/>
      <c r="DQ120" s="189"/>
      <c r="DR120" s="189"/>
      <c r="DS120" s="186">
        <f t="shared" si="126"/>
        <v>20380421.79120978</v>
      </c>
      <c r="DT120" s="1" t="b">
        <f t="shared" si="87"/>
        <v>1</v>
      </c>
      <c r="DU120" s="247" t="str">
        <f t="shared" ref="DU120" si="182">B120</f>
        <v>Prosper Gunze Nambaya</v>
      </c>
      <c r="DV120" s="249">
        <f t="shared" ref="DV120" si="183">DS120</f>
        <v>20380421.79120978</v>
      </c>
      <c r="DW120" s="248">
        <f t="shared" ref="DW120" si="184">DS120-CN120</f>
        <v>380421.79120977968</v>
      </c>
      <c r="DZ120" s="1">
        <f t="shared" si="88"/>
        <v>0</v>
      </c>
      <c r="EB120" s="1">
        <f t="shared" si="89"/>
        <v>0</v>
      </c>
    </row>
    <row r="121" spans="1:132" x14ac:dyDescent="0.35">
      <c r="A121" s="311" t="s">
        <v>913</v>
      </c>
      <c r="B121" s="7" t="s">
        <v>915</v>
      </c>
      <c r="C121" s="522" t="s">
        <v>1218</v>
      </c>
      <c r="D121" s="71"/>
      <c r="E121" s="11"/>
      <c r="F121" s="11"/>
      <c r="G121" s="11"/>
      <c r="H121" s="11"/>
      <c r="I121" s="545"/>
      <c r="J121" s="545"/>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7"/>
      <c r="BK121" s="7"/>
      <c r="BL121" s="7"/>
      <c r="BM121" s="7"/>
      <c r="BN121" s="7"/>
      <c r="BO121" s="11"/>
      <c r="BP121" s="202"/>
      <c r="BQ121" s="7"/>
      <c r="BR121" s="202"/>
      <c r="BS121" s="178"/>
      <c r="BT121" s="202"/>
      <c r="BU121" s="7"/>
      <c r="BV121" s="7"/>
      <c r="BW121" s="7"/>
      <c r="BX121" s="7"/>
      <c r="BY121" s="71"/>
      <c r="BZ121" s="7"/>
      <c r="CA121" s="71"/>
      <c r="CB121" s="7"/>
      <c r="CC121" s="71"/>
      <c r="CD121" s="7"/>
      <c r="CE121" s="71">
        <v>46201</v>
      </c>
      <c r="CF121" s="7">
        <f>1000000+2600000</f>
        <v>3600000</v>
      </c>
      <c r="CG121" s="71">
        <v>46231</v>
      </c>
      <c r="CH121" s="7">
        <v>2000</v>
      </c>
      <c r="CI121" s="7"/>
      <c r="CJ121" s="7"/>
      <c r="CK121" s="7"/>
      <c r="CL121" s="7"/>
      <c r="CM121" s="7">
        <f t="shared" si="112"/>
        <v>3602000</v>
      </c>
      <c r="CN121" s="7">
        <f t="shared" si="113"/>
        <v>3602000</v>
      </c>
      <c r="CO121" s="7"/>
      <c r="CP121" s="286"/>
      <c r="CQ121" s="7"/>
      <c r="CR121" s="7"/>
      <c r="CS121" s="7"/>
      <c r="CT121" s="7"/>
      <c r="CU121" s="7"/>
      <c r="CV121" s="7"/>
      <c r="CW121" s="7"/>
      <c r="CX121" s="7"/>
      <c r="CY121" s="189"/>
      <c r="CZ121" s="388"/>
      <c r="DA121" s="189"/>
      <c r="DB121" s="189"/>
      <c r="DC121" s="189"/>
      <c r="DD121" s="189"/>
      <c r="DE121" s="189">
        <f t="shared" si="121"/>
        <v>3600000</v>
      </c>
      <c r="DF121" s="189">
        <f t="shared" si="122"/>
        <v>9652.422793025944</v>
      </c>
      <c r="DG121" s="189">
        <f t="shared" si="123"/>
        <v>32229.365644721969</v>
      </c>
      <c r="DH121" s="189">
        <v>3643881.7884377479</v>
      </c>
      <c r="DI121" s="189">
        <f>'Member position mfumo and excel'!F123</f>
        <v>3643881.79</v>
      </c>
      <c r="DJ121" s="189">
        <f t="shared" si="92"/>
        <v>-1.5622521750628948E-3</v>
      </c>
      <c r="DK121" s="189">
        <f t="shared" si="124"/>
        <v>37414.502071550749</v>
      </c>
      <c r="DL121" s="189">
        <f t="shared" si="125"/>
        <v>10421.689853962976</v>
      </c>
      <c r="DM121" s="189"/>
      <c r="DN121" s="189"/>
      <c r="DO121" s="189"/>
      <c r="DP121" s="189"/>
      <c r="DQ121" s="189"/>
      <c r="DR121" s="189"/>
      <c r="DS121" s="186">
        <f t="shared" si="126"/>
        <v>3691717.9803632614</v>
      </c>
      <c r="DT121" s="1" t="b">
        <f t="shared" si="87"/>
        <v>1</v>
      </c>
      <c r="DU121" s="247" t="str">
        <f t="shared" ref="DU121" si="185">B121</f>
        <v xml:space="preserve">Goodwil D. Nambaya </v>
      </c>
      <c r="DV121" s="249">
        <f t="shared" ref="DV121" si="186">DS121</f>
        <v>3691717.9803632614</v>
      </c>
      <c r="DW121" s="248">
        <f t="shared" ref="DW121" si="187">DS121-CN121</f>
        <v>89717.98036326142</v>
      </c>
      <c r="DZ121" s="1">
        <f t="shared" si="88"/>
        <v>0</v>
      </c>
      <c r="EB121" s="1">
        <f t="shared" si="89"/>
        <v>0</v>
      </c>
    </row>
    <row r="122" spans="1:132" x14ac:dyDescent="0.35">
      <c r="A122" s="311" t="s">
        <v>916</v>
      </c>
      <c r="B122" s="7" t="s">
        <v>917</v>
      </c>
      <c r="C122" s="522" t="s">
        <v>1219</v>
      </c>
      <c r="D122" s="71"/>
      <c r="E122" s="11"/>
      <c r="F122" s="11"/>
      <c r="G122" s="11"/>
      <c r="H122" s="11"/>
      <c r="I122" s="545"/>
      <c r="J122" s="545"/>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7"/>
      <c r="BK122" s="7"/>
      <c r="BL122" s="7"/>
      <c r="BM122" s="7"/>
      <c r="BN122" s="7"/>
      <c r="BO122" s="11"/>
      <c r="BP122" s="202"/>
      <c r="BQ122" s="7"/>
      <c r="BR122" s="202"/>
      <c r="BS122" s="178"/>
      <c r="BT122" s="202"/>
      <c r="BU122" s="7"/>
      <c r="BV122" s="7"/>
      <c r="BW122" s="7"/>
      <c r="BX122" s="7"/>
      <c r="BY122" s="71"/>
      <c r="BZ122" s="7"/>
      <c r="CA122" s="71"/>
      <c r="CB122" s="7"/>
      <c r="CC122" s="71"/>
      <c r="CD122" s="7"/>
      <c r="CE122" s="71">
        <v>46202</v>
      </c>
      <c r="CF122" s="7">
        <v>7000000</v>
      </c>
      <c r="CG122" s="71">
        <v>46226</v>
      </c>
      <c r="CH122" s="7">
        <v>6300000</v>
      </c>
      <c r="CI122" s="7"/>
      <c r="CJ122" s="7"/>
      <c r="CK122" s="7"/>
      <c r="CL122" s="7"/>
      <c r="CM122" s="7">
        <f t="shared" si="112"/>
        <v>13300000</v>
      </c>
      <c r="CN122" s="7">
        <f t="shared" si="113"/>
        <v>13300000</v>
      </c>
      <c r="CO122" s="7"/>
      <c r="CP122" s="286"/>
      <c r="CQ122" s="7"/>
      <c r="CR122" s="7"/>
      <c r="CS122" s="7"/>
      <c r="CT122" s="7"/>
      <c r="CU122" s="7"/>
      <c r="CV122" s="7"/>
      <c r="CW122" s="7"/>
      <c r="CX122" s="7"/>
      <c r="CY122" s="189"/>
      <c r="CZ122" s="388"/>
      <c r="DA122" s="189"/>
      <c r="DB122" s="189"/>
      <c r="DC122" s="189"/>
      <c r="DD122" s="189"/>
      <c r="DE122" s="189">
        <f t="shared" si="121"/>
        <v>7000000</v>
      </c>
      <c r="DF122" s="189">
        <f t="shared" si="122"/>
        <v>18768.599875328226</v>
      </c>
      <c r="DG122" s="189">
        <f t="shared" si="123"/>
        <v>62668.210975848277</v>
      </c>
      <c r="DH122" s="189">
        <v>13381436.810851177</v>
      </c>
      <c r="DI122" s="189">
        <f>'Member position mfumo and excel'!F124</f>
        <v>13381436.810000001</v>
      </c>
      <c r="DJ122" s="189">
        <f t="shared" si="92"/>
        <v>8.511766791343689E-4</v>
      </c>
      <c r="DK122" s="189">
        <f t="shared" si="124"/>
        <v>137397.3757514692</v>
      </c>
      <c r="DL122" s="189">
        <f t="shared" si="125"/>
        <v>38271.599448039255</v>
      </c>
      <c r="DM122" s="189"/>
      <c r="DN122" s="189"/>
      <c r="DO122" s="189"/>
      <c r="DP122" s="189"/>
      <c r="DQ122" s="189"/>
      <c r="DR122" s="189"/>
      <c r="DS122" s="186">
        <f t="shared" si="126"/>
        <v>13557105.786050687</v>
      </c>
      <c r="DT122" s="1" t="b">
        <f t="shared" si="87"/>
        <v>1</v>
      </c>
      <c r="DU122" s="247" t="str">
        <f t="shared" ref="DU122" si="188">B122</f>
        <v>Deodati Kaishe Donati</v>
      </c>
      <c r="DV122" s="249">
        <f t="shared" ref="DV122" si="189">DS122</f>
        <v>13557105.786050687</v>
      </c>
      <c r="DW122" s="248">
        <f t="shared" ref="DW122" si="190">DS122-CN122</f>
        <v>257105.78605068661</v>
      </c>
      <c r="DZ122" s="1">
        <f t="shared" si="88"/>
        <v>0</v>
      </c>
      <c r="EB122" s="1">
        <f t="shared" si="89"/>
        <v>0</v>
      </c>
    </row>
    <row r="123" spans="1:132" x14ac:dyDescent="0.35">
      <c r="A123" s="311" t="s">
        <v>920</v>
      </c>
      <c r="B123" s="7" t="s">
        <v>921</v>
      </c>
      <c r="C123" s="522" t="s">
        <v>1220</v>
      </c>
      <c r="D123" s="71"/>
      <c r="E123" s="11"/>
      <c r="F123" s="11"/>
      <c r="G123" s="11"/>
      <c r="H123" s="11"/>
      <c r="I123" s="545"/>
      <c r="J123" s="545"/>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7"/>
      <c r="BK123" s="7"/>
      <c r="BL123" s="7"/>
      <c r="BM123" s="7"/>
      <c r="BN123" s="7"/>
      <c r="BO123" s="11"/>
      <c r="BP123" s="202"/>
      <c r="BQ123" s="7"/>
      <c r="BR123" s="202"/>
      <c r="BS123" s="178"/>
      <c r="BT123" s="202"/>
      <c r="BU123" s="7"/>
      <c r="BV123" s="7"/>
      <c r="BW123" s="7"/>
      <c r="BX123" s="7"/>
      <c r="BY123" s="71"/>
      <c r="BZ123" s="7"/>
      <c r="CA123" s="71"/>
      <c r="CB123" s="7"/>
      <c r="CC123" s="71"/>
      <c r="CD123" s="7"/>
      <c r="CE123" s="71">
        <v>46202</v>
      </c>
      <c r="CF123" s="7">
        <v>3400000</v>
      </c>
      <c r="CG123" s="71">
        <v>46227</v>
      </c>
      <c r="CH123" s="7">
        <v>2000000</v>
      </c>
      <c r="CI123" s="7"/>
      <c r="CJ123" s="7"/>
      <c r="CK123" s="7"/>
      <c r="CL123" s="7"/>
      <c r="CM123" s="7">
        <f t="shared" si="112"/>
        <v>5400000</v>
      </c>
      <c r="CN123" s="7">
        <f t="shared" si="113"/>
        <v>5400000</v>
      </c>
      <c r="CO123" s="7"/>
      <c r="CP123" s="286"/>
      <c r="CQ123" s="7"/>
      <c r="CR123" s="7"/>
      <c r="CS123" s="7"/>
      <c r="CT123" s="7"/>
      <c r="CU123" s="7"/>
      <c r="CV123" s="7"/>
      <c r="CW123" s="7"/>
      <c r="CX123" s="7"/>
      <c r="CY123" s="189"/>
      <c r="CZ123" s="388"/>
      <c r="DA123" s="189"/>
      <c r="DB123" s="189"/>
      <c r="DC123" s="189"/>
      <c r="DD123" s="189"/>
      <c r="DE123" s="189">
        <f t="shared" si="121"/>
        <v>3400000</v>
      </c>
      <c r="DF123" s="189">
        <f t="shared" si="122"/>
        <v>9116.1770823022798</v>
      </c>
      <c r="DG123" s="189">
        <f t="shared" si="123"/>
        <v>30438.845331126304</v>
      </c>
      <c r="DH123" s="189">
        <v>5439555.0224134279</v>
      </c>
      <c r="DI123" s="189">
        <f>'Member position mfumo and excel'!F125</f>
        <v>5439555.0300000003</v>
      </c>
      <c r="DJ123" s="189">
        <f t="shared" si="92"/>
        <v>-7.5865723192691803E-3</v>
      </c>
      <c r="DK123" s="189">
        <f t="shared" si="124"/>
        <v>55852.043087724982</v>
      </c>
      <c r="DL123" s="189">
        <f t="shared" si="125"/>
        <v>15557.407917852341</v>
      </c>
      <c r="DM123" s="189"/>
      <c r="DN123" s="189"/>
      <c r="DO123" s="189"/>
      <c r="DP123" s="189"/>
      <c r="DQ123" s="189"/>
      <c r="DR123" s="189"/>
      <c r="DS123" s="186">
        <f t="shared" si="126"/>
        <v>5510964.4734190051</v>
      </c>
      <c r="DT123" s="1" t="b">
        <f t="shared" si="87"/>
        <v>1</v>
      </c>
      <c r="DU123" s="247" t="str">
        <f t="shared" ref="DU123" si="191">B123</f>
        <v xml:space="preserve">Dismas Prosper Batiri </v>
      </c>
      <c r="DV123" s="249">
        <f t="shared" ref="DV123" si="192">DS123</f>
        <v>5510964.4734190051</v>
      </c>
      <c r="DW123" s="248">
        <f t="shared" ref="DW123" si="193">DS123-CN123</f>
        <v>110964.47341900505</v>
      </c>
      <c r="DZ123" s="1">
        <f t="shared" si="88"/>
        <v>0</v>
      </c>
      <c r="EB123" s="1">
        <f t="shared" si="89"/>
        <v>0</v>
      </c>
    </row>
    <row r="124" spans="1:132" x14ac:dyDescent="0.35">
      <c r="A124" s="311" t="s">
        <v>923</v>
      </c>
      <c r="B124" s="7" t="s">
        <v>924</v>
      </c>
      <c r="C124" s="522" t="s">
        <v>1221</v>
      </c>
      <c r="D124" s="71"/>
      <c r="E124" s="11"/>
      <c r="F124" s="11"/>
      <c r="G124" s="11"/>
      <c r="H124" s="11"/>
      <c r="I124" s="545"/>
      <c r="J124" s="545"/>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7"/>
      <c r="BK124" s="7"/>
      <c r="BL124" s="7"/>
      <c r="BM124" s="7"/>
      <c r="BN124" s="7"/>
      <c r="BO124" s="11"/>
      <c r="BP124" s="202"/>
      <c r="BQ124" s="7"/>
      <c r="BR124" s="202"/>
      <c r="BS124" s="178"/>
      <c r="BT124" s="202"/>
      <c r="BU124" s="7"/>
      <c r="BV124" s="7"/>
      <c r="BW124" s="7"/>
      <c r="BX124" s="7"/>
      <c r="BY124" s="71"/>
      <c r="BZ124" s="7"/>
      <c r="CA124" s="71"/>
      <c r="CB124" s="7"/>
      <c r="CC124" s="71"/>
      <c r="CD124" s="7"/>
      <c r="CE124" s="71">
        <v>46202</v>
      </c>
      <c r="CF124" s="7">
        <v>3300000</v>
      </c>
      <c r="CG124" s="71">
        <v>46227</v>
      </c>
      <c r="CH124" s="7">
        <v>500000</v>
      </c>
      <c r="CI124" s="7"/>
      <c r="CJ124" s="7"/>
      <c r="CK124" s="7"/>
      <c r="CL124" s="7"/>
      <c r="CM124" s="7">
        <f t="shared" si="112"/>
        <v>3800000</v>
      </c>
      <c r="CN124" s="7">
        <f t="shared" si="113"/>
        <v>3800000</v>
      </c>
      <c r="CO124" s="7"/>
      <c r="CP124" s="286"/>
      <c r="CQ124" s="7"/>
      <c r="CR124" s="7"/>
      <c r="CS124" s="7"/>
      <c r="CT124" s="7"/>
      <c r="CU124" s="7"/>
      <c r="CV124" s="7"/>
      <c r="CW124" s="7"/>
      <c r="CX124" s="7"/>
      <c r="CY124" s="189"/>
      <c r="CZ124" s="388"/>
      <c r="DA124" s="189"/>
      <c r="DB124" s="189"/>
      <c r="DC124" s="189"/>
      <c r="DD124" s="189"/>
      <c r="DE124" s="189">
        <f t="shared" si="121"/>
        <v>3300000</v>
      </c>
      <c r="DF124" s="189">
        <f t="shared" si="122"/>
        <v>8848.0542269404486</v>
      </c>
      <c r="DG124" s="189">
        <f t="shared" si="123"/>
        <v>29543.585174328473</v>
      </c>
      <c r="DH124" s="189">
        <v>3838391.6394012691</v>
      </c>
      <c r="DI124" s="189">
        <f>'Member position mfumo and excel'!F126</f>
        <v>3838391.64</v>
      </c>
      <c r="DJ124" s="189">
        <f t="shared" si="92"/>
        <v>-5.9873098507523537E-4</v>
      </c>
      <c r="DK124" s="189">
        <f t="shared" si="124"/>
        <v>39411.682453445566</v>
      </c>
      <c r="DL124" s="189">
        <f t="shared" si="125"/>
        <v>10977.998059875295</v>
      </c>
      <c r="DM124" s="189"/>
      <c r="DN124" s="189"/>
      <c r="DO124" s="189"/>
      <c r="DP124" s="189"/>
      <c r="DQ124" s="189"/>
      <c r="DR124" s="189"/>
      <c r="DS124" s="186">
        <f t="shared" si="126"/>
        <v>3888781.3199145901</v>
      </c>
      <c r="DT124" s="1" t="b">
        <f t="shared" si="87"/>
        <v>1</v>
      </c>
      <c r="DU124" s="247" t="str">
        <f t="shared" ref="DU124" si="194">B124</f>
        <v>Limbu Malongo Limbu</v>
      </c>
      <c r="DV124" s="249">
        <f t="shared" ref="DV124" si="195">DS124</f>
        <v>3888781.3199145901</v>
      </c>
      <c r="DW124" s="248">
        <f t="shared" ref="DW124" si="196">DS124-CN124</f>
        <v>88781.319914590102</v>
      </c>
      <c r="DZ124" s="1">
        <f t="shared" si="88"/>
        <v>0</v>
      </c>
      <c r="EB124" s="1">
        <f t="shared" si="89"/>
        <v>0</v>
      </c>
    </row>
    <row r="125" spans="1:132" x14ac:dyDescent="0.35">
      <c r="A125" s="311" t="s">
        <v>926</v>
      </c>
      <c r="B125" s="7" t="s">
        <v>929</v>
      </c>
      <c r="C125" s="522" t="s">
        <v>1222</v>
      </c>
      <c r="D125" s="71"/>
      <c r="E125" s="11"/>
      <c r="F125" s="11"/>
      <c r="G125" s="11"/>
      <c r="H125" s="11"/>
      <c r="I125" s="545"/>
      <c r="J125" s="545"/>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7"/>
      <c r="BK125" s="7"/>
      <c r="BL125" s="7"/>
      <c r="BM125" s="7"/>
      <c r="BN125" s="7"/>
      <c r="BO125" s="11"/>
      <c r="BP125" s="202"/>
      <c r="BQ125" s="7"/>
      <c r="BR125" s="202"/>
      <c r="BS125" s="178"/>
      <c r="BT125" s="202"/>
      <c r="BU125" s="7"/>
      <c r="BV125" s="7"/>
      <c r="BW125" s="7"/>
      <c r="BX125" s="7"/>
      <c r="BY125" s="71"/>
      <c r="BZ125" s="7"/>
      <c r="CA125" s="71"/>
      <c r="CB125" s="7"/>
      <c r="CC125" s="71"/>
      <c r="CD125" s="7"/>
      <c r="CE125" s="71">
        <v>46202</v>
      </c>
      <c r="CF125" s="7">
        <f>1000000+2400000</f>
        <v>3400000</v>
      </c>
      <c r="CG125" s="7"/>
      <c r="CH125" s="7"/>
      <c r="CI125" s="7"/>
      <c r="CJ125" s="7"/>
      <c r="CK125" s="7"/>
      <c r="CL125" s="7"/>
      <c r="CM125" s="7">
        <f t="shared" si="112"/>
        <v>3400000</v>
      </c>
      <c r="CN125" s="7">
        <f t="shared" si="113"/>
        <v>3400000</v>
      </c>
      <c r="CO125" s="7"/>
      <c r="CP125" s="286"/>
      <c r="CQ125" s="7"/>
      <c r="CR125" s="7"/>
      <c r="CS125" s="7"/>
      <c r="CT125" s="7"/>
      <c r="CU125" s="7"/>
      <c r="CV125" s="7"/>
      <c r="CW125" s="7"/>
      <c r="CX125" s="7"/>
      <c r="CY125" s="189"/>
      <c r="CZ125" s="388"/>
      <c r="DA125" s="189"/>
      <c r="DB125" s="189"/>
      <c r="DC125" s="189"/>
      <c r="DD125" s="189"/>
      <c r="DE125" s="189">
        <f t="shared" si="121"/>
        <v>3400000</v>
      </c>
      <c r="DF125" s="189">
        <f t="shared" si="122"/>
        <v>9116.1770823022798</v>
      </c>
      <c r="DG125" s="189">
        <f t="shared" si="123"/>
        <v>30438.845331126304</v>
      </c>
      <c r="DH125" s="189">
        <v>3439555.0224134284</v>
      </c>
      <c r="DI125" s="189">
        <f>'Member position mfumo and excel'!F127</f>
        <v>3439555.03</v>
      </c>
      <c r="DJ125" s="189">
        <f t="shared" si="92"/>
        <v>-7.5865713879466057E-3</v>
      </c>
      <c r="DK125" s="189">
        <f t="shared" si="124"/>
        <v>35316.523966183137</v>
      </c>
      <c r="DL125" s="189">
        <f t="shared" si="125"/>
        <v>9837.3047646536779</v>
      </c>
      <c r="DM125" s="189"/>
      <c r="DN125" s="189"/>
      <c r="DO125" s="189"/>
      <c r="DP125" s="189"/>
      <c r="DQ125" s="189"/>
      <c r="DR125" s="189"/>
      <c r="DS125" s="186">
        <f t="shared" si="126"/>
        <v>3484708.8511442649</v>
      </c>
      <c r="DT125" s="1" t="b">
        <f t="shared" si="87"/>
        <v>1</v>
      </c>
      <c r="DU125" s="247" t="str">
        <f t="shared" ref="DU125:DU126" si="197">B125</f>
        <v>Hamad Habeeb Mansoor</v>
      </c>
      <c r="DV125" s="249">
        <f t="shared" ref="DV125:DV126" si="198">DS125</f>
        <v>3484708.8511442649</v>
      </c>
      <c r="DW125" s="248">
        <f t="shared" ref="DW125:DW126" si="199">DS125-CN125</f>
        <v>84708.851144264918</v>
      </c>
      <c r="DZ125" s="1">
        <f t="shared" si="88"/>
        <v>0</v>
      </c>
      <c r="EB125" s="1">
        <f t="shared" si="89"/>
        <v>0</v>
      </c>
    </row>
    <row r="126" spans="1:132" x14ac:dyDescent="0.35">
      <c r="A126" s="311" t="s">
        <v>927</v>
      </c>
      <c r="B126" s="7" t="s">
        <v>928</v>
      </c>
      <c r="C126" s="522" t="s">
        <v>1223</v>
      </c>
      <c r="D126" s="71"/>
      <c r="E126" s="11"/>
      <c r="F126" s="11"/>
      <c r="G126" s="11"/>
      <c r="H126" s="11"/>
      <c r="I126" s="545"/>
      <c r="J126" s="545"/>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7"/>
      <c r="BK126" s="7"/>
      <c r="BL126" s="7"/>
      <c r="BM126" s="7"/>
      <c r="BN126" s="7"/>
      <c r="BO126" s="11"/>
      <c r="BP126" s="202"/>
      <c r="BQ126" s="7"/>
      <c r="BR126" s="202"/>
      <c r="BS126" s="178"/>
      <c r="BT126" s="202"/>
      <c r="BU126" s="7"/>
      <c r="BV126" s="7"/>
      <c r="BW126" s="7"/>
      <c r="BX126" s="7"/>
      <c r="BY126" s="71"/>
      <c r="BZ126" s="7"/>
      <c r="CA126" s="71"/>
      <c r="CB126" s="7"/>
      <c r="CC126" s="71"/>
      <c r="CD126" s="7"/>
      <c r="CE126" s="71">
        <v>46202</v>
      </c>
      <c r="CF126" s="7">
        <v>3200000</v>
      </c>
      <c r="CG126" s="71">
        <v>46204</v>
      </c>
      <c r="CH126" s="7">
        <v>200000</v>
      </c>
      <c r="CI126" s="7"/>
      <c r="CJ126" s="7"/>
      <c r="CK126" s="7"/>
      <c r="CL126" s="7"/>
      <c r="CM126" s="7">
        <f t="shared" si="112"/>
        <v>3400000</v>
      </c>
      <c r="CN126" s="7">
        <f t="shared" si="113"/>
        <v>3400000</v>
      </c>
      <c r="CO126" s="7"/>
      <c r="CP126" s="286"/>
      <c r="CQ126" s="7"/>
      <c r="CR126" s="7"/>
      <c r="CS126" s="7"/>
      <c r="CT126" s="7"/>
      <c r="CU126" s="7"/>
      <c r="CV126" s="7"/>
      <c r="CW126" s="7"/>
      <c r="CX126" s="7"/>
      <c r="CY126" s="189"/>
      <c r="CZ126" s="388"/>
      <c r="DA126" s="189"/>
      <c r="DB126" s="189"/>
      <c r="DC126" s="189"/>
      <c r="DD126" s="189"/>
      <c r="DE126" s="189">
        <f t="shared" si="121"/>
        <v>3200000</v>
      </c>
      <c r="DF126" s="189">
        <f t="shared" si="122"/>
        <v>8579.9313715786157</v>
      </c>
      <c r="DG126" s="189">
        <f t="shared" si="123"/>
        <v>28648.325017530638</v>
      </c>
      <c r="DH126" s="189">
        <v>3437228.256389109</v>
      </c>
      <c r="DI126" s="189">
        <f>'Member position mfumo and excel'!F128</f>
        <v>3437228.26</v>
      </c>
      <c r="DJ126" s="189">
        <f t="shared" si="92"/>
        <v>-3.6108908243477345E-3</v>
      </c>
      <c r="DK126" s="189">
        <f t="shared" si="124"/>
        <v>35292.633292091254</v>
      </c>
      <c r="DL126" s="189">
        <f t="shared" si="125"/>
        <v>9830.6500938174449</v>
      </c>
      <c r="DM126" s="189"/>
      <c r="DN126" s="189"/>
      <c r="DO126" s="189"/>
      <c r="DP126" s="189"/>
      <c r="DQ126" s="189"/>
      <c r="DR126" s="189"/>
      <c r="DS126" s="186">
        <f t="shared" si="126"/>
        <v>3482351.5397750176</v>
      </c>
      <c r="DT126" s="1" t="b">
        <f t="shared" si="87"/>
        <v>1</v>
      </c>
      <c r="DU126" s="247" t="str">
        <f t="shared" si="197"/>
        <v>Shabani Juma Ndosi</v>
      </c>
      <c r="DV126" s="249">
        <f t="shared" si="198"/>
        <v>3482351.5397750176</v>
      </c>
      <c r="DW126" s="248">
        <f t="shared" si="199"/>
        <v>82351.539775017649</v>
      </c>
      <c r="DZ126" s="1">
        <f t="shared" si="88"/>
        <v>0</v>
      </c>
      <c r="EB126" s="1">
        <f t="shared" si="89"/>
        <v>0</v>
      </c>
    </row>
    <row r="127" spans="1:132" x14ac:dyDescent="0.35">
      <c r="A127" s="311" t="s">
        <v>930</v>
      </c>
      <c r="B127" s="7" t="s">
        <v>931</v>
      </c>
      <c r="C127" s="522" t="s">
        <v>1224</v>
      </c>
      <c r="D127" s="71"/>
      <c r="E127" s="11"/>
      <c r="F127" s="11"/>
      <c r="G127" s="11"/>
      <c r="H127" s="11"/>
      <c r="I127" s="545"/>
      <c r="J127" s="545"/>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7"/>
      <c r="BK127" s="7"/>
      <c r="BL127" s="7"/>
      <c r="BM127" s="7"/>
      <c r="BN127" s="7"/>
      <c r="BO127" s="11"/>
      <c r="BP127" s="202"/>
      <c r="BQ127" s="7"/>
      <c r="BR127" s="202"/>
      <c r="BS127" s="178"/>
      <c r="BT127" s="202"/>
      <c r="BU127" s="7"/>
      <c r="BV127" s="7"/>
      <c r="BW127" s="7"/>
      <c r="BX127" s="7"/>
      <c r="BY127" s="71"/>
      <c r="BZ127" s="7"/>
      <c r="CA127" s="71"/>
      <c r="CB127" s="7"/>
      <c r="CC127" s="71"/>
      <c r="CD127" s="7"/>
      <c r="CE127" s="71">
        <v>46202</v>
      </c>
      <c r="CF127" s="7">
        <v>5000000</v>
      </c>
      <c r="CG127" s="71">
        <v>46218</v>
      </c>
      <c r="CH127" s="7">
        <f>5000000+5000000</f>
        <v>10000000</v>
      </c>
      <c r="CI127" s="7"/>
      <c r="CJ127" s="7"/>
      <c r="CK127" s="7"/>
      <c r="CL127" s="7"/>
      <c r="CM127" s="7">
        <f t="shared" si="112"/>
        <v>15000000</v>
      </c>
      <c r="CN127" s="7">
        <f t="shared" si="113"/>
        <v>15000000</v>
      </c>
      <c r="CO127" s="7"/>
      <c r="CP127" s="286"/>
      <c r="CQ127" s="7"/>
      <c r="CR127" s="7"/>
      <c r="CS127" s="7"/>
      <c r="CT127" s="7"/>
      <c r="CU127" s="7"/>
      <c r="CV127" s="7"/>
      <c r="CW127" s="7"/>
      <c r="CX127" s="7"/>
      <c r="CY127" s="189"/>
      <c r="CZ127" s="388"/>
      <c r="DA127" s="189"/>
      <c r="DB127" s="189"/>
      <c r="DC127" s="189"/>
      <c r="DD127" s="189"/>
      <c r="DE127" s="189">
        <f t="shared" si="121"/>
        <v>5000000</v>
      </c>
      <c r="DF127" s="189">
        <f t="shared" si="122"/>
        <v>13406.142768091588</v>
      </c>
      <c r="DG127" s="189">
        <f t="shared" si="123"/>
        <v>44763.007839891623</v>
      </c>
      <c r="DH127" s="189">
        <v>15058169.150607985</v>
      </c>
      <c r="DI127" s="189">
        <f>'Member position mfumo and excel'!F129</f>
        <v>15058169.15</v>
      </c>
      <c r="DJ127" s="189">
        <f t="shared" si="92"/>
        <v>6.0798414051532745E-4</v>
      </c>
      <c r="DK127" s="189">
        <f t="shared" si="124"/>
        <v>154613.66026386098</v>
      </c>
      <c r="DL127" s="189">
        <f t="shared" si="125"/>
        <v>43067.140419895797</v>
      </c>
      <c r="DM127" s="189"/>
      <c r="DN127" s="189"/>
      <c r="DO127" s="189"/>
      <c r="DP127" s="189"/>
      <c r="DQ127" s="189"/>
      <c r="DR127" s="189"/>
      <c r="DS127" s="186">
        <f t="shared" si="126"/>
        <v>15255849.951291742</v>
      </c>
      <c r="DT127" s="1" t="b">
        <f t="shared" si="87"/>
        <v>1</v>
      </c>
      <c r="DU127" s="247" t="str">
        <f t="shared" ref="DU127" si="200">B127</f>
        <v>Peter Anthon Sobe</v>
      </c>
      <c r="DV127" s="249">
        <f t="shared" ref="DV127" si="201">DS127</f>
        <v>15255849.951291742</v>
      </c>
      <c r="DW127" s="248">
        <f t="shared" ref="DW127" si="202">DS127-CN127</f>
        <v>255849.9512917418</v>
      </c>
      <c r="DZ127" s="1">
        <f t="shared" si="88"/>
        <v>0</v>
      </c>
      <c r="EB127" s="1">
        <f t="shared" si="89"/>
        <v>0</v>
      </c>
    </row>
    <row r="128" spans="1:132" x14ac:dyDescent="0.35">
      <c r="A128" s="311" t="s">
        <v>933</v>
      </c>
      <c r="B128" s="7" t="s">
        <v>934</v>
      </c>
      <c r="C128" s="522" t="s">
        <v>1225</v>
      </c>
      <c r="D128" s="71"/>
      <c r="E128" s="11"/>
      <c r="F128" s="11"/>
      <c r="G128" s="11"/>
      <c r="H128" s="11"/>
      <c r="I128" s="545"/>
      <c r="J128" s="545"/>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7"/>
      <c r="BK128" s="7"/>
      <c r="BL128" s="7"/>
      <c r="BM128" s="7"/>
      <c r="BN128" s="7"/>
      <c r="BO128" s="11"/>
      <c r="BP128" s="202"/>
      <c r="BQ128" s="7"/>
      <c r="BR128" s="202"/>
      <c r="BS128" s="178"/>
      <c r="BT128" s="202"/>
      <c r="BU128" s="7"/>
      <c r="BV128" s="7"/>
      <c r="BW128" s="7"/>
      <c r="BX128" s="7"/>
      <c r="BY128" s="71"/>
      <c r="BZ128" s="7"/>
      <c r="CA128" s="71"/>
      <c r="CB128" s="7"/>
      <c r="CC128" s="71"/>
      <c r="CD128" s="7"/>
      <c r="CE128" s="71">
        <v>46202</v>
      </c>
      <c r="CF128" s="7">
        <f>2612+3499683</f>
        <v>3502295</v>
      </c>
      <c r="CG128" s="71">
        <v>46228</v>
      </c>
      <c r="CH128" s="7">
        <v>2000000</v>
      </c>
      <c r="CI128" s="7"/>
      <c r="CJ128" s="7"/>
      <c r="CK128" s="7"/>
      <c r="CL128" s="7"/>
      <c r="CM128" s="7">
        <f t="shared" si="112"/>
        <v>5502295</v>
      </c>
      <c r="CN128" s="7">
        <f t="shared" si="113"/>
        <v>5502295</v>
      </c>
      <c r="CO128" s="7"/>
      <c r="CP128" s="286"/>
      <c r="CQ128" s="7"/>
      <c r="CR128" s="7"/>
      <c r="CS128" s="7"/>
      <c r="CT128" s="7"/>
      <c r="CU128" s="7"/>
      <c r="CV128" s="7"/>
      <c r="CW128" s="7"/>
      <c r="CX128" s="7"/>
      <c r="CY128" s="189"/>
      <c r="CZ128" s="388"/>
      <c r="DA128" s="189"/>
      <c r="DB128" s="189"/>
      <c r="DC128" s="189"/>
      <c r="DD128" s="189"/>
      <c r="DE128" s="189">
        <f t="shared" si="121"/>
        <v>3502295</v>
      </c>
      <c r="DF128" s="189">
        <f t="shared" si="122"/>
        <v>9390.4533571946668</v>
      </c>
      <c r="DG128" s="189">
        <f t="shared" si="123"/>
        <v>31354.651708522648</v>
      </c>
      <c r="DH128" s="189">
        <v>5543040.1050657174</v>
      </c>
      <c r="DI128" s="189">
        <f>'Member position mfumo and excel'!F130</f>
        <v>5543040.0999999996</v>
      </c>
      <c r="DJ128" s="189">
        <f t="shared" si="92"/>
        <v>5.0657177343964577E-3</v>
      </c>
      <c r="DK128" s="189">
        <f t="shared" si="124"/>
        <v>56914.6030345252</v>
      </c>
      <c r="DL128" s="189">
        <f t="shared" si="125"/>
        <v>15853.380591646535</v>
      </c>
      <c r="DM128" s="189"/>
      <c r="DN128" s="189"/>
      <c r="DO128" s="189"/>
      <c r="DP128" s="189"/>
      <c r="DQ128" s="189"/>
      <c r="DR128" s="189"/>
      <c r="DS128" s="186">
        <f t="shared" si="126"/>
        <v>5615808.0886918893</v>
      </c>
      <c r="DT128" s="1" t="b">
        <f t="shared" si="87"/>
        <v>1</v>
      </c>
      <c r="DU128" s="247" t="str">
        <f t="shared" ref="DU128" si="203">B128</f>
        <v>Ignas Nicodemus Chilewa</v>
      </c>
      <c r="DV128" s="249">
        <f t="shared" ref="DV128" si="204">DS128</f>
        <v>5615808.0886918893</v>
      </c>
      <c r="DW128" s="248">
        <f t="shared" ref="DW128" si="205">DS128-CN128</f>
        <v>113513.08869188931</v>
      </c>
      <c r="DZ128" s="1">
        <f t="shared" si="88"/>
        <v>0</v>
      </c>
      <c r="EB128" s="1">
        <f t="shared" si="89"/>
        <v>0</v>
      </c>
    </row>
    <row r="129" spans="1:132" x14ac:dyDescent="0.35">
      <c r="A129" s="311" t="s">
        <v>935</v>
      </c>
      <c r="B129" s="7" t="s">
        <v>936</v>
      </c>
      <c r="C129" s="522" t="s">
        <v>1226</v>
      </c>
      <c r="D129" s="71"/>
      <c r="E129" s="11"/>
      <c r="F129" s="11"/>
      <c r="G129" s="11"/>
      <c r="H129" s="11"/>
      <c r="I129" s="545"/>
      <c r="J129" s="545"/>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7"/>
      <c r="BK129" s="7"/>
      <c r="BL129" s="7"/>
      <c r="BM129" s="7"/>
      <c r="BN129" s="7"/>
      <c r="BO129" s="11"/>
      <c r="BP129" s="202"/>
      <c r="BQ129" s="7"/>
      <c r="BR129" s="202"/>
      <c r="BS129" s="178"/>
      <c r="BT129" s="202"/>
      <c r="BU129" s="7"/>
      <c r="BV129" s="7"/>
      <c r="BW129" s="7"/>
      <c r="BX129" s="7"/>
      <c r="BY129" s="71"/>
      <c r="BZ129" s="7"/>
      <c r="CA129" s="71"/>
      <c r="CB129" s="7"/>
      <c r="CC129" s="71"/>
      <c r="CD129" s="7"/>
      <c r="CE129" s="71">
        <v>46202</v>
      </c>
      <c r="CF129" s="7">
        <v>3400000</v>
      </c>
      <c r="CG129" s="7"/>
      <c r="CH129" s="7"/>
      <c r="CI129" s="7"/>
      <c r="CJ129" s="7"/>
      <c r="CK129" s="7"/>
      <c r="CL129" s="7"/>
      <c r="CM129" s="7">
        <f t="shared" si="112"/>
        <v>3400000</v>
      </c>
      <c r="CN129" s="7">
        <f t="shared" si="113"/>
        <v>3400000</v>
      </c>
      <c r="CO129" s="7"/>
      <c r="CP129" s="286"/>
      <c r="CQ129" s="7"/>
      <c r="CR129" s="7"/>
      <c r="CS129" s="7"/>
      <c r="CT129" s="7"/>
      <c r="CU129" s="7"/>
      <c r="CV129" s="7"/>
      <c r="CW129" s="7"/>
      <c r="CX129" s="7"/>
      <c r="CY129" s="189"/>
      <c r="CZ129" s="388"/>
      <c r="DA129" s="189"/>
      <c r="DB129" s="189"/>
      <c r="DC129" s="189"/>
      <c r="DD129" s="189"/>
      <c r="DE129" s="189">
        <f t="shared" si="121"/>
        <v>3400000</v>
      </c>
      <c r="DF129" s="189">
        <f t="shared" si="122"/>
        <v>9116.1770823022798</v>
      </c>
      <c r="DG129" s="189">
        <f t="shared" si="123"/>
        <v>30438.845331126304</v>
      </c>
      <c r="DH129" s="189">
        <v>3439555.0224134284</v>
      </c>
      <c r="DI129" s="189">
        <f>'Member position mfumo and excel'!F131</f>
        <v>3439555.03</v>
      </c>
      <c r="DJ129" s="189">
        <f t="shared" si="92"/>
        <v>-7.5865713879466057E-3</v>
      </c>
      <c r="DK129" s="189">
        <f t="shared" si="124"/>
        <v>35316.523966183137</v>
      </c>
      <c r="DL129" s="189">
        <f t="shared" si="125"/>
        <v>9837.3047646536779</v>
      </c>
      <c r="DM129" s="189"/>
      <c r="DN129" s="189"/>
      <c r="DO129" s="189"/>
      <c r="DP129" s="189"/>
      <c r="DQ129" s="189"/>
      <c r="DR129" s="189"/>
      <c r="DS129" s="186">
        <f t="shared" si="126"/>
        <v>3484708.8511442649</v>
      </c>
      <c r="DT129" s="1" t="b">
        <f t="shared" si="87"/>
        <v>1</v>
      </c>
      <c r="DU129" s="247" t="str">
        <f t="shared" ref="DU129" si="206">B129</f>
        <v>Mohamed Abdallah Muanda</v>
      </c>
      <c r="DV129" s="249">
        <f t="shared" ref="DV129" si="207">DS129</f>
        <v>3484708.8511442649</v>
      </c>
      <c r="DW129" s="248">
        <f t="shared" ref="DW129" si="208">DS129-CN129</f>
        <v>84708.851144264918</v>
      </c>
      <c r="DZ129" s="1">
        <f t="shared" si="88"/>
        <v>0</v>
      </c>
      <c r="EB129" s="1">
        <f t="shared" si="89"/>
        <v>0</v>
      </c>
    </row>
    <row r="130" spans="1:132" x14ac:dyDescent="0.35">
      <c r="A130" s="311" t="s">
        <v>949</v>
      </c>
      <c r="B130" s="7" t="s">
        <v>948</v>
      </c>
      <c r="C130" s="522" t="s">
        <v>1227</v>
      </c>
      <c r="D130" s="71"/>
      <c r="E130" s="11"/>
      <c r="F130" s="11"/>
      <c r="G130" s="11"/>
      <c r="H130" s="11"/>
      <c r="I130" s="545"/>
      <c r="J130" s="545"/>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7"/>
      <c r="BK130" s="7"/>
      <c r="BL130" s="7"/>
      <c r="BM130" s="7"/>
      <c r="BN130" s="7"/>
      <c r="BO130" s="11"/>
      <c r="BP130" s="202"/>
      <c r="BQ130" s="7"/>
      <c r="BR130" s="202"/>
      <c r="BS130" s="178"/>
      <c r="BT130" s="202"/>
      <c r="BU130" s="7"/>
      <c r="BV130" s="7"/>
      <c r="BW130" s="7"/>
      <c r="BX130" s="7"/>
      <c r="BY130" s="71"/>
      <c r="BZ130" s="7"/>
      <c r="CA130" s="71"/>
      <c r="CB130" s="7"/>
      <c r="CC130" s="71"/>
      <c r="CD130" s="7"/>
      <c r="CE130" s="71">
        <v>46203</v>
      </c>
      <c r="CF130" s="7">
        <v>3500000</v>
      </c>
      <c r="CG130" s="7"/>
      <c r="CH130" s="7"/>
      <c r="CI130" s="7"/>
      <c r="CJ130" s="7"/>
      <c r="CK130" s="7"/>
      <c r="CL130" s="7"/>
      <c r="CM130" s="7">
        <f t="shared" ref="CM130:CM161" si="209">BP130+BR130+BT130+BV130+BX130+BZ130+CB130+CD130+CF130+CH130+CJ130+CL130</f>
        <v>3500000</v>
      </c>
      <c r="CN130" s="7">
        <f t="shared" ref="CN130:CN161" si="210">BM130+CM130</f>
        <v>3500000</v>
      </c>
      <c r="CO130" s="7"/>
      <c r="CP130" s="286"/>
      <c r="CQ130" s="7"/>
      <c r="CR130" s="7"/>
      <c r="CS130" s="7"/>
      <c r="CT130" s="7"/>
      <c r="CU130" s="7"/>
      <c r="CV130" s="7"/>
      <c r="CW130" s="7"/>
      <c r="CX130" s="7"/>
      <c r="CY130" s="189"/>
      <c r="CZ130" s="388"/>
      <c r="DA130" s="189"/>
      <c r="DB130" s="189"/>
      <c r="DC130" s="189"/>
      <c r="DD130" s="189"/>
      <c r="DE130" s="189">
        <f t="shared" ref="DE130:DE152" si="211">DB130+CF130</f>
        <v>3500000</v>
      </c>
      <c r="DF130" s="189">
        <f t="shared" ref="DF130:DF161" si="212">DE130/$DE$153*$DF$154</f>
        <v>9384.2999376641128</v>
      </c>
      <c r="DG130" s="189">
        <f t="shared" ref="DG130:DG152" si="213">DE130/$DE$153*$DG$154</f>
        <v>31334.105487924138</v>
      </c>
      <c r="DH130" s="189">
        <v>3540718.4054255881</v>
      </c>
      <c r="DI130" s="189">
        <f>'Member position mfumo and excel'!F132</f>
        <v>3540718.41</v>
      </c>
      <c r="DJ130" s="189">
        <f t="shared" si="92"/>
        <v>-4.5744120143353939E-3</v>
      </c>
      <c r="DK130" s="189">
        <f t="shared" ref="DK130:DK152" si="214">DH130/$DH$153*$DK$154</f>
        <v>36355.245259306175</v>
      </c>
      <c r="DL130" s="189">
        <f t="shared" ref="DL130:DL152" si="215">DH130/$DH$153*$DL$154</f>
        <v>10126.637257731727</v>
      </c>
      <c r="DM130" s="189"/>
      <c r="DN130" s="189"/>
      <c r="DO130" s="189"/>
      <c r="DP130" s="189"/>
      <c r="DQ130" s="189"/>
      <c r="DR130" s="189"/>
      <c r="DS130" s="186">
        <f t="shared" ref="DS130:DS161" si="216">CN130+CO130+CQ130+CR130+CT130+CV130+CX130+CZ130+DA130+DC130+DD130+DF130+DG130+DK130+DL130+DN130+DO130+DQ130+DR130</f>
        <v>3587200.287942626</v>
      </c>
      <c r="DT130" s="1" t="b">
        <f t="shared" si="87"/>
        <v>1</v>
      </c>
      <c r="DU130" s="247" t="str">
        <f t="shared" ref="DU130:DU131" si="217">B130</f>
        <v>Africa Jumanne Bwamkuu</v>
      </c>
      <c r="DV130" s="249">
        <f t="shared" ref="DV130:DV131" si="218">DS130</f>
        <v>3587200.287942626</v>
      </c>
      <c r="DW130" s="248">
        <f t="shared" ref="DW130:DW131" si="219">DS130-CN130</f>
        <v>87200.287942626048</v>
      </c>
      <c r="DZ130" s="1">
        <f t="shared" si="88"/>
        <v>0</v>
      </c>
      <c r="EB130" s="1">
        <f t="shared" si="89"/>
        <v>0</v>
      </c>
    </row>
    <row r="131" spans="1:132" x14ac:dyDescent="0.35">
      <c r="A131" s="311" t="s">
        <v>950</v>
      </c>
      <c r="B131" s="7" t="s">
        <v>985</v>
      </c>
      <c r="C131" s="522" t="s">
        <v>1228</v>
      </c>
      <c r="D131" s="71"/>
      <c r="E131" s="11"/>
      <c r="F131" s="11"/>
      <c r="G131" s="11"/>
      <c r="H131" s="11"/>
      <c r="I131" s="545"/>
      <c r="J131" s="545"/>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7"/>
      <c r="BK131" s="7"/>
      <c r="BL131" s="7"/>
      <c r="BM131" s="7"/>
      <c r="BN131" s="7"/>
      <c r="BO131" s="11"/>
      <c r="BP131" s="202"/>
      <c r="BQ131" s="7"/>
      <c r="BR131" s="202"/>
      <c r="BS131" s="178"/>
      <c r="BT131" s="202"/>
      <c r="BU131" s="7"/>
      <c r="BV131" s="7"/>
      <c r="BW131" s="7"/>
      <c r="BX131" s="7"/>
      <c r="BY131" s="71"/>
      <c r="BZ131" s="7"/>
      <c r="CA131" s="71"/>
      <c r="CB131" s="7"/>
      <c r="CC131" s="71"/>
      <c r="CD131" s="7"/>
      <c r="CE131" s="71">
        <v>46203</v>
      </c>
      <c r="CF131" s="7">
        <v>3300000</v>
      </c>
      <c r="CG131" s="71">
        <v>46206</v>
      </c>
      <c r="CH131" s="7">
        <v>1000000</v>
      </c>
      <c r="CI131" s="71">
        <v>46235</v>
      </c>
      <c r="CJ131" s="7">
        <v>1000000</v>
      </c>
      <c r="CK131" s="7"/>
      <c r="CL131" s="7"/>
      <c r="CM131" s="7">
        <f t="shared" si="209"/>
        <v>5300000</v>
      </c>
      <c r="CN131" s="7">
        <f t="shared" si="210"/>
        <v>5300000</v>
      </c>
      <c r="CO131" s="7"/>
      <c r="CP131" s="286"/>
      <c r="CQ131" s="7"/>
      <c r="CR131" s="7"/>
      <c r="CS131" s="7"/>
      <c r="CT131" s="7"/>
      <c r="CU131" s="7"/>
      <c r="CV131" s="7"/>
      <c r="CW131" s="7"/>
      <c r="CX131" s="7"/>
      <c r="CY131" s="189"/>
      <c r="CZ131" s="388"/>
      <c r="DA131" s="189"/>
      <c r="DB131" s="189"/>
      <c r="DC131" s="189"/>
      <c r="DD131" s="189"/>
      <c r="DE131" s="189">
        <f t="shared" si="211"/>
        <v>3300000</v>
      </c>
      <c r="DF131" s="189">
        <f t="shared" si="212"/>
        <v>8848.0542269404486</v>
      </c>
      <c r="DG131" s="189">
        <f t="shared" si="213"/>
        <v>29543.585174328473</v>
      </c>
      <c r="DH131" s="189">
        <v>4338391.6394012691</v>
      </c>
      <c r="DI131" s="189">
        <f>'Member position mfumo and excel'!F133-1000000</f>
        <v>4338391.6399999997</v>
      </c>
      <c r="DJ131" s="189">
        <f t="shared" si="92"/>
        <v>-5.9873051941394806E-4</v>
      </c>
      <c r="DK131" s="189">
        <f t="shared" si="214"/>
        <v>44545.562233831035</v>
      </c>
      <c r="DL131" s="189">
        <f t="shared" si="215"/>
        <v>12408.023848174962</v>
      </c>
      <c r="DM131" s="189"/>
      <c r="DN131" s="189"/>
      <c r="DO131" s="189"/>
      <c r="DP131" s="189"/>
      <c r="DQ131" s="189"/>
      <c r="DR131" s="189"/>
      <c r="DS131" s="186">
        <f t="shared" si="216"/>
        <v>5395345.225483275</v>
      </c>
      <c r="DT131" s="1" t="b">
        <f t="shared" ref="DT131:DT153" si="220">DS131=CN131+CO131+CQ131+CR131+CT131+CV131+CX131+CZ131+DA131+DC131+DD131+DF131+DG131+DK131+DL131+DN131+DO131+DQ131+DR131</f>
        <v>1</v>
      </c>
      <c r="DU131" s="247" t="str">
        <f t="shared" si="217"/>
        <v>Bavo Emanuel Mzee</v>
      </c>
      <c r="DV131" s="249">
        <f t="shared" si="218"/>
        <v>5395345.225483275</v>
      </c>
      <c r="DW131" s="248">
        <f t="shared" si="219"/>
        <v>95345.225483275019</v>
      </c>
      <c r="DZ131" s="1">
        <f t="shared" ref="DZ131:DZ152" si="221">BM131+BP131+BR131+BT131+CO131+CQ131+CR131+CT131</f>
        <v>0</v>
      </c>
      <c r="EB131" s="1">
        <f t="shared" ref="EB131:EB152" si="222">BM131+BP131+BR131+BT131+BV131+BX131+CO131+CQ131+CR131+CT131+CV131</f>
        <v>0</v>
      </c>
    </row>
    <row r="132" spans="1:132" x14ac:dyDescent="0.35">
      <c r="A132" s="311" t="s">
        <v>952</v>
      </c>
      <c r="B132" s="7" t="s">
        <v>951</v>
      </c>
      <c r="C132" s="522" t="s">
        <v>1229</v>
      </c>
      <c r="D132" s="71"/>
      <c r="E132" s="11"/>
      <c r="F132" s="11"/>
      <c r="G132" s="11"/>
      <c r="H132" s="11"/>
      <c r="I132" s="545"/>
      <c r="J132" s="545"/>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7"/>
      <c r="BK132" s="7"/>
      <c r="BL132" s="7"/>
      <c r="BM132" s="7"/>
      <c r="BN132" s="7"/>
      <c r="BO132" s="11"/>
      <c r="BP132" s="202"/>
      <c r="BQ132" s="7"/>
      <c r="BR132" s="202"/>
      <c r="BS132" s="178"/>
      <c r="BT132" s="202"/>
      <c r="BU132" s="7"/>
      <c r="BV132" s="7"/>
      <c r="BW132" s="7"/>
      <c r="BX132" s="7"/>
      <c r="BY132" s="71"/>
      <c r="BZ132" s="7"/>
      <c r="CA132" s="71"/>
      <c r="CB132" s="7"/>
      <c r="CC132" s="71"/>
      <c r="CD132" s="7"/>
      <c r="CE132" s="71">
        <v>46203</v>
      </c>
      <c r="CF132" s="7">
        <v>3300000</v>
      </c>
      <c r="CG132" s="7"/>
      <c r="CH132" s="7"/>
      <c r="CI132" s="7"/>
      <c r="CJ132" s="7"/>
      <c r="CK132" s="7"/>
      <c r="CL132" s="7"/>
      <c r="CM132" s="7">
        <f t="shared" si="209"/>
        <v>3300000</v>
      </c>
      <c r="CN132" s="7">
        <f t="shared" si="210"/>
        <v>3300000</v>
      </c>
      <c r="CO132" s="7"/>
      <c r="CP132" s="286"/>
      <c r="CQ132" s="7"/>
      <c r="CR132" s="7"/>
      <c r="CS132" s="7"/>
      <c r="CT132" s="7"/>
      <c r="CU132" s="7"/>
      <c r="CV132" s="7"/>
      <c r="CW132" s="7"/>
      <c r="CX132" s="7"/>
      <c r="CY132" s="189"/>
      <c r="CZ132" s="388"/>
      <c r="DA132" s="189"/>
      <c r="DB132" s="189"/>
      <c r="DC132" s="189"/>
      <c r="DD132" s="189"/>
      <c r="DE132" s="189">
        <f t="shared" si="211"/>
        <v>3300000</v>
      </c>
      <c r="DF132" s="189">
        <f t="shared" si="212"/>
        <v>8848.0542269404486</v>
      </c>
      <c r="DG132" s="189">
        <f t="shared" si="213"/>
        <v>29543.585174328473</v>
      </c>
      <c r="DH132" s="189">
        <v>3338391.6394012691</v>
      </c>
      <c r="DI132" s="189">
        <f>'Member position mfumo and excel'!F134</f>
        <v>3338391.64</v>
      </c>
      <c r="DJ132" s="189">
        <f t="shared" si="92"/>
        <v>-5.9873098507523537E-4</v>
      </c>
      <c r="DK132" s="189">
        <f t="shared" si="214"/>
        <v>34277.802673060105</v>
      </c>
      <c r="DL132" s="189">
        <f t="shared" si="215"/>
        <v>9547.9722715756288</v>
      </c>
      <c r="DM132" s="189"/>
      <c r="DN132" s="189"/>
      <c r="DO132" s="189"/>
      <c r="DP132" s="189"/>
      <c r="DQ132" s="189"/>
      <c r="DR132" s="189"/>
      <c r="DS132" s="186">
        <f t="shared" si="216"/>
        <v>3382217.4143459047</v>
      </c>
      <c r="DT132" s="1" t="b">
        <f t="shared" si="220"/>
        <v>1</v>
      </c>
      <c r="DU132" s="247" t="str">
        <f t="shared" ref="DU132:DU133" si="223">B132</f>
        <v>Titus Moses Safari</v>
      </c>
      <c r="DV132" s="249">
        <f t="shared" ref="DV132:DV133" si="224">DS132</f>
        <v>3382217.4143459047</v>
      </c>
      <c r="DW132" s="248">
        <f t="shared" ref="DW132:DW133" si="225">DS132-CN132</f>
        <v>82217.414345904719</v>
      </c>
      <c r="DZ132" s="1">
        <f t="shared" si="221"/>
        <v>0</v>
      </c>
      <c r="EB132" s="1">
        <f t="shared" si="222"/>
        <v>0</v>
      </c>
    </row>
    <row r="133" spans="1:132" x14ac:dyDescent="0.35">
      <c r="A133" s="311" t="s">
        <v>953</v>
      </c>
      <c r="B133" s="7" t="s">
        <v>988</v>
      </c>
      <c r="C133" s="522" t="s">
        <v>1193</v>
      </c>
      <c r="D133" s="71"/>
      <c r="E133" s="11"/>
      <c r="F133" s="11"/>
      <c r="G133" s="11"/>
      <c r="H133" s="11"/>
      <c r="I133" s="545"/>
      <c r="J133" s="545"/>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7"/>
      <c r="BK133" s="7"/>
      <c r="BL133" s="7"/>
      <c r="BM133" s="7"/>
      <c r="BN133" s="7"/>
      <c r="BO133" s="11"/>
      <c r="BP133" s="202"/>
      <c r="BQ133" s="7"/>
      <c r="BR133" s="202"/>
      <c r="BS133" s="178"/>
      <c r="BT133" s="202"/>
      <c r="BU133" s="7"/>
      <c r="BV133" s="7"/>
      <c r="BW133" s="7"/>
      <c r="BX133" s="7"/>
      <c r="BY133" s="71"/>
      <c r="BZ133" s="7"/>
      <c r="CA133" s="71"/>
      <c r="CB133" s="7"/>
      <c r="CC133" s="71"/>
      <c r="CD133" s="7"/>
      <c r="CE133" s="71">
        <v>46203</v>
      </c>
      <c r="CF133" s="7">
        <v>3300000</v>
      </c>
      <c r="CG133" s="71">
        <v>46218</v>
      </c>
      <c r="CH133" s="7">
        <f>200000+1000000</f>
        <v>1200000</v>
      </c>
      <c r="CI133" s="7"/>
      <c r="CJ133" s="7"/>
      <c r="CK133" s="7"/>
      <c r="CL133" s="7"/>
      <c r="CM133" s="7">
        <f t="shared" si="209"/>
        <v>4500000</v>
      </c>
      <c r="CN133" s="7">
        <f t="shared" si="210"/>
        <v>4500000</v>
      </c>
      <c r="CO133" s="7"/>
      <c r="CP133" s="286"/>
      <c r="CQ133" s="7"/>
      <c r="CR133" s="7"/>
      <c r="CS133" s="7"/>
      <c r="CT133" s="7"/>
      <c r="CU133" s="7"/>
      <c r="CV133" s="7"/>
      <c r="CW133" s="7"/>
      <c r="CX133" s="7"/>
      <c r="CY133" s="189"/>
      <c r="CZ133" s="388"/>
      <c r="DA133" s="189"/>
      <c r="DB133" s="189"/>
      <c r="DC133" s="189"/>
      <c r="DD133" s="189"/>
      <c r="DE133" s="189">
        <f t="shared" si="211"/>
        <v>3300000</v>
      </c>
      <c r="DF133" s="189">
        <f t="shared" si="212"/>
        <v>8848.0542269404486</v>
      </c>
      <c r="DG133" s="189">
        <f t="shared" si="213"/>
        <v>29543.585174328473</v>
      </c>
      <c r="DH133" s="189">
        <v>4538391.6394012691</v>
      </c>
      <c r="DI133" s="189">
        <f>'Member position mfumo and excel'!F135</f>
        <v>4538391.6399999997</v>
      </c>
      <c r="DJ133" s="189">
        <f t="shared" si="92"/>
        <v>-5.9873051941394806E-4</v>
      </c>
      <c r="DK133" s="189">
        <f t="shared" si="214"/>
        <v>46599.114145985222</v>
      </c>
      <c r="DL133" s="189">
        <f t="shared" si="215"/>
        <v>12980.034163494829</v>
      </c>
      <c r="DM133" s="189"/>
      <c r="DN133" s="189"/>
      <c r="DO133" s="189"/>
      <c r="DP133" s="189"/>
      <c r="DQ133" s="189"/>
      <c r="DR133" s="189"/>
      <c r="DS133" s="186">
        <f t="shared" si="216"/>
        <v>4597970.7877107486</v>
      </c>
      <c r="DT133" s="1" t="b">
        <f t="shared" si="220"/>
        <v>1</v>
      </c>
      <c r="DU133" s="247" t="str">
        <f t="shared" si="223"/>
        <v xml:space="preserve">Alfred Stephen Kishe </v>
      </c>
      <c r="DV133" s="249">
        <f t="shared" si="224"/>
        <v>4597970.7877107486</v>
      </c>
      <c r="DW133" s="248">
        <f t="shared" si="225"/>
        <v>97970.787710748613</v>
      </c>
      <c r="DZ133" s="1">
        <f t="shared" si="221"/>
        <v>0</v>
      </c>
      <c r="EB133" s="1">
        <f t="shared" si="222"/>
        <v>0</v>
      </c>
    </row>
    <row r="134" spans="1:132" x14ac:dyDescent="0.35">
      <c r="A134" s="311" t="s">
        <v>954</v>
      </c>
      <c r="B134" s="7" t="s">
        <v>956</v>
      </c>
      <c r="C134" s="522" t="s">
        <v>1192</v>
      </c>
      <c r="D134" s="71"/>
      <c r="E134" s="11"/>
      <c r="F134" s="11"/>
      <c r="G134" s="11"/>
      <c r="H134" s="11"/>
      <c r="I134" s="545"/>
      <c r="J134" s="545"/>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7"/>
      <c r="BK134" s="7"/>
      <c r="BL134" s="7"/>
      <c r="BM134" s="7"/>
      <c r="BN134" s="7"/>
      <c r="BO134" s="11"/>
      <c r="BP134" s="202"/>
      <c r="BQ134" s="7"/>
      <c r="BR134" s="202"/>
      <c r="BS134" s="178"/>
      <c r="BT134" s="202"/>
      <c r="BU134" s="7"/>
      <c r="BV134" s="7"/>
      <c r="BW134" s="7"/>
      <c r="BX134" s="7"/>
      <c r="BY134" s="71"/>
      <c r="BZ134" s="7"/>
      <c r="CA134" s="71"/>
      <c r="CB134" s="7"/>
      <c r="CC134" s="71"/>
      <c r="CD134" s="7"/>
      <c r="CE134" s="71">
        <v>46203</v>
      </c>
      <c r="CF134" s="7">
        <v>3500000</v>
      </c>
      <c r="CG134" s="71">
        <v>46229</v>
      </c>
      <c r="CH134" s="7">
        <v>1000000</v>
      </c>
      <c r="CI134" s="7"/>
      <c r="CJ134" s="7"/>
      <c r="CK134" s="7"/>
      <c r="CL134" s="7"/>
      <c r="CM134" s="7">
        <f t="shared" si="209"/>
        <v>4500000</v>
      </c>
      <c r="CN134" s="7">
        <f t="shared" si="210"/>
        <v>4500000</v>
      </c>
      <c r="CO134" s="7"/>
      <c r="CP134" s="286"/>
      <c r="CQ134" s="7"/>
      <c r="CR134" s="7"/>
      <c r="CS134" s="7"/>
      <c r="CT134" s="7"/>
      <c r="CU134" s="7"/>
      <c r="CV134" s="7"/>
      <c r="CW134" s="7"/>
      <c r="CX134" s="7"/>
      <c r="CY134" s="189"/>
      <c r="CZ134" s="388"/>
      <c r="DA134" s="189"/>
      <c r="DB134" s="189"/>
      <c r="DC134" s="189"/>
      <c r="DD134" s="189"/>
      <c r="DE134" s="189">
        <f t="shared" si="211"/>
        <v>3500000</v>
      </c>
      <c r="DF134" s="189">
        <f t="shared" si="212"/>
        <v>9384.2999376641128</v>
      </c>
      <c r="DG134" s="189">
        <f t="shared" si="213"/>
        <v>31334.105487924138</v>
      </c>
      <c r="DH134" s="189">
        <v>4540718.4054255886</v>
      </c>
      <c r="DI134" s="189">
        <f>'Member position mfumo and excel'!F136</f>
        <v>4540718.41</v>
      </c>
      <c r="DJ134" s="189">
        <f t="shared" si="92"/>
        <v>-4.5744115486741066E-3</v>
      </c>
      <c r="DK134" s="189">
        <f t="shared" si="214"/>
        <v>46623.004820077105</v>
      </c>
      <c r="DL134" s="189">
        <f t="shared" si="215"/>
        <v>12986.68883433106</v>
      </c>
      <c r="DM134" s="189"/>
      <c r="DN134" s="189"/>
      <c r="DO134" s="189"/>
      <c r="DP134" s="189"/>
      <c r="DQ134" s="189"/>
      <c r="DR134" s="189"/>
      <c r="DS134" s="186">
        <f t="shared" si="216"/>
        <v>4600328.0990799963</v>
      </c>
      <c r="DT134" s="1" t="b">
        <f t="shared" si="220"/>
        <v>1</v>
      </c>
      <c r="DU134" s="247" t="str">
        <f t="shared" ref="DU134:DU135" si="226">B134</f>
        <v>Martin Nasuzwa Kidili</v>
      </c>
      <c r="DV134" s="249">
        <f t="shared" ref="DV134:DV135" si="227">DS134</f>
        <v>4600328.0990799963</v>
      </c>
      <c r="DW134" s="248">
        <f t="shared" ref="DW134:DW135" si="228">DS134-CN134</f>
        <v>100328.09907999635</v>
      </c>
      <c r="DZ134" s="1">
        <f t="shared" si="221"/>
        <v>0</v>
      </c>
      <c r="EB134" s="1">
        <f t="shared" si="222"/>
        <v>0</v>
      </c>
    </row>
    <row r="135" spans="1:132" x14ac:dyDescent="0.35">
      <c r="A135" s="311" t="s">
        <v>955</v>
      </c>
      <c r="B135" s="7" t="s">
        <v>957</v>
      </c>
      <c r="C135" s="522" t="s">
        <v>1191</v>
      </c>
      <c r="D135" s="71"/>
      <c r="E135" s="11"/>
      <c r="F135" s="11"/>
      <c r="G135" s="11"/>
      <c r="H135" s="11"/>
      <c r="I135" s="545"/>
      <c r="J135" s="545"/>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7"/>
      <c r="BK135" s="7"/>
      <c r="BL135" s="7"/>
      <c r="BM135" s="7"/>
      <c r="BN135" s="7"/>
      <c r="BO135" s="11"/>
      <c r="BP135" s="202"/>
      <c r="BQ135" s="7"/>
      <c r="BR135" s="202"/>
      <c r="BS135" s="178"/>
      <c r="BT135" s="202"/>
      <c r="BU135" s="7"/>
      <c r="BV135" s="7"/>
      <c r="BW135" s="7"/>
      <c r="BX135" s="7"/>
      <c r="BY135" s="71"/>
      <c r="BZ135" s="7"/>
      <c r="CA135" s="71"/>
      <c r="CB135" s="7"/>
      <c r="CC135" s="71"/>
      <c r="CD135" s="7"/>
      <c r="CE135" s="71">
        <v>46203</v>
      </c>
      <c r="CF135" s="7">
        <v>3600000</v>
      </c>
      <c r="CG135" s="7"/>
      <c r="CH135" s="7"/>
      <c r="CI135" s="7"/>
      <c r="CJ135" s="7"/>
      <c r="CK135" s="7"/>
      <c r="CL135" s="7"/>
      <c r="CM135" s="7">
        <f t="shared" si="209"/>
        <v>3600000</v>
      </c>
      <c r="CN135" s="7">
        <f t="shared" si="210"/>
        <v>3600000</v>
      </c>
      <c r="CO135" s="7"/>
      <c r="CP135" s="286"/>
      <c r="CQ135" s="7"/>
      <c r="CR135" s="7"/>
      <c r="CS135" s="7"/>
      <c r="CT135" s="7"/>
      <c r="CU135" s="7"/>
      <c r="CV135" s="7"/>
      <c r="CW135" s="7"/>
      <c r="CX135" s="7"/>
      <c r="CY135" s="189"/>
      <c r="CZ135" s="388"/>
      <c r="DA135" s="189"/>
      <c r="DB135" s="189"/>
      <c r="DC135" s="189"/>
      <c r="DD135" s="189"/>
      <c r="DE135" s="189">
        <f t="shared" si="211"/>
        <v>3600000</v>
      </c>
      <c r="DF135" s="189">
        <f t="shared" si="212"/>
        <v>9652.422793025944</v>
      </c>
      <c r="DG135" s="189">
        <f t="shared" si="213"/>
        <v>32229.365644721969</v>
      </c>
      <c r="DH135" s="189">
        <v>3641881.7884377479</v>
      </c>
      <c r="DI135" s="189">
        <f>'Member position mfumo and excel'!F137</f>
        <v>3641881.79</v>
      </c>
      <c r="DJ135" s="189">
        <f t="shared" si="92"/>
        <v>-1.5622521750628948E-3</v>
      </c>
      <c r="DK135" s="189">
        <f t="shared" si="214"/>
        <v>37393.966552429207</v>
      </c>
      <c r="DL135" s="189">
        <f t="shared" si="215"/>
        <v>10415.969750809778</v>
      </c>
      <c r="DM135" s="189"/>
      <c r="DN135" s="189"/>
      <c r="DO135" s="189"/>
      <c r="DP135" s="189"/>
      <c r="DQ135" s="189"/>
      <c r="DR135" s="189"/>
      <c r="DS135" s="186">
        <f t="shared" si="216"/>
        <v>3689691.7247409872</v>
      </c>
      <c r="DT135" s="1" t="b">
        <f t="shared" si="220"/>
        <v>1</v>
      </c>
      <c r="DU135" s="247" t="str">
        <f t="shared" si="226"/>
        <v>Tumwesige David Mujwauzi</v>
      </c>
      <c r="DV135" s="249">
        <f t="shared" si="227"/>
        <v>3689691.7247409872</v>
      </c>
      <c r="DW135" s="248">
        <f t="shared" si="228"/>
        <v>89691.724740987178</v>
      </c>
      <c r="DZ135" s="1">
        <f t="shared" si="221"/>
        <v>0</v>
      </c>
      <c r="EB135" s="1">
        <f t="shared" si="222"/>
        <v>0</v>
      </c>
    </row>
    <row r="136" spans="1:132" x14ac:dyDescent="0.35">
      <c r="A136" s="311" t="s">
        <v>964</v>
      </c>
      <c r="B136" s="7" t="s">
        <v>968</v>
      </c>
      <c r="C136" s="522" t="s">
        <v>1190</v>
      </c>
      <c r="D136" s="71"/>
      <c r="E136" s="11"/>
      <c r="F136" s="11"/>
      <c r="G136" s="11"/>
      <c r="H136" s="11"/>
      <c r="I136" s="545"/>
      <c r="J136" s="545"/>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7"/>
      <c r="BK136" s="7"/>
      <c r="BL136" s="7"/>
      <c r="BM136" s="7"/>
      <c r="BN136" s="7"/>
      <c r="BO136" s="11"/>
      <c r="BP136" s="202"/>
      <c r="BQ136" s="7"/>
      <c r="BR136" s="202"/>
      <c r="BS136" s="178"/>
      <c r="BT136" s="202"/>
      <c r="BU136" s="7"/>
      <c r="BV136" s="7"/>
      <c r="BW136" s="7"/>
      <c r="BX136" s="7"/>
      <c r="BY136" s="71"/>
      <c r="BZ136" s="7"/>
      <c r="CA136" s="71"/>
      <c r="CB136" s="7"/>
      <c r="CC136" s="71"/>
      <c r="CD136" s="7"/>
      <c r="CE136" s="71">
        <v>46203</v>
      </c>
      <c r="CF136" s="7">
        <v>3300000</v>
      </c>
      <c r="CG136" s="71">
        <v>46218</v>
      </c>
      <c r="CH136" s="7">
        <v>1000000</v>
      </c>
      <c r="CI136" s="7"/>
      <c r="CJ136" s="7"/>
      <c r="CK136" s="7"/>
      <c r="CL136" s="7"/>
      <c r="CM136" s="7">
        <f t="shared" si="209"/>
        <v>4300000</v>
      </c>
      <c r="CN136" s="7">
        <f t="shared" si="210"/>
        <v>4300000</v>
      </c>
      <c r="CO136" s="7"/>
      <c r="CP136" s="286"/>
      <c r="CQ136" s="7"/>
      <c r="CR136" s="7"/>
      <c r="CS136" s="7"/>
      <c r="CT136" s="7"/>
      <c r="CU136" s="7"/>
      <c r="CV136" s="7"/>
      <c r="CW136" s="7"/>
      <c r="CX136" s="7"/>
      <c r="CY136" s="189"/>
      <c r="CZ136" s="388"/>
      <c r="DA136" s="189"/>
      <c r="DB136" s="189"/>
      <c r="DC136" s="189"/>
      <c r="DD136" s="189"/>
      <c r="DE136" s="189">
        <f t="shared" si="211"/>
        <v>3300000</v>
      </c>
      <c r="DF136" s="189">
        <f t="shared" si="212"/>
        <v>8848.0542269404486</v>
      </c>
      <c r="DG136" s="189">
        <f t="shared" si="213"/>
        <v>29543.585174328473</v>
      </c>
      <c r="DH136" s="189">
        <v>4338391.6394012691</v>
      </c>
      <c r="DI136" s="189">
        <f>'Member position mfumo and excel'!F138</f>
        <v>4338391.6399999997</v>
      </c>
      <c r="DJ136" s="189">
        <f t="shared" si="92"/>
        <v>-5.9873051941394806E-4</v>
      </c>
      <c r="DK136" s="189">
        <f t="shared" si="214"/>
        <v>44545.562233831035</v>
      </c>
      <c r="DL136" s="189">
        <f t="shared" si="215"/>
        <v>12408.023848174962</v>
      </c>
      <c r="DM136" s="189"/>
      <c r="DN136" s="189"/>
      <c r="DO136" s="189"/>
      <c r="DP136" s="189"/>
      <c r="DQ136" s="189"/>
      <c r="DR136" s="189"/>
      <c r="DS136" s="186">
        <f t="shared" si="216"/>
        <v>4395345.225483275</v>
      </c>
      <c r="DT136" s="1" t="b">
        <f t="shared" si="220"/>
        <v>1</v>
      </c>
      <c r="DU136" s="247" t="str">
        <f t="shared" ref="DU136:DU139" si="229">B136</f>
        <v>Novat Adam Moshi</v>
      </c>
      <c r="DV136" s="249">
        <f t="shared" ref="DV136:DV139" si="230">DS136</f>
        <v>4395345.225483275</v>
      </c>
      <c r="DW136" s="248">
        <f t="shared" ref="DW136:DW139" si="231">DS136-CN136</f>
        <v>95345.225483275019</v>
      </c>
      <c r="DZ136" s="1">
        <f t="shared" si="221"/>
        <v>0</v>
      </c>
      <c r="EB136" s="1">
        <f t="shared" si="222"/>
        <v>0</v>
      </c>
    </row>
    <row r="137" spans="1:132" x14ac:dyDescent="0.35">
      <c r="A137" s="311" t="s">
        <v>965</v>
      </c>
      <c r="B137" s="7" t="s">
        <v>969</v>
      </c>
      <c r="C137" s="522" t="s">
        <v>1189</v>
      </c>
      <c r="D137" s="71"/>
      <c r="E137" s="11"/>
      <c r="F137" s="11"/>
      <c r="G137" s="11"/>
      <c r="H137" s="11"/>
      <c r="I137" s="545"/>
      <c r="J137" s="545"/>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7"/>
      <c r="BK137" s="7"/>
      <c r="BL137" s="7"/>
      <c r="BM137" s="7"/>
      <c r="BN137" s="7"/>
      <c r="BO137" s="11"/>
      <c r="BP137" s="202"/>
      <c r="BQ137" s="7"/>
      <c r="BR137" s="202"/>
      <c r="BS137" s="178"/>
      <c r="BT137" s="202"/>
      <c r="BU137" s="7"/>
      <c r="BV137" s="7"/>
      <c r="BW137" s="7"/>
      <c r="BX137" s="7"/>
      <c r="BY137" s="71"/>
      <c r="BZ137" s="7"/>
      <c r="CA137" s="71"/>
      <c r="CB137" s="7"/>
      <c r="CC137" s="71"/>
      <c r="CD137" s="7"/>
      <c r="CE137" s="71">
        <v>46203</v>
      </c>
      <c r="CF137" s="7">
        <v>3300000</v>
      </c>
      <c r="CG137" s="7"/>
      <c r="CH137" s="7"/>
      <c r="CI137" s="7"/>
      <c r="CJ137" s="7"/>
      <c r="CK137" s="7"/>
      <c r="CL137" s="7"/>
      <c r="CM137" s="7">
        <f t="shared" si="209"/>
        <v>3300000</v>
      </c>
      <c r="CN137" s="7">
        <f t="shared" si="210"/>
        <v>3300000</v>
      </c>
      <c r="CO137" s="7"/>
      <c r="CP137" s="286"/>
      <c r="CQ137" s="7"/>
      <c r="CR137" s="7"/>
      <c r="CS137" s="7"/>
      <c r="CT137" s="7"/>
      <c r="CU137" s="7"/>
      <c r="CV137" s="7"/>
      <c r="CW137" s="7"/>
      <c r="CX137" s="7"/>
      <c r="CY137" s="189"/>
      <c r="CZ137" s="388"/>
      <c r="DA137" s="189"/>
      <c r="DB137" s="189"/>
      <c r="DC137" s="189"/>
      <c r="DD137" s="189"/>
      <c r="DE137" s="189">
        <f t="shared" si="211"/>
        <v>3300000</v>
      </c>
      <c r="DF137" s="189">
        <f t="shared" si="212"/>
        <v>8848.0542269404486</v>
      </c>
      <c r="DG137" s="189">
        <f t="shared" si="213"/>
        <v>29543.585174328473</v>
      </c>
      <c r="DH137" s="189">
        <v>3338391.6394012691</v>
      </c>
      <c r="DI137" s="189">
        <f>'Member position mfumo and excel'!F139</f>
        <v>3338391.64</v>
      </c>
      <c r="DJ137" s="189">
        <f t="shared" si="92"/>
        <v>-5.9873098507523537E-4</v>
      </c>
      <c r="DK137" s="189">
        <f t="shared" si="214"/>
        <v>34277.802673060105</v>
      </c>
      <c r="DL137" s="189">
        <f t="shared" si="215"/>
        <v>9547.9722715756288</v>
      </c>
      <c r="DM137" s="189"/>
      <c r="DN137" s="189"/>
      <c r="DO137" s="189"/>
      <c r="DP137" s="189"/>
      <c r="DQ137" s="189"/>
      <c r="DR137" s="189"/>
      <c r="DS137" s="186">
        <f t="shared" si="216"/>
        <v>3382217.4143459047</v>
      </c>
      <c r="DT137" s="1" t="b">
        <f t="shared" si="220"/>
        <v>1</v>
      </c>
      <c r="DU137" s="247" t="str">
        <f t="shared" si="229"/>
        <v xml:space="preserve">Fortunatus Mhambe </v>
      </c>
      <c r="DV137" s="249">
        <f t="shared" si="230"/>
        <v>3382217.4143459047</v>
      </c>
      <c r="DW137" s="248">
        <f t="shared" si="231"/>
        <v>82217.414345904719</v>
      </c>
      <c r="DZ137" s="1">
        <f t="shared" si="221"/>
        <v>0</v>
      </c>
      <c r="EB137" s="1">
        <f t="shared" si="222"/>
        <v>0</v>
      </c>
    </row>
    <row r="138" spans="1:132" x14ac:dyDescent="0.35">
      <c r="A138" s="311" t="s">
        <v>966</v>
      </c>
      <c r="B138" s="7" t="s">
        <v>970</v>
      </c>
      <c r="C138" s="522" t="s">
        <v>1188</v>
      </c>
      <c r="D138" s="71"/>
      <c r="E138" s="11"/>
      <c r="F138" s="11"/>
      <c r="G138" s="11"/>
      <c r="H138" s="11"/>
      <c r="I138" s="545"/>
      <c r="J138" s="545"/>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7"/>
      <c r="BK138" s="7"/>
      <c r="BL138" s="7"/>
      <c r="BM138" s="7"/>
      <c r="BN138" s="7"/>
      <c r="BO138" s="11"/>
      <c r="BP138" s="202"/>
      <c r="BQ138" s="7"/>
      <c r="BR138" s="202"/>
      <c r="BS138" s="178"/>
      <c r="BT138" s="202"/>
      <c r="BU138" s="7"/>
      <c r="BV138" s="7"/>
      <c r="BW138" s="7"/>
      <c r="BX138" s="7"/>
      <c r="BY138" s="71"/>
      <c r="BZ138" s="7"/>
      <c r="CA138" s="71"/>
      <c r="CB138" s="7"/>
      <c r="CC138" s="71"/>
      <c r="CD138" s="7"/>
      <c r="CE138" s="71">
        <v>46203</v>
      </c>
      <c r="CF138" s="7">
        <v>3300000</v>
      </c>
      <c r="CG138" s="71">
        <v>46232</v>
      </c>
      <c r="CH138" s="7">
        <v>700000</v>
      </c>
      <c r="CI138" s="7"/>
      <c r="CJ138" s="7"/>
      <c r="CK138" s="7"/>
      <c r="CL138" s="7"/>
      <c r="CM138" s="7">
        <f t="shared" si="209"/>
        <v>4000000</v>
      </c>
      <c r="CN138" s="7">
        <f t="shared" si="210"/>
        <v>4000000</v>
      </c>
      <c r="CO138" s="7"/>
      <c r="CP138" s="286"/>
      <c r="CQ138" s="7"/>
      <c r="CR138" s="7"/>
      <c r="CS138" s="7"/>
      <c r="CT138" s="7"/>
      <c r="CU138" s="7"/>
      <c r="CV138" s="7"/>
      <c r="CW138" s="7"/>
      <c r="CX138" s="7"/>
      <c r="CY138" s="189"/>
      <c r="CZ138" s="388"/>
      <c r="DA138" s="189"/>
      <c r="DB138" s="189"/>
      <c r="DC138" s="189"/>
      <c r="DD138" s="189"/>
      <c r="DE138" s="189">
        <f t="shared" si="211"/>
        <v>3300000</v>
      </c>
      <c r="DF138" s="189">
        <f t="shared" si="212"/>
        <v>8848.0542269404486</v>
      </c>
      <c r="DG138" s="189">
        <f t="shared" si="213"/>
        <v>29543.585174328473</v>
      </c>
      <c r="DH138" s="189">
        <v>4038391.6394012691</v>
      </c>
      <c r="DI138" s="189">
        <f>'Member position mfumo and excel'!F140</f>
        <v>4038391.64</v>
      </c>
      <c r="DJ138" s="189">
        <f t="shared" si="92"/>
        <v>-5.9873098507523537E-4</v>
      </c>
      <c r="DK138" s="189">
        <f t="shared" si="214"/>
        <v>41465.234365599761</v>
      </c>
      <c r="DL138" s="189">
        <f t="shared" si="215"/>
        <v>11550.008375195162</v>
      </c>
      <c r="DM138" s="189"/>
      <c r="DN138" s="189"/>
      <c r="DO138" s="189"/>
      <c r="DP138" s="189"/>
      <c r="DQ138" s="189"/>
      <c r="DR138" s="189"/>
      <c r="DS138" s="186">
        <f t="shared" si="216"/>
        <v>4091406.8821420642</v>
      </c>
      <c r="DT138" s="1" t="b">
        <f t="shared" si="220"/>
        <v>1</v>
      </c>
      <c r="DU138" s="247" t="str">
        <f t="shared" si="229"/>
        <v xml:space="preserve">Marcel John Kisoka </v>
      </c>
      <c r="DV138" s="249">
        <f t="shared" si="230"/>
        <v>4091406.8821420642</v>
      </c>
      <c r="DW138" s="248">
        <f t="shared" si="231"/>
        <v>91406.882142064162</v>
      </c>
      <c r="DZ138" s="1">
        <f t="shared" si="221"/>
        <v>0</v>
      </c>
      <c r="EB138" s="1">
        <f t="shared" si="222"/>
        <v>0</v>
      </c>
    </row>
    <row r="139" spans="1:132" x14ac:dyDescent="0.35">
      <c r="A139" s="311" t="s">
        <v>967</v>
      </c>
      <c r="B139" s="7" t="s">
        <v>971</v>
      </c>
      <c r="C139" s="522" t="s">
        <v>1187</v>
      </c>
      <c r="D139" s="71"/>
      <c r="E139" s="11"/>
      <c r="F139" s="11"/>
      <c r="G139" s="11"/>
      <c r="H139" s="11"/>
      <c r="I139" s="545"/>
      <c r="J139" s="545"/>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7"/>
      <c r="BK139" s="7"/>
      <c r="BL139" s="7"/>
      <c r="BM139" s="7"/>
      <c r="BN139" s="7"/>
      <c r="BO139" s="11"/>
      <c r="BP139" s="202"/>
      <c r="BQ139" s="7"/>
      <c r="BR139" s="202"/>
      <c r="BS139" s="178"/>
      <c r="BT139" s="202"/>
      <c r="BU139" s="7"/>
      <c r="BV139" s="7"/>
      <c r="BW139" s="7"/>
      <c r="BX139" s="7"/>
      <c r="BY139" s="71"/>
      <c r="BZ139" s="7"/>
      <c r="CA139" s="71"/>
      <c r="CB139" s="7"/>
      <c r="CC139" s="71"/>
      <c r="CD139" s="7"/>
      <c r="CE139" s="71">
        <v>46203</v>
      </c>
      <c r="CF139" s="7">
        <v>3500000</v>
      </c>
      <c r="CG139" s="7"/>
      <c r="CH139" s="7"/>
      <c r="CI139" s="7"/>
      <c r="CJ139" s="7"/>
      <c r="CK139" s="7"/>
      <c r="CL139" s="7"/>
      <c r="CM139" s="7">
        <f t="shared" si="209"/>
        <v>3500000</v>
      </c>
      <c r="CN139" s="7">
        <f t="shared" si="210"/>
        <v>3500000</v>
      </c>
      <c r="CO139" s="7"/>
      <c r="CP139" s="286"/>
      <c r="CQ139" s="7"/>
      <c r="CR139" s="7"/>
      <c r="CS139" s="7"/>
      <c r="CT139" s="7"/>
      <c r="CU139" s="7"/>
      <c r="CV139" s="7"/>
      <c r="CW139" s="7"/>
      <c r="CX139" s="7"/>
      <c r="CY139" s="189"/>
      <c r="CZ139" s="388"/>
      <c r="DA139" s="189"/>
      <c r="DB139" s="189"/>
      <c r="DC139" s="189"/>
      <c r="DD139" s="189"/>
      <c r="DE139" s="189">
        <f t="shared" si="211"/>
        <v>3500000</v>
      </c>
      <c r="DF139" s="189">
        <f t="shared" si="212"/>
        <v>9384.2999376641128</v>
      </c>
      <c r="DG139" s="189">
        <f t="shared" si="213"/>
        <v>31334.105487924138</v>
      </c>
      <c r="DH139" s="189">
        <v>3540718.4054255881</v>
      </c>
      <c r="DI139" s="189">
        <f>'Member position mfumo and excel'!F141</f>
        <v>3540718.41</v>
      </c>
      <c r="DJ139" s="189">
        <f t="shared" si="92"/>
        <v>-4.5744120143353939E-3</v>
      </c>
      <c r="DK139" s="189">
        <f t="shared" si="214"/>
        <v>36355.245259306175</v>
      </c>
      <c r="DL139" s="189">
        <f t="shared" si="215"/>
        <v>10126.637257731727</v>
      </c>
      <c r="DM139" s="189"/>
      <c r="DN139" s="189"/>
      <c r="DO139" s="189"/>
      <c r="DP139" s="189"/>
      <c r="DQ139" s="189"/>
      <c r="DR139" s="189"/>
      <c r="DS139" s="186">
        <f t="shared" si="216"/>
        <v>3587200.287942626</v>
      </c>
      <c r="DT139" s="1" t="b">
        <f t="shared" si="220"/>
        <v>1</v>
      </c>
      <c r="DU139" s="247" t="str">
        <f t="shared" si="229"/>
        <v xml:space="preserve">Daniel Mchegere </v>
      </c>
      <c r="DV139" s="249">
        <f t="shared" si="230"/>
        <v>3587200.287942626</v>
      </c>
      <c r="DW139" s="248">
        <f t="shared" si="231"/>
        <v>87200.287942626048</v>
      </c>
      <c r="DZ139" s="1">
        <f t="shared" si="221"/>
        <v>0</v>
      </c>
      <c r="EB139" s="1">
        <f t="shared" si="222"/>
        <v>0</v>
      </c>
    </row>
    <row r="140" spans="1:132" x14ac:dyDescent="0.35">
      <c r="A140" s="311" t="s">
        <v>972</v>
      </c>
      <c r="B140" s="7" t="s">
        <v>1014</v>
      </c>
      <c r="C140" s="522" t="s">
        <v>1186</v>
      </c>
      <c r="D140" s="71"/>
      <c r="E140" s="11"/>
      <c r="F140" s="11"/>
      <c r="G140" s="11"/>
      <c r="H140" s="11"/>
      <c r="I140" s="545"/>
      <c r="J140" s="545"/>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7"/>
      <c r="BK140" s="7"/>
      <c r="BL140" s="7"/>
      <c r="BM140" s="7"/>
      <c r="BN140" s="7"/>
      <c r="BO140" s="11"/>
      <c r="BP140" s="202"/>
      <c r="BQ140" s="7"/>
      <c r="BR140" s="202"/>
      <c r="BS140" s="178"/>
      <c r="BT140" s="202"/>
      <c r="BU140" s="7"/>
      <c r="BV140" s="7"/>
      <c r="BW140" s="7"/>
      <c r="BX140" s="7"/>
      <c r="BY140" s="71"/>
      <c r="BZ140" s="7"/>
      <c r="CA140" s="71"/>
      <c r="CB140" s="7"/>
      <c r="CC140" s="71"/>
      <c r="CD140" s="7"/>
      <c r="CE140" s="71">
        <v>46203</v>
      </c>
      <c r="CF140" s="7">
        <v>3300000</v>
      </c>
      <c r="CG140" s="71">
        <v>46225</v>
      </c>
      <c r="CH140" s="7">
        <v>500000</v>
      </c>
      <c r="CI140" s="7"/>
      <c r="CJ140" s="7"/>
      <c r="CK140" s="7"/>
      <c r="CL140" s="7"/>
      <c r="CM140" s="7">
        <f t="shared" si="209"/>
        <v>3800000</v>
      </c>
      <c r="CN140" s="7">
        <f t="shared" si="210"/>
        <v>3800000</v>
      </c>
      <c r="CO140" s="7"/>
      <c r="CP140" s="286"/>
      <c r="CQ140" s="7"/>
      <c r="CR140" s="7"/>
      <c r="CS140" s="7"/>
      <c r="CT140" s="7"/>
      <c r="CU140" s="7"/>
      <c r="CV140" s="7"/>
      <c r="CW140" s="7"/>
      <c r="CX140" s="7"/>
      <c r="CY140" s="189"/>
      <c r="CZ140" s="388"/>
      <c r="DA140" s="189"/>
      <c r="DB140" s="189"/>
      <c r="DC140" s="189"/>
      <c r="DD140" s="189"/>
      <c r="DE140" s="189">
        <f t="shared" si="211"/>
        <v>3300000</v>
      </c>
      <c r="DF140" s="189">
        <f t="shared" si="212"/>
        <v>8848.0542269404486</v>
      </c>
      <c r="DG140" s="189">
        <f t="shared" si="213"/>
        <v>29543.585174328473</v>
      </c>
      <c r="DH140" s="189">
        <v>3838391.6394012691</v>
      </c>
      <c r="DI140" s="189">
        <f>'Member position mfumo and excel'!F142</f>
        <v>3838391.64</v>
      </c>
      <c r="DJ140" s="189">
        <f t="shared" ref="DJ140:DJ151" si="232">DH140-DI140</f>
        <v>-5.9873098507523537E-4</v>
      </c>
      <c r="DK140" s="189">
        <f t="shared" si="214"/>
        <v>39411.682453445566</v>
      </c>
      <c r="DL140" s="189">
        <f t="shared" si="215"/>
        <v>10977.998059875295</v>
      </c>
      <c r="DM140" s="189"/>
      <c r="DN140" s="189"/>
      <c r="DO140" s="189"/>
      <c r="DP140" s="189"/>
      <c r="DQ140" s="189"/>
      <c r="DR140" s="189"/>
      <c r="DS140" s="186">
        <f t="shared" si="216"/>
        <v>3888781.3199145901</v>
      </c>
      <c r="DT140" s="1" t="b">
        <f t="shared" si="220"/>
        <v>1</v>
      </c>
      <c r="DU140" s="247" t="str">
        <f t="shared" ref="DU140" si="233">B140</f>
        <v xml:space="preserve">Claverfred Mhidze </v>
      </c>
      <c r="DV140" s="249">
        <f t="shared" ref="DV140" si="234">DS140</f>
        <v>3888781.3199145901</v>
      </c>
      <c r="DW140" s="248">
        <f t="shared" ref="DW140" si="235">DS140-CN140</f>
        <v>88781.319914590102</v>
      </c>
      <c r="DZ140" s="1">
        <f t="shared" si="221"/>
        <v>0</v>
      </c>
      <c r="EB140" s="1">
        <f t="shared" si="222"/>
        <v>0</v>
      </c>
    </row>
    <row r="141" spans="1:132" x14ac:dyDescent="0.35">
      <c r="A141" s="311" t="s">
        <v>973</v>
      </c>
      <c r="B141" s="7" t="s">
        <v>983</v>
      </c>
      <c r="C141" s="522" t="s">
        <v>1185</v>
      </c>
      <c r="D141" s="71"/>
      <c r="E141" s="11"/>
      <c r="F141" s="11"/>
      <c r="G141" s="11"/>
      <c r="H141" s="11"/>
      <c r="I141" s="545"/>
      <c r="J141" s="545"/>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7"/>
      <c r="BK141" s="7"/>
      <c r="BL141" s="7"/>
      <c r="BM141" s="7"/>
      <c r="BN141" s="7"/>
      <c r="BO141" s="11"/>
      <c r="BP141" s="202"/>
      <c r="BQ141" s="7"/>
      <c r="BR141" s="202"/>
      <c r="BS141" s="178"/>
      <c r="BT141" s="202"/>
      <c r="BU141" s="7"/>
      <c r="BV141" s="7"/>
      <c r="BW141" s="7"/>
      <c r="BX141" s="7"/>
      <c r="BY141" s="71"/>
      <c r="BZ141" s="7"/>
      <c r="CA141" s="71"/>
      <c r="CB141" s="7"/>
      <c r="CC141" s="71"/>
      <c r="CD141" s="7"/>
      <c r="CE141" s="71">
        <v>46203</v>
      </c>
      <c r="CF141" s="7">
        <v>3300000</v>
      </c>
      <c r="CG141" s="71">
        <v>46217</v>
      </c>
      <c r="CH141" s="7">
        <f>600000+2000000+500000+650000+400000+200000</f>
        <v>4350000</v>
      </c>
      <c r="CI141" s="71">
        <v>46235</v>
      </c>
      <c r="CJ141" s="7">
        <v>200000</v>
      </c>
      <c r="CK141" s="7"/>
      <c r="CL141" s="7"/>
      <c r="CM141" s="7">
        <f t="shared" si="209"/>
        <v>7850000</v>
      </c>
      <c r="CN141" s="7">
        <f t="shared" si="210"/>
        <v>7850000</v>
      </c>
      <c r="CO141" s="7"/>
      <c r="CP141" s="286"/>
      <c r="CQ141" s="7"/>
      <c r="CR141" s="7"/>
      <c r="CS141" s="7"/>
      <c r="CT141" s="7"/>
      <c r="CU141" s="7"/>
      <c r="CV141" s="7"/>
      <c r="CW141" s="7"/>
      <c r="CX141" s="7"/>
      <c r="CY141" s="189"/>
      <c r="CZ141" s="388"/>
      <c r="DA141" s="189"/>
      <c r="DB141" s="189"/>
      <c r="DC141" s="189"/>
      <c r="DD141" s="189"/>
      <c r="DE141" s="189">
        <f t="shared" si="211"/>
        <v>3300000</v>
      </c>
      <c r="DF141" s="189">
        <f t="shared" si="212"/>
        <v>8848.0542269404486</v>
      </c>
      <c r="DG141" s="189">
        <f t="shared" si="213"/>
        <v>29543.585174328473</v>
      </c>
      <c r="DH141" s="189">
        <f>7688391.63940127</f>
        <v>7688391.6394012701</v>
      </c>
      <c r="DI141" s="189">
        <f>'Member position mfumo and excel'!F143-2500000</f>
        <v>7688391.6400000006</v>
      </c>
      <c r="DJ141" s="189">
        <f t="shared" si="232"/>
        <v>-5.9873051941394806E-4</v>
      </c>
      <c r="DK141" s="189">
        <f t="shared" si="214"/>
        <v>78942.556762413646</v>
      </c>
      <c r="DL141" s="189">
        <f t="shared" si="215"/>
        <v>21989.196629782728</v>
      </c>
      <c r="DM141" s="189"/>
      <c r="DN141" s="189"/>
      <c r="DO141" s="189"/>
      <c r="DP141" s="189"/>
      <c r="DQ141" s="189"/>
      <c r="DR141" s="189"/>
      <c r="DS141" s="186">
        <f t="shared" si="216"/>
        <v>7989323.3927934663</v>
      </c>
      <c r="DT141" s="1" t="b">
        <f t="shared" si="220"/>
        <v>1</v>
      </c>
      <c r="DU141" s="247" t="str">
        <f t="shared" ref="DU141" si="236">B141</f>
        <v>Mwombeki Florian Fabian</v>
      </c>
      <c r="DV141" s="249">
        <f t="shared" ref="DV141" si="237">DS141</f>
        <v>7989323.3927934663</v>
      </c>
      <c r="DW141" s="248">
        <f t="shared" ref="DW141" si="238">DS141-CN141</f>
        <v>139323.39279346634</v>
      </c>
      <c r="DZ141" s="1">
        <f t="shared" si="221"/>
        <v>0</v>
      </c>
      <c r="EB141" s="1">
        <f t="shared" si="222"/>
        <v>0</v>
      </c>
    </row>
    <row r="142" spans="1:132" x14ac:dyDescent="0.35">
      <c r="A142" s="311" t="s">
        <v>977</v>
      </c>
      <c r="B142" s="7" t="s">
        <v>1087</v>
      </c>
      <c r="C142" s="522" t="s">
        <v>1184</v>
      </c>
      <c r="D142" s="71"/>
      <c r="E142" s="11"/>
      <c r="F142" s="11"/>
      <c r="G142" s="11"/>
      <c r="H142" s="11"/>
      <c r="I142" s="545"/>
      <c r="J142" s="545"/>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7"/>
      <c r="BK142" s="7"/>
      <c r="BL142" s="7"/>
      <c r="BM142" s="7"/>
      <c r="BN142" s="7"/>
      <c r="BO142" s="11"/>
      <c r="BP142" s="202"/>
      <c r="BQ142" s="7"/>
      <c r="BR142" s="202"/>
      <c r="BS142" s="178"/>
      <c r="BT142" s="202"/>
      <c r="BU142" s="7"/>
      <c r="BV142" s="7"/>
      <c r="BW142" s="7"/>
      <c r="BX142" s="7"/>
      <c r="BY142" s="71"/>
      <c r="BZ142" s="7"/>
      <c r="CA142" s="71"/>
      <c r="CB142" s="7"/>
      <c r="CC142" s="71"/>
      <c r="CD142" s="7"/>
      <c r="CE142" s="71">
        <v>46203</v>
      </c>
      <c r="CF142" s="7">
        <v>3300000</v>
      </c>
      <c r="CG142" s="71">
        <v>46234</v>
      </c>
      <c r="CH142" s="7">
        <v>2000000</v>
      </c>
      <c r="CI142" s="7"/>
      <c r="CJ142" s="7"/>
      <c r="CK142" s="7"/>
      <c r="CL142" s="7"/>
      <c r="CM142" s="7">
        <f t="shared" si="209"/>
        <v>5300000</v>
      </c>
      <c r="CN142" s="7">
        <f t="shared" si="210"/>
        <v>5300000</v>
      </c>
      <c r="CO142" s="7"/>
      <c r="CP142" s="286"/>
      <c r="CQ142" s="7"/>
      <c r="CR142" s="7"/>
      <c r="CS142" s="7"/>
      <c r="CT142" s="7"/>
      <c r="CU142" s="7"/>
      <c r="CV142" s="7"/>
      <c r="CW142" s="7"/>
      <c r="CX142" s="7"/>
      <c r="CY142" s="189"/>
      <c r="CZ142" s="388"/>
      <c r="DA142" s="189"/>
      <c r="DB142" s="189"/>
      <c r="DC142" s="189"/>
      <c r="DD142" s="189"/>
      <c r="DE142" s="189">
        <f t="shared" si="211"/>
        <v>3300000</v>
      </c>
      <c r="DF142" s="189">
        <f t="shared" si="212"/>
        <v>8848.0542269404486</v>
      </c>
      <c r="DG142" s="189">
        <f t="shared" si="213"/>
        <v>29543.585174328473</v>
      </c>
      <c r="DH142" s="189">
        <v>5338391.6394012691</v>
      </c>
      <c r="DI142" s="189">
        <f t="shared" ref="DI142:DI147" si="239">DH142</f>
        <v>5338391.6394012691</v>
      </c>
      <c r="DJ142" s="189">
        <f t="shared" si="232"/>
        <v>0</v>
      </c>
      <c r="DK142" s="189">
        <f t="shared" si="214"/>
        <v>54813.321794601965</v>
      </c>
      <c r="DL142" s="189">
        <f t="shared" si="215"/>
        <v>15268.075424774295</v>
      </c>
      <c r="DM142" s="189"/>
      <c r="DN142" s="189"/>
      <c r="DO142" s="189"/>
      <c r="DP142" s="189"/>
      <c r="DQ142" s="189"/>
      <c r="DR142" s="189"/>
      <c r="DS142" s="186">
        <f t="shared" si="216"/>
        <v>5408473.0366206458</v>
      </c>
      <c r="DT142" s="1" t="b">
        <f t="shared" si="220"/>
        <v>1</v>
      </c>
      <c r="DU142" s="247" t="str">
        <f t="shared" ref="DU142" si="240">B142</f>
        <v>Patrick Mbossa</v>
      </c>
      <c r="DV142" s="249">
        <f t="shared" ref="DV142" si="241">DS142</f>
        <v>5408473.0366206458</v>
      </c>
      <c r="DW142" s="248">
        <f t="shared" ref="DW142" si="242">DS142-CN142</f>
        <v>108473.03662064578</v>
      </c>
      <c r="DZ142" s="1">
        <f t="shared" si="221"/>
        <v>0</v>
      </c>
      <c r="EB142" s="1">
        <f t="shared" si="222"/>
        <v>0</v>
      </c>
    </row>
    <row r="143" spans="1:132" x14ac:dyDescent="0.35">
      <c r="A143" s="311" t="s">
        <v>978</v>
      </c>
      <c r="B143" s="7" t="s">
        <v>989</v>
      </c>
      <c r="C143" s="522" t="s">
        <v>1183</v>
      </c>
      <c r="D143" s="71"/>
      <c r="E143" s="11"/>
      <c r="F143" s="11"/>
      <c r="G143" s="11"/>
      <c r="H143" s="11"/>
      <c r="I143" s="545"/>
      <c r="J143" s="545"/>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7"/>
      <c r="BK143" s="7"/>
      <c r="BL143" s="7"/>
      <c r="BM143" s="7"/>
      <c r="BN143" s="7"/>
      <c r="BO143" s="11"/>
      <c r="BP143" s="202"/>
      <c r="BQ143" s="7"/>
      <c r="BR143" s="202"/>
      <c r="BS143" s="178"/>
      <c r="BT143" s="202"/>
      <c r="BU143" s="7"/>
      <c r="BV143" s="7"/>
      <c r="BW143" s="7"/>
      <c r="BX143" s="7"/>
      <c r="BY143" s="71"/>
      <c r="BZ143" s="7"/>
      <c r="CA143" s="71"/>
      <c r="CB143" s="7"/>
      <c r="CC143" s="71"/>
      <c r="CD143" s="7"/>
      <c r="CE143" s="71">
        <v>46203</v>
      </c>
      <c r="CF143" s="7">
        <v>3300000</v>
      </c>
      <c r="CG143" s="71">
        <v>46218</v>
      </c>
      <c r="CH143" s="7">
        <v>500000</v>
      </c>
      <c r="CI143" s="7"/>
      <c r="CJ143" s="7"/>
      <c r="CK143" s="7"/>
      <c r="CL143" s="7"/>
      <c r="CM143" s="7">
        <f t="shared" si="209"/>
        <v>3800000</v>
      </c>
      <c r="CN143" s="7">
        <f t="shared" si="210"/>
        <v>3800000</v>
      </c>
      <c r="CO143" s="7"/>
      <c r="CP143" s="286"/>
      <c r="CQ143" s="7"/>
      <c r="CR143" s="7"/>
      <c r="CS143" s="7"/>
      <c r="CT143" s="7"/>
      <c r="CU143" s="7"/>
      <c r="CV143" s="7"/>
      <c r="CW143" s="7"/>
      <c r="CX143" s="7"/>
      <c r="CY143" s="189"/>
      <c r="CZ143" s="388"/>
      <c r="DA143" s="189"/>
      <c r="DB143" s="189"/>
      <c r="DC143" s="189"/>
      <c r="DD143" s="189"/>
      <c r="DE143" s="189">
        <f t="shared" si="211"/>
        <v>3300000</v>
      </c>
      <c r="DF143" s="189">
        <f t="shared" si="212"/>
        <v>8848.0542269404486</v>
      </c>
      <c r="DG143" s="189">
        <f t="shared" si="213"/>
        <v>29543.585174328473</v>
      </c>
      <c r="DH143" s="189">
        <v>3838391.6394012691</v>
      </c>
      <c r="DI143" s="189">
        <f t="shared" si="239"/>
        <v>3838391.6394012691</v>
      </c>
      <c r="DJ143" s="189">
        <f t="shared" si="232"/>
        <v>0</v>
      </c>
      <c r="DK143" s="189">
        <f t="shared" si="214"/>
        <v>39411.682453445566</v>
      </c>
      <c r="DL143" s="189">
        <f t="shared" si="215"/>
        <v>10977.998059875295</v>
      </c>
      <c r="DM143" s="189"/>
      <c r="DN143" s="189"/>
      <c r="DO143" s="189"/>
      <c r="DP143" s="189"/>
      <c r="DQ143" s="189"/>
      <c r="DR143" s="189"/>
      <c r="DS143" s="186">
        <f t="shared" si="216"/>
        <v>3888781.3199145901</v>
      </c>
      <c r="DT143" s="1" t="b">
        <f t="shared" si="220"/>
        <v>1</v>
      </c>
      <c r="DU143" s="247" t="str">
        <f t="shared" ref="DU143" si="243">B143</f>
        <v>Selemani Pongolani Ahmadi</v>
      </c>
      <c r="DV143" s="249">
        <f t="shared" ref="DV143" si="244">DS143</f>
        <v>3888781.3199145901</v>
      </c>
      <c r="DW143" s="248">
        <f t="shared" ref="DW143" si="245">DS143-CN143</f>
        <v>88781.319914590102</v>
      </c>
      <c r="DZ143" s="1">
        <f t="shared" si="221"/>
        <v>0</v>
      </c>
      <c r="EB143" s="1">
        <f t="shared" si="222"/>
        <v>0</v>
      </c>
    </row>
    <row r="144" spans="1:132" x14ac:dyDescent="0.35">
      <c r="A144" s="311" t="s">
        <v>979</v>
      </c>
      <c r="B144" s="7" t="s">
        <v>992</v>
      </c>
      <c r="C144" s="522" t="s">
        <v>1182</v>
      </c>
      <c r="D144" s="71"/>
      <c r="E144" s="11"/>
      <c r="F144" s="11"/>
      <c r="G144" s="11"/>
      <c r="H144" s="11"/>
      <c r="I144" s="545"/>
      <c r="J144" s="545"/>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7"/>
      <c r="BK144" s="7"/>
      <c r="BL144" s="7"/>
      <c r="BM144" s="7"/>
      <c r="BN144" s="7"/>
      <c r="BO144" s="11"/>
      <c r="BP144" s="202"/>
      <c r="BQ144" s="7"/>
      <c r="BR144" s="202"/>
      <c r="BS144" s="178"/>
      <c r="BT144" s="202"/>
      <c r="BU144" s="7"/>
      <c r="BV144" s="7"/>
      <c r="BW144" s="7"/>
      <c r="BX144" s="7"/>
      <c r="BY144" s="71"/>
      <c r="BZ144" s="7"/>
      <c r="CA144" s="71"/>
      <c r="CB144" s="7"/>
      <c r="CC144" s="71"/>
      <c r="CD144" s="7"/>
      <c r="CE144" s="71">
        <v>46203</v>
      </c>
      <c r="CF144" s="7">
        <v>3300000</v>
      </c>
      <c r="CG144" s="71">
        <v>46218</v>
      </c>
      <c r="CH144" s="7">
        <f>500000+1200000</f>
        <v>1700000</v>
      </c>
      <c r="CI144" s="7"/>
      <c r="CJ144" s="7"/>
      <c r="CK144" s="7"/>
      <c r="CL144" s="7"/>
      <c r="CM144" s="7">
        <f t="shared" si="209"/>
        <v>5000000</v>
      </c>
      <c r="CN144" s="7">
        <f t="shared" si="210"/>
        <v>5000000</v>
      </c>
      <c r="CO144" s="7"/>
      <c r="CP144" s="286"/>
      <c r="CQ144" s="7"/>
      <c r="CR144" s="7"/>
      <c r="CS144" s="7"/>
      <c r="CT144" s="7"/>
      <c r="CU144" s="7"/>
      <c r="CV144" s="7"/>
      <c r="CW144" s="7"/>
      <c r="CX144" s="7"/>
      <c r="CY144" s="189"/>
      <c r="CZ144" s="388"/>
      <c r="DA144" s="189"/>
      <c r="DB144" s="189"/>
      <c r="DC144" s="189"/>
      <c r="DD144" s="189"/>
      <c r="DE144" s="189">
        <f t="shared" si="211"/>
        <v>3300000</v>
      </c>
      <c r="DF144" s="189">
        <f t="shared" si="212"/>
        <v>8848.0542269404486</v>
      </c>
      <c r="DG144" s="189">
        <f t="shared" si="213"/>
        <v>29543.585174328473</v>
      </c>
      <c r="DH144" s="189">
        <v>5038391.6394012691</v>
      </c>
      <c r="DI144" s="189">
        <f t="shared" si="239"/>
        <v>5038391.6394012691</v>
      </c>
      <c r="DJ144" s="189">
        <f t="shared" si="232"/>
        <v>0</v>
      </c>
      <c r="DK144" s="189">
        <f t="shared" si="214"/>
        <v>51732.993926370684</v>
      </c>
      <c r="DL144" s="189">
        <f t="shared" si="215"/>
        <v>14410.059951794494</v>
      </c>
      <c r="DM144" s="189"/>
      <c r="DN144" s="189"/>
      <c r="DO144" s="189"/>
      <c r="DP144" s="189"/>
      <c r="DQ144" s="189"/>
      <c r="DR144" s="189"/>
      <c r="DS144" s="186">
        <f t="shared" si="216"/>
        <v>5104534.693279434</v>
      </c>
      <c r="DT144" s="1" t="b">
        <f t="shared" si="220"/>
        <v>1</v>
      </c>
      <c r="DU144" s="247" t="str">
        <f t="shared" ref="DU144" si="246">B144</f>
        <v xml:space="preserve">Honest Tesha </v>
      </c>
      <c r="DV144" s="249">
        <f t="shared" ref="DV144" si="247">DS144</f>
        <v>5104534.693279434</v>
      </c>
      <c r="DW144" s="248">
        <f t="shared" ref="DW144" si="248">DS144-CN144</f>
        <v>104534.693279434</v>
      </c>
      <c r="DZ144" s="1">
        <f t="shared" si="221"/>
        <v>0</v>
      </c>
      <c r="EB144" s="1">
        <f t="shared" si="222"/>
        <v>0</v>
      </c>
    </row>
    <row r="145" spans="1:132" x14ac:dyDescent="0.35">
      <c r="A145" s="311" t="s">
        <v>995</v>
      </c>
      <c r="B145" s="7" t="s">
        <v>996</v>
      </c>
      <c r="C145" s="522" t="s">
        <v>1181</v>
      </c>
      <c r="D145" s="71"/>
      <c r="E145" s="11"/>
      <c r="F145" s="11"/>
      <c r="G145" s="11"/>
      <c r="H145" s="11"/>
      <c r="I145" s="545"/>
      <c r="J145" s="545"/>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7"/>
      <c r="BK145" s="7"/>
      <c r="BL145" s="7"/>
      <c r="BM145" s="7"/>
      <c r="BN145" s="7"/>
      <c r="BO145" s="11"/>
      <c r="BP145" s="202"/>
      <c r="BQ145" s="7"/>
      <c r="BR145" s="202"/>
      <c r="BS145" s="178"/>
      <c r="BT145" s="202"/>
      <c r="BU145" s="7"/>
      <c r="BV145" s="7"/>
      <c r="BW145" s="7"/>
      <c r="BX145" s="7"/>
      <c r="BY145" s="71"/>
      <c r="BZ145" s="7"/>
      <c r="CA145" s="71"/>
      <c r="CB145" s="7"/>
      <c r="CC145" s="71"/>
      <c r="CD145" s="7"/>
      <c r="CE145" s="71"/>
      <c r="CF145" s="7"/>
      <c r="CG145" s="71">
        <v>46204</v>
      </c>
      <c r="CH145" s="7">
        <f>3300000+300000</f>
        <v>3600000</v>
      </c>
      <c r="CI145" s="7"/>
      <c r="CJ145" s="7"/>
      <c r="CK145" s="7"/>
      <c r="CL145" s="7"/>
      <c r="CM145" s="7">
        <f t="shared" si="209"/>
        <v>3600000</v>
      </c>
      <c r="CN145" s="7">
        <f t="shared" si="210"/>
        <v>3600000</v>
      </c>
      <c r="CO145" s="7"/>
      <c r="CP145" s="286"/>
      <c r="CQ145" s="7"/>
      <c r="CR145" s="7"/>
      <c r="CS145" s="7"/>
      <c r="CT145" s="7"/>
      <c r="CU145" s="7"/>
      <c r="CV145" s="7"/>
      <c r="CW145" s="7"/>
      <c r="CX145" s="7"/>
      <c r="CY145" s="189"/>
      <c r="CZ145" s="388"/>
      <c r="DA145" s="189"/>
      <c r="DB145" s="189"/>
      <c r="DC145" s="189"/>
      <c r="DD145" s="189"/>
      <c r="DE145" s="189">
        <f t="shared" si="211"/>
        <v>0</v>
      </c>
      <c r="DF145" s="189">
        <f t="shared" si="212"/>
        <v>0</v>
      </c>
      <c r="DG145" s="189">
        <f t="shared" si="213"/>
        <v>0</v>
      </c>
      <c r="DH145" s="189">
        <v>3600000</v>
      </c>
      <c r="DI145" s="189">
        <f t="shared" si="239"/>
        <v>3600000</v>
      </c>
      <c r="DJ145" s="189">
        <f t="shared" si="232"/>
        <v>0</v>
      </c>
      <c r="DK145" s="189">
        <f t="shared" si="214"/>
        <v>36963.934418775338</v>
      </c>
      <c r="DL145" s="189">
        <f t="shared" si="215"/>
        <v>10296.185675757597</v>
      </c>
      <c r="DM145" s="189"/>
      <c r="DN145" s="189"/>
      <c r="DO145" s="189"/>
      <c r="DP145" s="189"/>
      <c r="DQ145" s="189"/>
      <c r="DR145" s="189"/>
      <c r="DS145" s="186">
        <f t="shared" si="216"/>
        <v>3647260.1200945326</v>
      </c>
      <c r="DT145" s="1" t="b">
        <f t="shared" si="220"/>
        <v>1</v>
      </c>
      <c r="DU145" s="247" t="str">
        <f t="shared" ref="DU145" si="249">B145</f>
        <v xml:space="preserve">Steven Silvester Chihwallo </v>
      </c>
      <c r="DV145" s="249">
        <f t="shared" ref="DV145" si="250">DS145</f>
        <v>3647260.1200945326</v>
      </c>
      <c r="DW145" s="248">
        <f t="shared" ref="DW145" si="251">DS145-CN145</f>
        <v>47260.120094532613</v>
      </c>
      <c r="DZ145" s="1">
        <f t="shared" si="221"/>
        <v>0</v>
      </c>
      <c r="EB145" s="1">
        <f t="shared" si="222"/>
        <v>0</v>
      </c>
    </row>
    <row r="146" spans="1:132" x14ac:dyDescent="0.35">
      <c r="A146" s="311" t="s">
        <v>1004</v>
      </c>
      <c r="B146" s="7" t="s">
        <v>1005</v>
      </c>
      <c r="C146" s="522" t="s">
        <v>1180</v>
      </c>
      <c r="D146" s="71"/>
      <c r="E146" s="11"/>
      <c r="F146" s="11"/>
      <c r="G146" s="11"/>
      <c r="H146" s="11"/>
      <c r="I146" s="545"/>
      <c r="J146" s="545"/>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7"/>
      <c r="BK146" s="7"/>
      <c r="BL146" s="7"/>
      <c r="BM146" s="7"/>
      <c r="BN146" s="7"/>
      <c r="BO146" s="11"/>
      <c r="BP146" s="202"/>
      <c r="BQ146" s="7"/>
      <c r="BR146" s="202"/>
      <c r="BS146" s="178"/>
      <c r="BT146" s="202"/>
      <c r="BU146" s="7"/>
      <c r="BV146" s="7"/>
      <c r="BW146" s="7"/>
      <c r="BX146" s="7"/>
      <c r="BY146" s="71"/>
      <c r="BZ146" s="7"/>
      <c r="CA146" s="71"/>
      <c r="CB146" s="7"/>
      <c r="CC146" s="71"/>
      <c r="CD146" s="7"/>
      <c r="CE146" s="71"/>
      <c r="CF146" s="7"/>
      <c r="CG146" s="71">
        <v>46204</v>
      </c>
      <c r="CH146" s="7">
        <f>1500000+1900000</f>
        <v>3400000</v>
      </c>
      <c r="CI146" s="7"/>
      <c r="CJ146" s="7"/>
      <c r="CK146" s="7"/>
      <c r="CL146" s="7"/>
      <c r="CM146" s="7">
        <f t="shared" si="209"/>
        <v>3400000</v>
      </c>
      <c r="CN146" s="7">
        <f t="shared" si="210"/>
        <v>3400000</v>
      </c>
      <c r="CO146" s="7"/>
      <c r="CP146" s="286"/>
      <c r="CQ146" s="7"/>
      <c r="CR146" s="7"/>
      <c r="CS146" s="7"/>
      <c r="CT146" s="7"/>
      <c r="CU146" s="7"/>
      <c r="CV146" s="7"/>
      <c r="CW146" s="7"/>
      <c r="CX146" s="7"/>
      <c r="CY146" s="189"/>
      <c r="CZ146" s="388"/>
      <c r="DA146" s="189"/>
      <c r="DB146" s="189"/>
      <c r="DC146" s="189"/>
      <c r="DD146" s="189"/>
      <c r="DE146" s="189">
        <f t="shared" si="211"/>
        <v>0</v>
      </c>
      <c r="DF146" s="189">
        <f t="shared" si="212"/>
        <v>0</v>
      </c>
      <c r="DG146" s="189">
        <f t="shared" si="213"/>
        <v>0</v>
      </c>
      <c r="DH146" s="189">
        <v>3400000</v>
      </c>
      <c r="DI146" s="189">
        <f t="shared" si="239"/>
        <v>3400000</v>
      </c>
      <c r="DJ146" s="189">
        <f t="shared" si="232"/>
        <v>0</v>
      </c>
      <c r="DK146" s="189">
        <f t="shared" si="214"/>
        <v>34910.38250662115</v>
      </c>
      <c r="DL146" s="189">
        <f t="shared" si="215"/>
        <v>9724.17536043773</v>
      </c>
      <c r="DM146" s="189"/>
      <c r="DN146" s="189"/>
      <c r="DO146" s="189"/>
      <c r="DP146" s="189"/>
      <c r="DQ146" s="189"/>
      <c r="DR146" s="189"/>
      <c r="DS146" s="186">
        <f t="shared" si="216"/>
        <v>3444634.557867059</v>
      </c>
      <c r="DT146" s="1" t="b">
        <f t="shared" si="220"/>
        <v>1</v>
      </c>
      <c r="DU146" s="247" t="str">
        <f t="shared" ref="DU146" si="252">B146</f>
        <v>Jaha Kamugisha Mvuha</v>
      </c>
      <c r="DV146" s="249">
        <f t="shared" ref="DV146" si="253">DS146</f>
        <v>3444634.557867059</v>
      </c>
      <c r="DW146" s="248">
        <f t="shared" ref="DW146" si="254">DS146-CN146</f>
        <v>44634.557867059018</v>
      </c>
      <c r="DZ146" s="1"/>
      <c r="EB146" s="1"/>
    </row>
    <row r="147" spans="1:132" x14ac:dyDescent="0.35">
      <c r="A147" s="311" t="s">
        <v>1006</v>
      </c>
      <c r="B147" s="7" t="s">
        <v>1007</v>
      </c>
      <c r="C147" s="522" t="s">
        <v>1179</v>
      </c>
      <c r="D147" s="71"/>
      <c r="E147" s="11"/>
      <c r="F147" s="11"/>
      <c r="G147" s="11"/>
      <c r="H147" s="11"/>
      <c r="I147" s="545"/>
      <c r="J147" s="545"/>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7"/>
      <c r="BK147" s="7"/>
      <c r="BL147" s="7"/>
      <c r="BM147" s="7"/>
      <c r="BN147" s="7"/>
      <c r="BO147" s="11"/>
      <c r="BP147" s="202"/>
      <c r="BQ147" s="7"/>
      <c r="BR147" s="202"/>
      <c r="BS147" s="178"/>
      <c r="BT147" s="202"/>
      <c r="BU147" s="7"/>
      <c r="BV147" s="7"/>
      <c r="BW147" s="7"/>
      <c r="BX147" s="7"/>
      <c r="BY147" s="71"/>
      <c r="BZ147" s="7"/>
      <c r="CA147" s="71"/>
      <c r="CB147" s="7"/>
      <c r="CC147" s="71"/>
      <c r="CD147" s="7"/>
      <c r="CE147" s="71"/>
      <c r="CF147" s="7"/>
      <c r="CG147" s="71">
        <v>46204</v>
      </c>
      <c r="CH147" s="7">
        <f>3500000+200000+4000000+4000000</f>
        <v>11700000</v>
      </c>
      <c r="CI147" s="7"/>
      <c r="CJ147" s="7"/>
      <c r="CK147" s="7"/>
      <c r="CL147" s="7"/>
      <c r="CM147" s="7">
        <f t="shared" si="209"/>
        <v>11700000</v>
      </c>
      <c r="CN147" s="7">
        <f t="shared" si="210"/>
        <v>11700000</v>
      </c>
      <c r="CO147" s="7"/>
      <c r="CP147" s="286"/>
      <c r="CQ147" s="7"/>
      <c r="CR147" s="7"/>
      <c r="CS147" s="7"/>
      <c r="CT147" s="7"/>
      <c r="CU147" s="7"/>
      <c r="CV147" s="7"/>
      <c r="CW147" s="7"/>
      <c r="CX147" s="7"/>
      <c r="CY147" s="189"/>
      <c r="CZ147" s="388"/>
      <c r="DA147" s="189"/>
      <c r="DB147" s="189"/>
      <c r="DC147" s="189"/>
      <c r="DD147" s="189"/>
      <c r="DE147" s="189">
        <f t="shared" si="211"/>
        <v>0</v>
      </c>
      <c r="DF147" s="189">
        <f t="shared" si="212"/>
        <v>0</v>
      </c>
      <c r="DG147" s="189">
        <f t="shared" si="213"/>
        <v>0</v>
      </c>
      <c r="DH147" s="189">
        <v>11700000</v>
      </c>
      <c r="DI147" s="189">
        <f t="shared" si="239"/>
        <v>11700000</v>
      </c>
      <c r="DJ147" s="189">
        <f t="shared" si="232"/>
        <v>0</v>
      </c>
      <c r="DK147" s="189">
        <f t="shared" si="214"/>
        <v>120132.78686101983</v>
      </c>
      <c r="DL147" s="189">
        <f t="shared" si="215"/>
        <v>33462.60344621219</v>
      </c>
      <c r="DM147" s="189"/>
      <c r="DN147" s="189"/>
      <c r="DO147" s="189"/>
      <c r="DP147" s="189"/>
      <c r="DQ147" s="189"/>
      <c r="DR147" s="189"/>
      <c r="DS147" s="186">
        <f t="shared" si="216"/>
        <v>11853595.390307231</v>
      </c>
      <c r="DT147" s="1" t="b">
        <f t="shared" si="220"/>
        <v>1</v>
      </c>
      <c r="DU147" s="247" t="str">
        <f t="shared" ref="DU147" si="255">B147</f>
        <v>Hussein Hussein Shamdas</v>
      </c>
      <c r="DV147" s="249">
        <f t="shared" ref="DV147" si="256">DS147</f>
        <v>11853595.390307231</v>
      </c>
      <c r="DW147" s="248">
        <f t="shared" ref="DW147" si="257">DS147-CN147</f>
        <v>153595.39030723087</v>
      </c>
      <c r="DZ147" s="1">
        <f t="shared" si="221"/>
        <v>0</v>
      </c>
      <c r="EB147" s="1">
        <f t="shared" si="222"/>
        <v>0</v>
      </c>
    </row>
    <row r="148" spans="1:132" x14ac:dyDescent="0.35">
      <c r="A148" s="311" t="s">
        <v>1019</v>
      </c>
      <c r="B148" s="7" t="s">
        <v>1020</v>
      </c>
      <c r="C148" s="522" t="s">
        <v>1178</v>
      </c>
      <c r="D148" s="71"/>
      <c r="E148" s="11"/>
      <c r="F148" s="11"/>
      <c r="G148" s="11"/>
      <c r="H148" s="11"/>
      <c r="I148" s="545"/>
      <c r="J148" s="545"/>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7"/>
      <c r="BK148" s="7"/>
      <c r="BL148" s="7"/>
      <c r="BM148" s="7"/>
      <c r="BN148" s="7"/>
      <c r="BO148" s="11"/>
      <c r="BP148" s="202"/>
      <c r="BQ148" s="7"/>
      <c r="BR148" s="202"/>
      <c r="BS148" s="178"/>
      <c r="BT148" s="202"/>
      <c r="BU148" s="7"/>
      <c r="BV148" s="7"/>
      <c r="BW148" s="7"/>
      <c r="BX148" s="7"/>
      <c r="BY148" s="71"/>
      <c r="BZ148" s="7"/>
      <c r="CA148" s="71"/>
      <c r="CB148" s="7"/>
      <c r="CC148" s="71"/>
      <c r="CD148" s="7"/>
      <c r="CE148" s="71"/>
      <c r="CF148" s="7"/>
      <c r="CG148" s="71">
        <v>46205</v>
      </c>
      <c r="CH148" s="7">
        <f>3496500+25000</f>
        <v>3521500</v>
      </c>
      <c r="CI148" s="7"/>
      <c r="CJ148" s="7"/>
      <c r="CK148" s="7"/>
      <c r="CL148" s="7"/>
      <c r="CM148" s="7">
        <f t="shared" si="209"/>
        <v>3521500</v>
      </c>
      <c r="CN148" s="7">
        <f t="shared" si="210"/>
        <v>3521500</v>
      </c>
      <c r="CO148" s="7"/>
      <c r="CP148" s="286"/>
      <c r="CQ148" s="7"/>
      <c r="CR148" s="7"/>
      <c r="CS148" s="7"/>
      <c r="CT148" s="7"/>
      <c r="CU148" s="7"/>
      <c r="CV148" s="7"/>
      <c r="CW148" s="7"/>
      <c r="CX148" s="7"/>
      <c r="CY148" s="189"/>
      <c r="CZ148" s="388"/>
      <c r="DA148" s="189"/>
      <c r="DB148" s="189"/>
      <c r="DC148" s="189"/>
      <c r="DD148" s="189"/>
      <c r="DE148" s="189">
        <f t="shared" si="211"/>
        <v>0</v>
      </c>
      <c r="DF148" s="189">
        <f t="shared" si="212"/>
        <v>0</v>
      </c>
      <c r="DG148" s="189">
        <f t="shared" si="213"/>
        <v>0</v>
      </c>
      <c r="DH148" s="189">
        <v>3521500</v>
      </c>
      <c r="DI148" s="189">
        <v>3521500</v>
      </c>
      <c r="DJ148" s="189">
        <f t="shared" si="232"/>
        <v>0</v>
      </c>
      <c r="DK148" s="189">
        <f t="shared" si="214"/>
        <v>36157.915293254817</v>
      </c>
      <c r="DL148" s="189">
        <f t="shared" si="215"/>
        <v>10071.671626994548</v>
      </c>
      <c r="DM148" s="189"/>
      <c r="DN148" s="189"/>
      <c r="DO148" s="189"/>
      <c r="DP148" s="189"/>
      <c r="DQ148" s="189"/>
      <c r="DR148" s="189"/>
      <c r="DS148" s="186">
        <f t="shared" si="216"/>
        <v>3567729.5869202493</v>
      </c>
      <c r="DT148" s="1" t="b">
        <f t="shared" si="220"/>
        <v>1</v>
      </c>
      <c r="DU148" s="247" t="str">
        <f t="shared" ref="DU148" si="258">B148</f>
        <v xml:space="preserve">Julius Chacha Mwita </v>
      </c>
      <c r="DV148" s="249">
        <f t="shared" ref="DV148" si="259">DS148</f>
        <v>3567729.5869202493</v>
      </c>
      <c r="DW148" s="248">
        <f t="shared" ref="DW148" si="260">DS148-CN148</f>
        <v>46229.586920249276</v>
      </c>
      <c r="DZ148" s="1"/>
      <c r="EB148" s="1"/>
    </row>
    <row r="149" spans="1:132" x14ac:dyDescent="0.35">
      <c r="A149" s="311" t="s">
        <v>1312</v>
      </c>
      <c r="B149" s="7" t="s">
        <v>1315</v>
      </c>
      <c r="C149" s="522"/>
      <c r="D149" s="71"/>
      <c r="E149" s="11"/>
      <c r="F149" s="11"/>
      <c r="G149" s="11"/>
      <c r="H149" s="11"/>
      <c r="I149" s="545"/>
      <c r="J149" s="545"/>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7"/>
      <c r="BK149" s="7"/>
      <c r="BL149" s="7"/>
      <c r="BM149" s="7"/>
      <c r="BN149" s="7"/>
      <c r="BO149" s="11"/>
      <c r="BP149" s="202"/>
      <c r="BQ149" s="7"/>
      <c r="BR149" s="202"/>
      <c r="BS149" s="178"/>
      <c r="BT149" s="202"/>
      <c r="BU149" s="7"/>
      <c r="BV149" s="7"/>
      <c r="BW149" s="7"/>
      <c r="BX149" s="7"/>
      <c r="BY149" s="71"/>
      <c r="BZ149" s="7"/>
      <c r="CA149" s="71"/>
      <c r="CB149" s="7"/>
      <c r="CC149" s="71"/>
      <c r="CD149" s="7"/>
      <c r="CE149" s="71"/>
      <c r="CF149" s="7"/>
      <c r="CG149" s="71">
        <v>46226</v>
      </c>
      <c r="CH149" s="7">
        <f>5000000+1000000</f>
        <v>6000000</v>
      </c>
      <c r="CI149" s="7"/>
      <c r="CJ149" s="7"/>
      <c r="CK149" s="7"/>
      <c r="CL149" s="7"/>
      <c r="CM149" s="7">
        <f t="shared" si="209"/>
        <v>6000000</v>
      </c>
      <c r="CN149" s="7">
        <f t="shared" si="210"/>
        <v>6000000</v>
      </c>
      <c r="CO149" s="7"/>
      <c r="CP149" s="286"/>
      <c r="CQ149" s="7"/>
      <c r="CR149" s="7"/>
      <c r="CS149" s="7"/>
      <c r="CT149" s="7"/>
      <c r="CU149" s="7"/>
      <c r="CV149" s="7"/>
      <c r="CW149" s="7"/>
      <c r="CX149" s="7"/>
      <c r="CY149" s="189"/>
      <c r="CZ149" s="388"/>
      <c r="DA149" s="189"/>
      <c r="DB149" s="189"/>
      <c r="DC149" s="189"/>
      <c r="DD149" s="189"/>
      <c r="DE149" s="189">
        <f t="shared" si="211"/>
        <v>0</v>
      </c>
      <c r="DF149" s="189">
        <f t="shared" si="212"/>
        <v>0</v>
      </c>
      <c r="DG149" s="189">
        <f t="shared" si="213"/>
        <v>0</v>
      </c>
      <c r="DH149" s="189">
        <v>6000000</v>
      </c>
      <c r="DI149" s="189">
        <v>6000000</v>
      </c>
      <c r="DJ149" s="189">
        <f t="shared" si="232"/>
        <v>0</v>
      </c>
      <c r="DK149" s="189">
        <f t="shared" si="214"/>
        <v>61606.557364625558</v>
      </c>
      <c r="DL149" s="189">
        <f t="shared" si="215"/>
        <v>17160.309459595996</v>
      </c>
      <c r="DM149" s="189"/>
      <c r="DN149" s="189"/>
      <c r="DO149" s="189"/>
      <c r="DP149" s="189"/>
      <c r="DQ149" s="189"/>
      <c r="DR149" s="189"/>
      <c r="DS149" s="186">
        <f t="shared" si="216"/>
        <v>6078766.8668242218</v>
      </c>
      <c r="DT149" s="1" t="b">
        <f t="shared" ref="DT149" si="261">DS149=CN149+CO149+CQ149+CR149+CT149+CV149+CX149+CZ149+DA149+DC149+DD149+DF149+DG149+DK149+DL149+DN149+DO149+DQ149+DR149</f>
        <v>1</v>
      </c>
      <c r="DU149" s="247" t="str">
        <f t="shared" ref="DU149" si="262">B149</f>
        <v xml:space="preserve">Lameck Kasana </v>
      </c>
      <c r="DV149" s="249">
        <f t="shared" ref="DV149" si="263">DS149</f>
        <v>6078766.8668242218</v>
      </c>
      <c r="DW149" s="248">
        <f t="shared" ref="DW149" si="264">DS149-CN149</f>
        <v>78766.866824221797</v>
      </c>
      <c r="DZ149" s="1"/>
      <c r="EB149" s="1"/>
    </row>
    <row r="150" spans="1:132" x14ac:dyDescent="0.35">
      <c r="A150" s="311" t="s">
        <v>1314</v>
      </c>
      <c r="B150" s="7" t="s">
        <v>1316</v>
      </c>
      <c r="C150" s="522"/>
      <c r="D150" s="71"/>
      <c r="E150" s="11"/>
      <c r="F150" s="11"/>
      <c r="G150" s="11"/>
      <c r="H150" s="11"/>
      <c r="I150" s="545"/>
      <c r="J150" s="545"/>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7"/>
      <c r="BK150" s="7"/>
      <c r="BL150" s="7"/>
      <c r="BM150" s="7"/>
      <c r="BN150" s="7"/>
      <c r="BO150" s="11"/>
      <c r="BP150" s="202"/>
      <c r="BQ150" s="7"/>
      <c r="BR150" s="202"/>
      <c r="BS150" s="178"/>
      <c r="BT150" s="202"/>
      <c r="BU150" s="7"/>
      <c r="BV150" s="7"/>
      <c r="BW150" s="7"/>
      <c r="BX150" s="7"/>
      <c r="BY150" s="71"/>
      <c r="BZ150" s="7"/>
      <c r="CA150" s="71"/>
      <c r="CB150" s="7"/>
      <c r="CC150" s="71"/>
      <c r="CD150" s="7"/>
      <c r="CE150" s="71"/>
      <c r="CF150" s="7"/>
      <c r="CG150" s="71">
        <v>46227</v>
      </c>
      <c r="CH150" s="7">
        <f>3100000+400000</f>
        <v>3500000</v>
      </c>
      <c r="CI150" s="7"/>
      <c r="CJ150" s="7"/>
      <c r="CK150" s="7"/>
      <c r="CL150" s="7"/>
      <c r="CM150" s="7">
        <f t="shared" si="209"/>
        <v>3500000</v>
      </c>
      <c r="CN150" s="7">
        <f t="shared" si="210"/>
        <v>3500000</v>
      </c>
      <c r="CO150" s="7"/>
      <c r="CP150" s="286"/>
      <c r="CQ150" s="7"/>
      <c r="CR150" s="7"/>
      <c r="CS150" s="7"/>
      <c r="CT150" s="7"/>
      <c r="CU150" s="7"/>
      <c r="CV150" s="7"/>
      <c r="CW150" s="7"/>
      <c r="CX150" s="7"/>
      <c r="CY150" s="189"/>
      <c r="CZ150" s="388"/>
      <c r="DA150" s="189"/>
      <c r="DB150" s="189"/>
      <c r="DC150" s="189"/>
      <c r="DD150" s="189"/>
      <c r="DE150" s="189">
        <f t="shared" si="211"/>
        <v>0</v>
      </c>
      <c r="DF150" s="189">
        <f t="shared" si="212"/>
        <v>0</v>
      </c>
      <c r="DG150" s="189">
        <f t="shared" si="213"/>
        <v>0</v>
      </c>
      <c r="DH150" s="189">
        <v>3500000</v>
      </c>
      <c r="DI150" s="189">
        <v>3500000</v>
      </c>
      <c r="DJ150" s="189">
        <f t="shared" si="232"/>
        <v>0</v>
      </c>
      <c r="DK150" s="189">
        <f t="shared" si="214"/>
        <v>35937.158462698244</v>
      </c>
      <c r="DL150" s="189">
        <f t="shared" si="215"/>
        <v>10010.180518097663</v>
      </c>
      <c r="DM150" s="189"/>
      <c r="DN150" s="189"/>
      <c r="DO150" s="189"/>
      <c r="DP150" s="189"/>
      <c r="DQ150" s="189"/>
      <c r="DR150" s="189"/>
      <c r="DS150" s="186">
        <f t="shared" si="216"/>
        <v>3545947.3389807958</v>
      </c>
      <c r="DT150" s="1" t="b">
        <f t="shared" ref="DT150" si="265">DS150=CN150+CO150+CQ150+CR150+CT150+CV150+CX150+CZ150+DA150+DC150+DD150+DF150+DG150+DK150+DL150+DN150+DO150+DQ150+DR150</f>
        <v>1</v>
      </c>
      <c r="DU150" s="247" t="str">
        <f t="shared" ref="DU150" si="266">B150</f>
        <v xml:space="preserve">Mohamed Rashidi Gwae </v>
      </c>
      <c r="DV150" s="249">
        <f t="shared" ref="DV150" si="267">DS150</f>
        <v>3545947.3389807958</v>
      </c>
      <c r="DW150" s="248">
        <f t="shared" ref="DW150" si="268">DS150-CN150</f>
        <v>45947.338980795816</v>
      </c>
      <c r="DZ150" s="1"/>
      <c r="EB150" s="1"/>
    </row>
    <row r="151" spans="1:132" x14ac:dyDescent="0.35">
      <c r="A151" s="311" t="s">
        <v>1349</v>
      </c>
      <c r="B151" s="7" t="s">
        <v>1350</v>
      </c>
      <c r="C151" s="522"/>
      <c r="D151" s="71"/>
      <c r="E151" s="11"/>
      <c r="F151" s="11"/>
      <c r="G151" s="11"/>
      <c r="H151" s="11"/>
      <c r="I151" s="545"/>
      <c r="J151" s="545"/>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7"/>
      <c r="BK151" s="7"/>
      <c r="BL151" s="7"/>
      <c r="BM151" s="7"/>
      <c r="BN151" s="7"/>
      <c r="BO151" s="11"/>
      <c r="BP151" s="202"/>
      <c r="BQ151" s="7"/>
      <c r="BR151" s="202"/>
      <c r="BS151" s="178"/>
      <c r="BT151" s="202"/>
      <c r="BU151" s="7"/>
      <c r="BV151" s="7"/>
      <c r="BW151" s="7"/>
      <c r="BX151" s="7"/>
      <c r="BY151" s="71"/>
      <c r="BZ151" s="7"/>
      <c r="CA151" s="71"/>
      <c r="CB151" s="7"/>
      <c r="CC151" s="71"/>
      <c r="CD151" s="7"/>
      <c r="CE151" s="71"/>
      <c r="CF151" s="7"/>
      <c r="CG151" s="71">
        <v>46230</v>
      </c>
      <c r="CH151" s="7">
        <v>5000000</v>
      </c>
      <c r="CI151" s="7"/>
      <c r="CJ151" s="7"/>
      <c r="CK151" s="7"/>
      <c r="CL151" s="7"/>
      <c r="CM151" s="7">
        <f t="shared" si="209"/>
        <v>5000000</v>
      </c>
      <c r="CN151" s="7">
        <f t="shared" si="210"/>
        <v>5000000</v>
      </c>
      <c r="CO151" s="7"/>
      <c r="CP151" s="286"/>
      <c r="CQ151" s="7"/>
      <c r="CR151" s="7"/>
      <c r="CS151" s="7"/>
      <c r="CT151" s="7"/>
      <c r="CU151" s="7"/>
      <c r="CV151" s="7"/>
      <c r="CW151" s="7"/>
      <c r="CX151" s="7"/>
      <c r="CY151" s="189"/>
      <c r="CZ151" s="388"/>
      <c r="DA151" s="189"/>
      <c r="DB151" s="189"/>
      <c r="DC151" s="189"/>
      <c r="DD151" s="189"/>
      <c r="DE151" s="189">
        <f t="shared" si="211"/>
        <v>0</v>
      </c>
      <c r="DF151" s="189">
        <f t="shared" si="212"/>
        <v>0</v>
      </c>
      <c r="DG151" s="189">
        <f t="shared" si="213"/>
        <v>0</v>
      </c>
      <c r="DH151" s="189">
        <v>5000000</v>
      </c>
      <c r="DI151" s="189">
        <v>5000000</v>
      </c>
      <c r="DJ151" s="189">
        <f t="shared" si="232"/>
        <v>0</v>
      </c>
      <c r="DK151" s="189">
        <f t="shared" si="214"/>
        <v>51338.797803854635</v>
      </c>
      <c r="DL151" s="189">
        <f t="shared" si="215"/>
        <v>14300.257882996662</v>
      </c>
      <c r="DM151" s="189"/>
      <c r="DN151" s="189"/>
      <c r="DO151" s="189"/>
      <c r="DP151" s="189"/>
      <c r="DQ151" s="189"/>
      <c r="DR151" s="189"/>
      <c r="DS151" s="186">
        <f t="shared" si="216"/>
        <v>5065639.055686851</v>
      </c>
      <c r="DT151" s="1" t="b">
        <f t="shared" ref="DT151" si="269">DS151=CN151+CO151+CQ151+CR151+CT151+CV151+CX151+CZ151+DA151+DC151+DD151+DF151+DG151+DK151+DL151+DN151+DO151+DQ151+DR151</f>
        <v>1</v>
      </c>
      <c r="DU151" s="247" t="str">
        <f t="shared" ref="DU151" si="270">B151</f>
        <v>Paulsen Patrick Aron</v>
      </c>
      <c r="DV151" s="249">
        <f t="shared" ref="DV151" si="271">DS151</f>
        <v>5065639.055686851</v>
      </c>
      <c r="DW151" s="248">
        <f t="shared" ref="DW151" si="272">DS151-CN151</f>
        <v>65639.055686851032</v>
      </c>
      <c r="DZ151" s="1"/>
      <c r="EB151" s="1"/>
    </row>
    <row r="152" spans="1:132" x14ac:dyDescent="0.35">
      <c r="A152" s="311"/>
      <c r="B152" s="7"/>
      <c r="C152" s="522"/>
      <c r="D152" s="71"/>
      <c r="E152" s="11"/>
      <c r="F152" s="11"/>
      <c r="G152" s="11"/>
      <c r="H152" s="11"/>
      <c r="I152" s="545"/>
      <c r="J152" s="545"/>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7"/>
      <c r="BK152" s="7"/>
      <c r="BL152" s="7"/>
      <c r="BM152" s="7"/>
      <c r="BN152" s="7"/>
      <c r="BO152" s="11"/>
      <c r="BP152" s="202"/>
      <c r="BQ152" s="7"/>
      <c r="BR152" s="202"/>
      <c r="BS152" s="178"/>
      <c r="BT152" s="202"/>
      <c r="BU152" s="7"/>
      <c r="BV152" s="7"/>
      <c r="BW152" s="7"/>
      <c r="BX152" s="7"/>
      <c r="BY152" s="71"/>
      <c r="BZ152" s="7"/>
      <c r="CA152" s="71"/>
      <c r="CB152" s="7"/>
      <c r="CC152" s="71"/>
      <c r="CD152" s="7"/>
      <c r="CE152" s="7"/>
      <c r="CF152" s="7"/>
      <c r="CG152" s="7"/>
      <c r="CH152" s="7"/>
      <c r="CI152" s="7"/>
      <c r="CJ152" s="7"/>
      <c r="CK152" s="7"/>
      <c r="CL152" s="7"/>
      <c r="CM152" s="7">
        <f t="shared" si="209"/>
        <v>0</v>
      </c>
      <c r="CN152" s="7"/>
      <c r="CO152" s="7"/>
      <c r="CP152" s="286"/>
      <c r="CQ152" s="7"/>
      <c r="CR152" s="7"/>
      <c r="CS152" s="7"/>
      <c r="CT152" s="7"/>
      <c r="CU152" s="7"/>
      <c r="CV152" s="7"/>
      <c r="CW152" s="7"/>
      <c r="CX152" s="7"/>
      <c r="CY152" s="189"/>
      <c r="CZ152" s="388"/>
      <c r="DA152" s="189"/>
      <c r="DB152" s="189"/>
      <c r="DC152" s="189"/>
      <c r="DD152" s="189"/>
      <c r="DE152" s="189">
        <f t="shared" si="211"/>
        <v>0</v>
      </c>
      <c r="DF152" s="189">
        <f t="shared" si="212"/>
        <v>0</v>
      </c>
      <c r="DG152" s="189">
        <f t="shared" si="213"/>
        <v>0</v>
      </c>
      <c r="DH152" s="189">
        <v>0</v>
      </c>
      <c r="DI152" s="189"/>
      <c r="DJ152" s="189"/>
      <c r="DK152" s="189">
        <f t="shared" si="214"/>
        <v>0</v>
      </c>
      <c r="DL152" s="189">
        <f t="shared" si="215"/>
        <v>0</v>
      </c>
      <c r="DM152" s="189"/>
      <c r="DN152" s="189"/>
      <c r="DO152" s="189"/>
      <c r="DP152" s="189"/>
      <c r="DQ152" s="189"/>
      <c r="DR152" s="189"/>
      <c r="DS152" s="186">
        <f t="shared" si="216"/>
        <v>0</v>
      </c>
      <c r="DT152" s="1" t="b">
        <f t="shared" si="220"/>
        <v>1</v>
      </c>
      <c r="DU152" s="247"/>
      <c r="DV152" s="249"/>
      <c r="DW152" s="248"/>
      <c r="DZ152" s="1">
        <f t="shared" si="221"/>
        <v>0</v>
      </c>
      <c r="EB152" s="1">
        <f t="shared" si="222"/>
        <v>0</v>
      </c>
    </row>
    <row r="153" spans="1:132" x14ac:dyDescent="0.35">
      <c r="A153" s="2"/>
      <c r="B153" s="2"/>
      <c r="C153" s="9"/>
      <c r="D153" s="9"/>
      <c r="E153" s="10"/>
      <c r="F153" s="10"/>
      <c r="G153" s="10"/>
      <c r="H153" s="10"/>
      <c r="I153" s="549"/>
      <c r="J153" s="549"/>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63">
        <f>SUM(BI1:BI68)</f>
        <v>71924000</v>
      </c>
      <c r="BJ153" s="63">
        <f>SUM(BJ1:BJ68)</f>
        <v>5441000</v>
      </c>
      <c r="BK153" s="63">
        <f>SUM(BK1:BK68)</f>
        <v>20140000</v>
      </c>
      <c r="BL153" s="63">
        <f>SUM(BL1:BL68)</f>
        <v>46343000</v>
      </c>
      <c r="BM153" s="183">
        <f>SUM(BM1:BM81)</f>
        <v>71924000</v>
      </c>
      <c r="BN153" s="183">
        <f>SUM(BN1:BN68)</f>
        <v>0</v>
      </c>
      <c r="BO153" s="191"/>
      <c r="BP153" s="201">
        <f>SUM(BP2:BP81)</f>
        <v>15434958</v>
      </c>
      <c r="BQ153" s="191"/>
      <c r="BR153" s="201">
        <f>SUM(BR2:BR81)</f>
        <v>12770000</v>
      </c>
      <c r="BS153" s="191"/>
      <c r="BT153" s="201">
        <f>SUM(BT2:BT81)</f>
        <v>17595808</v>
      </c>
      <c r="BU153" s="191"/>
      <c r="BV153" s="191">
        <f>SUM(BV2:BV81)</f>
        <v>24377365</v>
      </c>
      <c r="BW153" s="191"/>
      <c r="BX153" s="191">
        <f>SUM(BX2:BX81)</f>
        <v>19886004</v>
      </c>
      <c r="BY153" s="191"/>
      <c r="BZ153" s="240">
        <f>SUM(BZ2:BZ81)</f>
        <v>163024721</v>
      </c>
      <c r="CA153" s="286"/>
      <c r="CB153" s="240">
        <f>SUM(CB2:CB93)</f>
        <v>160345033</v>
      </c>
      <c r="CC153" s="240"/>
      <c r="CD153" s="240">
        <f>SUM(CD2:CD152)</f>
        <v>146311173</v>
      </c>
      <c r="CE153" s="240"/>
      <c r="CF153" s="240">
        <f>SUM(CF2:CF152)</f>
        <v>452396672</v>
      </c>
      <c r="CG153" s="240"/>
      <c r="CH153" s="240">
        <f>SUM(CH2:CH152)</f>
        <v>447535380</v>
      </c>
      <c r="CI153" s="240">
        <f>SUM(CI2:CI68)</f>
        <v>0</v>
      </c>
      <c r="CJ153" s="240">
        <f t="shared" ref="CJ153:DS153" si="273">SUM(CJ2:CJ152)</f>
        <v>1200000</v>
      </c>
      <c r="CK153" s="240">
        <f t="shared" si="273"/>
        <v>0</v>
      </c>
      <c r="CL153" s="240">
        <f t="shared" si="273"/>
        <v>0</v>
      </c>
      <c r="CM153" s="240">
        <f t="shared" si="273"/>
        <v>1460877114</v>
      </c>
      <c r="CN153" s="240">
        <f t="shared" si="273"/>
        <v>1532801114</v>
      </c>
      <c r="CO153" s="240">
        <f t="shared" si="273"/>
        <v>1069216.7900000066</v>
      </c>
      <c r="CP153" s="240">
        <f t="shared" si="273"/>
        <v>100128958</v>
      </c>
      <c r="CQ153" s="240">
        <f t="shared" si="273"/>
        <v>1311318.5099999898</v>
      </c>
      <c r="CR153" s="240">
        <f t="shared" si="273"/>
        <v>1999999.9999999995</v>
      </c>
      <c r="CS153" s="240">
        <f t="shared" si="273"/>
        <v>142102131</v>
      </c>
      <c r="CT153" s="240">
        <f t="shared" si="273"/>
        <v>2021245.7000000027</v>
      </c>
      <c r="CU153" s="240">
        <f t="shared" si="273"/>
        <v>161988135</v>
      </c>
      <c r="CV153" s="240">
        <f t="shared" si="273"/>
        <v>5500000</v>
      </c>
      <c r="CW153" s="240">
        <f t="shared" si="273"/>
        <v>325012856</v>
      </c>
      <c r="CX153" s="240">
        <f t="shared" si="273"/>
        <v>3157441.270000041</v>
      </c>
      <c r="CY153" s="240">
        <f t="shared" si="273"/>
        <v>485357889</v>
      </c>
      <c r="CZ153" s="240">
        <f t="shared" si="273"/>
        <v>750000.00000000023</v>
      </c>
      <c r="DA153" s="240">
        <f t="shared" si="273"/>
        <v>1929470.9300000097</v>
      </c>
      <c r="DB153" s="240">
        <f t="shared" si="273"/>
        <v>631669062</v>
      </c>
      <c r="DC153" s="240">
        <f t="shared" si="273"/>
        <v>3559875.0000000005</v>
      </c>
      <c r="DD153" s="240">
        <f t="shared" si="273"/>
        <v>2410373.4899999504</v>
      </c>
      <c r="DE153" s="240">
        <f t="shared" si="273"/>
        <v>1084065734</v>
      </c>
      <c r="DF153" s="240">
        <f t="shared" si="273"/>
        <v>2906627.9999999986</v>
      </c>
      <c r="DG153" s="240">
        <f t="shared" si="273"/>
        <v>9705208.5899999607</v>
      </c>
      <c r="DH153" s="240">
        <f t="shared" si="273"/>
        <v>1567921892.2799988</v>
      </c>
      <c r="DI153" s="240">
        <f t="shared" si="273"/>
        <v>1567921892.9299979</v>
      </c>
      <c r="DJ153" s="240">
        <f t="shared" si="273"/>
        <v>-0.64999560639262199</v>
      </c>
      <c r="DK153" s="240">
        <f t="shared" si="273"/>
        <v>16099045.000000009</v>
      </c>
      <c r="DL153" s="240">
        <f t="shared" si="273"/>
        <v>4484337.4800000219</v>
      </c>
      <c r="DM153" s="240">
        <f t="shared" si="273"/>
        <v>0</v>
      </c>
      <c r="DN153" s="240">
        <f t="shared" si="273"/>
        <v>0</v>
      </c>
      <c r="DO153" s="240">
        <f t="shared" si="273"/>
        <v>0</v>
      </c>
      <c r="DP153" s="240">
        <f t="shared" si="273"/>
        <v>0</v>
      </c>
      <c r="DQ153" s="240">
        <f t="shared" si="273"/>
        <v>0</v>
      </c>
      <c r="DR153" s="240">
        <f t="shared" si="273"/>
        <v>0</v>
      </c>
      <c r="DS153" s="240">
        <f t="shared" si="273"/>
        <v>1589705274.7600012</v>
      </c>
      <c r="DT153" s="1" t="b">
        <f t="shared" si="220"/>
        <v>1</v>
      </c>
      <c r="DU153" s="240">
        <f t="shared" ref="DU153:EB153" si="274">SUM(DU2:DU152)</f>
        <v>0</v>
      </c>
      <c r="DV153" s="240">
        <f t="shared" si="274"/>
        <v>1589705274.7600012</v>
      </c>
      <c r="DW153" s="240">
        <f t="shared" si="274"/>
        <v>56904160.759999998</v>
      </c>
      <c r="DX153" s="240">
        <f t="shared" si="274"/>
        <v>0</v>
      </c>
      <c r="DY153" s="240">
        <f t="shared" si="274"/>
        <v>0</v>
      </c>
      <c r="DZ153" s="240">
        <f t="shared" si="274"/>
        <v>124126546.99999997</v>
      </c>
      <c r="EA153" s="240">
        <f t="shared" si="274"/>
        <v>0</v>
      </c>
      <c r="EB153" s="240">
        <f t="shared" si="274"/>
        <v>173889916</v>
      </c>
    </row>
    <row r="154" spans="1:132" x14ac:dyDescent="0.35">
      <c r="D154" s="13"/>
      <c r="E154" s="14"/>
      <c r="F154" s="14"/>
      <c r="G154" s="14"/>
      <c r="H154" s="14"/>
      <c r="I154" s="593"/>
      <c r="J154" s="593"/>
      <c r="K154" s="14"/>
      <c r="L154" s="14"/>
      <c r="M154" s="14"/>
      <c r="N154" s="14"/>
      <c r="O154" s="14"/>
      <c r="P154" s="14"/>
      <c r="Q154" s="14"/>
      <c r="R154" s="14"/>
      <c r="S154" s="14"/>
      <c r="T154" s="14"/>
      <c r="U154" s="14"/>
      <c r="V154" s="14"/>
      <c r="W154" s="14"/>
      <c r="X154" s="14"/>
      <c r="Y154" s="14"/>
      <c r="Z154" s="14"/>
      <c r="AA154" s="25"/>
      <c r="AB154" s="19"/>
      <c r="AC154" s="14"/>
      <c r="AD154" s="25"/>
      <c r="AE154" s="19"/>
      <c r="AF154" s="14"/>
      <c r="AG154" s="25"/>
      <c r="AH154" s="19"/>
      <c r="AI154" s="14"/>
      <c r="AJ154" s="25"/>
      <c r="AK154" s="23"/>
      <c r="AL154" s="23"/>
      <c r="AM154" s="19"/>
      <c r="AN154" s="23"/>
      <c r="AO154" s="23"/>
      <c r="AP154" s="19"/>
      <c r="AQ154" s="19"/>
      <c r="AR154" s="19"/>
      <c r="AS154" s="19"/>
      <c r="AT154" s="19"/>
      <c r="AU154" s="19"/>
      <c r="AV154" s="19"/>
      <c r="AW154" s="19"/>
      <c r="AX154" s="19"/>
      <c r="AY154" s="19"/>
      <c r="AZ154" s="19"/>
      <c r="BA154" s="19"/>
      <c r="BB154" s="19"/>
      <c r="BC154" s="19"/>
      <c r="BD154" s="19"/>
      <c r="BE154" s="19"/>
      <c r="BF154" s="19"/>
      <c r="BG154" s="19"/>
      <c r="BH154" s="19"/>
      <c r="BI154" s="226"/>
      <c r="BJ154" s="227"/>
      <c r="BK154" s="63"/>
      <c r="BL154" s="63"/>
      <c r="BM154" s="183"/>
      <c r="BN154" s="228"/>
      <c r="BO154" s="191"/>
      <c r="BP154" s="201"/>
      <c r="BQ154" s="191"/>
      <c r="BR154" s="201"/>
      <c r="BS154" s="191"/>
      <c r="BT154" s="201"/>
      <c r="BU154" s="191"/>
      <c r="BV154" s="191"/>
      <c r="BW154" s="191"/>
      <c r="BX154" s="235"/>
      <c r="BY154" s="191"/>
      <c r="BZ154" s="191"/>
      <c r="CA154" s="191"/>
      <c r="CB154" s="191"/>
      <c r="CC154" s="191"/>
      <c r="CD154" s="191"/>
      <c r="CE154" s="191"/>
      <c r="CF154" s="191"/>
      <c r="CG154" s="191"/>
      <c r="CH154" s="191"/>
      <c r="CI154" s="191"/>
      <c r="CJ154" s="191"/>
      <c r="CK154" s="191"/>
      <c r="CL154" s="191"/>
      <c r="CM154" s="190"/>
      <c r="CN154" s="190"/>
      <c r="CO154" s="229"/>
      <c r="CP154" s="229"/>
      <c r="CQ154" s="190"/>
      <c r="CR154" s="190"/>
      <c r="CS154" s="190"/>
      <c r="CT154" s="190"/>
      <c r="CU154" s="190"/>
      <c r="CV154" s="190"/>
      <c r="CW154" s="190"/>
      <c r="CX154" s="190"/>
      <c r="CY154" s="190"/>
      <c r="CZ154" s="190"/>
      <c r="DA154" s="190"/>
      <c r="DB154" s="190"/>
      <c r="DC154" s="190">
        <v>3559875</v>
      </c>
      <c r="DD154" s="190">
        <v>2410373.4899999499</v>
      </c>
      <c r="DE154" s="190"/>
      <c r="DF154" s="190">
        <v>2906628</v>
      </c>
      <c r="DG154" s="190">
        <v>9705208.5899999738</v>
      </c>
      <c r="DH154" s="190"/>
      <c r="DI154" s="190"/>
      <c r="DJ154" s="190"/>
      <c r="DK154" s="190">
        <v>16099045</v>
      </c>
      <c r="DL154" s="190">
        <v>4484337.4800000191</v>
      </c>
      <c r="DM154" s="190"/>
      <c r="DN154" s="190"/>
      <c r="DO154" s="190"/>
      <c r="DP154" s="190"/>
      <c r="DQ154" s="190"/>
      <c r="DR154" s="190"/>
      <c r="DS154" s="241" t="s">
        <v>565</v>
      </c>
      <c r="DT154" s="1"/>
      <c r="DU154" s="1"/>
      <c r="DV154" s="1"/>
    </row>
    <row r="155" spans="1:132" x14ac:dyDescent="0.35">
      <c r="D155" s="13"/>
      <c r="E155" s="14"/>
      <c r="F155" s="14"/>
      <c r="G155" s="14"/>
      <c r="H155" s="14"/>
      <c r="I155" s="593"/>
      <c r="J155" s="593"/>
      <c r="K155" s="14"/>
      <c r="L155" s="14"/>
      <c r="M155" s="14"/>
      <c r="N155" s="14"/>
      <c r="O155" s="14"/>
      <c r="P155" s="14"/>
      <c r="Q155" s="14"/>
      <c r="R155" s="14"/>
      <c r="S155" s="14"/>
      <c r="T155" s="14"/>
      <c r="U155" s="14"/>
      <c r="V155" s="14"/>
      <c r="W155" s="14"/>
      <c r="X155" s="14"/>
      <c r="Y155" s="14"/>
      <c r="Z155" s="14"/>
      <c r="AA155" s="25"/>
      <c r="AB155" s="68"/>
      <c r="AC155" s="14"/>
      <c r="AD155" s="69"/>
      <c r="AE155" s="68"/>
      <c r="AF155" s="14"/>
      <c r="AG155" s="69"/>
      <c r="AH155" s="68"/>
      <c r="AI155" s="14"/>
      <c r="AJ155" s="69"/>
      <c r="AK155" s="23"/>
      <c r="AL155" s="23"/>
      <c r="AM155" s="19"/>
      <c r="AN155" s="23"/>
      <c r="AO155" s="23"/>
      <c r="AP155" s="19"/>
      <c r="AQ155" s="19"/>
      <c r="AR155" s="19"/>
      <c r="AS155" s="19"/>
      <c r="AT155" s="19"/>
      <c r="AU155" s="19"/>
      <c r="AV155" s="19"/>
      <c r="AW155" s="19"/>
      <c r="AX155" s="19"/>
      <c r="AY155" s="19"/>
      <c r="AZ155" s="19"/>
      <c r="BA155" s="19"/>
      <c r="BB155" s="19"/>
      <c r="BC155" s="19"/>
      <c r="BD155" s="19"/>
      <c r="BE155" s="19"/>
      <c r="BF155" s="19"/>
      <c r="BG155" s="19"/>
      <c r="BH155" s="19"/>
      <c r="BI155" s="14"/>
      <c r="BJ155" s="180"/>
      <c r="BK155" s="2" t="s">
        <v>328</v>
      </c>
      <c r="BL155" s="2"/>
      <c r="BM155" s="10">
        <f>49504000-23000000-16000000-3000000+250000+200000-3500000-2214000+900000-900000-1314000-926000+100000</f>
        <v>100000</v>
      </c>
      <c r="BN155" s="1"/>
      <c r="BO155" s="10"/>
      <c r="BP155" s="200"/>
      <c r="BQ155" s="2"/>
      <c r="BR155" s="199"/>
      <c r="BS155" s="207"/>
      <c r="BT155" s="2"/>
      <c r="BU155" s="2"/>
      <c r="BV155" s="2"/>
      <c r="BW155" s="2"/>
      <c r="BX155" s="236"/>
      <c r="BY155" s="2"/>
      <c r="BZ155" s="97"/>
      <c r="CA155" s="2"/>
      <c r="CB155" s="2"/>
      <c r="CC155" s="2"/>
      <c r="CD155" s="2"/>
      <c r="CE155" s="2"/>
      <c r="CF155" s="2"/>
      <c r="CG155" s="2"/>
      <c r="CH155" s="2"/>
      <c r="CI155" s="2"/>
      <c r="CJ155" s="2"/>
      <c r="CK155" s="2"/>
      <c r="CL155" s="2"/>
      <c r="CM155" s="2" t="s">
        <v>328</v>
      </c>
      <c r="CN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187"/>
      <c r="DT155" s="1" t="s">
        <v>144</v>
      </c>
      <c r="DU155" t="s">
        <v>1297</v>
      </c>
      <c r="DV155" s="1">
        <v>1287029394</v>
      </c>
      <c r="DW155" s="1">
        <f>DV153-DV155</f>
        <v>302675880.76000118</v>
      </c>
    </row>
    <row r="156" spans="1:132" x14ac:dyDescent="0.35">
      <c r="D156" s="9"/>
      <c r="E156" s="10"/>
      <c r="F156" s="10"/>
      <c r="G156" s="10"/>
      <c r="H156" s="10"/>
      <c r="I156" s="549"/>
      <c r="J156" s="549"/>
      <c r="K156" s="10"/>
      <c r="L156" s="10"/>
      <c r="M156" s="10"/>
      <c r="N156" s="10"/>
      <c r="O156" s="10"/>
      <c r="P156" s="10"/>
      <c r="Q156" s="10"/>
      <c r="R156" s="10"/>
      <c r="S156" s="10"/>
      <c r="T156" s="10"/>
      <c r="U156" s="10"/>
      <c r="V156" s="10"/>
      <c r="W156" s="10"/>
      <c r="X156" s="10"/>
      <c r="Y156" s="10"/>
      <c r="Z156" s="10"/>
      <c r="AA156" s="26"/>
      <c r="AB156" s="16"/>
      <c r="AC156" s="10"/>
      <c r="AD156" s="15"/>
      <c r="AE156" s="16"/>
      <c r="AF156" s="10"/>
      <c r="AG156" s="15"/>
      <c r="AH156" s="16"/>
      <c r="AI156" s="10"/>
      <c r="AJ156" s="15"/>
      <c r="AK156" s="24"/>
      <c r="AL156" s="24"/>
      <c r="AM156" s="12"/>
      <c r="AN156" s="24"/>
      <c r="AO156" s="24"/>
      <c r="AP156" s="12"/>
      <c r="AQ156" s="12"/>
      <c r="AR156" s="12"/>
      <c r="AS156" s="12"/>
      <c r="AT156" s="12"/>
      <c r="AU156" s="12"/>
      <c r="AV156" s="12"/>
      <c r="AW156" s="12"/>
      <c r="AX156" s="12"/>
      <c r="AY156" s="12"/>
      <c r="AZ156" s="12"/>
      <c r="BA156" s="12"/>
      <c r="BB156" s="12"/>
      <c r="BC156" s="12"/>
      <c r="BD156" s="12"/>
      <c r="BE156" s="12"/>
      <c r="BF156" s="12"/>
      <c r="BG156" s="12"/>
      <c r="BH156" s="12"/>
      <c r="BI156" s="10"/>
      <c r="BJ156" s="181"/>
      <c r="BK156" s="2" t="s">
        <v>30</v>
      </c>
      <c r="BL156" s="10"/>
      <c r="BM156" s="10">
        <v>3125000</v>
      </c>
      <c r="BN156" s="1"/>
      <c r="BO156" s="10"/>
      <c r="BP156" s="200"/>
      <c r="BQ156" s="2"/>
      <c r="BR156" s="199"/>
      <c r="BS156" s="207"/>
      <c r="BT156" s="199"/>
      <c r="BU156" s="2"/>
      <c r="BV156" s="2"/>
      <c r="BW156" s="2"/>
      <c r="BX156" s="237"/>
      <c r="BY156" s="2"/>
      <c r="BZ156" s="2"/>
      <c r="CA156" s="2"/>
      <c r="CB156" s="2"/>
      <c r="CC156" s="2"/>
      <c r="CD156" s="2"/>
      <c r="CE156" s="2"/>
      <c r="CF156" s="2"/>
      <c r="CG156" s="2"/>
      <c r="CH156" s="2"/>
      <c r="CI156" s="2"/>
      <c r="CJ156" s="2"/>
      <c r="CK156" s="2"/>
      <c r="CL156" s="2"/>
      <c r="CM156" s="2" t="s">
        <v>30</v>
      </c>
      <c r="CN156" s="2"/>
      <c r="CQ156" s="2"/>
      <c r="CR156" s="2"/>
      <c r="CS156" s="2"/>
      <c r="CT156" s="717"/>
      <c r="CU156" s="717"/>
      <c r="CV156" s="717"/>
      <c r="CW156" s="717"/>
      <c r="CX156" s="717"/>
      <c r="CY156" s="717"/>
      <c r="CZ156" s="717"/>
      <c r="DA156" s="717"/>
      <c r="DB156" s="717"/>
      <c r="DC156" s="717"/>
      <c r="DD156" s="717"/>
      <c r="DE156" s="717"/>
      <c r="DF156" s="717"/>
      <c r="DG156" s="717"/>
      <c r="DH156" s="717"/>
      <c r="DI156" s="717"/>
      <c r="DJ156" s="717"/>
      <c r="DK156" s="717"/>
      <c r="DL156" s="717"/>
      <c r="DM156" s="717"/>
      <c r="DN156" s="717"/>
      <c r="DO156" s="717"/>
      <c r="DP156" s="717"/>
      <c r="DQ156" s="717"/>
      <c r="DR156" s="717"/>
      <c r="DS156" s="186">
        <f>63433670+200000</f>
        <v>63633670</v>
      </c>
      <c r="DT156" s="1" t="s">
        <v>329</v>
      </c>
      <c r="DU156" s="1"/>
      <c r="DV156" s="1"/>
    </row>
    <row r="157" spans="1:132" x14ac:dyDescent="0.35">
      <c r="D157" s="9"/>
      <c r="E157" s="10"/>
      <c r="F157" s="10"/>
      <c r="G157" s="10"/>
      <c r="H157" s="10"/>
      <c r="I157" s="549"/>
      <c r="J157" s="549"/>
      <c r="K157" s="10"/>
      <c r="L157" s="10"/>
      <c r="M157" s="10"/>
      <c r="N157" s="10"/>
      <c r="O157" s="10"/>
      <c r="P157" s="10"/>
      <c r="Q157" s="10"/>
      <c r="R157" s="10"/>
      <c r="S157" s="10"/>
      <c r="T157" s="10"/>
      <c r="U157" s="10"/>
      <c r="V157" s="10"/>
      <c r="W157" s="10"/>
      <c r="X157" s="10"/>
      <c r="Y157" s="10"/>
      <c r="Z157" s="10"/>
      <c r="AA157" s="26"/>
      <c r="AB157" s="16"/>
      <c r="AC157" s="10"/>
      <c r="AD157" s="15"/>
      <c r="AE157" s="16"/>
      <c r="AF157" s="10"/>
      <c r="AG157" s="15"/>
      <c r="AH157" s="16"/>
      <c r="AI157" s="10"/>
      <c r="AJ157" s="15"/>
      <c r="AK157" s="24"/>
      <c r="AL157" s="24"/>
      <c r="AM157" s="12"/>
      <c r="AN157" s="24"/>
      <c r="AO157" s="24"/>
      <c r="AP157" s="12"/>
      <c r="AQ157" s="12"/>
      <c r="AR157" s="12"/>
      <c r="AS157" s="12"/>
      <c r="AT157" s="12"/>
      <c r="AU157" s="12"/>
      <c r="AV157" s="12"/>
      <c r="AW157" s="12"/>
      <c r="AX157" s="12"/>
      <c r="AY157" s="12"/>
      <c r="AZ157" s="12"/>
      <c r="BA157" s="12"/>
      <c r="BB157" s="12"/>
      <c r="BC157" s="12"/>
      <c r="BD157" s="12"/>
      <c r="BE157" s="12"/>
      <c r="BF157" s="12"/>
      <c r="BG157" s="12"/>
      <c r="BH157" s="12"/>
      <c r="BI157" s="10"/>
      <c r="BJ157" s="181"/>
      <c r="BK157" s="2" t="s">
        <v>330</v>
      </c>
      <c r="BL157" s="2"/>
      <c r="BM157" s="10">
        <f>50500000</f>
        <v>50500000</v>
      </c>
      <c r="BN157" s="1" t="s">
        <v>331</v>
      </c>
      <c r="BO157" s="10"/>
      <c r="BP157" s="200"/>
      <c r="BQ157" s="2"/>
      <c r="BR157" s="2"/>
      <c r="BS157" s="207"/>
      <c r="BT157" s="2"/>
      <c r="BU157" s="2"/>
      <c r="BV157" s="2"/>
      <c r="BW157" s="2"/>
      <c r="BX157" s="237"/>
      <c r="BY157" s="2"/>
      <c r="BZ157" s="2"/>
      <c r="CA157" s="2"/>
      <c r="CB157" s="2"/>
      <c r="CC157" s="2"/>
      <c r="CD157" s="2"/>
      <c r="CE157" s="2"/>
      <c r="CF157" s="2"/>
      <c r="CG157" s="2"/>
      <c r="CH157" s="2"/>
      <c r="CI157" s="2"/>
      <c r="CJ157" s="2"/>
      <c r="CK157" s="2"/>
      <c r="CL157" s="2"/>
      <c r="CM157" s="2" t="s">
        <v>330</v>
      </c>
      <c r="CN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186">
        <f>50500000+15000</f>
        <v>50515000</v>
      </c>
      <c r="DT157" s="1" t="s">
        <v>331</v>
      </c>
      <c r="DU157" s="1"/>
      <c r="DV157" s="1"/>
    </row>
    <row r="158" spans="1:132" ht="15" customHeight="1" x14ac:dyDescent="0.35">
      <c r="E158" s="712"/>
      <c r="F158" s="712"/>
      <c r="G158" s="712"/>
      <c r="H158" s="712"/>
      <c r="I158" s="713"/>
      <c r="J158" s="713"/>
      <c r="K158" s="712"/>
      <c r="L158" s="712"/>
      <c r="M158" s="712"/>
      <c r="N158" s="712"/>
      <c r="O158" s="712"/>
      <c r="P158" s="712"/>
      <c r="Q158" s="712"/>
      <c r="R158" s="712"/>
      <c r="S158" s="712"/>
      <c r="T158" s="712"/>
      <c r="U158" s="712"/>
      <c r="V158" s="712"/>
      <c r="W158" s="712"/>
      <c r="X158" s="712"/>
      <c r="Y158" s="712"/>
      <c r="Z158" s="712"/>
      <c r="AA158" s="712"/>
      <c r="AB158" s="712"/>
      <c r="AC158" s="712"/>
      <c r="AD158" s="712"/>
      <c r="AE158" s="712"/>
      <c r="AF158" s="712"/>
      <c r="AG158" s="712"/>
      <c r="AH158" s="712"/>
      <c r="AI158" s="712"/>
      <c r="AJ158" s="712"/>
      <c r="AK158" s="712"/>
      <c r="AL158" s="712"/>
      <c r="AM158" s="712"/>
      <c r="AN158" s="712"/>
      <c r="AO158" s="712"/>
      <c r="AP158" s="712"/>
      <c r="AQ158" s="712"/>
      <c r="AR158" s="712"/>
      <c r="AS158" s="712"/>
      <c r="AT158" s="712"/>
      <c r="AU158" s="712"/>
      <c r="AV158" s="712"/>
      <c r="AW158" s="712"/>
      <c r="AX158" s="712"/>
      <c r="AY158" s="712"/>
      <c r="AZ158" s="712"/>
      <c r="BA158" s="712"/>
      <c r="BB158" s="712"/>
      <c r="BC158" s="712"/>
      <c r="BD158" s="712"/>
      <c r="BE158" s="712"/>
      <c r="BF158" s="712"/>
      <c r="BG158" s="712"/>
      <c r="BH158" s="712"/>
      <c r="BI158" s="712"/>
      <c r="BK158" s="2" t="s">
        <v>332</v>
      </c>
      <c r="BL158" s="2"/>
      <c r="BM158" s="10">
        <v>12700000</v>
      </c>
      <c r="BN158" t="s">
        <v>333</v>
      </c>
      <c r="BY158" s="2"/>
      <c r="BZ158" s="2"/>
      <c r="CA158" s="2"/>
      <c r="CB158" s="2"/>
      <c r="CC158" s="2"/>
      <c r="CD158" s="2"/>
      <c r="CE158" s="2"/>
      <c r="CF158" s="2"/>
      <c r="CG158" s="2"/>
      <c r="CH158" s="2"/>
      <c r="CI158" s="2"/>
      <c r="CJ158" s="2"/>
      <c r="CK158" s="2"/>
      <c r="CL158" s="2"/>
      <c r="CM158" s="2" t="s">
        <v>332</v>
      </c>
      <c r="CN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186">
        <v>12700000</v>
      </c>
      <c r="DT158" t="s">
        <v>333</v>
      </c>
    </row>
    <row r="159" spans="1:132" ht="15" customHeight="1" x14ac:dyDescent="0.35">
      <c r="E159" s="712"/>
      <c r="F159" s="712"/>
      <c r="G159" s="712"/>
      <c r="H159" s="712"/>
      <c r="I159" s="713"/>
      <c r="J159" s="713"/>
      <c r="K159" s="712"/>
      <c r="L159" s="712"/>
      <c r="M159" s="712"/>
      <c r="N159" s="712"/>
      <c r="O159" s="712"/>
      <c r="P159" s="712"/>
      <c r="Q159" s="712"/>
      <c r="R159" s="712"/>
      <c r="S159" s="712"/>
      <c r="T159" s="712"/>
      <c r="U159" s="712"/>
      <c r="V159" s="712"/>
      <c r="W159" s="712"/>
      <c r="X159" s="712"/>
      <c r="Y159" s="712"/>
      <c r="Z159" s="712"/>
      <c r="AA159" s="712"/>
      <c r="AB159" s="712"/>
      <c r="AC159" s="712"/>
      <c r="AD159" s="712"/>
      <c r="AE159" s="712"/>
      <c r="AF159" s="712"/>
      <c r="AG159" s="712"/>
      <c r="AH159" s="712"/>
      <c r="AI159" s="712"/>
      <c r="AJ159" s="712"/>
      <c r="AK159" s="712"/>
      <c r="AL159" s="712"/>
      <c r="AM159" s="712"/>
      <c r="AN159" s="712"/>
      <c r="AO159" s="712"/>
      <c r="AP159" s="712"/>
      <c r="AQ159" s="712"/>
      <c r="AR159" s="712"/>
      <c r="AS159" s="712"/>
      <c r="AT159" s="712"/>
      <c r="AU159" s="712"/>
      <c r="AV159" s="712"/>
      <c r="AW159" s="712"/>
      <c r="AX159" s="712"/>
      <c r="AY159" s="712"/>
      <c r="AZ159" s="712"/>
      <c r="BA159" s="712"/>
      <c r="BB159" s="712"/>
      <c r="BC159" s="712"/>
      <c r="BD159" s="712"/>
      <c r="BE159" s="712"/>
      <c r="BF159" s="712"/>
      <c r="BG159" s="712"/>
      <c r="BH159" s="712"/>
      <c r="BI159" s="712"/>
      <c r="BK159" s="222" t="s">
        <v>334</v>
      </c>
      <c r="BL159" s="222"/>
      <c r="BM159" s="266">
        <v>5500000</v>
      </c>
      <c r="BN159" t="s">
        <v>335</v>
      </c>
      <c r="BY159" s="222"/>
      <c r="BZ159" s="2"/>
      <c r="CA159" s="2"/>
      <c r="CB159" s="2"/>
      <c r="CC159" s="2"/>
      <c r="CD159" s="2"/>
      <c r="CE159" s="2"/>
      <c r="CF159" s="2"/>
      <c r="CG159" s="2"/>
      <c r="CH159" s="2"/>
      <c r="CI159" s="2"/>
      <c r="CJ159" s="2"/>
      <c r="CK159" s="2"/>
      <c r="CL159" s="2"/>
      <c r="CM159" s="2" t="s">
        <v>334</v>
      </c>
      <c r="CN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186">
        <v>5500000</v>
      </c>
      <c r="DT159" t="s">
        <v>335</v>
      </c>
    </row>
    <row r="160" spans="1:132" ht="15" customHeight="1" x14ac:dyDescent="0.35">
      <c r="A160" s="280" t="s">
        <v>336</v>
      </c>
      <c r="B160" s="281" t="s">
        <v>124</v>
      </c>
      <c r="C160" s="282"/>
      <c r="D160" s="283"/>
      <c r="E160" s="283"/>
      <c r="F160" s="283"/>
      <c r="G160" s="283"/>
      <c r="H160" s="283"/>
      <c r="I160" s="594"/>
      <c r="J160" s="594"/>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1"/>
      <c r="BJ160" s="281"/>
      <c r="BK160" s="281"/>
      <c r="BL160" s="283"/>
      <c r="BM160" s="281"/>
      <c r="BN160" s="281"/>
      <c r="BO160" s="284"/>
      <c r="BP160" s="281"/>
      <c r="BQ160" s="281"/>
      <c r="BR160" s="281"/>
      <c r="BS160" s="281"/>
      <c r="BT160" s="281"/>
      <c r="BU160" s="281"/>
      <c r="BV160" s="281"/>
      <c r="BW160" s="285"/>
      <c r="BX160" s="281" t="s">
        <v>196</v>
      </c>
      <c r="BY160" s="281" t="s">
        <v>337</v>
      </c>
      <c r="CM160" s="2" t="s">
        <v>338</v>
      </c>
      <c r="CN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186">
        <v>13500000</v>
      </c>
      <c r="DT160" s="1" t="s">
        <v>339</v>
      </c>
      <c r="DV160" s="1"/>
    </row>
    <row r="161" spans="1:127" ht="15" customHeight="1" x14ac:dyDescent="0.35">
      <c r="A161" s="279" t="s">
        <v>340</v>
      </c>
      <c r="B161" s="275">
        <f>CD153</f>
        <v>146311173</v>
      </c>
      <c r="C161" s="270"/>
      <c r="D161" s="271"/>
      <c r="E161" s="271"/>
      <c r="F161" s="271"/>
      <c r="G161" s="271"/>
      <c r="H161" s="271"/>
      <c r="I161" s="595"/>
      <c r="J161" s="595"/>
      <c r="K161" s="271"/>
      <c r="L161" s="271"/>
      <c r="M161" s="271"/>
      <c r="N161" s="271"/>
      <c r="O161" s="271"/>
      <c r="P161" s="271"/>
      <c r="Q161" s="271"/>
      <c r="R161" s="271"/>
      <c r="S161" s="271"/>
      <c r="T161" s="271"/>
      <c r="U161" s="271"/>
      <c r="V161" s="271"/>
      <c r="W161" s="271"/>
      <c r="X161" s="271"/>
      <c r="Y161" s="271"/>
      <c r="Z161" s="271"/>
      <c r="AA161" s="271"/>
      <c r="AB161" s="271"/>
      <c r="AC161" s="271"/>
      <c r="AD161" s="271"/>
      <c r="AE161" s="271"/>
      <c r="AF161" s="271"/>
      <c r="AG161" s="271"/>
      <c r="AH161" s="271"/>
      <c r="AI161" s="271"/>
      <c r="AJ161" s="271"/>
      <c r="AK161" s="271"/>
      <c r="AL161" s="271"/>
      <c r="AM161" s="271"/>
      <c r="AN161" s="271"/>
      <c r="AO161" s="271"/>
      <c r="AP161" s="271"/>
      <c r="AQ161" s="271"/>
      <c r="AR161" s="271"/>
      <c r="AS161" s="271"/>
      <c r="AT161" s="271"/>
      <c r="AU161" s="271"/>
      <c r="AV161" s="271"/>
      <c r="AW161" s="271"/>
      <c r="AX161" s="271"/>
      <c r="AY161" s="271"/>
      <c r="AZ161" s="271"/>
      <c r="BA161" s="271"/>
      <c r="BB161" s="271"/>
      <c r="BC161" s="271"/>
      <c r="BD161" s="271"/>
      <c r="BE161" s="271"/>
      <c r="BF161" s="271"/>
      <c r="BG161" s="271"/>
      <c r="BH161" s="271"/>
      <c r="BI161" s="269"/>
      <c r="BJ161" s="269"/>
      <c r="BK161" s="269"/>
      <c r="BL161" s="271"/>
      <c r="BM161" s="269"/>
      <c r="BN161" s="269"/>
      <c r="BO161" s="272"/>
      <c r="BP161" s="269"/>
      <c r="BQ161" s="269"/>
      <c r="BR161" s="273"/>
      <c r="BS161" s="269"/>
      <c r="BT161" s="269"/>
      <c r="BU161" s="269"/>
      <c r="BV161" s="269"/>
      <c r="BW161" s="274"/>
      <c r="BX161" s="275">
        <f>BZ153</f>
        <v>163024721</v>
      </c>
      <c r="BY161" s="276">
        <f>B161/DS153</f>
        <v>9.2036665741131604E-2</v>
      </c>
      <c r="CM161" s="2" t="s">
        <v>341</v>
      </c>
      <c r="CN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186">
        <v>16700000</v>
      </c>
      <c r="DT161" s="1" t="s">
        <v>342</v>
      </c>
      <c r="DU161" s="1"/>
      <c r="DV161" s="1"/>
    </row>
    <row r="162" spans="1:127" ht="15" customHeight="1" x14ac:dyDescent="0.35">
      <c r="A162" s="278" t="s">
        <v>343</v>
      </c>
      <c r="B162" s="275">
        <v>173889916</v>
      </c>
      <c r="C162" s="269"/>
      <c r="D162" s="270"/>
      <c r="E162" s="271"/>
      <c r="F162" s="271"/>
      <c r="G162" s="271"/>
      <c r="H162" s="271"/>
      <c r="I162" s="595"/>
      <c r="J162" s="595"/>
      <c r="K162" s="271"/>
      <c r="L162" s="271"/>
      <c r="M162" s="271"/>
      <c r="N162" s="271"/>
      <c r="O162" s="271"/>
      <c r="P162" s="271"/>
      <c r="Q162" s="271"/>
      <c r="R162" s="271"/>
      <c r="S162" s="271"/>
      <c r="T162" s="271"/>
      <c r="U162" s="271"/>
      <c r="V162" s="271"/>
      <c r="W162" s="271"/>
      <c r="X162" s="271"/>
      <c r="Y162" s="271"/>
      <c r="Z162" s="271"/>
      <c r="AA162" s="271"/>
      <c r="AB162" s="271"/>
      <c r="AC162" s="271"/>
      <c r="AD162" s="271"/>
      <c r="AE162" s="271"/>
      <c r="AF162" s="271"/>
      <c r="AG162" s="271"/>
      <c r="AH162" s="271"/>
      <c r="AI162" s="271"/>
      <c r="AJ162" s="271"/>
      <c r="AK162" s="271"/>
      <c r="AL162" s="271"/>
      <c r="AM162" s="271"/>
      <c r="AN162" s="271"/>
      <c r="AO162" s="271"/>
      <c r="AP162" s="271"/>
      <c r="AQ162" s="271"/>
      <c r="AR162" s="271"/>
      <c r="AS162" s="271"/>
      <c r="AT162" s="271"/>
      <c r="AU162" s="271"/>
      <c r="AV162" s="271"/>
      <c r="AW162" s="271"/>
      <c r="AX162" s="271"/>
      <c r="AY162" s="271"/>
      <c r="AZ162" s="271"/>
      <c r="BA162" s="271"/>
      <c r="BB162" s="271"/>
      <c r="BC162" s="271"/>
      <c r="BD162" s="271"/>
      <c r="BE162" s="271"/>
      <c r="BF162" s="271"/>
      <c r="BG162" s="271"/>
      <c r="BH162" s="271"/>
      <c r="BI162" s="271"/>
      <c r="BJ162" s="269"/>
      <c r="BK162" s="269"/>
      <c r="BL162" s="269"/>
      <c r="BM162" s="271"/>
      <c r="BN162" s="269"/>
      <c r="BO162" s="269"/>
      <c r="BP162" s="272"/>
      <c r="BQ162" s="269"/>
      <c r="BR162" s="269"/>
      <c r="BS162" s="273"/>
      <c r="BT162" s="269"/>
      <c r="BU162" s="269"/>
      <c r="BV162" s="269"/>
      <c r="BW162" s="269"/>
      <c r="BX162" s="274"/>
      <c r="BY162" s="277">
        <f>B162/DS153</f>
        <v>0.10938500284353166</v>
      </c>
      <c r="CM162" s="2"/>
      <c r="CN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186">
        <v>6000000</v>
      </c>
      <c r="DT162" s="1" t="s">
        <v>344</v>
      </c>
      <c r="DU162" s="1"/>
      <c r="DV162" s="1"/>
    </row>
    <row r="163" spans="1:127" ht="15" customHeight="1" x14ac:dyDescent="0.35">
      <c r="E163" s="712"/>
      <c r="F163" s="712"/>
      <c r="G163" s="712"/>
      <c r="H163" s="712"/>
      <c r="I163" s="713"/>
      <c r="J163" s="713"/>
      <c r="K163" s="712"/>
      <c r="L163" s="712"/>
      <c r="M163" s="712"/>
      <c r="N163" s="712"/>
      <c r="O163" s="712"/>
      <c r="P163" s="712"/>
      <c r="Q163" s="712"/>
      <c r="R163" s="712"/>
      <c r="S163" s="712"/>
      <c r="T163" s="712"/>
      <c r="U163" s="712"/>
      <c r="V163" s="712"/>
      <c r="W163" s="712"/>
      <c r="X163" s="712"/>
      <c r="Y163" s="712"/>
      <c r="Z163" s="712"/>
      <c r="AA163" s="712"/>
      <c r="AB163" s="712"/>
      <c r="AC163" s="712"/>
      <c r="AD163" s="712"/>
      <c r="AE163" s="712"/>
      <c r="AF163" s="712"/>
      <c r="AG163" s="712"/>
      <c r="AH163" s="712"/>
      <c r="AI163" s="712"/>
      <c r="AJ163" s="712"/>
      <c r="AK163" s="712"/>
      <c r="AL163" s="712"/>
      <c r="AM163" s="712"/>
      <c r="AN163" s="712"/>
      <c r="AO163" s="712"/>
      <c r="AP163" s="712"/>
      <c r="AQ163" s="712"/>
      <c r="AR163" s="712"/>
      <c r="AS163" s="712"/>
      <c r="AT163" s="712"/>
      <c r="AU163" s="712"/>
      <c r="AV163" s="712"/>
      <c r="AW163" s="712"/>
      <c r="AX163" s="712"/>
      <c r="AY163" s="712"/>
      <c r="AZ163" s="712"/>
      <c r="BA163" s="712"/>
      <c r="BB163" s="712"/>
      <c r="BC163" s="712"/>
      <c r="BD163" s="712"/>
      <c r="BE163" s="712"/>
      <c r="BF163" s="712"/>
      <c r="BG163" s="712"/>
      <c r="BH163" s="712"/>
      <c r="BI163" s="712"/>
      <c r="BK163" s="267" t="s">
        <v>345</v>
      </c>
      <c r="BL163" s="267"/>
      <c r="BM163" s="268">
        <f>SUM(BM157:BM159)</f>
        <v>68700000</v>
      </c>
      <c r="BY163" s="716"/>
      <c r="CM163" s="2"/>
      <c r="CN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193">
        <f>SUM(DS157:DS162)</f>
        <v>104915000</v>
      </c>
      <c r="DT163" s="1" t="s">
        <v>346</v>
      </c>
      <c r="DU163" s="1"/>
      <c r="DV163" s="1"/>
    </row>
    <row r="164" spans="1:127" x14ac:dyDescent="0.35">
      <c r="BK164" s="2"/>
      <c r="BL164" s="2"/>
      <c r="BM164" s="182">
        <f>SUM(BM155:BM159)</f>
        <v>71925000</v>
      </c>
      <c r="BY164" s="260"/>
      <c r="CM164" s="2"/>
      <c r="CN164" s="2"/>
      <c r="CQ164" s="2" t="s">
        <v>347</v>
      </c>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10"/>
      <c r="DT164" s="1" t="s">
        <v>348</v>
      </c>
      <c r="DU164" s="1"/>
      <c r="DV164" s="1"/>
    </row>
    <row r="165" spans="1:127" x14ac:dyDescent="0.35">
      <c r="E165" s="712"/>
      <c r="F165" s="712"/>
      <c r="G165" s="712"/>
      <c r="H165" s="712"/>
      <c r="I165" s="713"/>
      <c r="J165" s="713"/>
      <c r="K165" s="712"/>
      <c r="L165" s="712"/>
      <c r="M165" s="712"/>
      <c r="N165" s="712"/>
      <c r="O165" s="712"/>
      <c r="P165" s="712"/>
      <c r="Q165" s="712"/>
      <c r="R165" s="712"/>
      <c r="S165" s="712"/>
      <c r="T165" s="712"/>
      <c r="U165" s="712"/>
      <c r="V165" s="712"/>
      <c r="W165" s="712"/>
      <c r="X165" s="712"/>
      <c r="Y165" s="712"/>
      <c r="Z165" s="712"/>
      <c r="AA165" s="712"/>
      <c r="AB165" s="712"/>
      <c r="AC165" s="712"/>
      <c r="AD165" s="712"/>
      <c r="AE165" s="712"/>
      <c r="AF165" s="712"/>
      <c r="AG165" s="712"/>
      <c r="AH165" s="712"/>
      <c r="AI165" s="712"/>
      <c r="AJ165" s="712"/>
      <c r="AK165" s="712"/>
      <c r="AL165" s="712"/>
      <c r="AM165" s="712"/>
      <c r="AN165" s="712"/>
      <c r="AO165" s="712"/>
      <c r="AP165" s="712"/>
      <c r="AQ165" s="712"/>
      <c r="AR165" s="712"/>
      <c r="AS165" s="712"/>
      <c r="AT165" s="712"/>
      <c r="AU165" s="712"/>
      <c r="AV165" s="712"/>
      <c r="AW165" s="712"/>
      <c r="AX165" s="712"/>
      <c r="AY165" s="712"/>
      <c r="AZ165" s="712"/>
      <c r="BA165" s="712"/>
      <c r="BB165" s="712"/>
      <c r="BC165" s="712"/>
      <c r="BD165" s="712"/>
      <c r="BE165" s="712"/>
      <c r="BF165" s="712"/>
      <c r="BG165" s="712"/>
      <c r="BH165" s="712"/>
      <c r="BI165" s="712"/>
      <c r="BK165" s="192" t="s">
        <v>349</v>
      </c>
      <c r="BM165" s="176">
        <v>69769216.790000007</v>
      </c>
      <c r="BN165" s="194">
        <v>45951</v>
      </c>
      <c r="BY165" s="716"/>
      <c r="CQ165" s="2"/>
      <c r="CR165" s="222"/>
      <c r="CS165" s="222"/>
      <c r="CT165" s="222"/>
      <c r="CU165" s="222"/>
      <c r="CV165" s="222"/>
      <c r="CW165" s="222"/>
      <c r="CX165" s="222"/>
      <c r="CY165" s="222"/>
      <c r="CZ165" s="222"/>
      <c r="DA165" s="222"/>
      <c r="DB165" s="222"/>
      <c r="DC165" s="222"/>
      <c r="DD165" s="222"/>
      <c r="DE165" s="222"/>
      <c r="DF165" s="222"/>
      <c r="DG165" s="222"/>
      <c r="DH165" s="222"/>
      <c r="DI165" s="222"/>
      <c r="DJ165" s="222"/>
      <c r="DK165" s="222"/>
      <c r="DL165" s="222"/>
      <c r="DM165" s="222"/>
      <c r="DN165" s="222"/>
      <c r="DO165" s="222"/>
      <c r="DP165" s="222"/>
      <c r="DQ165" s="222"/>
      <c r="DR165" s="222"/>
      <c r="DS165" s="215">
        <f>SUM(DS163:DS164)</f>
        <v>104915000</v>
      </c>
      <c r="DT165" s="213" t="s">
        <v>350</v>
      </c>
      <c r="DU165" s="213"/>
      <c r="DV165" s="213"/>
    </row>
    <row r="166" spans="1:127" x14ac:dyDescent="0.35">
      <c r="E166" s="712"/>
      <c r="F166" s="712"/>
      <c r="G166" s="712"/>
      <c r="H166" s="712"/>
      <c r="I166" s="713"/>
      <c r="J166" s="713"/>
      <c r="K166" s="712"/>
      <c r="L166" s="712"/>
      <c r="M166" s="712"/>
      <c r="N166" s="712"/>
      <c r="O166" s="712"/>
      <c r="P166" s="712"/>
      <c r="Q166" s="712"/>
      <c r="R166" s="712"/>
      <c r="S166" s="712"/>
      <c r="T166" s="712"/>
      <c r="U166" s="712"/>
      <c r="V166" s="712"/>
      <c r="W166" s="712"/>
      <c r="X166" s="712"/>
      <c r="Y166" s="712"/>
      <c r="Z166" s="712"/>
      <c r="AA166" s="712"/>
      <c r="AB166" s="712"/>
      <c r="AC166" s="712"/>
      <c r="AD166" s="712"/>
      <c r="AE166" s="712"/>
      <c r="AF166" s="712"/>
      <c r="AG166" s="712"/>
      <c r="AH166" s="712"/>
      <c r="AI166" s="712"/>
      <c r="AJ166" s="712"/>
      <c r="AK166" s="712"/>
      <c r="AL166" s="712"/>
      <c r="AM166" s="712"/>
      <c r="AN166" s="712"/>
      <c r="AO166" s="712"/>
      <c r="AP166" s="712"/>
      <c r="AQ166" s="712"/>
      <c r="AR166" s="712"/>
      <c r="AS166" s="712"/>
      <c r="AT166" s="712"/>
      <c r="AU166" s="712"/>
      <c r="AV166" s="712"/>
      <c r="AW166" s="712"/>
      <c r="AX166" s="712"/>
      <c r="AY166" s="712"/>
      <c r="AZ166" s="712"/>
      <c r="BA166" s="712"/>
      <c r="BB166" s="712"/>
      <c r="BC166" s="712"/>
      <c r="BD166" s="712"/>
      <c r="BE166" s="712"/>
      <c r="BF166" s="712"/>
      <c r="BG166" s="712"/>
      <c r="BH166" s="712"/>
      <c r="BI166" s="712"/>
      <c r="BK166" s="192" t="s">
        <v>351</v>
      </c>
      <c r="BM166" s="714">
        <f>BM165-BM163</f>
        <v>1069216.7900000066</v>
      </c>
      <c r="BY166" s="716"/>
      <c r="DS166" s="216">
        <f>DS165+DS156+DS155</f>
        <v>168548670</v>
      </c>
      <c r="DT166" s="7" t="s">
        <v>352</v>
      </c>
      <c r="DU166" s="213"/>
      <c r="DV166" s="213"/>
    </row>
    <row r="167" spans="1:127" x14ac:dyDescent="0.35">
      <c r="E167" s="712"/>
      <c r="F167" s="712"/>
      <c r="G167" s="712"/>
      <c r="H167" s="712"/>
      <c r="I167" s="713"/>
      <c r="J167" s="713"/>
      <c r="K167" s="712"/>
      <c r="L167" s="712"/>
      <c r="M167" s="712"/>
      <c r="N167" s="712"/>
      <c r="O167" s="712"/>
      <c r="P167" s="712"/>
      <c r="Q167" s="712"/>
      <c r="R167" s="712"/>
      <c r="S167" s="712"/>
      <c r="T167" s="712"/>
      <c r="U167" s="712"/>
      <c r="V167" s="712"/>
      <c r="W167" s="712"/>
      <c r="X167" s="712"/>
      <c r="Y167" s="712"/>
      <c r="Z167" s="712"/>
      <c r="AA167" s="712"/>
      <c r="AB167" s="712"/>
      <c r="AC167" s="712"/>
      <c r="AD167" s="712"/>
      <c r="AE167" s="712"/>
      <c r="AF167" s="712"/>
      <c r="AG167" s="712"/>
      <c r="AH167" s="712"/>
      <c r="AI167" s="712"/>
      <c r="AJ167" s="712"/>
      <c r="AK167" s="712"/>
      <c r="AL167" s="712"/>
      <c r="AM167" s="712"/>
      <c r="AN167" s="712"/>
      <c r="AO167" s="712"/>
      <c r="AP167" s="712"/>
      <c r="AQ167" s="712"/>
      <c r="AR167" s="712"/>
      <c r="AS167" s="712"/>
      <c r="AT167" s="712"/>
      <c r="AU167" s="712"/>
      <c r="AV167" s="712"/>
      <c r="AW167" s="712"/>
      <c r="AX167" s="712"/>
      <c r="AY167" s="712"/>
      <c r="AZ167" s="712"/>
      <c r="BA167" s="712"/>
      <c r="BB167" s="712"/>
      <c r="BC167" s="712"/>
      <c r="BD167" s="712"/>
      <c r="BE167" s="712"/>
      <c r="BF167" s="712"/>
      <c r="BG167" s="712"/>
      <c r="BH167" s="712"/>
      <c r="BI167" s="712"/>
      <c r="BY167" s="716"/>
      <c r="DS167" s="217">
        <v>69769216.790000007</v>
      </c>
      <c r="DT167" s="218" t="s">
        <v>353</v>
      </c>
      <c r="DU167" s="243"/>
      <c r="DV167" s="243"/>
    </row>
    <row r="168" spans="1:127" x14ac:dyDescent="0.35">
      <c r="E168" s="712"/>
      <c r="F168" s="712"/>
      <c r="G168" s="712"/>
      <c r="H168" s="712"/>
      <c r="I168" s="713"/>
      <c r="J168" s="713"/>
      <c r="K168" s="712"/>
      <c r="L168" s="712"/>
      <c r="M168" s="712"/>
      <c r="N168" s="712"/>
      <c r="O168" s="712"/>
      <c r="P168" s="712"/>
      <c r="Q168" s="712"/>
      <c r="R168" s="712"/>
      <c r="S168" s="712"/>
      <c r="T168" s="712"/>
      <c r="U168" s="712"/>
      <c r="V168" s="712"/>
      <c r="W168" s="712"/>
      <c r="X168" s="712"/>
      <c r="Y168" s="712"/>
      <c r="Z168" s="712"/>
      <c r="AA168" s="712"/>
      <c r="AB168" s="712"/>
      <c r="AC168" s="712"/>
      <c r="AD168" s="712"/>
      <c r="AE168" s="712"/>
      <c r="AF168" s="712"/>
      <c r="AG168" s="712"/>
      <c r="AH168" s="712"/>
      <c r="AI168" s="712"/>
      <c r="AJ168" s="712"/>
      <c r="AK168" s="712"/>
      <c r="AL168" s="712"/>
      <c r="AM168" s="712"/>
      <c r="AN168" s="712"/>
      <c r="AO168" s="712"/>
      <c r="AP168" s="712"/>
      <c r="AQ168" s="712"/>
      <c r="AR168" s="712"/>
      <c r="AS168" s="712"/>
      <c r="AT168" s="712"/>
      <c r="AU168" s="712"/>
      <c r="AV168" s="712"/>
      <c r="AW168" s="712"/>
      <c r="AX168" s="712"/>
      <c r="AY168" s="712"/>
      <c r="AZ168" s="712"/>
      <c r="BA168" s="712"/>
      <c r="BB168" s="712"/>
      <c r="BC168" s="712"/>
      <c r="BD168" s="712"/>
      <c r="BE168" s="712"/>
      <c r="BF168" s="712"/>
      <c r="BG168" s="712"/>
      <c r="BH168" s="712"/>
      <c r="BI168" s="712"/>
      <c r="BY168" s="716"/>
      <c r="DS168" s="217">
        <v>84580535.299999997</v>
      </c>
      <c r="DT168" s="218" t="s">
        <v>354</v>
      </c>
      <c r="DU168" s="243"/>
      <c r="DV168" s="243"/>
    </row>
    <row r="169" spans="1:127" x14ac:dyDescent="0.35">
      <c r="E169" s="712"/>
      <c r="F169" s="712"/>
      <c r="G169" s="712"/>
      <c r="H169" s="712"/>
      <c r="I169" s="713"/>
      <c r="J169" s="713"/>
      <c r="K169" s="712"/>
      <c r="L169" s="712"/>
      <c r="M169" s="712"/>
      <c r="N169" s="712"/>
      <c r="O169" s="712"/>
      <c r="P169" s="712"/>
      <c r="Q169" s="712"/>
      <c r="R169" s="712"/>
      <c r="S169" s="712"/>
      <c r="T169" s="712"/>
      <c r="U169" s="712"/>
      <c r="V169" s="712"/>
      <c r="W169" s="712"/>
      <c r="X169" s="712"/>
      <c r="Y169" s="712"/>
      <c r="Z169" s="712"/>
      <c r="AA169" s="712"/>
      <c r="AB169" s="712"/>
      <c r="AC169" s="712"/>
      <c r="AD169" s="712"/>
      <c r="AE169" s="712"/>
      <c r="AF169" s="712"/>
      <c r="AG169" s="712"/>
      <c r="AH169" s="712"/>
      <c r="AI169" s="712"/>
      <c r="AJ169" s="712"/>
      <c r="AK169" s="712"/>
      <c r="AL169" s="712"/>
      <c r="AM169" s="712"/>
      <c r="AN169" s="712"/>
      <c r="AO169" s="712"/>
      <c r="AP169" s="712"/>
      <c r="AQ169" s="712"/>
      <c r="AR169" s="712"/>
      <c r="AS169" s="712"/>
      <c r="AT169" s="712"/>
      <c r="AU169" s="712"/>
      <c r="AV169" s="712"/>
      <c r="AW169" s="712"/>
      <c r="AX169" s="712"/>
      <c r="AY169" s="712"/>
      <c r="AZ169" s="712"/>
      <c r="BA169" s="712"/>
      <c r="BB169" s="712"/>
      <c r="BC169" s="712"/>
      <c r="BD169" s="712"/>
      <c r="BE169" s="712"/>
      <c r="BF169" s="712"/>
      <c r="BG169" s="712"/>
      <c r="BH169" s="712"/>
      <c r="BI169" s="712"/>
      <c r="BX169" s="715">
        <f>DS169-DS163</f>
        <v>4386781</v>
      </c>
      <c r="DS169" s="217">
        <v>109301781</v>
      </c>
      <c r="DT169" s="218" t="s">
        <v>355</v>
      </c>
      <c r="DU169" s="243"/>
      <c r="DV169" s="243"/>
    </row>
    <row r="170" spans="1:127" x14ac:dyDescent="0.35">
      <c r="E170" s="712"/>
      <c r="F170" s="712"/>
      <c r="G170" s="712"/>
      <c r="H170" s="712"/>
      <c r="I170" s="713"/>
      <c r="J170" s="713"/>
      <c r="K170" s="712"/>
      <c r="L170" s="712"/>
      <c r="M170" s="712"/>
      <c r="N170" s="712"/>
      <c r="O170" s="712"/>
      <c r="P170" s="712"/>
      <c r="Q170" s="712"/>
      <c r="R170" s="712"/>
      <c r="S170" s="712"/>
      <c r="T170" s="712"/>
      <c r="U170" s="712"/>
      <c r="V170" s="712"/>
      <c r="W170" s="712"/>
      <c r="X170" s="712"/>
      <c r="Y170" s="712"/>
      <c r="Z170" s="712"/>
      <c r="AA170" s="712"/>
      <c r="AB170" s="712"/>
      <c r="AC170" s="712"/>
      <c r="AD170" s="712"/>
      <c r="AE170" s="712"/>
      <c r="AF170" s="712"/>
      <c r="AG170" s="712"/>
      <c r="AH170" s="712"/>
      <c r="AI170" s="712"/>
      <c r="AJ170" s="712"/>
      <c r="AK170" s="712"/>
      <c r="AL170" s="712"/>
      <c r="AM170" s="712"/>
      <c r="AN170" s="712"/>
      <c r="AO170" s="712"/>
      <c r="AP170" s="712"/>
      <c r="AQ170" s="712"/>
      <c r="AR170" s="712"/>
      <c r="AS170" s="712"/>
      <c r="AT170" s="712"/>
      <c r="AU170" s="712"/>
      <c r="AV170" s="712"/>
      <c r="AW170" s="712"/>
      <c r="AX170" s="712"/>
      <c r="AY170" s="712"/>
      <c r="AZ170" s="712"/>
      <c r="BA170" s="712"/>
      <c r="BB170" s="712"/>
      <c r="BC170" s="712"/>
      <c r="BD170" s="712"/>
      <c r="BE170" s="712"/>
      <c r="BF170" s="712"/>
      <c r="BG170" s="712"/>
      <c r="BH170" s="712"/>
      <c r="BI170" s="712"/>
      <c r="BX170" s="715"/>
      <c r="DS170" s="217">
        <v>291919774.17000002</v>
      </c>
      <c r="DT170" s="218" t="s">
        <v>356</v>
      </c>
      <c r="DU170" s="243"/>
      <c r="DV170" s="243"/>
    </row>
    <row r="171" spans="1:127" x14ac:dyDescent="0.35">
      <c r="BX171" s="238">
        <f>BX169-DS172-DS171</f>
        <v>2006245.700000003</v>
      </c>
      <c r="DS171" s="216">
        <f>BM166</f>
        <v>1069216.7900000066</v>
      </c>
      <c r="DT171" s="2" t="s">
        <v>357</v>
      </c>
      <c r="DW171" s="212"/>
    </row>
    <row r="172" spans="1:127" x14ac:dyDescent="0.35">
      <c r="DS172" s="216">
        <v>1311318.5099999905</v>
      </c>
      <c r="DT172" s="2" t="s">
        <v>358</v>
      </c>
      <c r="DW172" s="211"/>
    </row>
    <row r="173" spans="1:127" x14ac:dyDescent="0.35">
      <c r="DS173" s="216">
        <v>2000000</v>
      </c>
      <c r="DT173" s="2" t="s">
        <v>359</v>
      </c>
      <c r="DW173" s="211"/>
    </row>
    <row r="174" spans="1:127" x14ac:dyDescent="0.35">
      <c r="DS174" s="216">
        <v>2021245.700000003</v>
      </c>
      <c r="DT174" s="2" t="s">
        <v>360</v>
      </c>
      <c r="DW174" s="211"/>
    </row>
    <row r="175" spans="1:127" x14ac:dyDescent="0.35">
      <c r="E175" s="712"/>
      <c r="F175" s="712"/>
      <c r="G175" s="712"/>
      <c r="H175" s="712"/>
      <c r="I175" s="713"/>
      <c r="J175" s="713"/>
      <c r="K175" s="712"/>
      <c r="L175" s="712"/>
      <c r="M175" s="712"/>
      <c r="N175" s="712"/>
      <c r="O175" s="712"/>
      <c r="P175" s="712"/>
      <c r="Q175" s="712"/>
      <c r="R175" s="712"/>
      <c r="S175" s="712"/>
      <c r="T175" s="712"/>
      <c r="U175" s="712"/>
      <c r="V175" s="712"/>
      <c r="W175" s="712"/>
      <c r="X175" s="712"/>
      <c r="Y175" s="712"/>
      <c r="Z175" s="712"/>
      <c r="AA175" s="712"/>
      <c r="AB175" s="712"/>
      <c r="AC175" s="712"/>
      <c r="AD175" s="712"/>
      <c r="AE175" s="712"/>
      <c r="AF175" s="712"/>
      <c r="AG175" s="712"/>
      <c r="AH175" s="712"/>
      <c r="AI175" s="712"/>
      <c r="AJ175" s="712"/>
      <c r="AK175" s="712"/>
      <c r="AL175" s="712"/>
      <c r="AM175" s="712"/>
      <c r="AN175" s="712"/>
      <c r="AO175" s="712"/>
      <c r="AP175" s="712"/>
      <c r="AQ175" s="712"/>
      <c r="AR175" s="712"/>
      <c r="AS175" s="712"/>
      <c r="AT175" s="712"/>
      <c r="AU175" s="712"/>
      <c r="AV175" s="712"/>
      <c r="AW175" s="712"/>
      <c r="AX175" s="712"/>
      <c r="AY175" s="712"/>
      <c r="AZ175" s="712"/>
      <c r="BA175" s="712"/>
      <c r="BB175" s="712"/>
      <c r="BC175" s="712"/>
      <c r="BD175" s="712"/>
      <c r="BE175" s="712"/>
      <c r="BF175" s="712"/>
      <c r="BG175" s="712"/>
      <c r="BH175" s="712"/>
      <c r="BI175" s="712"/>
      <c r="DS175" s="216">
        <f>4500000+1000000</f>
        <v>5500000</v>
      </c>
      <c r="DT175" s="2" t="s">
        <v>361</v>
      </c>
      <c r="DW175" s="211"/>
    </row>
    <row r="176" spans="1:127" x14ac:dyDescent="0.35">
      <c r="DS176" s="216">
        <v>3157441.2700000405</v>
      </c>
      <c r="DT176" s="2" t="s">
        <v>362</v>
      </c>
    </row>
    <row r="177" spans="66:126" x14ac:dyDescent="0.35">
      <c r="DS177" s="6"/>
    </row>
    <row r="178" spans="66:126" x14ac:dyDescent="0.35">
      <c r="BN178" s="74" t="s">
        <v>875</v>
      </c>
      <c r="BO178" s="63" t="s">
        <v>196</v>
      </c>
      <c r="DS178" s="219">
        <f>DS163</f>
        <v>104915000</v>
      </c>
      <c r="DT178" s="220" t="str">
        <f>DT163</f>
        <v xml:space="preserve">TOTAL UTT INVESTED </v>
      </c>
      <c r="DU178" s="244"/>
      <c r="DV178" s="244"/>
    </row>
    <row r="179" spans="66:126" x14ac:dyDescent="0.35">
      <c r="BN179" s="2" t="s">
        <v>874</v>
      </c>
      <c r="BO179" s="3">
        <v>71924000</v>
      </c>
      <c r="DS179" s="219">
        <f>DS168</f>
        <v>84580535.299999997</v>
      </c>
      <c r="DT179" s="221" t="str">
        <f>DT168</f>
        <v>STATEMENT 2 -12th Dec. 2025</v>
      </c>
      <c r="DU179" s="245"/>
      <c r="DV179" s="245"/>
    </row>
    <row r="180" spans="66:126" x14ac:dyDescent="0.35">
      <c r="BN180" s="115" t="s">
        <v>998</v>
      </c>
      <c r="BO180" s="3">
        <f>BP153</f>
        <v>15434958</v>
      </c>
      <c r="DS180" s="219">
        <f>DS169</f>
        <v>109301781</v>
      </c>
      <c r="DT180" s="221" t="str">
        <f>DT169</f>
        <v>STATEMENT 3 -24th Feb. 2026</v>
      </c>
      <c r="DU180" s="245"/>
      <c r="DV180" s="245"/>
    </row>
    <row r="181" spans="66:126" x14ac:dyDescent="0.35">
      <c r="BN181" s="115" t="s">
        <v>527</v>
      </c>
      <c r="BO181" s="3">
        <f>BR153</f>
        <v>12770000</v>
      </c>
      <c r="DS181" s="219">
        <f t="shared" ref="DS181:DT182" si="275">DS171</f>
        <v>1069216.7900000066</v>
      </c>
      <c r="DT181" s="221" t="str">
        <f t="shared" si="275"/>
        <v>DIVIDENT 1 UTT</v>
      </c>
      <c r="DU181" s="245"/>
      <c r="DV181" s="245"/>
    </row>
    <row r="182" spans="66:126" x14ac:dyDescent="0.35">
      <c r="BN182" s="115" t="s">
        <v>999</v>
      </c>
      <c r="BO182" s="3">
        <f>BT153</f>
        <v>17595808</v>
      </c>
      <c r="DS182" s="219">
        <f t="shared" si="275"/>
        <v>1311318.5099999905</v>
      </c>
      <c r="DT182" s="221" t="str">
        <f t="shared" si="275"/>
        <v>DIVIDENT 2 UTT</v>
      </c>
      <c r="DU182" s="245"/>
      <c r="DV182" s="245"/>
    </row>
    <row r="183" spans="66:126" x14ac:dyDescent="0.35">
      <c r="BN183" s="115" t="s">
        <v>1000</v>
      </c>
      <c r="BO183" s="3">
        <f>CO153+CQ153+CT153</f>
        <v>4401780.9999999991</v>
      </c>
      <c r="DS183" s="216">
        <f>4500000+1000000</f>
        <v>5500000</v>
      </c>
      <c r="DT183" s="221" t="str">
        <f t="shared" ref="DT183" si="276">DT175</f>
        <v>Divident 5 (Loan 2 + 3)</v>
      </c>
      <c r="DU183" s="245"/>
      <c r="DV183" s="245"/>
    </row>
    <row r="184" spans="66:126" x14ac:dyDescent="0.35">
      <c r="BN184" s="115" t="s">
        <v>1001</v>
      </c>
      <c r="BO184" s="3">
        <f>CR153</f>
        <v>1999999.9999999995</v>
      </c>
      <c r="DS184" s="216">
        <v>3157441.2700000405</v>
      </c>
      <c r="DT184" s="221" t="str">
        <f t="shared" ref="DT184" si="277">DT176</f>
        <v xml:space="preserve">DIVIDENT 6 UTT </v>
      </c>
      <c r="DU184" s="245"/>
      <c r="DV184" s="245"/>
    </row>
    <row r="185" spans="66:126" x14ac:dyDescent="0.35">
      <c r="BN185" s="115"/>
      <c r="BO185" s="3"/>
      <c r="DS185" s="216">
        <v>1929470.9300000099</v>
      </c>
      <c r="DT185" s="221" t="s">
        <v>544</v>
      </c>
      <c r="DU185" s="245"/>
      <c r="DV185" s="245"/>
    </row>
    <row r="186" spans="66:126" x14ac:dyDescent="0.35">
      <c r="BN186" s="2"/>
      <c r="BO186" s="191">
        <f>SUM(BO179:BO185)</f>
        <v>124126547</v>
      </c>
    </row>
    <row r="187" spans="66:126" x14ac:dyDescent="0.35">
      <c r="BN187" s="115" t="s">
        <v>1002</v>
      </c>
      <c r="BO187" s="3">
        <v>144</v>
      </c>
    </row>
    <row r="193" spans="111:122" ht="29" x14ac:dyDescent="0.35">
      <c r="DG193" s="225" t="s">
        <v>888</v>
      </c>
      <c r="DH193" s="408" t="s">
        <v>887</v>
      </c>
      <c r="DI193" s="709"/>
      <c r="DJ193" s="709"/>
      <c r="DL193" s="225" t="s">
        <v>890</v>
      </c>
      <c r="DO193" s="225" t="s">
        <v>892</v>
      </c>
      <c r="DR193" s="225" t="s">
        <v>896</v>
      </c>
    </row>
    <row r="194" spans="111:122" x14ac:dyDescent="0.35">
      <c r="DH194" s="408" t="s">
        <v>889</v>
      </c>
      <c r="DI194" s="709"/>
      <c r="DJ194" s="709"/>
    </row>
    <row r="195" spans="111:122" x14ac:dyDescent="0.35">
      <c r="DH195" s="408" t="s">
        <v>891</v>
      </c>
      <c r="DI195" s="709"/>
      <c r="DJ195" s="709"/>
    </row>
    <row r="196" spans="111:122" x14ac:dyDescent="0.35">
      <c r="DH196" s="408" t="s">
        <v>894</v>
      </c>
      <c r="DI196" s="709"/>
      <c r="DJ196" s="709"/>
    </row>
    <row r="197" spans="111:122" x14ac:dyDescent="0.35">
      <c r="DH197" s="408" t="s">
        <v>893</v>
      </c>
      <c r="DI197" s="709"/>
      <c r="DJ197" s="709"/>
    </row>
    <row r="198" spans="111:122" x14ac:dyDescent="0.35">
      <c r="DH198" s="408" t="s">
        <v>895</v>
      </c>
      <c r="DI198" s="709"/>
      <c r="DJ198" s="709"/>
    </row>
    <row r="199" spans="111:122" x14ac:dyDescent="0.35">
      <c r="DH199" s="408" t="s">
        <v>897</v>
      </c>
      <c r="DI199" s="709"/>
      <c r="DJ199" s="709"/>
    </row>
    <row r="200" spans="111:122" x14ac:dyDescent="0.35">
      <c r="DH200" s="408" t="s">
        <v>898</v>
      </c>
      <c r="DI200" s="709"/>
      <c r="DJ200" s="709"/>
    </row>
  </sheetData>
  <autoFilter ref="A1:DS1" xr:uid="{F7386D43-18B4-44DC-9EFF-DD0CA0A291EC}"/>
  <sortState xmlns:xlrd2="http://schemas.microsoft.com/office/spreadsheetml/2017/richdata2" ref="A1:DT166">
    <sortCondition ref="A2:A166"/>
  </sortState>
  <phoneticPr fontId="3" type="noConversion"/>
  <pageMargins left="0.7" right="0.7" top="0.75" bottom="0.75" header="0.3" footer="0.3"/>
  <pageSetup orientation="portrait"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D0F6D-9506-45E6-9E0F-42C63F5D877B}">
  <dimension ref="A3:F153"/>
  <sheetViews>
    <sheetView workbookViewId="0">
      <selection activeCell="C3" sqref="C3"/>
    </sheetView>
  </sheetViews>
  <sheetFormatPr defaultRowHeight="14.5" x14ac:dyDescent="0.35"/>
  <cols>
    <col min="2" max="2" width="11.81640625" bestFit="1" customWidth="1"/>
    <col min="3" max="3" width="26.7265625" bestFit="1" customWidth="1"/>
    <col min="4" max="4" width="13.81640625" bestFit="1" customWidth="1"/>
    <col min="5" max="5" width="12.7265625" bestFit="1" customWidth="1"/>
    <col min="6" max="6" width="13.81640625" bestFit="1" customWidth="1"/>
  </cols>
  <sheetData>
    <row r="3" spans="1:6" x14ac:dyDescent="0.35">
      <c r="A3" t="s">
        <v>1359</v>
      </c>
      <c r="B3" t="s">
        <v>1360</v>
      </c>
      <c r="C3" t="s">
        <v>1361</v>
      </c>
      <c r="D3" s="6" t="s">
        <v>1362</v>
      </c>
      <c r="E3" s="6" t="s">
        <v>1363</v>
      </c>
      <c r="F3" s="6" t="s">
        <v>1364</v>
      </c>
    </row>
    <row r="4" spans="1:6" x14ac:dyDescent="0.35">
      <c r="A4">
        <v>1</v>
      </c>
      <c r="B4" t="s">
        <v>224</v>
      </c>
      <c r="C4" t="s">
        <v>1365</v>
      </c>
      <c r="D4" s="6">
        <v>40057902</v>
      </c>
      <c r="E4" s="6">
        <v>1634831.88</v>
      </c>
      <c r="F4" s="6">
        <v>41692733.880000003</v>
      </c>
    </row>
    <row r="5" spans="1:6" x14ac:dyDescent="0.35">
      <c r="A5">
        <v>2</v>
      </c>
      <c r="B5" t="s">
        <v>225</v>
      </c>
      <c r="C5" t="s">
        <v>468</v>
      </c>
      <c r="D5" s="6">
        <v>25460000</v>
      </c>
      <c r="E5" s="6">
        <v>1524929.26</v>
      </c>
      <c r="F5" s="6">
        <v>26984929.260000002</v>
      </c>
    </row>
    <row r="6" spans="1:6" x14ac:dyDescent="0.35">
      <c r="A6">
        <v>3</v>
      </c>
      <c r="B6" t="s">
        <v>227</v>
      </c>
      <c r="C6" t="s">
        <v>28</v>
      </c>
      <c r="D6" s="6">
        <v>79694462</v>
      </c>
      <c r="E6" s="6">
        <v>2305538.4500000002</v>
      </c>
      <c r="F6" s="6">
        <v>82000000.450000003</v>
      </c>
    </row>
    <row r="7" spans="1:6" x14ac:dyDescent="0.35">
      <c r="A7">
        <v>4</v>
      </c>
      <c r="B7" t="s">
        <v>228</v>
      </c>
      <c r="C7" t="s">
        <v>1366</v>
      </c>
      <c r="D7" s="6">
        <v>5880000</v>
      </c>
      <c r="E7" s="6">
        <v>358571.97</v>
      </c>
      <c r="F7" s="6">
        <v>6238571.9699999997</v>
      </c>
    </row>
    <row r="8" spans="1:6" x14ac:dyDescent="0.35">
      <c r="A8">
        <v>5</v>
      </c>
      <c r="B8" t="s">
        <v>230</v>
      </c>
      <c r="C8" t="s">
        <v>231</v>
      </c>
      <c r="D8" s="6">
        <v>12000000</v>
      </c>
      <c r="E8" s="6">
        <v>793814.72</v>
      </c>
      <c r="F8" s="6">
        <v>12793814.720000001</v>
      </c>
    </row>
    <row r="9" spans="1:6" x14ac:dyDescent="0.35">
      <c r="A9">
        <v>6</v>
      </c>
      <c r="B9" t="s">
        <v>232</v>
      </c>
      <c r="C9" t="s">
        <v>33</v>
      </c>
      <c r="D9" s="6">
        <v>22184866</v>
      </c>
      <c r="E9" s="6">
        <v>815133.61</v>
      </c>
      <c r="F9" s="6">
        <v>22999999.609999999</v>
      </c>
    </row>
    <row r="10" spans="1:6" x14ac:dyDescent="0.35">
      <c r="A10">
        <v>7</v>
      </c>
      <c r="B10" t="s">
        <v>233</v>
      </c>
      <c r="C10" t="s">
        <v>812</v>
      </c>
      <c r="D10" s="6">
        <v>38950019</v>
      </c>
      <c r="E10" s="6">
        <v>1249980.5900000001</v>
      </c>
      <c r="F10" s="6">
        <v>40199999.590000004</v>
      </c>
    </row>
    <row r="11" spans="1:6" x14ac:dyDescent="0.35">
      <c r="A11">
        <v>8</v>
      </c>
      <c r="B11" t="s">
        <v>234</v>
      </c>
      <c r="C11" t="s">
        <v>1141</v>
      </c>
      <c r="D11" s="6">
        <v>3223000</v>
      </c>
      <c r="E11" s="6">
        <v>114500.22</v>
      </c>
      <c r="F11" s="6">
        <v>3337500.22</v>
      </c>
    </row>
    <row r="12" spans="1:6" x14ac:dyDescent="0.35">
      <c r="A12">
        <v>9</v>
      </c>
      <c r="B12" t="s">
        <v>235</v>
      </c>
      <c r="C12" t="s">
        <v>64</v>
      </c>
      <c r="D12" s="6">
        <v>3370000</v>
      </c>
      <c r="E12" s="6">
        <v>201729.42</v>
      </c>
      <c r="F12" s="6">
        <v>3571729.42</v>
      </c>
    </row>
    <row r="13" spans="1:6" x14ac:dyDescent="0.35">
      <c r="A13">
        <v>10</v>
      </c>
      <c r="B13" t="s">
        <v>236</v>
      </c>
      <c r="C13" t="s">
        <v>39</v>
      </c>
      <c r="D13" s="6">
        <v>30000000</v>
      </c>
      <c r="E13" s="6">
        <v>933308.42</v>
      </c>
      <c r="F13" s="6">
        <v>30933308.420000002</v>
      </c>
    </row>
    <row r="14" spans="1:6" x14ac:dyDescent="0.35">
      <c r="A14">
        <v>11</v>
      </c>
      <c r="B14" t="s">
        <v>237</v>
      </c>
      <c r="C14" t="s">
        <v>1029</v>
      </c>
      <c r="D14" s="6">
        <v>20137193</v>
      </c>
      <c r="E14" s="6">
        <v>862806.51</v>
      </c>
      <c r="F14" s="6">
        <v>20999999.510000002</v>
      </c>
    </row>
    <row r="15" spans="1:6" x14ac:dyDescent="0.35">
      <c r="A15">
        <v>12</v>
      </c>
      <c r="B15" t="s">
        <v>239</v>
      </c>
      <c r="C15" t="s">
        <v>66</v>
      </c>
      <c r="D15" s="6">
        <v>26995061</v>
      </c>
      <c r="E15" s="6">
        <v>1004938.6</v>
      </c>
      <c r="F15" s="6">
        <v>27999999.600000001</v>
      </c>
    </row>
    <row r="16" spans="1:6" x14ac:dyDescent="0.35">
      <c r="A16">
        <v>13</v>
      </c>
      <c r="B16" t="s">
        <v>240</v>
      </c>
      <c r="C16" t="s">
        <v>824</v>
      </c>
      <c r="D16" s="6">
        <v>13800000</v>
      </c>
      <c r="E16" s="6">
        <v>518385.52</v>
      </c>
      <c r="F16" s="6">
        <v>14318385.52</v>
      </c>
    </row>
    <row r="17" spans="1:6" x14ac:dyDescent="0.35">
      <c r="A17">
        <v>14</v>
      </c>
      <c r="B17" t="s">
        <v>241</v>
      </c>
      <c r="C17" t="s">
        <v>1367</v>
      </c>
      <c r="D17" s="6">
        <v>3625000</v>
      </c>
      <c r="E17" s="6">
        <v>445761.14</v>
      </c>
      <c r="F17" s="6">
        <v>4070761.14</v>
      </c>
    </row>
    <row r="18" spans="1:6" x14ac:dyDescent="0.35">
      <c r="A18">
        <v>15</v>
      </c>
      <c r="B18" t="s">
        <v>243</v>
      </c>
      <c r="C18" t="s">
        <v>244</v>
      </c>
      <c r="D18" s="6">
        <v>5237000</v>
      </c>
      <c r="E18" s="6">
        <v>417826.88</v>
      </c>
      <c r="F18" s="6">
        <v>5654826.8799999999</v>
      </c>
    </row>
    <row r="19" spans="1:6" x14ac:dyDescent="0.35">
      <c r="A19">
        <v>16</v>
      </c>
      <c r="B19" t="s">
        <v>245</v>
      </c>
      <c r="C19" t="s">
        <v>807</v>
      </c>
      <c r="D19" s="6">
        <v>44000000</v>
      </c>
      <c r="E19" s="6">
        <v>1103990.1399999999</v>
      </c>
      <c r="F19" s="6">
        <v>45103990.140000001</v>
      </c>
    </row>
    <row r="20" spans="1:6" x14ac:dyDescent="0.35">
      <c r="A20">
        <v>17</v>
      </c>
      <c r="B20" t="s">
        <v>246</v>
      </c>
      <c r="C20" t="s">
        <v>82</v>
      </c>
      <c r="D20" s="6">
        <v>3500000</v>
      </c>
      <c r="E20" s="6">
        <v>381663.64</v>
      </c>
      <c r="F20" s="6">
        <v>3881663.64</v>
      </c>
    </row>
    <row r="21" spans="1:6" x14ac:dyDescent="0.35">
      <c r="A21">
        <v>18</v>
      </c>
      <c r="B21" t="s">
        <v>247</v>
      </c>
      <c r="C21" t="s">
        <v>667</v>
      </c>
      <c r="D21" s="6">
        <v>32220563</v>
      </c>
      <c r="E21" s="6">
        <v>759245.77</v>
      </c>
      <c r="F21" s="6">
        <v>32979808.77</v>
      </c>
    </row>
    <row r="22" spans="1:6" x14ac:dyDescent="0.35">
      <c r="A22">
        <v>19</v>
      </c>
      <c r="B22" t="s">
        <v>249</v>
      </c>
      <c r="C22" t="s">
        <v>821</v>
      </c>
      <c r="D22" s="6">
        <v>11900000</v>
      </c>
      <c r="E22" s="6">
        <v>493549.8</v>
      </c>
      <c r="F22" s="6">
        <v>12393549.800000001</v>
      </c>
    </row>
    <row r="23" spans="1:6" x14ac:dyDescent="0.35">
      <c r="A23">
        <v>20</v>
      </c>
      <c r="B23" t="s">
        <v>250</v>
      </c>
      <c r="C23" t="s">
        <v>1368</v>
      </c>
      <c r="D23" s="6">
        <v>19720700</v>
      </c>
      <c r="E23" s="6">
        <v>635291.1</v>
      </c>
      <c r="F23" s="6">
        <v>20355991.100000001</v>
      </c>
    </row>
    <row r="24" spans="1:6" x14ac:dyDescent="0.35">
      <c r="A24">
        <v>21</v>
      </c>
      <c r="B24" t="s">
        <v>252</v>
      </c>
      <c r="C24" t="s">
        <v>1369</v>
      </c>
      <c r="D24" s="6">
        <v>12700000</v>
      </c>
      <c r="E24" s="6">
        <v>538282.9</v>
      </c>
      <c r="F24" s="6">
        <v>13238282.9</v>
      </c>
    </row>
    <row r="25" spans="1:6" x14ac:dyDescent="0.35">
      <c r="A25">
        <v>22</v>
      </c>
      <c r="B25" t="s">
        <v>253</v>
      </c>
      <c r="C25" t="s">
        <v>86</v>
      </c>
      <c r="D25" s="6">
        <v>4700000</v>
      </c>
      <c r="E25" s="6">
        <v>469044.35</v>
      </c>
      <c r="F25" s="6">
        <v>5169044.3499999996</v>
      </c>
    </row>
    <row r="26" spans="1:6" x14ac:dyDescent="0.35">
      <c r="A26">
        <v>23</v>
      </c>
      <c r="B26" t="s">
        <v>254</v>
      </c>
      <c r="C26" t="s">
        <v>811</v>
      </c>
      <c r="D26" s="6">
        <v>21600000</v>
      </c>
      <c r="E26" s="6">
        <v>840662.07</v>
      </c>
      <c r="F26" s="6">
        <v>22440662.07</v>
      </c>
    </row>
    <row r="27" spans="1:6" x14ac:dyDescent="0.35">
      <c r="A27">
        <v>24</v>
      </c>
      <c r="B27" t="s">
        <v>255</v>
      </c>
      <c r="C27" t="s">
        <v>61</v>
      </c>
      <c r="D27" s="6">
        <v>11363000</v>
      </c>
      <c r="E27" s="6">
        <v>531997.4</v>
      </c>
      <c r="F27" s="6">
        <v>11894997.4</v>
      </c>
    </row>
    <row r="28" spans="1:6" x14ac:dyDescent="0.35">
      <c r="A28">
        <v>25</v>
      </c>
      <c r="B28" t="s">
        <v>256</v>
      </c>
      <c r="C28" t="s">
        <v>805</v>
      </c>
      <c r="D28" s="6">
        <v>3400000</v>
      </c>
      <c r="E28" s="6">
        <v>210995.96</v>
      </c>
      <c r="F28" s="6">
        <v>3610995.96</v>
      </c>
    </row>
    <row r="29" spans="1:6" x14ac:dyDescent="0.35">
      <c r="A29">
        <v>26</v>
      </c>
      <c r="B29" t="s">
        <v>257</v>
      </c>
      <c r="C29" t="s">
        <v>1062</v>
      </c>
      <c r="D29" s="6">
        <v>11900000</v>
      </c>
      <c r="E29" s="6">
        <v>251625.1</v>
      </c>
      <c r="F29" s="6">
        <v>12151625.1</v>
      </c>
    </row>
    <row r="30" spans="1:6" x14ac:dyDescent="0.35">
      <c r="A30">
        <v>27</v>
      </c>
      <c r="B30" t="s">
        <v>258</v>
      </c>
      <c r="C30" t="s">
        <v>90</v>
      </c>
      <c r="D30" s="6">
        <v>4000000</v>
      </c>
      <c r="E30" s="6">
        <v>250002.6</v>
      </c>
      <c r="F30" s="6">
        <v>4250002.5999999996</v>
      </c>
    </row>
    <row r="31" spans="1:6" x14ac:dyDescent="0.35">
      <c r="A31">
        <v>28</v>
      </c>
      <c r="B31" t="s">
        <v>259</v>
      </c>
      <c r="C31" t="s">
        <v>1370</v>
      </c>
      <c r="D31" s="6">
        <v>11840000</v>
      </c>
      <c r="E31" s="6">
        <v>425084.88</v>
      </c>
      <c r="F31" s="6">
        <v>12265084.880000001</v>
      </c>
    </row>
    <row r="32" spans="1:6" x14ac:dyDescent="0.35">
      <c r="A32">
        <v>29</v>
      </c>
      <c r="B32" t="s">
        <v>260</v>
      </c>
      <c r="C32" t="s">
        <v>84</v>
      </c>
      <c r="D32" s="6">
        <v>11750000</v>
      </c>
      <c r="E32" s="6">
        <v>527809.06999999995</v>
      </c>
      <c r="F32" s="6">
        <v>12277809.07</v>
      </c>
    </row>
    <row r="33" spans="1:6" x14ac:dyDescent="0.35">
      <c r="A33">
        <v>30</v>
      </c>
      <c r="B33" t="s">
        <v>261</v>
      </c>
      <c r="C33" t="s">
        <v>1371</v>
      </c>
      <c r="D33" s="6">
        <v>12750000</v>
      </c>
      <c r="E33" s="6">
        <v>546014.47</v>
      </c>
      <c r="F33" s="6">
        <v>13296014.470000001</v>
      </c>
    </row>
    <row r="34" spans="1:6" x14ac:dyDescent="0.35">
      <c r="A34">
        <v>31</v>
      </c>
      <c r="B34" t="s">
        <v>262</v>
      </c>
      <c r="C34" t="s">
        <v>38</v>
      </c>
      <c r="D34" s="6">
        <v>4080893</v>
      </c>
      <c r="E34" s="6">
        <v>212711.15</v>
      </c>
      <c r="F34" s="6">
        <v>4293604.1500000004</v>
      </c>
    </row>
    <row r="35" spans="1:6" x14ac:dyDescent="0.35">
      <c r="A35">
        <v>32</v>
      </c>
      <c r="B35" t="s">
        <v>263</v>
      </c>
      <c r="C35" t="s">
        <v>87</v>
      </c>
      <c r="D35" s="6">
        <v>3300000</v>
      </c>
      <c r="E35" s="6">
        <v>203200.39</v>
      </c>
      <c r="F35" s="6">
        <v>3503200.39</v>
      </c>
    </row>
    <row r="36" spans="1:6" x14ac:dyDescent="0.35">
      <c r="A36">
        <v>33</v>
      </c>
      <c r="B36" t="s">
        <v>264</v>
      </c>
      <c r="C36" t="s">
        <v>1372</v>
      </c>
      <c r="D36" s="6">
        <v>4000000</v>
      </c>
      <c r="E36" s="6">
        <v>258357.21</v>
      </c>
      <c r="F36" s="6">
        <v>4258357.21</v>
      </c>
    </row>
    <row r="37" spans="1:6" x14ac:dyDescent="0.35">
      <c r="A37">
        <v>34</v>
      </c>
      <c r="B37" t="s">
        <v>265</v>
      </c>
      <c r="C37" t="s">
        <v>1008</v>
      </c>
      <c r="D37" s="6">
        <v>3400000</v>
      </c>
      <c r="E37" s="6">
        <v>184342.7</v>
      </c>
      <c r="F37" s="6">
        <v>3584342.7</v>
      </c>
    </row>
    <row r="38" spans="1:6" x14ac:dyDescent="0.35">
      <c r="A38">
        <v>35</v>
      </c>
      <c r="B38" t="s">
        <v>266</v>
      </c>
      <c r="C38" t="s">
        <v>1373</v>
      </c>
      <c r="D38" s="6">
        <v>3270000</v>
      </c>
      <c r="E38" s="6">
        <v>248486.71</v>
      </c>
      <c r="F38" s="6">
        <v>3518486.71</v>
      </c>
    </row>
    <row r="39" spans="1:6" x14ac:dyDescent="0.35">
      <c r="A39">
        <v>36</v>
      </c>
      <c r="B39" t="s">
        <v>267</v>
      </c>
      <c r="C39" t="s">
        <v>1374</v>
      </c>
      <c r="D39" s="6">
        <v>3500000</v>
      </c>
      <c r="E39" s="6">
        <v>206771.75</v>
      </c>
      <c r="F39" s="6">
        <v>3706771.75</v>
      </c>
    </row>
    <row r="40" spans="1:6" x14ac:dyDescent="0.35">
      <c r="A40">
        <v>37</v>
      </c>
      <c r="B40" t="s">
        <v>269</v>
      </c>
      <c r="C40" t="s">
        <v>46</v>
      </c>
      <c r="D40" s="6">
        <v>18100000</v>
      </c>
      <c r="E40" s="6">
        <v>541123.42000000004</v>
      </c>
      <c r="F40" s="6">
        <v>18641123.420000002</v>
      </c>
    </row>
    <row r="41" spans="1:6" x14ac:dyDescent="0.35">
      <c r="A41">
        <v>38</v>
      </c>
      <c r="B41" t="s">
        <v>270</v>
      </c>
      <c r="C41" t="s">
        <v>271</v>
      </c>
      <c r="D41" s="6">
        <v>8001544</v>
      </c>
      <c r="E41" s="6">
        <v>318545.96000000002</v>
      </c>
      <c r="F41" s="6">
        <v>8320089.96</v>
      </c>
    </row>
    <row r="42" spans="1:6" x14ac:dyDescent="0.35">
      <c r="A42">
        <v>39</v>
      </c>
      <c r="B42" t="s">
        <v>272</v>
      </c>
      <c r="C42" t="s">
        <v>71</v>
      </c>
      <c r="D42" s="6">
        <v>3360000</v>
      </c>
      <c r="E42" s="6">
        <v>188615.16</v>
      </c>
      <c r="F42" s="6">
        <v>3548615.16</v>
      </c>
    </row>
    <row r="43" spans="1:6" x14ac:dyDescent="0.35">
      <c r="A43">
        <v>40</v>
      </c>
      <c r="B43" t="s">
        <v>273</v>
      </c>
      <c r="C43" t="s">
        <v>1375</v>
      </c>
      <c r="D43" s="6">
        <v>9626306</v>
      </c>
      <c r="E43" s="6">
        <v>393905.67</v>
      </c>
      <c r="F43" s="6">
        <v>10020211.67</v>
      </c>
    </row>
    <row r="44" spans="1:6" x14ac:dyDescent="0.35">
      <c r="A44">
        <v>41</v>
      </c>
      <c r="B44" t="s">
        <v>274</v>
      </c>
      <c r="C44" t="s">
        <v>1298</v>
      </c>
      <c r="D44" s="6">
        <v>8659958</v>
      </c>
      <c r="E44" s="6">
        <v>340681.59</v>
      </c>
      <c r="F44" s="6">
        <v>9000639.5899999999</v>
      </c>
    </row>
    <row r="45" spans="1:6" x14ac:dyDescent="0.35">
      <c r="A45">
        <v>42</v>
      </c>
      <c r="B45" t="s">
        <v>275</v>
      </c>
      <c r="C45" t="s">
        <v>1376</v>
      </c>
      <c r="D45" s="6">
        <v>13000000</v>
      </c>
      <c r="E45" s="6">
        <v>567489.69999999995</v>
      </c>
      <c r="F45" s="6">
        <v>13567489.699999999</v>
      </c>
    </row>
    <row r="46" spans="1:6" x14ac:dyDescent="0.35">
      <c r="A46">
        <v>43</v>
      </c>
      <c r="B46" t="s">
        <v>276</v>
      </c>
      <c r="C46" t="s">
        <v>1377</v>
      </c>
      <c r="D46" s="6">
        <v>3500000</v>
      </c>
      <c r="E46" s="6">
        <v>251957.84</v>
      </c>
      <c r="F46" s="6">
        <v>3751957.84</v>
      </c>
    </row>
    <row r="47" spans="1:6" x14ac:dyDescent="0.35">
      <c r="A47">
        <v>44</v>
      </c>
      <c r="B47" t="s">
        <v>277</v>
      </c>
      <c r="C47" t="s">
        <v>58</v>
      </c>
      <c r="D47" s="6">
        <v>27330000</v>
      </c>
      <c r="E47" s="6">
        <v>597120.57999999996</v>
      </c>
      <c r="F47" s="6">
        <v>27927120.579999998</v>
      </c>
    </row>
    <row r="48" spans="1:6" x14ac:dyDescent="0.35">
      <c r="A48">
        <v>45</v>
      </c>
      <c r="B48" t="s">
        <v>278</v>
      </c>
      <c r="C48" t="s">
        <v>1378</v>
      </c>
      <c r="D48" s="6">
        <v>3300000</v>
      </c>
      <c r="E48" s="6">
        <v>172462.37</v>
      </c>
      <c r="F48" s="6">
        <v>3472462.37</v>
      </c>
    </row>
    <row r="49" spans="1:6" x14ac:dyDescent="0.35">
      <c r="A49">
        <v>46</v>
      </c>
      <c r="B49" t="s">
        <v>280</v>
      </c>
      <c r="C49" t="s">
        <v>779</v>
      </c>
      <c r="D49" s="6">
        <v>10350000</v>
      </c>
      <c r="E49" s="6">
        <v>278383.99</v>
      </c>
      <c r="F49" s="6">
        <v>10628383.99</v>
      </c>
    </row>
    <row r="50" spans="1:6" x14ac:dyDescent="0.35">
      <c r="A50">
        <v>47</v>
      </c>
      <c r="B50" t="s">
        <v>281</v>
      </c>
      <c r="C50" t="s">
        <v>1379</v>
      </c>
      <c r="D50" s="6">
        <v>3513000</v>
      </c>
      <c r="E50" s="6">
        <v>98057.72</v>
      </c>
      <c r="F50" s="6">
        <v>3611057.72</v>
      </c>
    </row>
    <row r="51" spans="1:6" x14ac:dyDescent="0.35">
      <c r="A51">
        <v>48</v>
      </c>
      <c r="B51" t="s">
        <v>282</v>
      </c>
      <c r="C51" t="s">
        <v>1380</v>
      </c>
      <c r="D51" s="6">
        <v>3340000</v>
      </c>
      <c r="E51" s="6">
        <v>198635.68</v>
      </c>
      <c r="F51" s="6">
        <v>3538635.68</v>
      </c>
    </row>
    <row r="52" spans="1:6" x14ac:dyDescent="0.35">
      <c r="A52">
        <v>49</v>
      </c>
      <c r="B52" t="s">
        <v>283</v>
      </c>
      <c r="C52" t="s">
        <v>1381</v>
      </c>
      <c r="D52" s="6">
        <v>5260522</v>
      </c>
      <c r="E52" s="6">
        <v>348289.17</v>
      </c>
      <c r="F52" s="6">
        <v>5608811.1699999999</v>
      </c>
    </row>
    <row r="53" spans="1:6" x14ac:dyDescent="0.35">
      <c r="A53">
        <v>50</v>
      </c>
      <c r="B53" t="s">
        <v>284</v>
      </c>
      <c r="C53" t="s">
        <v>1382</v>
      </c>
      <c r="D53" s="6">
        <v>14800000</v>
      </c>
      <c r="E53" s="6">
        <v>124107.81</v>
      </c>
      <c r="F53" s="6">
        <v>14924107.810000001</v>
      </c>
    </row>
    <row r="54" spans="1:6" x14ac:dyDescent="0.35">
      <c r="A54">
        <v>51</v>
      </c>
      <c r="B54" t="s">
        <v>285</v>
      </c>
      <c r="C54" t="s">
        <v>1383</v>
      </c>
      <c r="D54" s="6">
        <v>3300000</v>
      </c>
      <c r="E54" s="6">
        <v>74318.880000000005</v>
      </c>
      <c r="F54" s="6">
        <v>3374318.88</v>
      </c>
    </row>
    <row r="55" spans="1:6" x14ac:dyDescent="0.35">
      <c r="A55">
        <v>52</v>
      </c>
      <c r="B55" t="s">
        <v>286</v>
      </c>
      <c r="C55" t="s">
        <v>1384</v>
      </c>
      <c r="D55" s="6">
        <v>4268795</v>
      </c>
      <c r="E55" s="6">
        <v>82434.880000000005</v>
      </c>
      <c r="F55" s="6">
        <v>4351229.88</v>
      </c>
    </row>
    <row r="56" spans="1:6" x14ac:dyDescent="0.35">
      <c r="A56">
        <v>53</v>
      </c>
      <c r="B56" t="s">
        <v>287</v>
      </c>
      <c r="C56" t="s">
        <v>1385</v>
      </c>
      <c r="D56" s="6">
        <v>5320000</v>
      </c>
      <c r="E56" s="6">
        <v>62807.66</v>
      </c>
      <c r="F56" s="6">
        <v>5382807.6600000001</v>
      </c>
    </row>
    <row r="57" spans="1:6" x14ac:dyDescent="0.35">
      <c r="A57">
        <v>54</v>
      </c>
      <c r="B57" t="s">
        <v>288</v>
      </c>
      <c r="C57" t="s">
        <v>289</v>
      </c>
      <c r="D57" s="6">
        <v>3515000</v>
      </c>
      <c r="E57" s="6">
        <v>123996</v>
      </c>
      <c r="F57" s="6">
        <v>3638996</v>
      </c>
    </row>
    <row r="58" spans="1:6" x14ac:dyDescent="0.35">
      <c r="A58">
        <v>55</v>
      </c>
      <c r="B58" t="s">
        <v>290</v>
      </c>
      <c r="C58" t="s">
        <v>1040</v>
      </c>
      <c r="D58" s="6">
        <v>5400000</v>
      </c>
      <c r="E58" s="6">
        <v>51635.08</v>
      </c>
      <c r="F58" s="6">
        <v>5451635.0800000001</v>
      </c>
    </row>
    <row r="59" spans="1:6" x14ac:dyDescent="0.35">
      <c r="A59">
        <v>56</v>
      </c>
      <c r="B59" t="s">
        <v>291</v>
      </c>
      <c r="C59" t="s">
        <v>1287</v>
      </c>
      <c r="D59" s="6">
        <v>3600000</v>
      </c>
      <c r="E59" s="6">
        <v>13243.43</v>
      </c>
      <c r="F59" s="6">
        <v>3613243.43</v>
      </c>
    </row>
    <row r="60" spans="1:6" x14ac:dyDescent="0.35">
      <c r="A60">
        <v>57</v>
      </c>
      <c r="B60" t="s">
        <v>292</v>
      </c>
      <c r="C60" t="s">
        <v>293</v>
      </c>
      <c r="D60" s="6">
        <v>3400000</v>
      </c>
      <c r="E60" s="6">
        <v>128531.45</v>
      </c>
      <c r="F60" s="6">
        <v>3528531.45</v>
      </c>
    </row>
    <row r="61" spans="1:6" x14ac:dyDescent="0.35">
      <c r="A61">
        <v>58</v>
      </c>
      <c r="B61" t="s">
        <v>294</v>
      </c>
      <c r="C61" t="s">
        <v>1295</v>
      </c>
      <c r="D61" s="6">
        <v>72560000</v>
      </c>
      <c r="E61" s="6">
        <v>21189.5</v>
      </c>
      <c r="F61" s="6">
        <v>72581189.5</v>
      </c>
    </row>
    <row r="62" spans="1:6" x14ac:dyDescent="0.35">
      <c r="A62">
        <v>59</v>
      </c>
      <c r="B62" t="s">
        <v>295</v>
      </c>
      <c r="C62" t="s">
        <v>47</v>
      </c>
      <c r="D62" s="6">
        <v>4000000</v>
      </c>
      <c r="E62" s="6">
        <v>80833.63</v>
      </c>
      <c r="F62" s="6">
        <v>4080833.63</v>
      </c>
    </row>
    <row r="63" spans="1:6" x14ac:dyDescent="0.35">
      <c r="A63">
        <v>60</v>
      </c>
      <c r="B63" t="s">
        <v>296</v>
      </c>
      <c r="C63" t="s">
        <v>1034</v>
      </c>
      <c r="D63" s="6">
        <v>6100000</v>
      </c>
      <c r="E63" s="6">
        <v>13243.43</v>
      </c>
      <c r="F63" s="6">
        <v>6113243.4299999997</v>
      </c>
    </row>
    <row r="64" spans="1:6" x14ac:dyDescent="0.35">
      <c r="A64">
        <v>61</v>
      </c>
      <c r="B64" t="s">
        <v>297</v>
      </c>
      <c r="C64" t="s">
        <v>801</v>
      </c>
      <c r="D64" s="6">
        <v>90139435</v>
      </c>
      <c r="E64" s="6">
        <v>1491528.76</v>
      </c>
      <c r="F64" s="6">
        <v>91630963.760000005</v>
      </c>
    </row>
    <row r="65" spans="1:6" x14ac:dyDescent="0.35">
      <c r="A65">
        <v>62</v>
      </c>
      <c r="B65" t="s">
        <v>299</v>
      </c>
      <c r="C65" t="s">
        <v>1386</v>
      </c>
      <c r="D65" s="6">
        <v>5010000</v>
      </c>
      <c r="E65" s="6">
        <v>146463.1</v>
      </c>
      <c r="F65" s="6">
        <v>5156463.0999999996</v>
      </c>
    </row>
    <row r="66" spans="1:6" x14ac:dyDescent="0.35">
      <c r="A66">
        <v>63</v>
      </c>
      <c r="B66" t="s">
        <v>301</v>
      </c>
      <c r="C66" t="s">
        <v>302</v>
      </c>
      <c r="D66" s="6">
        <v>8000000</v>
      </c>
      <c r="E66" s="6">
        <v>200414.19</v>
      </c>
      <c r="F66" s="6">
        <v>8200414.1900000004</v>
      </c>
    </row>
    <row r="67" spans="1:6" x14ac:dyDescent="0.35">
      <c r="A67">
        <v>64</v>
      </c>
      <c r="B67" t="s">
        <v>303</v>
      </c>
      <c r="C67" t="s">
        <v>304</v>
      </c>
      <c r="D67" s="6">
        <v>8000000</v>
      </c>
      <c r="E67" s="6">
        <v>171889.2</v>
      </c>
      <c r="F67" s="6">
        <v>8171889.2000000002</v>
      </c>
    </row>
    <row r="68" spans="1:6" x14ac:dyDescent="0.35">
      <c r="A68">
        <v>65</v>
      </c>
      <c r="B68" t="s">
        <v>305</v>
      </c>
      <c r="C68" t="s">
        <v>306</v>
      </c>
      <c r="D68" s="6">
        <v>19792732</v>
      </c>
      <c r="E68" s="6">
        <v>290411.23</v>
      </c>
      <c r="F68" s="6">
        <v>20083143.23</v>
      </c>
    </row>
    <row r="69" spans="1:6" x14ac:dyDescent="0.35">
      <c r="A69">
        <v>66</v>
      </c>
      <c r="B69" t="s">
        <v>307</v>
      </c>
      <c r="C69" t="s">
        <v>308</v>
      </c>
      <c r="D69" s="6">
        <v>20000000</v>
      </c>
      <c r="E69" s="6">
        <v>314633.94</v>
      </c>
      <c r="F69" s="6">
        <v>20314633.940000001</v>
      </c>
    </row>
    <row r="70" spans="1:6" x14ac:dyDescent="0.35">
      <c r="A70">
        <v>67</v>
      </c>
      <c r="B70" t="s">
        <v>309</v>
      </c>
      <c r="C70" t="s">
        <v>310</v>
      </c>
      <c r="D70" s="6">
        <v>4200000</v>
      </c>
      <c r="E70" s="6">
        <v>120162.97</v>
      </c>
      <c r="F70" s="6">
        <v>4320162.97</v>
      </c>
    </row>
    <row r="71" spans="1:6" x14ac:dyDescent="0.35">
      <c r="A71">
        <v>68</v>
      </c>
      <c r="B71" t="s">
        <v>311</v>
      </c>
      <c r="C71" t="s">
        <v>312</v>
      </c>
      <c r="D71" s="6">
        <v>20907261</v>
      </c>
      <c r="E71" s="6">
        <v>385978.79</v>
      </c>
      <c r="F71" s="6">
        <v>21293239.789999999</v>
      </c>
    </row>
    <row r="72" spans="1:6" x14ac:dyDescent="0.35">
      <c r="A72">
        <v>69</v>
      </c>
      <c r="B72" t="s">
        <v>313</v>
      </c>
      <c r="C72" t="s">
        <v>314</v>
      </c>
      <c r="D72" s="6">
        <v>3700000</v>
      </c>
      <c r="E72" s="6">
        <v>118996.41</v>
      </c>
      <c r="F72" s="6">
        <v>3818996.41</v>
      </c>
    </row>
    <row r="73" spans="1:6" x14ac:dyDescent="0.35">
      <c r="A73">
        <v>70</v>
      </c>
      <c r="B73" t="s">
        <v>315</v>
      </c>
      <c r="C73" t="s">
        <v>1387</v>
      </c>
      <c r="D73" s="6">
        <v>15000000</v>
      </c>
      <c r="E73" s="6">
        <v>262810.59000000003</v>
      </c>
      <c r="F73" s="6">
        <v>15262810.59</v>
      </c>
    </row>
    <row r="74" spans="1:6" x14ac:dyDescent="0.35">
      <c r="A74">
        <v>71</v>
      </c>
      <c r="B74" t="s">
        <v>317</v>
      </c>
      <c r="C74" t="s">
        <v>318</v>
      </c>
      <c r="D74" s="6">
        <v>5900000</v>
      </c>
      <c r="E74" s="6">
        <v>170670.72</v>
      </c>
      <c r="F74" s="6">
        <v>6070670.7199999997</v>
      </c>
    </row>
    <row r="75" spans="1:6" x14ac:dyDescent="0.35">
      <c r="A75">
        <v>72</v>
      </c>
      <c r="B75" t="s">
        <v>319</v>
      </c>
      <c r="C75" t="s">
        <v>1388</v>
      </c>
      <c r="D75" s="6">
        <v>4700000</v>
      </c>
      <c r="E75" s="6">
        <v>122043.49</v>
      </c>
      <c r="F75" s="6">
        <v>4822043.49</v>
      </c>
    </row>
    <row r="76" spans="1:6" x14ac:dyDescent="0.35">
      <c r="A76">
        <v>73</v>
      </c>
      <c r="B76" t="s">
        <v>321</v>
      </c>
      <c r="C76" t="s">
        <v>1389</v>
      </c>
      <c r="D76" s="6">
        <v>3300000</v>
      </c>
      <c r="E76" s="6">
        <v>87799.74</v>
      </c>
      <c r="F76" s="6">
        <v>3387799.74</v>
      </c>
    </row>
    <row r="77" spans="1:6" x14ac:dyDescent="0.35">
      <c r="A77">
        <v>74</v>
      </c>
      <c r="B77" t="s">
        <v>323</v>
      </c>
      <c r="C77" t="s">
        <v>845</v>
      </c>
      <c r="D77" s="6">
        <v>4000000</v>
      </c>
      <c r="E77" s="6">
        <v>102007.44</v>
      </c>
      <c r="F77" s="6">
        <v>4102007.44</v>
      </c>
    </row>
    <row r="78" spans="1:6" x14ac:dyDescent="0.35">
      <c r="A78">
        <v>75</v>
      </c>
      <c r="B78" t="s">
        <v>325</v>
      </c>
      <c r="C78" t="s">
        <v>326</v>
      </c>
      <c r="D78" s="6">
        <v>13200000</v>
      </c>
      <c r="E78" s="6">
        <v>256507.29</v>
      </c>
      <c r="F78" s="6">
        <v>13456507.289999999</v>
      </c>
    </row>
    <row r="79" spans="1:6" x14ac:dyDescent="0.35">
      <c r="A79">
        <v>76</v>
      </c>
      <c r="B79" t="s">
        <v>492</v>
      </c>
      <c r="C79" t="s">
        <v>1390</v>
      </c>
      <c r="D79" s="6">
        <v>5200000</v>
      </c>
      <c r="E79" s="6">
        <v>90148.25</v>
      </c>
      <c r="F79" s="6">
        <v>5290148.25</v>
      </c>
    </row>
    <row r="80" spans="1:6" x14ac:dyDescent="0.35">
      <c r="A80">
        <v>77</v>
      </c>
      <c r="B80" t="s">
        <v>494</v>
      </c>
      <c r="C80" t="s">
        <v>327</v>
      </c>
      <c r="D80" s="6">
        <v>11000000</v>
      </c>
      <c r="E80" s="6">
        <v>142944.28</v>
      </c>
      <c r="F80" s="6">
        <v>11142944.279999999</v>
      </c>
    </row>
    <row r="81" spans="1:6" x14ac:dyDescent="0.35">
      <c r="A81">
        <v>78</v>
      </c>
      <c r="B81" t="s">
        <v>507</v>
      </c>
      <c r="C81" t="s">
        <v>842</v>
      </c>
      <c r="D81" s="6">
        <v>5300000</v>
      </c>
      <c r="E81" s="6">
        <v>98370</v>
      </c>
      <c r="F81" s="6">
        <v>5398370</v>
      </c>
    </row>
    <row r="82" spans="1:6" x14ac:dyDescent="0.35">
      <c r="A82">
        <v>79</v>
      </c>
      <c r="B82" t="s">
        <v>511</v>
      </c>
      <c r="C82" t="s">
        <v>512</v>
      </c>
      <c r="D82" s="6">
        <v>12200000</v>
      </c>
      <c r="E82" s="6">
        <v>283686.96000000002</v>
      </c>
      <c r="F82" s="6">
        <v>12483686.960000001</v>
      </c>
    </row>
    <row r="83" spans="1:6" x14ac:dyDescent="0.35">
      <c r="A83">
        <v>80</v>
      </c>
      <c r="B83" t="s">
        <v>545</v>
      </c>
      <c r="C83" t="s">
        <v>1391</v>
      </c>
      <c r="D83" s="6">
        <v>5300000</v>
      </c>
      <c r="E83" s="6">
        <v>64058.31</v>
      </c>
      <c r="F83" s="6">
        <v>5364058.3099999996</v>
      </c>
    </row>
    <row r="84" spans="1:6" x14ac:dyDescent="0.35">
      <c r="A84">
        <v>81</v>
      </c>
      <c r="B84" t="s">
        <v>566</v>
      </c>
      <c r="C84" t="s">
        <v>601</v>
      </c>
      <c r="D84" s="6">
        <v>11350000</v>
      </c>
      <c r="E84" s="6">
        <v>154977.51</v>
      </c>
      <c r="F84" s="6">
        <v>11504977.51</v>
      </c>
    </row>
    <row r="85" spans="1:6" x14ac:dyDescent="0.35">
      <c r="A85">
        <v>82</v>
      </c>
      <c r="B85" t="s">
        <v>602</v>
      </c>
      <c r="C85" t="s">
        <v>1392</v>
      </c>
      <c r="D85" s="6">
        <v>8000000</v>
      </c>
      <c r="E85" s="6">
        <v>101355.79</v>
      </c>
      <c r="F85" s="6">
        <v>8101355.79</v>
      </c>
    </row>
    <row r="86" spans="1:6" x14ac:dyDescent="0.35">
      <c r="A86">
        <v>83</v>
      </c>
      <c r="B86" t="s">
        <v>607</v>
      </c>
      <c r="C86" t="s">
        <v>608</v>
      </c>
      <c r="D86" s="6">
        <v>30971032</v>
      </c>
      <c r="E86" s="6">
        <v>378967.87</v>
      </c>
      <c r="F86" s="6">
        <v>31349999.870000001</v>
      </c>
    </row>
    <row r="87" spans="1:6" x14ac:dyDescent="0.35">
      <c r="A87">
        <v>84</v>
      </c>
      <c r="B87" t="s">
        <v>609</v>
      </c>
      <c r="C87" t="s">
        <v>610</v>
      </c>
      <c r="D87" s="6">
        <v>3400000</v>
      </c>
      <c r="E87" s="6">
        <v>51842.03</v>
      </c>
      <c r="F87" s="6">
        <v>3451842.03</v>
      </c>
    </row>
    <row r="88" spans="1:6" x14ac:dyDescent="0.35">
      <c r="A88">
        <v>85</v>
      </c>
      <c r="B88" t="s">
        <v>611</v>
      </c>
      <c r="C88" t="s">
        <v>1393</v>
      </c>
      <c r="D88" s="6">
        <v>3300000</v>
      </c>
      <c r="E88" s="6">
        <v>43117.41</v>
      </c>
      <c r="F88" s="6">
        <v>3343117.41</v>
      </c>
    </row>
    <row r="89" spans="1:6" x14ac:dyDescent="0.35">
      <c r="A89">
        <v>86</v>
      </c>
      <c r="B89" t="s">
        <v>620</v>
      </c>
      <c r="C89" t="s">
        <v>622</v>
      </c>
      <c r="D89" s="6">
        <v>4500000</v>
      </c>
      <c r="E89" s="6">
        <v>73798.820000000007</v>
      </c>
      <c r="F89" s="6">
        <v>4573798.82</v>
      </c>
    </row>
    <row r="90" spans="1:6" x14ac:dyDescent="0.35">
      <c r="A90">
        <v>87</v>
      </c>
      <c r="B90" t="s">
        <v>621</v>
      </c>
      <c r="C90" t="s">
        <v>623</v>
      </c>
      <c r="D90" s="6">
        <v>4200000</v>
      </c>
      <c r="E90" s="6">
        <v>79107.039999999994</v>
      </c>
      <c r="F90" s="6">
        <v>4279107.04</v>
      </c>
    </row>
    <row r="91" spans="1:6" x14ac:dyDescent="0.35">
      <c r="A91">
        <v>88</v>
      </c>
      <c r="B91" t="s">
        <v>628</v>
      </c>
      <c r="C91" t="s">
        <v>629</v>
      </c>
      <c r="D91" s="6">
        <v>20700000</v>
      </c>
      <c r="E91" s="6">
        <v>278626.46000000002</v>
      </c>
      <c r="F91" s="6">
        <v>20978626.460000001</v>
      </c>
    </row>
    <row r="92" spans="1:6" x14ac:dyDescent="0.35">
      <c r="A92">
        <v>89</v>
      </c>
      <c r="B92" t="s">
        <v>630</v>
      </c>
      <c r="C92" t="s">
        <v>631</v>
      </c>
      <c r="D92" s="6">
        <v>10000000</v>
      </c>
      <c r="E92" s="6">
        <v>105426.87</v>
      </c>
      <c r="F92" s="6">
        <v>10105426.869999999</v>
      </c>
    </row>
    <row r="93" spans="1:6" x14ac:dyDescent="0.35">
      <c r="A93">
        <v>90</v>
      </c>
      <c r="B93" t="s">
        <v>661</v>
      </c>
      <c r="C93" t="s">
        <v>660</v>
      </c>
      <c r="D93" s="6">
        <v>5300000</v>
      </c>
      <c r="E93" s="6">
        <v>69581.73</v>
      </c>
      <c r="F93" s="6">
        <v>5369581.7300000004</v>
      </c>
    </row>
    <row r="94" spans="1:6" x14ac:dyDescent="0.35">
      <c r="A94">
        <v>91</v>
      </c>
      <c r="B94" t="s">
        <v>662</v>
      </c>
      <c r="C94" t="s">
        <v>1394</v>
      </c>
      <c r="D94" s="6">
        <v>4400000</v>
      </c>
      <c r="E94" s="6">
        <v>82451.19</v>
      </c>
      <c r="F94" s="6">
        <v>4482451.1900000004</v>
      </c>
    </row>
    <row r="95" spans="1:6" x14ac:dyDescent="0.35">
      <c r="A95">
        <v>92</v>
      </c>
      <c r="B95" t="s">
        <v>699</v>
      </c>
      <c r="C95" t="s">
        <v>1395</v>
      </c>
      <c r="D95" s="6">
        <v>7500000</v>
      </c>
      <c r="E95" s="6">
        <v>87253.72</v>
      </c>
      <c r="F95" s="6">
        <v>7587253.7199999997</v>
      </c>
    </row>
    <row r="96" spans="1:6" x14ac:dyDescent="0.35">
      <c r="A96">
        <v>93</v>
      </c>
      <c r="B96" t="s">
        <v>710</v>
      </c>
      <c r="C96" t="s">
        <v>743</v>
      </c>
      <c r="D96" s="6">
        <v>4000000</v>
      </c>
      <c r="E96" s="6">
        <v>39555.03</v>
      </c>
      <c r="F96" s="6">
        <v>4039555.03</v>
      </c>
    </row>
    <row r="97" spans="1:6" x14ac:dyDescent="0.35">
      <c r="A97">
        <v>94</v>
      </c>
      <c r="B97" t="s">
        <v>714</v>
      </c>
      <c r="C97" t="s">
        <v>715</v>
      </c>
      <c r="D97" s="6">
        <v>4500000</v>
      </c>
      <c r="E97" s="6">
        <v>52352.24</v>
      </c>
      <c r="F97" s="6">
        <v>4552352.24</v>
      </c>
    </row>
    <row r="98" spans="1:6" x14ac:dyDescent="0.35">
      <c r="A98">
        <v>95</v>
      </c>
      <c r="B98" t="s">
        <v>716</v>
      </c>
      <c r="C98" t="s">
        <v>918</v>
      </c>
      <c r="D98" s="6">
        <v>3500000</v>
      </c>
      <c r="E98" s="6">
        <v>39555.03</v>
      </c>
      <c r="F98" s="6">
        <v>3539555.03</v>
      </c>
    </row>
    <row r="99" spans="1:6" x14ac:dyDescent="0.35">
      <c r="A99">
        <v>96</v>
      </c>
      <c r="B99" t="s">
        <v>717</v>
      </c>
      <c r="C99" t="s">
        <v>718</v>
      </c>
      <c r="D99" s="6">
        <v>8300000</v>
      </c>
      <c r="E99" s="6">
        <v>38391.64</v>
      </c>
      <c r="F99" s="6">
        <v>8338391.6399999997</v>
      </c>
    </row>
    <row r="100" spans="1:6" x14ac:dyDescent="0.35">
      <c r="A100">
        <v>97</v>
      </c>
      <c r="B100" t="s">
        <v>719</v>
      </c>
      <c r="C100" t="s">
        <v>720</v>
      </c>
      <c r="D100" s="6">
        <v>6800000</v>
      </c>
      <c r="E100" s="6">
        <v>38391.64</v>
      </c>
      <c r="F100" s="6">
        <v>6838391.6399999997</v>
      </c>
    </row>
    <row r="101" spans="1:6" x14ac:dyDescent="0.35">
      <c r="A101">
        <v>98</v>
      </c>
      <c r="B101" t="s">
        <v>721</v>
      </c>
      <c r="C101" t="s">
        <v>840</v>
      </c>
      <c r="D101" s="6">
        <v>4200000</v>
      </c>
      <c r="E101" s="6">
        <v>41300.1</v>
      </c>
      <c r="F101" s="6">
        <v>4241300.0999999996</v>
      </c>
    </row>
    <row r="102" spans="1:6" x14ac:dyDescent="0.35">
      <c r="A102">
        <v>99</v>
      </c>
      <c r="B102" t="s">
        <v>723</v>
      </c>
      <c r="C102" t="s">
        <v>729</v>
      </c>
      <c r="D102" s="6">
        <v>3700000</v>
      </c>
      <c r="E102" s="6">
        <v>40718.410000000003</v>
      </c>
      <c r="F102" s="6">
        <v>3740718.41</v>
      </c>
    </row>
    <row r="103" spans="1:6" x14ac:dyDescent="0.35">
      <c r="A103">
        <v>100</v>
      </c>
      <c r="B103" t="s">
        <v>725</v>
      </c>
      <c r="C103" t="s">
        <v>728</v>
      </c>
      <c r="D103" s="6">
        <v>13000000</v>
      </c>
      <c r="E103" s="6">
        <v>151239.79</v>
      </c>
      <c r="F103" s="6">
        <v>13151239.789999999</v>
      </c>
    </row>
    <row r="104" spans="1:6" x14ac:dyDescent="0.35">
      <c r="A104">
        <v>101</v>
      </c>
      <c r="B104" t="s">
        <v>727</v>
      </c>
      <c r="C104" t="s">
        <v>730</v>
      </c>
      <c r="D104" s="6">
        <v>10000000</v>
      </c>
      <c r="E104" s="6">
        <v>58169.15</v>
      </c>
      <c r="F104" s="6">
        <v>10058169.15</v>
      </c>
    </row>
    <row r="105" spans="1:6" x14ac:dyDescent="0.35">
      <c r="A105">
        <v>102</v>
      </c>
      <c r="B105" t="s">
        <v>739</v>
      </c>
      <c r="C105" t="s">
        <v>740</v>
      </c>
      <c r="D105" s="6">
        <v>6000000</v>
      </c>
      <c r="E105" s="6">
        <v>46535.32</v>
      </c>
      <c r="F105" s="6">
        <v>6046535.3200000003</v>
      </c>
    </row>
    <row r="106" spans="1:6" x14ac:dyDescent="0.35">
      <c r="A106">
        <v>103</v>
      </c>
      <c r="B106" t="s">
        <v>749</v>
      </c>
      <c r="C106" t="s">
        <v>751</v>
      </c>
      <c r="D106" s="6">
        <v>3300000</v>
      </c>
      <c r="E106" s="6">
        <v>38391.64</v>
      </c>
      <c r="F106" s="6">
        <v>3338391.64</v>
      </c>
    </row>
    <row r="107" spans="1:6" x14ac:dyDescent="0.35">
      <c r="A107">
        <v>104</v>
      </c>
      <c r="B107" t="s">
        <v>757</v>
      </c>
      <c r="C107" t="s">
        <v>758</v>
      </c>
      <c r="D107" s="6">
        <v>4900000</v>
      </c>
      <c r="E107" s="6">
        <v>38391.64</v>
      </c>
      <c r="F107" s="6">
        <v>4938391.6399999997</v>
      </c>
    </row>
    <row r="108" spans="1:6" x14ac:dyDescent="0.35">
      <c r="A108">
        <v>105</v>
      </c>
      <c r="B108" t="s">
        <v>762</v>
      </c>
      <c r="C108" t="s">
        <v>1396</v>
      </c>
      <c r="D108" s="6">
        <v>13800000</v>
      </c>
      <c r="E108" s="6">
        <v>38391.64</v>
      </c>
      <c r="F108" s="6">
        <v>13838391.640000001</v>
      </c>
    </row>
    <row r="109" spans="1:6" x14ac:dyDescent="0.35">
      <c r="A109">
        <v>106</v>
      </c>
      <c r="B109" t="s">
        <v>769</v>
      </c>
      <c r="C109" t="s">
        <v>771</v>
      </c>
      <c r="D109" s="6">
        <v>6000000</v>
      </c>
      <c r="E109" s="6">
        <v>50025.47</v>
      </c>
      <c r="F109" s="6">
        <v>6050025.4699999997</v>
      </c>
    </row>
    <row r="110" spans="1:6" x14ac:dyDescent="0.35">
      <c r="A110">
        <v>107</v>
      </c>
      <c r="B110" t="s">
        <v>772</v>
      </c>
      <c r="C110" t="s">
        <v>773</v>
      </c>
      <c r="D110" s="6">
        <v>9000000</v>
      </c>
      <c r="E110" s="6">
        <v>40718.410000000003</v>
      </c>
      <c r="F110" s="6">
        <v>9040718.4100000001</v>
      </c>
    </row>
    <row r="111" spans="1:6" x14ac:dyDescent="0.35">
      <c r="A111">
        <v>108</v>
      </c>
      <c r="B111" t="s">
        <v>776</v>
      </c>
      <c r="C111" t="s">
        <v>777</v>
      </c>
      <c r="D111" s="6">
        <v>3300000</v>
      </c>
      <c r="E111" s="6">
        <v>38391.64</v>
      </c>
      <c r="F111" s="6">
        <v>3338391.64</v>
      </c>
    </row>
    <row r="112" spans="1:6" x14ac:dyDescent="0.35">
      <c r="A112">
        <v>109</v>
      </c>
      <c r="B112" t="s">
        <v>783</v>
      </c>
      <c r="C112" t="s">
        <v>1397</v>
      </c>
      <c r="D112" s="6">
        <v>10040075</v>
      </c>
      <c r="E112" s="6">
        <v>50025.47</v>
      </c>
      <c r="F112" s="6">
        <v>10090100.470000001</v>
      </c>
    </row>
    <row r="113" spans="1:6" x14ac:dyDescent="0.35">
      <c r="A113">
        <v>110</v>
      </c>
      <c r="B113" t="s">
        <v>850</v>
      </c>
      <c r="C113" t="s">
        <v>986</v>
      </c>
      <c r="D113" s="6">
        <v>4300000</v>
      </c>
      <c r="E113" s="6">
        <v>50025.47</v>
      </c>
      <c r="F113" s="6">
        <v>4350025.47</v>
      </c>
    </row>
    <row r="114" spans="1:6" x14ac:dyDescent="0.35">
      <c r="A114">
        <v>111</v>
      </c>
      <c r="B114" t="s">
        <v>868</v>
      </c>
      <c r="C114" t="s">
        <v>870</v>
      </c>
      <c r="D114" s="6">
        <v>3600000</v>
      </c>
      <c r="E114" s="6">
        <v>41881.79</v>
      </c>
      <c r="F114" s="6">
        <v>3641881.79</v>
      </c>
    </row>
    <row r="115" spans="1:6" x14ac:dyDescent="0.35">
      <c r="A115">
        <v>112</v>
      </c>
      <c r="B115" t="s">
        <v>872</v>
      </c>
      <c r="C115" t="s">
        <v>871</v>
      </c>
      <c r="D115" s="6">
        <v>8300000</v>
      </c>
      <c r="E115" s="6">
        <v>38391.64</v>
      </c>
      <c r="F115" s="6">
        <v>8338391.6399999997</v>
      </c>
    </row>
    <row r="116" spans="1:6" x14ac:dyDescent="0.35">
      <c r="A116">
        <v>113</v>
      </c>
      <c r="B116" t="s">
        <v>879</v>
      </c>
      <c r="C116" t="s">
        <v>1398</v>
      </c>
      <c r="D116" s="6">
        <v>3600000</v>
      </c>
      <c r="E116" s="6">
        <v>38391.64</v>
      </c>
      <c r="F116" s="6">
        <v>3638391.64</v>
      </c>
    </row>
    <row r="117" spans="1:6" x14ac:dyDescent="0.35">
      <c r="A117">
        <v>114</v>
      </c>
      <c r="B117" t="s">
        <v>881</v>
      </c>
      <c r="C117" t="s">
        <v>880</v>
      </c>
      <c r="D117" s="6">
        <v>3300000</v>
      </c>
      <c r="E117" s="6">
        <v>38391.64</v>
      </c>
      <c r="F117" s="6">
        <v>3338391.64</v>
      </c>
    </row>
    <row r="118" spans="1:6" x14ac:dyDescent="0.35">
      <c r="A118">
        <v>115</v>
      </c>
      <c r="B118" t="s">
        <v>882</v>
      </c>
      <c r="C118" t="s">
        <v>884</v>
      </c>
      <c r="D118" s="6">
        <v>6300000</v>
      </c>
      <c r="E118" s="6">
        <v>38391.64</v>
      </c>
      <c r="F118" s="6">
        <v>6338391.6399999997</v>
      </c>
    </row>
    <row r="119" spans="1:6" x14ac:dyDescent="0.35">
      <c r="A119">
        <v>116</v>
      </c>
      <c r="B119" t="s">
        <v>883</v>
      </c>
      <c r="C119" t="s">
        <v>885</v>
      </c>
      <c r="D119" s="6">
        <v>3900000</v>
      </c>
      <c r="E119" s="6">
        <v>38391.64</v>
      </c>
      <c r="F119" s="6">
        <v>3938391.64</v>
      </c>
    </row>
    <row r="120" spans="1:6" x14ac:dyDescent="0.35">
      <c r="A120">
        <v>117</v>
      </c>
      <c r="B120" t="s">
        <v>901</v>
      </c>
      <c r="C120" t="s">
        <v>1399</v>
      </c>
      <c r="D120" s="6">
        <v>10000000</v>
      </c>
      <c r="E120" s="6">
        <v>58169.15</v>
      </c>
      <c r="F120" s="6">
        <v>10058169.15</v>
      </c>
    </row>
    <row r="121" spans="1:6" x14ac:dyDescent="0.35">
      <c r="A121">
        <v>118</v>
      </c>
      <c r="B121" t="s">
        <v>910</v>
      </c>
      <c r="C121" t="s">
        <v>911</v>
      </c>
      <c r="D121" s="6">
        <v>5000000</v>
      </c>
      <c r="E121" s="6">
        <v>58169.15</v>
      </c>
      <c r="F121" s="6">
        <v>5058169.1500000004</v>
      </c>
    </row>
    <row r="122" spans="1:6" x14ac:dyDescent="0.35">
      <c r="A122">
        <v>119</v>
      </c>
      <c r="B122" t="s">
        <v>912</v>
      </c>
      <c r="C122" t="s">
        <v>914</v>
      </c>
      <c r="D122" s="6">
        <v>20000000</v>
      </c>
      <c r="E122" s="6">
        <v>116338.31</v>
      </c>
      <c r="F122" s="6">
        <v>20116338.309999999</v>
      </c>
    </row>
    <row r="123" spans="1:6" x14ac:dyDescent="0.35">
      <c r="A123">
        <v>120</v>
      </c>
      <c r="B123" t="s">
        <v>913</v>
      </c>
      <c r="C123" t="s">
        <v>1400</v>
      </c>
      <c r="D123" s="6">
        <v>3602000</v>
      </c>
      <c r="E123" s="6">
        <v>41881.79</v>
      </c>
      <c r="F123" s="6">
        <v>3643881.79</v>
      </c>
    </row>
    <row r="124" spans="1:6" x14ac:dyDescent="0.35">
      <c r="A124">
        <v>121</v>
      </c>
      <c r="B124" t="s">
        <v>916</v>
      </c>
      <c r="C124" t="s">
        <v>917</v>
      </c>
      <c r="D124" s="6">
        <v>13300000</v>
      </c>
      <c r="E124" s="6">
        <v>81436.81</v>
      </c>
      <c r="F124" s="6">
        <v>13381436.810000001</v>
      </c>
    </row>
    <row r="125" spans="1:6" x14ac:dyDescent="0.35">
      <c r="A125">
        <v>122</v>
      </c>
      <c r="B125" t="s">
        <v>920</v>
      </c>
      <c r="C125" t="s">
        <v>922</v>
      </c>
      <c r="D125" s="6">
        <v>5400000</v>
      </c>
      <c r="E125" s="6">
        <v>39555.03</v>
      </c>
      <c r="F125" s="6">
        <v>5439555.0300000003</v>
      </c>
    </row>
    <row r="126" spans="1:6" x14ac:dyDescent="0.35">
      <c r="A126">
        <v>123</v>
      </c>
      <c r="B126" t="s">
        <v>923</v>
      </c>
      <c r="C126" t="s">
        <v>924</v>
      </c>
      <c r="D126" s="6">
        <v>3800000</v>
      </c>
      <c r="E126" s="6">
        <v>38391.64</v>
      </c>
      <c r="F126" s="6">
        <v>3838391.64</v>
      </c>
    </row>
    <row r="127" spans="1:6" x14ac:dyDescent="0.35">
      <c r="A127">
        <v>124</v>
      </c>
      <c r="B127" t="s">
        <v>926</v>
      </c>
      <c r="C127" t="s">
        <v>929</v>
      </c>
      <c r="D127" s="6">
        <v>3400000</v>
      </c>
      <c r="E127" s="6">
        <v>39555.03</v>
      </c>
      <c r="F127" s="6">
        <v>3439555.03</v>
      </c>
    </row>
    <row r="128" spans="1:6" x14ac:dyDescent="0.35">
      <c r="A128">
        <v>125</v>
      </c>
      <c r="B128" t="s">
        <v>927</v>
      </c>
      <c r="C128" t="s">
        <v>928</v>
      </c>
      <c r="D128" s="6">
        <v>3400000</v>
      </c>
      <c r="E128" s="6">
        <v>37228.26</v>
      </c>
      <c r="F128" s="6">
        <v>3437228.26</v>
      </c>
    </row>
    <row r="129" spans="1:6" x14ac:dyDescent="0.35">
      <c r="A129">
        <v>126</v>
      </c>
      <c r="B129" t="s">
        <v>930</v>
      </c>
      <c r="C129" t="s">
        <v>1401</v>
      </c>
      <c r="D129" s="6">
        <v>15000000</v>
      </c>
      <c r="E129" s="6">
        <v>58169.15</v>
      </c>
      <c r="F129" s="6">
        <v>15058169.15</v>
      </c>
    </row>
    <row r="130" spans="1:6" x14ac:dyDescent="0.35">
      <c r="A130">
        <v>127</v>
      </c>
      <c r="B130" t="s">
        <v>933</v>
      </c>
      <c r="C130" t="s">
        <v>934</v>
      </c>
      <c r="D130" s="6">
        <v>5502295</v>
      </c>
      <c r="E130" s="6">
        <v>40745.1</v>
      </c>
      <c r="F130" s="6">
        <v>5543040.0999999996</v>
      </c>
    </row>
    <row r="131" spans="1:6" x14ac:dyDescent="0.35">
      <c r="A131">
        <v>128</v>
      </c>
      <c r="B131" t="s">
        <v>935</v>
      </c>
      <c r="C131" t="s">
        <v>936</v>
      </c>
      <c r="D131" s="6">
        <v>3400000</v>
      </c>
      <c r="E131" s="6">
        <v>39555.03</v>
      </c>
      <c r="F131" s="6">
        <v>3439555.03</v>
      </c>
    </row>
    <row r="132" spans="1:6" x14ac:dyDescent="0.35">
      <c r="A132">
        <v>129</v>
      </c>
      <c r="B132" t="s">
        <v>949</v>
      </c>
      <c r="C132" t="s">
        <v>948</v>
      </c>
      <c r="D132" s="6">
        <v>3500000</v>
      </c>
      <c r="E132" s="6">
        <v>40718.410000000003</v>
      </c>
      <c r="F132" s="6">
        <v>3540718.41</v>
      </c>
    </row>
    <row r="133" spans="1:6" x14ac:dyDescent="0.35">
      <c r="A133">
        <v>130</v>
      </c>
      <c r="B133" t="s">
        <v>950</v>
      </c>
      <c r="C133" t="s">
        <v>985</v>
      </c>
      <c r="D133" s="6">
        <v>5300000</v>
      </c>
      <c r="E133" s="6">
        <v>38391.64</v>
      </c>
      <c r="F133" s="6">
        <v>5338391.6399999997</v>
      </c>
    </row>
    <row r="134" spans="1:6" x14ac:dyDescent="0.35">
      <c r="A134">
        <v>131</v>
      </c>
      <c r="B134" t="s">
        <v>952</v>
      </c>
      <c r="C134" t="s">
        <v>951</v>
      </c>
      <c r="D134" s="6">
        <v>3300000</v>
      </c>
      <c r="E134" s="6">
        <v>38391.64</v>
      </c>
      <c r="F134" s="6">
        <v>3338391.64</v>
      </c>
    </row>
    <row r="135" spans="1:6" x14ac:dyDescent="0.35">
      <c r="A135">
        <v>132</v>
      </c>
      <c r="B135" t="s">
        <v>953</v>
      </c>
      <c r="C135" t="s">
        <v>1402</v>
      </c>
      <c r="D135" s="6">
        <v>4500000</v>
      </c>
      <c r="E135" s="6">
        <v>38391.64</v>
      </c>
      <c r="F135" s="6">
        <v>4538391.6399999997</v>
      </c>
    </row>
    <row r="136" spans="1:6" x14ac:dyDescent="0.35">
      <c r="A136">
        <v>133</v>
      </c>
      <c r="B136" t="s">
        <v>954</v>
      </c>
      <c r="C136" t="s">
        <v>956</v>
      </c>
      <c r="D136" s="6">
        <v>4500000</v>
      </c>
      <c r="E136" s="6">
        <v>40718.410000000003</v>
      </c>
      <c r="F136" s="6">
        <v>4540718.41</v>
      </c>
    </row>
    <row r="137" spans="1:6" x14ac:dyDescent="0.35">
      <c r="A137">
        <v>134</v>
      </c>
      <c r="B137" t="s">
        <v>955</v>
      </c>
      <c r="C137" t="s">
        <v>957</v>
      </c>
      <c r="D137" s="6">
        <v>3600000</v>
      </c>
      <c r="E137" s="6">
        <v>41881.79</v>
      </c>
      <c r="F137" s="6">
        <v>3641881.79</v>
      </c>
    </row>
    <row r="138" spans="1:6" x14ac:dyDescent="0.35">
      <c r="A138">
        <v>135</v>
      </c>
      <c r="B138" t="s">
        <v>964</v>
      </c>
      <c r="C138" t="s">
        <v>968</v>
      </c>
      <c r="D138" s="6">
        <v>4300000</v>
      </c>
      <c r="E138" s="6">
        <v>38391.64</v>
      </c>
      <c r="F138" s="6">
        <v>4338391.6399999997</v>
      </c>
    </row>
    <row r="139" spans="1:6" x14ac:dyDescent="0.35">
      <c r="A139">
        <v>136</v>
      </c>
      <c r="B139" t="s">
        <v>965</v>
      </c>
      <c r="C139" t="s">
        <v>1013</v>
      </c>
      <c r="D139" s="6">
        <v>3300000</v>
      </c>
      <c r="E139" s="6">
        <v>38391.64</v>
      </c>
      <c r="F139" s="6">
        <v>3338391.64</v>
      </c>
    </row>
    <row r="140" spans="1:6" x14ac:dyDescent="0.35">
      <c r="A140">
        <v>137</v>
      </c>
      <c r="B140" t="s">
        <v>966</v>
      </c>
      <c r="C140" t="s">
        <v>1403</v>
      </c>
      <c r="D140" s="6">
        <v>4000000</v>
      </c>
      <c r="E140" s="6">
        <v>38391.64</v>
      </c>
      <c r="F140" s="6">
        <v>4038391.64</v>
      </c>
    </row>
    <row r="141" spans="1:6" x14ac:dyDescent="0.35">
      <c r="A141">
        <v>138</v>
      </c>
      <c r="B141" t="s">
        <v>967</v>
      </c>
      <c r="C141" t="s">
        <v>1404</v>
      </c>
      <c r="D141" s="6">
        <v>3500000</v>
      </c>
      <c r="E141" s="6">
        <v>40718.410000000003</v>
      </c>
      <c r="F141" s="6">
        <v>3540718.41</v>
      </c>
    </row>
    <row r="142" spans="1:6" x14ac:dyDescent="0.35">
      <c r="A142">
        <v>139</v>
      </c>
      <c r="B142" t="s">
        <v>972</v>
      </c>
      <c r="C142" t="s">
        <v>1405</v>
      </c>
      <c r="D142" s="6">
        <v>3800000</v>
      </c>
      <c r="E142" s="6">
        <v>38391.64</v>
      </c>
      <c r="F142" s="6">
        <v>3838391.64</v>
      </c>
    </row>
    <row r="143" spans="1:6" x14ac:dyDescent="0.35">
      <c r="A143">
        <v>140</v>
      </c>
      <c r="B143" t="s">
        <v>973</v>
      </c>
      <c r="C143" t="s">
        <v>983</v>
      </c>
      <c r="D143" s="6">
        <v>10150000</v>
      </c>
      <c r="E143" s="6">
        <v>38391.64</v>
      </c>
      <c r="F143" s="6">
        <v>10188391.640000001</v>
      </c>
    </row>
    <row r="144" spans="1:6" x14ac:dyDescent="0.35">
      <c r="A144">
        <v>141</v>
      </c>
      <c r="B144" t="s">
        <v>977</v>
      </c>
      <c r="C144" t="s">
        <v>1087</v>
      </c>
      <c r="D144" s="6">
        <v>5300000</v>
      </c>
      <c r="E144" s="6">
        <v>38391.64</v>
      </c>
      <c r="F144" s="6">
        <v>5338391.6399999997</v>
      </c>
    </row>
    <row r="145" spans="1:6" x14ac:dyDescent="0.35">
      <c r="A145">
        <v>142</v>
      </c>
      <c r="B145" t="s">
        <v>978</v>
      </c>
      <c r="C145" t="s">
        <v>989</v>
      </c>
      <c r="D145" s="6">
        <v>3800000</v>
      </c>
      <c r="E145" s="6">
        <v>38391.64</v>
      </c>
      <c r="F145" s="6">
        <v>3838391.64</v>
      </c>
    </row>
    <row r="146" spans="1:6" x14ac:dyDescent="0.35">
      <c r="A146">
        <v>143</v>
      </c>
      <c r="B146" t="s">
        <v>979</v>
      </c>
      <c r="C146" t="s">
        <v>1406</v>
      </c>
      <c r="D146" s="6">
        <v>5000000</v>
      </c>
      <c r="E146" s="6">
        <v>38391.64</v>
      </c>
      <c r="F146" s="6">
        <v>5038391.6399999997</v>
      </c>
    </row>
    <row r="147" spans="1:6" x14ac:dyDescent="0.35">
      <c r="A147">
        <v>144</v>
      </c>
      <c r="B147" t="s">
        <v>995</v>
      </c>
      <c r="C147" t="s">
        <v>1407</v>
      </c>
      <c r="D147" s="6">
        <v>3600000</v>
      </c>
      <c r="E147" s="6">
        <v>0</v>
      </c>
      <c r="F147" s="6">
        <v>3600000</v>
      </c>
    </row>
    <row r="148" spans="1:6" x14ac:dyDescent="0.35">
      <c r="A148">
        <v>145</v>
      </c>
      <c r="B148" t="s">
        <v>1004</v>
      </c>
      <c r="C148" t="s">
        <v>1005</v>
      </c>
      <c r="D148" s="6">
        <v>3400000</v>
      </c>
      <c r="E148" s="6">
        <v>0</v>
      </c>
      <c r="F148" s="6">
        <v>3400000</v>
      </c>
    </row>
    <row r="149" spans="1:6" x14ac:dyDescent="0.35">
      <c r="A149">
        <v>146</v>
      </c>
      <c r="B149" t="s">
        <v>1006</v>
      </c>
      <c r="C149" t="s">
        <v>1007</v>
      </c>
      <c r="D149" s="6">
        <v>11700000</v>
      </c>
      <c r="E149" s="6">
        <v>0</v>
      </c>
      <c r="F149" s="6">
        <v>11700000</v>
      </c>
    </row>
    <row r="150" spans="1:6" x14ac:dyDescent="0.35">
      <c r="A150">
        <v>147</v>
      </c>
      <c r="B150" t="s">
        <v>1019</v>
      </c>
      <c r="C150" t="s">
        <v>1408</v>
      </c>
      <c r="D150" s="6">
        <v>3521500</v>
      </c>
      <c r="E150" s="6">
        <v>0</v>
      </c>
      <c r="F150" s="6">
        <v>3521500</v>
      </c>
    </row>
    <row r="151" spans="1:6" x14ac:dyDescent="0.35">
      <c r="A151">
        <v>148</v>
      </c>
      <c r="B151" t="s">
        <v>1312</v>
      </c>
      <c r="C151" t="s">
        <v>1409</v>
      </c>
      <c r="D151" s="6">
        <v>6000000</v>
      </c>
      <c r="E151" s="6">
        <v>0</v>
      </c>
      <c r="F151" s="6">
        <v>6000000</v>
      </c>
    </row>
    <row r="152" spans="1:6" x14ac:dyDescent="0.35">
      <c r="A152">
        <v>149</v>
      </c>
      <c r="B152" t="s">
        <v>1314</v>
      </c>
      <c r="C152" t="s">
        <v>1410</v>
      </c>
      <c r="D152" s="6">
        <v>3500000</v>
      </c>
      <c r="E152" s="6">
        <v>0</v>
      </c>
      <c r="F152" s="6">
        <v>3500000</v>
      </c>
    </row>
    <row r="153" spans="1:6" x14ac:dyDescent="0.35">
      <c r="A153">
        <v>150</v>
      </c>
      <c r="B153" t="s">
        <v>1349</v>
      </c>
      <c r="C153" t="s">
        <v>1411</v>
      </c>
      <c r="D153" s="6">
        <v>5000000</v>
      </c>
      <c r="E153" s="6">
        <v>0</v>
      </c>
      <c r="F153" s="6">
        <v>5000000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60EC3-7337-41E1-A76D-6EF1F536291D}">
  <sheetPr>
    <tabColor rgb="FFFFC000"/>
  </sheetPr>
  <dimension ref="A2:K155"/>
  <sheetViews>
    <sheetView topLeftCell="A132" zoomScale="90" zoomScaleNormal="90" workbookViewId="0">
      <selection activeCell="D155" sqref="D155"/>
    </sheetView>
  </sheetViews>
  <sheetFormatPr defaultRowHeight="14.5" x14ac:dyDescent="0.35"/>
  <cols>
    <col min="1" max="1" width="13.81640625" customWidth="1"/>
    <col min="2" max="2" width="28" customWidth="1"/>
    <col min="3" max="3" width="16.90625" customWidth="1"/>
    <col min="4" max="4" width="23.26953125" customWidth="1"/>
    <col min="5" max="6" width="14.81640625" customWidth="1"/>
    <col min="7" max="7" width="14.26953125" style="1" bestFit="1" customWidth="1"/>
    <col min="8" max="8" width="15" style="1" bestFit="1" customWidth="1"/>
    <col min="9" max="9" width="11.6328125" style="526" bestFit="1" customWidth="1"/>
    <col min="10" max="10" width="12.7265625" style="526" bestFit="1" customWidth="1"/>
  </cols>
  <sheetData>
    <row r="2" spans="1:11" s="456" customFormat="1" ht="26" x14ac:dyDescent="0.3">
      <c r="A2" s="449" t="s">
        <v>190</v>
      </c>
      <c r="B2" s="450" t="s">
        <v>221</v>
      </c>
      <c r="C2" s="451" t="s">
        <v>711</v>
      </c>
      <c r="D2" s="451" t="s">
        <v>655</v>
      </c>
      <c r="E2" s="452" t="s">
        <v>656</v>
      </c>
      <c r="F2" s="453" t="s">
        <v>382</v>
      </c>
      <c r="G2" s="454" t="s">
        <v>639</v>
      </c>
      <c r="H2" s="455" t="s">
        <v>666</v>
      </c>
      <c r="I2" s="588" t="s">
        <v>641</v>
      </c>
      <c r="J2" s="589" t="s">
        <v>642</v>
      </c>
      <c r="K2" s="463" t="s">
        <v>744</v>
      </c>
    </row>
    <row r="3" spans="1:11" x14ac:dyDescent="0.35">
      <c r="A3" s="210" t="s">
        <v>224</v>
      </c>
      <c r="B3" s="7" t="s">
        <v>42</v>
      </c>
      <c r="C3" s="412">
        <f>'DETAILS (sorted)'!DS2</f>
        <v>42240068.399687767</v>
      </c>
      <c r="D3" s="412">
        <f>'01 Nsanyiwa'!D49</f>
        <v>37711977.430916876</v>
      </c>
      <c r="E3" s="413" t="b">
        <f t="shared" ref="E3:E34" si="0">C3=D3</f>
        <v>0</v>
      </c>
      <c r="F3" s="2">
        <f>'Summary2 (sorted)'!AD4</f>
        <v>3500000</v>
      </c>
      <c r="G3" s="3">
        <v>50000000</v>
      </c>
      <c r="H3" s="3">
        <f t="shared" ref="H3:H34" si="1">C3-G3</f>
        <v>-7759931.600312233</v>
      </c>
      <c r="I3" s="590">
        <f t="shared" ref="I3:I34" si="2">D3/G3</f>
        <v>0.75423954861833753</v>
      </c>
      <c r="J3" s="590">
        <f t="shared" ref="J3:J19" si="3">I3-1</f>
        <v>-0.24576045138166247</v>
      </c>
      <c r="K3" s="464">
        <v>1</v>
      </c>
    </row>
    <row r="4" spans="1:11" x14ac:dyDescent="0.35">
      <c r="A4" s="210" t="s">
        <v>225</v>
      </c>
      <c r="B4" s="7" t="s">
        <v>69</v>
      </c>
      <c r="C4" s="412">
        <f>'DETAILS (sorted)'!DS3</f>
        <v>27339182.305427976</v>
      </c>
      <c r="D4" s="412">
        <f>'02Werema'!D37</f>
        <v>23562107.540117688</v>
      </c>
      <c r="E4" s="413" t="b">
        <f t="shared" si="0"/>
        <v>0</v>
      </c>
      <c r="F4" s="2">
        <f>'Summary2 (sorted)'!AD5</f>
        <v>3500000</v>
      </c>
      <c r="G4" s="3">
        <v>100000000</v>
      </c>
      <c r="H4" s="3">
        <f t="shared" si="1"/>
        <v>-72660817.694572031</v>
      </c>
      <c r="I4" s="590">
        <f t="shared" si="2"/>
        <v>0.23562107540117688</v>
      </c>
      <c r="J4" s="590">
        <f t="shared" si="3"/>
        <v>-0.76437892459882306</v>
      </c>
      <c r="K4" s="464">
        <v>2</v>
      </c>
    </row>
    <row r="5" spans="1:11" x14ac:dyDescent="0.35">
      <c r="A5" s="210" t="s">
        <v>227</v>
      </c>
      <c r="B5" s="7" t="s">
        <v>28</v>
      </c>
      <c r="C5" s="412">
        <f>'DETAILS (sorted)'!DS4</f>
        <v>83076480.964771852</v>
      </c>
      <c r="D5" s="412">
        <f>'03Norbert'!D73</f>
        <v>61913632.676212758</v>
      </c>
      <c r="E5" s="413" t="b">
        <f t="shared" si="0"/>
        <v>0</v>
      </c>
      <c r="F5" s="2">
        <f>'Summary2 (sorted)'!AD6</f>
        <v>3500000</v>
      </c>
      <c r="G5" s="3">
        <v>70000000</v>
      </c>
      <c r="H5" s="3">
        <f t="shared" si="1"/>
        <v>13076480.964771852</v>
      </c>
      <c r="I5" s="590">
        <f t="shared" si="2"/>
        <v>0.88448046680303938</v>
      </c>
      <c r="J5" s="590">
        <f t="shared" si="3"/>
        <v>-0.11551953319696062</v>
      </c>
      <c r="K5" s="464">
        <v>3</v>
      </c>
    </row>
    <row r="6" spans="1:11" x14ac:dyDescent="0.35">
      <c r="A6" s="210" t="s">
        <v>228</v>
      </c>
      <c r="B6" s="7" t="s">
        <v>1088</v>
      </c>
      <c r="C6" s="412">
        <f>'DETAILS (sorted)'!DS5</f>
        <v>6320470.7539567789</v>
      </c>
      <c r="D6" s="412">
        <f>'04Everest'!D38</f>
        <v>6256414.5970740085</v>
      </c>
      <c r="E6" s="413" t="b">
        <f t="shared" si="0"/>
        <v>0</v>
      </c>
      <c r="F6" s="2">
        <f>'Summary2 (sorted)'!AD7</f>
        <v>3500000</v>
      </c>
      <c r="G6" s="3">
        <v>15000000</v>
      </c>
      <c r="H6" s="3">
        <f t="shared" si="1"/>
        <v>-8679529.2460432202</v>
      </c>
      <c r="I6" s="590">
        <f t="shared" si="2"/>
        <v>0.41709430647160056</v>
      </c>
      <c r="J6" s="590">
        <f t="shared" si="3"/>
        <v>-0.58290569352839938</v>
      </c>
      <c r="K6" s="464">
        <v>4</v>
      </c>
    </row>
    <row r="7" spans="1:11" x14ac:dyDescent="0.35">
      <c r="A7" s="210" t="s">
        <v>230</v>
      </c>
      <c r="B7" s="7" t="s">
        <v>231</v>
      </c>
      <c r="C7" s="412">
        <f>'DETAILS (sorted)'!DS6</f>
        <v>12961769.486828147</v>
      </c>
      <c r="D7" s="412">
        <f>'05Eliashasaria'!D37</f>
        <v>11230405.673585787</v>
      </c>
      <c r="E7" s="413" t="b">
        <f t="shared" si="0"/>
        <v>0</v>
      </c>
      <c r="F7" s="2">
        <f>'Summary2 (sorted)'!AD8</f>
        <v>3500000</v>
      </c>
      <c r="G7" s="3">
        <v>30000000</v>
      </c>
      <c r="H7" s="3">
        <f t="shared" si="1"/>
        <v>-17038230.513171852</v>
      </c>
      <c r="I7" s="590">
        <f t="shared" si="2"/>
        <v>0.37434685578619292</v>
      </c>
      <c r="J7" s="590">
        <f t="shared" si="3"/>
        <v>-0.62565314421380713</v>
      </c>
      <c r="K7" s="464">
        <v>5</v>
      </c>
    </row>
    <row r="8" spans="1:11" x14ac:dyDescent="0.35">
      <c r="A8" s="210" t="s">
        <v>232</v>
      </c>
      <c r="B8" s="7" t="s">
        <v>33</v>
      </c>
      <c r="C8" s="412">
        <f>'DETAILS (sorted)'!DS7</f>
        <v>23301939.274148986</v>
      </c>
      <c r="D8" s="412">
        <f>'06 Matee'!D47</f>
        <v>21606902.808122825</v>
      </c>
      <c r="E8" s="413" t="b">
        <f t="shared" si="0"/>
        <v>0</v>
      </c>
      <c r="F8" s="2">
        <f>'Summary2 (sorted)'!AD9</f>
        <v>3500000</v>
      </c>
      <c r="G8" s="3">
        <v>30000000</v>
      </c>
      <c r="H8" s="3">
        <f t="shared" si="1"/>
        <v>-6698060.7258510143</v>
      </c>
      <c r="I8" s="590">
        <f t="shared" si="2"/>
        <v>0.72023009360409418</v>
      </c>
      <c r="J8" s="590">
        <f t="shared" si="3"/>
        <v>-0.27976990639590582</v>
      </c>
      <c r="K8" s="464">
        <v>6</v>
      </c>
    </row>
    <row r="9" spans="1:11" x14ac:dyDescent="0.35">
      <c r="A9" s="210" t="s">
        <v>233</v>
      </c>
      <c r="B9" s="7" t="s">
        <v>50</v>
      </c>
      <c r="C9" s="412">
        <f>'DETAILS (sorted)'!DS8</f>
        <v>40727737.587595046</v>
      </c>
      <c r="D9" s="412">
        <f>'07Kitali'!D42</f>
        <v>32470837.657509919</v>
      </c>
      <c r="E9" s="413" t="b">
        <f t="shared" si="0"/>
        <v>0</v>
      </c>
      <c r="F9" s="2">
        <f>'Summary2 (sorted)'!AD10</f>
        <v>3500000</v>
      </c>
      <c r="G9" s="3">
        <v>50000000</v>
      </c>
      <c r="H9" s="3">
        <f t="shared" si="1"/>
        <v>-9272262.4124049544</v>
      </c>
      <c r="I9" s="590">
        <f t="shared" si="2"/>
        <v>0.64941675315019842</v>
      </c>
      <c r="J9" s="590">
        <f t="shared" si="3"/>
        <v>-0.35058324684980158</v>
      </c>
      <c r="K9" s="464">
        <v>7</v>
      </c>
    </row>
    <row r="10" spans="1:11" x14ac:dyDescent="0.35">
      <c r="A10" s="210" t="s">
        <v>234</v>
      </c>
      <c r="B10" s="7" t="s">
        <v>23</v>
      </c>
      <c r="C10" s="412">
        <f>'DETAILS (sorted)'!DS9</f>
        <v>3381314.2850115635</v>
      </c>
      <c r="D10" s="412">
        <f>'08Felix'!D37</f>
        <v>3347045.6352950758</v>
      </c>
      <c r="E10" s="413" t="b">
        <f t="shared" si="0"/>
        <v>0</v>
      </c>
      <c r="F10" s="2">
        <f>'Summary2 (sorted)'!AD11</f>
        <v>3500000</v>
      </c>
      <c r="G10" s="3">
        <v>5000000</v>
      </c>
      <c r="H10" s="3">
        <f t="shared" si="1"/>
        <v>-1618685.7149884365</v>
      </c>
      <c r="I10" s="590">
        <f t="shared" si="2"/>
        <v>0.66940912705901512</v>
      </c>
      <c r="J10" s="590">
        <f t="shared" si="3"/>
        <v>-0.33059087294098488</v>
      </c>
      <c r="K10" s="464">
        <v>8</v>
      </c>
    </row>
    <row r="11" spans="1:11" x14ac:dyDescent="0.35">
      <c r="A11" s="210" t="s">
        <v>235</v>
      </c>
      <c r="B11" s="7" t="s">
        <v>64</v>
      </c>
      <c r="C11" s="412">
        <f>'DETAILS (sorted)'!DS10</f>
        <v>3618618.4069837015</v>
      </c>
      <c r="D11" s="412">
        <f>'09Gideon'!D37</f>
        <v>3581944.7481060759</v>
      </c>
      <c r="E11" s="413" t="b">
        <f t="shared" si="0"/>
        <v>0</v>
      </c>
      <c r="F11" s="2">
        <f>'Summary2 (sorted)'!AD12</f>
        <v>3500000</v>
      </c>
      <c r="G11" s="3">
        <v>4000000</v>
      </c>
      <c r="H11" s="3">
        <f t="shared" si="1"/>
        <v>-381381.59301629849</v>
      </c>
      <c r="I11" s="590">
        <f t="shared" si="2"/>
        <v>0.89548618702651894</v>
      </c>
      <c r="J11" s="590">
        <f t="shared" si="3"/>
        <v>-0.10451381297348106</v>
      </c>
      <c r="K11" s="464">
        <v>9</v>
      </c>
    </row>
    <row r="12" spans="1:11" x14ac:dyDescent="0.35">
      <c r="A12" s="210" t="s">
        <v>236</v>
      </c>
      <c r="B12" s="7" t="s">
        <v>39</v>
      </c>
      <c r="C12" s="412">
        <f>'DETAILS (sorted)'!DS11</f>
        <v>31339395.065855179</v>
      </c>
      <c r="D12" s="412">
        <f>'10Makoko'!D37</f>
        <v>26021779.292426784</v>
      </c>
      <c r="E12" s="413" t="b">
        <f t="shared" si="0"/>
        <v>0</v>
      </c>
      <c r="F12" s="2">
        <f>'Summary2 (sorted)'!AD13</f>
        <v>3500000</v>
      </c>
      <c r="G12" s="3">
        <v>50000000</v>
      </c>
      <c r="H12" s="3">
        <f t="shared" si="1"/>
        <v>-18660604.934144821</v>
      </c>
      <c r="I12" s="590">
        <f t="shared" si="2"/>
        <v>0.52043558584853566</v>
      </c>
      <c r="J12" s="590">
        <f t="shared" si="3"/>
        <v>-0.47956441415146434</v>
      </c>
      <c r="K12" s="464">
        <v>10</v>
      </c>
    </row>
    <row r="13" spans="1:11" x14ac:dyDescent="0.35">
      <c r="A13" s="210" t="s">
        <v>237</v>
      </c>
      <c r="B13" s="7" t="s">
        <v>238</v>
      </c>
      <c r="C13" s="412">
        <f>'DETAILS (sorted)'!DS12</f>
        <v>21275683.549250465</v>
      </c>
      <c r="D13" s="412">
        <f>'11JMangu'!D45</f>
        <v>17452362.603385895</v>
      </c>
      <c r="E13" s="413" t="b">
        <f t="shared" si="0"/>
        <v>0</v>
      </c>
      <c r="F13" s="2">
        <f>'Summary2 (sorted)'!AD14</f>
        <v>3500000</v>
      </c>
      <c r="G13" s="3">
        <v>30000000</v>
      </c>
      <c r="H13" s="3">
        <f t="shared" si="1"/>
        <v>-8724316.4507495351</v>
      </c>
      <c r="I13" s="590">
        <f t="shared" si="2"/>
        <v>0.58174542011286323</v>
      </c>
      <c r="J13" s="590">
        <f t="shared" si="3"/>
        <v>-0.41825457988713677</v>
      </c>
      <c r="K13" s="464">
        <v>11</v>
      </c>
    </row>
    <row r="14" spans="1:11" x14ac:dyDescent="0.35">
      <c r="A14" s="210" t="s">
        <v>239</v>
      </c>
      <c r="B14" s="7" t="s">
        <v>66</v>
      </c>
      <c r="C14" s="412">
        <f>'DETAILS (sorted)'!DS13</f>
        <v>28367578.295165222</v>
      </c>
      <c r="D14" s="412">
        <f>'12Mlindwa'!D47</f>
        <v>25362522.031686578</v>
      </c>
      <c r="E14" s="413" t="b">
        <f t="shared" si="0"/>
        <v>0</v>
      </c>
      <c r="F14" s="2">
        <f>'Summary2 (sorted)'!AD15</f>
        <v>3500000</v>
      </c>
      <c r="G14" s="3">
        <v>30000000</v>
      </c>
      <c r="H14" s="3">
        <f t="shared" si="1"/>
        <v>-1632421.7048347779</v>
      </c>
      <c r="I14" s="590">
        <f t="shared" si="2"/>
        <v>0.84541740105621932</v>
      </c>
      <c r="J14" s="590">
        <f t="shared" si="3"/>
        <v>-0.15458259894378068</v>
      </c>
      <c r="K14" s="464">
        <v>12</v>
      </c>
    </row>
    <row r="15" spans="1:11" x14ac:dyDescent="0.35">
      <c r="A15" s="210" t="s">
        <v>240</v>
      </c>
      <c r="B15" s="7" t="s">
        <v>51</v>
      </c>
      <c r="C15" s="412">
        <f>'DETAILS (sorted)'!DS14</f>
        <v>14506354.589453647</v>
      </c>
      <c r="D15" s="412">
        <f>'13Matechi'!D37</f>
        <v>12359336.849549158</v>
      </c>
      <c r="E15" s="413" t="b">
        <f t="shared" si="0"/>
        <v>0</v>
      </c>
      <c r="F15" s="2">
        <f>'Summary2 (sorted)'!AD16</f>
        <v>3500000</v>
      </c>
      <c r="G15" s="3">
        <v>15000000</v>
      </c>
      <c r="H15" s="3">
        <f t="shared" si="1"/>
        <v>-493645.41054635309</v>
      </c>
      <c r="I15" s="590">
        <f t="shared" si="2"/>
        <v>0.82395578996994379</v>
      </c>
      <c r="J15" s="590">
        <f t="shared" si="3"/>
        <v>-0.17604421003005621</v>
      </c>
      <c r="K15" s="464">
        <v>13</v>
      </c>
    </row>
    <row r="16" spans="1:11" x14ac:dyDescent="0.35">
      <c r="A16" s="210" t="s">
        <v>241</v>
      </c>
      <c r="B16" s="7" t="s">
        <v>35</v>
      </c>
      <c r="C16" s="412">
        <f>'DETAILS (sorted)'!DS15</f>
        <v>4124201.3224371308</v>
      </c>
      <c r="D16" s="412">
        <f>'14Kanuti'!D37</f>
        <v>4082403.7258323552</v>
      </c>
      <c r="E16" s="413" t="b">
        <f t="shared" si="0"/>
        <v>0</v>
      </c>
      <c r="F16" s="2">
        <f>'Summary2 (sorted)'!AD17</f>
        <v>3500000</v>
      </c>
      <c r="G16" s="3">
        <v>10000000</v>
      </c>
      <c r="H16" s="3">
        <f t="shared" si="1"/>
        <v>-5875798.6775628692</v>
      </c>
      <c r="I16" s="590">
        <f t="shared" si="2"/>
        <v>0.40824037258323553</v>
      </c>
      <c r="J16" s="590">
        <f t="shared" si="3"/>
        <v>-0.59175962741676447</v>
      </c>
      <c r="K16" s="464">
        <v>14</v>
      </c>
    </row>
    <row r="17" spans="1:11" x14ac:dyDescent="0.35">
      <c r="A17" s="210" t="s">
        <v>243</v>
      </c>
      <c r="B17" s="7" t="s">
        <v>244</v>
      </c>
      <c r="C17" s="412">
        <f>'DETAILS (sorted)'!DS16</f>
        <v>5729062.3909924934</v>
      </c>
      <c r="D17" s="412">
        <f>'15MohamedMohamed'!D37</f>
        <v>5170999.9881123193</v>
      </c>
      <c r="E17" s="413" t="b">
        <f t="shared" si="0"/>
        <v>0</v>
      </c>
      <c r="F17" s="2">
        <f>'Summary2 (sorted)'!AD18</f>
        <v>3500000</v>
      </c>
      <c r="G17" s="3">
        <v>10000000</v>
      </c>
      <c r="H17" s="3">
        <f t="shared" si="1"/>
        <v>-4270937.6090075066</v>
      </c>
      <c r="I17" s="590">
        <f t="shared" si="2"/>
        <v>0.51709999881123192</v>
      </c>
      <c r="J17" s="590">
        <f t="shared" si="3"/>
        <v>-0.48290000118876808</v>
      </c>
      <c r="K17" s="464">
        <v>15</v>
      </c>
    </row>
    <row r="18" spans="1:11" x14ac:dyDescent="0.35">
      <c r="A18" s="210" t="s">
        <v>245</v>
      </c>
      <c r="B18" s="7" t="s">
        <v>55</v>
      </c>
      <c r="C18" s="412">
        <f>'DETAILS (sorted)'!DS17</f>
        <v>45696106.78383147</v>
      </c>
      <c r="D18" s="412">
        <f>'16Walter Salema'!D37</f>
        <v>35232989.858047985</v>
      </c>
      <c r="E18" s="413" t="b">
        <f t="shared" si="0"/>
        <v>0</v>
      </c>
      <c r="F18" s="2">
        <f>'Summary2 (sorted)'!AD19</f>
        <v>3500000</v>
      </c>
      <c r="G18" s="3">
        <v>50000000</v>
      </c>
      <c r="H18" s="3">
        <f t="shared" si="1"/>
        <v>-4303893.2161685303</v>
      </c>
      <c r="I18" s="590">
        <f t="shared" si="2"/>
        <v>0.70465979716095972</v>
      </c>
      <c r="J18" s="590">
        <f t="shared" si="3"/>
        <v>-0.29534020283904028</v>
      </c>
      <c r="K18" s="464">
        <v>16</v>
      </c>
    </row>
    <row r="19" spans="1:11" x14ac:dyDescent="0.35">
      <c r="A19" s="210" t="s">
        <v>246</v>
      </c>
      <c r="B19" s="7" t="s">
        <v>82</v>
      </c>
      <c r="C19" s="412">
        <f>'DETAILS (sorted)'!DS18</f>
        <v>3932621.3949663029</v>
      </c>
      <c r="D19" s="412">
        <f>'17Emmanuel Mmari'!D37</f>
        <v>3692765.4059359292</v>
      </c>
      <c r="E19" s="413" t="b">
        <f t="shared" si="0"/>
        <v>0</v>
      </c>
      <c r="F19" s="2">
        <f>'Summary2 (sorted)'!AD20</f>
        <v>3500000</v>
      </c>
      <c r="G19" s="3">
        <v>10000000</v>
      </c>
      <c r="H19" s="3">
        <f t="shared" si="1"/>
        <v>-6067378.6050336976</v>
      </c>
      <c r="I19" s="590">
        <f t="shared" si="2"/>
        <v>0.36927654059359294</v>
      </c>
      <c r="J19" s="590">
        <f t="shared" si="3"/>
        <v>-0.63072345940640706</v>
      </c>
      <c r="K19" s="464">
        <v>17</v>
      </c>
    </row>
    <row r="20" spans="1:11" x14ac:dyDescent="0.35">
      <c r="A20" s="210" t="s">
        <v>247</v>
      </c>
      <c r="B20" s="7" t="s">
        <v>248</v>
      </c>
      <c r="C20" s="412">
        <f>'DETAILS (sorted)'!DS19</f>
        <v>33412761.497731984</v>
      </c>
      <c r="D20" s="412">
        <f>'18Albani Kimaro'!D37</f>
        <v>32574132.750649273</v>
      </c>
      <c r="E20" s="413" t="b">
        <f t="shared" si="0"/>
        <v>0</v>
      </c>
      <c r="F20" s="2">
        <f>'Summary2 (sorted)'!AD21</f>
        <v>3500000</v>
      </c>
      <c r="G20" s="3">
        <v>30000000</v>
      </c>
      <c r="H20" s="3">
        <f t="shared" si="1"/>
        <v>3412761.4977319837</v>
      </c>
      <c r="I20" s="591">
        <f t="shared" si="2"/>
        <v>1.0858044250216425</v>
      </c>
      <c r="J20" s="590">
        <v>0</v>
      </c>
      <c r="K20" s="464">
        <v>18</v>
      </c>
    </row>
    <row r="21" spans="1:11" x14ac:dyDescent="0.35">
      <c r="A21" s="210" t="s">
        <v>249</v>
      </c>
      <c r="B21" s="7" t="s">
        <v>72</v>
      </c>
      <c r="C21" s="412">
        <f>'DETAILS (sorted)'!DS20</f>
        <v>12556249.978378084</v>
      </c>
      <c r="D21" s="412">
        <f>'19Laurian Gidoyi'!D37</f>
        <v>10428995.98895479</v>
      </c>
      <c r="E21" s="413" t="b">
        <f t="shared" si="0"/>
        <v>0</v>
      </c>
      <c r="F21" s="2">
        <f>'Summary2 (sorted)'!AD22</f>
        <v>3500000</v>
      </c>
      <c r="G21" s="3">
        <v>15000000</v>
      </c>
      <c r="H21" s="3">
        <f t="shared" si="1"/>
        <v>-2443750.0216219164</v>
      </c>
      <c r="I21" s="590">
        <f t="shared" si="2"/>
        <v>0.69526639926365263</v>
      </c>
      <c r="J21" s="590">
        <f t="shared" ref="J21:J52" si="4">I21-1</f>
        <v>-0.30473360073634737</v>
      </c>
      <c r="K21" s="464">
        <v>19</v>
      </c>
    </row>
    <row r="22" spans="1:11" x14ac:dyDescent="0.35">
      <c r="A22" s="210" t="s">
        <v>250</v>
      </c>
      <c r="B22" s="7" t="s">
        <v>251</v>
      </c>
      <c r="C22" s="412">
        <f>'DETAILS (sorted)'!DS21</f>
        <v>20623220.7075294</v>
      </c>
      <c r="D22" s="412">
        <f>'20John Massawe'!D37</f>
        <v>16414210.285284748</v>
      </c>
      <c r="E22" s="413" t="b">
        <f t="shared" si="0"/>
        <v>0</v>
      </c>
      <c r="F22" s="2">
        <f>'Summary2 (sorted)'!AD23</f>
        <v>3500000</v>
      </c>
      <c r="G22" s="3">
        <v>20000000</v>
      </c>
      <c r="H22" s="3">
        <f t="shared" si="1"/>
        <v>623220.70752939954</v>
      </c>
      <c r="I22" s="590">
        <f t="shared" si="2"/>
        <v>0.82071051426423747</v>
      </c>
      <c r="J22" s="590">
        <f t="shared" si="4"/>
        <v>-0.17928948573576253</v>
      </c>
      <c r="K22" s="464">
        <v>20</v>
      </c>
    </row>
    <row r="23" spans="1:11" x14ac:dyDescent="0.35">
      <c r="A23" s="210" t="s">
        <v>252</v>
      </c>
      <c r="B23" s="7" t="s">
        <v>651</v>
      </c>
      <c r="C23" s="412">
        <f>'DETAILS (sorted)'!DS22</f>
        <v>13412072.587400509</v>
      </c>
      <c r="D23" s="412">
        <f>'21Rajabu Masale'!D37</f>
        <v>13276145.081487473</v>
      </c>
      <c r="E23" s="413" t="b">
        <f t="shared" si="0"/>
        <v>0</v>
      </c>
      <c r="F23" s="2">
        <f>'Summary2 (sorted)'!AD24</f>
        <v>3500000</v>
      </c>
      <c r="G23" s="3">
        <v>15000000</v>
      </c>
      <c r="H23" s="3">
        <f t="shared" si="1"/>
        <v>-1587927.412599491</v>
      </c>
      <c r="I23" s="590">
        <f t="shared" si="2"/>
        <v>0.88507633876583158</v>
      </c>
      <c r="J23" s="590">
        <f t="shared" si="4"/>
        <v>-0.11492366123416842</v>
      </c>
      <c r="K23" s="464">
        <v>21</v>
      </c>
    </row>
    <row r="24" spans="1:11" x14ac:dyDescent="0.35">
      <c r="A24" s="210" t="s">
        <v>253</v>
      </c>
      <c r="B24" s="7" t="s">
        <v>86</v>
      </c>
      <c r="C24" s="412">
        <f>'DETAILS (sorted)'!DS23</f>
        <v>5236902.6001982624</v>
      </c>
      <c r="D24" s="412">
        <f>'22 Inocent Mosha'!D37</f>
        <v>5183828.0955297463</v>
      </c>
      <c r="E24" s="413" t="b">
        <f t="shared" si="0"/>
        <v>0</v>
      </c>
      <c r="F24" s="2">
        <f>'Summary2 (sorted)'!AD25</f>
        <v>3500000</v>
      </c>
      <c r="G24" s="3">
        <v>15000000</v>
      </c>
      <c r="H24" s="3">
        <f t="shared" si="1"/>
        <v>-9763097.3998017386</v>
      </c>
      <c r="I24" s="590">
        <f t="shared" si="2"/>
        <v>0.34558853970198311</v>
      </c>
      <c r="J24" s="590">
        <f t="shared" si="4"/>
        <v>-0.65441146029801689</v>
      </c>
      <c r="K24" s="464">
        <v>22</v>
      </c>
    </row>
    <row r="25" spans="1:11" x14ac:dyDescent="0.35">
      <c r="A25" s="210" t="s">
        <v>254</v>
      </c>
      <c r="B25" s="7" t="s">
        <v>65</v>
      </c>
      <c r="C25" s="412">
        <f>'DETAILS (sorted)'!DS24</f>
        <v>22735258.844848908</v>
      </c>
      <c r="D25" s="412">
        <f>'23Amos Nungu'!D37</f>
        <v>16504843.522315478</v>
      </c>
      <c r="E25" s="413" t="b">
        <f t="shared" si="0"/>
        <v>0</v>
      </c>
      <c r="F25" s="2">
        <f>'Summary2 (sorted)'!AD26</f>
        <v>3500000</v>
      </c>
      <c r="G25" s="3">
        <v>30000000</v>
      </c>
      <c r="H25" s="3">
        <f t="shared" si="1"/>
        <v>-7264741.1551510915</v>
      </c>
      <c r="I25" s="590">
        <f t="shared" si="2"/>
        <v>0.55016145074384926</v>
      </c>
      <c r="J25" s="590">
        <f t="shared" si="4"/>
        <v>-0.44983854925615074</v>
      </c>
      <c r="K25" s="464">
        <v>23</v>
      </c>
    </row>
    <row r="26" spans="1:11" x14ac:dyDescent="0.35">
      <c r="A26" s="210" t="s">
        <v>255</v>
      </c>
      <c r="B26" s="7" t="s">
        <v>61</v>
      </c>
      <c r="C26" s="412">
        <f>'DETAILS (sorted)'!DS25</f>
        <v>12051152.67215956</v>
      </c>
      <c r="D26" s="412">
        <f>'24Athumani Mwasha'!D42</f>
        <v>10382017.698953206</v>
      </c>
      <c r="E26" s="413" t="b">
        <f t="shared" si="0"/>
        <v>0</v>
      </c>
      <c r="F26" s="2">
        <f>'Summary2 (sorted)'!AD27</f>
        <v>3500000</v>
      </c>
      <c r="G26" s="3">
        <v>15000000</v>
      </c>
      <c r="H26" s="3">
        <f t="shared" si="1"/>
        <v>-2948847.32784044</v>
      </c>
      <c r="I26" s="590">
        <f t="shared" si="2"/>
        <v>0.69213451326354702</v>
      </c>
      <c r="J26" s="590">
        <f t="shared" si="4"/>
        <v>-0.30786548673645298</v>
      </c>
      <c r="K26" s="464">
        <v>24</v>
      </c>
    </row>
    <row r="27" spans="1:11" x14ac:dyDescent="0.35">
      <c r="A27" s="210" t="s">
        <v>256</v>
      </c>
      <c r="B27" s="7" t="s">
        <v>76</v>
      </c>
      <c r="C27" s="412">
        <f>'DETAILS (sorted)'!DS26</f>
        <v>3658400.4184066346</v>
      </c>
      <c r="D27" s="412">
        <f>'25 Hassani Matata'!D37</f>
        <v>3621323.5802621432</v>
      </c>
      <c r="E27" s="413" t="b">
        <f t="shared" si="0"/>
        <v>0</v>
      </c>
      <c r="F27" s="2">
        <f>'Summary2 (sorted)'!AD28</f>
        <v>3500000</v>
      </c>
      <c r="G27" s="3">
        <v>4000000</v>
      </c>
      <c r="H27" s="3">
        <f t="shared" si="1"/>
        <v>-341599.58159336541</v>
      </c>
      <c r="I27" s="590">
        <f t="shared" si="2"/>
        <v>0.90533089506553577</v>
      </c>
      <c r="J27" s="590">
        <f t="shared" si="4"/>
        <v>-9.4669104934464232E-2</v>
      </c>
      <c r="K27" s="464">
        <v>25</v>
      </c>
    </row>
    <row r="28" spans="1:11" x14ac:dyDescent="0.35">
      <c r="A28" s="210" t="s">
        <v>257</v>
      </c>
      <c r="B28" s="7" t="s">
        <v>1062</v>
      </c>
      <c r="C28" s="412">
        <f>'DETAILS (sorted)'!DS27</f>
        <v>12311149.342113942</v>
      </c>
      <c r="D28" s="412">
        <f>'26 Plasduce Mbossa'!D37</f>
        <v>12186379.377286248</v>
      </c>
      <c r="E28" s="413" t="b">
        <f t="shared" si="0"/>
        <v>0</v>
      </c>
      <c r="F28" s="2">
        <f>'Summary2 (sorted)'!AD29</f>
        <v>3500000</v>
      </c>
      <c r="G28" s="3">
        <v>30000000</v>
      </c>
      <c r="H28" s="3">
        <f t="shared" si="1"/>
        <v>-17688850.657886058</v>
      </c>
      <c r="I28" s="590">
        <f t="shared" si="2"/>
        <v>0.40621264590954159</v>
      </c>
      <c r="J28" s="590">
        <f t="shared" si="4"/>
        <v>-0.59378735409045835</v>
      </c>
      <c r="K28" s="464">
        <v>26</v>
      </c>
    </row>
    <row r="29" spans="1:11" x14ac:dyDescent="0.35">
      <c r="A29" s="210" t="s">
        <v>258</v>
      </c>
      <c r="B29" s="7" t="s">
        <v>90</v>
      </c>
      <c r="C29" s="412">
        <f>'DETAILS (sorted)'!DS28</f>
        <v>4305795.8357307743</v>
      </c>
      <c r="D29" s="412">
        <f>'27Saidi Ramadhani Mdee'!D37</f>
        <v>4262157.830858103</v>
      </c>
      <c r="E29" s="413" t="b">
        <f t="shared" si="0"/>
        <v>0</v>
      </c>
      <c r="F29" s="2">
        <f>'Summary2 (sorted)'!AD30</f>
        <v>3500000</v>
      </c>
      <c r="G29" s="3">
        <v>4000000</v>
      </c>
      <c r="H29" s="3">
        <f t="shared" si="1"/>
        <v>305795.83573077433</v>
      </c>
      <c r="I29" s="590">
        <f t="shared" si="2"/>
        <v>1.0655394577145259</v>
      </c>
      <c r="J29" s="590">
        <f t="shared" si="4"/>
        <v>6.5539457714525851E-2</v>
      </c>
      <c r="K29" s="464">
        <v>27</v>
      </c>
    </row>
    <row r="30" spans="1:11" x14ac:dyDescent="0.35">
      <c r="A30" s="210" t="s">
        <v>259</v>
      </c>
      <c r="B30" s="7" t="s">
        <v>36</v>
      </c>
      <c r="C30" s="412">
        <f>'DETAILS (sorted)'!DS29</f>
        <v>12426098.598361038</v>
      </c>
      <c r="D30" s="412">
        <f>'28Evans Mori'!D37</f>
        <v>12300163.655815963</v>
      </c>
      <c r="E30" s="413" t="b">
        <f t="shared" si="0"/>
        <v>0</v>
      </c>
      <c r="F30" s="2">
        <f>'Summary2 (sorted)'!AD31</f>
        <v>3500000</v>
      </c>
      <c r="G30" s="3">
        <v>15000000</v>
      </c>
      <c r="H30" s="3">
        <f t="shared" si="1"/>
        <v>-2573901.4016389623</v>
      </c>
      <c r="I30" s="590">
        <f t="shared" si="2"/>
        <v>0.82001091038773088</v>
      </c>
      <c r="J30" s="590">
        <f t="shared" si="4"/>
        <v>-0.17998908961226912</v>
      </c>
      <c r="K30" s="464">
        <v>28</v>
      </c>
    </row>
    <row r="31" spans="1:11" x14ac:dyDescent="0.35">
      <c r="A31" s="210" t="s">
        <v>260</v>
      </c>
      <c r="B31" s="7" t="s">
        <v>84</v>
      </c>
      <c r="C31" s="412">
        <f>'DETAILS (sorted)'!DS30</f>
        <v>12438989.814563684</v>
      </c>
      <c r="D31" s="412">
        <f>'29 Emmanuel Moshi'!D37</f>
        <v>11312924.223242655</v>
      </c>
      <c r="E31" s="413" t="b">
        <f t="shared" si="0"/>
        <v>0</v>
      </c>
      <c r="F31" s="2">
        <f>'Summary2 (sorted)'!AD32</f>
        <v>3500000</v>
      </c>
      <c r="G31" s="3">
        <v>20000000</v>
      </c>
      <c r="H31" s="3">
        <f t="shared" si="1"/>
        <v>-7561010.1854363158</v>
      </c>
      <c r="I31" s="590">
        <f t="shared" si="2"/>
        <v>0.56564621116213276</v>
      </c>
      <c r="J31" s="590">
        <f t="shared" si="4"/>
        <v>-0.43435378883786724</v>
      </c>
      <c r="K31" s="464">
        <v>29</v>
      </c>
    </row>
    <row r="32" spans="1:11" x14ac:dyDescent="0.35">
      <c r="A32" s="210" t="s">
        <v>261</v>
      </c>
      <c r="B32" s="7" t="s">
        <v>1160</v>
      </c>
      <c r="C32" s="412">
        <f>'DETAILS (sorted)'!DS31</f>
        <v>13470562.048187941</v>
      </c>
      <c r="D32" s="412">
        <f>'30 Patrick Kiani'!D37</f>
        <v>13334041.768378466</v>
      </c>
      <c r="E32" s="413" t="b">
        <f t="shared" si="0"/>
        <v>0</v>
      </c>
      <c r="F32" s="2">
        <f>'Summary2 (sorted)'!AD33</f>
        <v>3500000</v>
      </c>
      <c r="G32" s="3">
        <v>20000000</v>
      </c>
      <c r="H32" s="3">
        <f t="shared" si="1"/>
        <v>-6529437.9518120587</v>
      </c>
      <c r="I32" s="590">
        <f t="shared" si="2"/>
        <v>0.66670208841892331</v>
      </c>
      <c r="J32" s="590">
        <f t="shared" si="4"/>
        <v>-0.33329791158107669</v>
      </c>
      <c r="K32" s="464">
        <v>30</v>
      </c>
    </row>
    <row r="33" spans="1:11" x14ac:dyDescent="0.35">
      <c r="A33" s="210" t="s">
        <v>262</v>
      </c>
      <c r="B33" s="7" t="s">
        <v>38</v>
      </c>
      <c r="C33" s="412">
        <f>'DETAILS (sorted)'!DS32</f>
        <v>4349969.7794422125</v>
      </c>
      <c r="D33" s="412">
        <f>'31Stephen Nkurlu'!D37</f>
        <v>4305884.0843295772</v>
      </c>
      <c r="E33" s="413" t="b">
        <f t="shared" si="0"/>
        <v>0</v>
      </c>
      <c r="F33" s="2">
        <f>'Summary2 (sorted)'!AD34</f>
        <v>3500000</v>
      </c>
      <c r="G33" s="3">
        <v>10000000</v>
      </c>
      <c r="H33" s="3">
        <f t="shared" si="1"/>
        <v>-5650030.2205577875</v>
      </c>
      <c r="I33" s="590">
        <f t="shared" si="2"/>
        <v>0.4305884084329577</v>
      </c>
      <c r="J33" s="590">
        <f t="shared" si="4"/>
        <v>-0.56941159156704235</v>
      </c>
      <c r="K33" s="464">
        <v>31</v>
      </c>
    </row>
    <row r="34" spans="1:11" x14ac:dyDescent="0.35">
      <c r="A34" s="210" t="s">
        <v>263</v>
      </c>
      <c r="B34" s="7" t="s">
        <v>87</v>
      </c>
      <c r="C34" s="412">
        <f>'DETAILS (sorted)'!DS33</f>
        <v>3549189.7583291377</v>
      </c>
      <c r="D34" s="412">
        <f>'32Shabani Salimu'!D37</f>
        <v>3513219.7388770375</v>
      </c>
      <c r="E34" s="413" t="b">
        <f t="shared" si="0"/>
        <v>0</v>
      </c>
      <c r="F34" s="2">
        <f>'Summary2 (sorted)'!AD35</f>
        <v>3500000</v>
      </c>
      <c r="G34" s="3">
        <v>10000000</v>
      </c>
      <c r="H34" s="3">
        <f t="shared" si="1"/>
        <v>-6450810.2416708618</v>
      </c>
      <c r="I34" s="590">
        <f t="shared" si="2"/>
        <v>0.35132197388770375</v>
      </c>
      <c r="J34" s="590">
        <f t="shared" si="4"/>
        <v>-0.64867802611229619</v>
      </c>
      <c r="K34" s="464">
        <v>32</v>
      </c>
    </row>
    <row r="35" spans="1:11" x14ac:dyDescent="0.35">
      <c r="A35" s="210" t="s">
        <v>264</v>
      </c>
      <c r="B35" s="7" t="s">
        <v>74</v>
      </c>
      <c r="C35" s="412">
        <f>'DETAILS (sorted)'!DS34</f>
        <v>4314260.1119704396</v>
      </c>
      <c r="D35" s="412">
        <f>'33Fredrick Ndosi'!D37</f>
        <v>3770536.3240876379</v>
      </c>
      <c r="E35" s="413" t="b">
        <f t="shared" ref="E35:E66" si="5">C35=D35</f>
        <v>0</v>
      </c>
      <c r="F35" s="2">
        <f>'Summary2 (sorted)'!AD36</f>
        <v>3500000</v>
      </c>
      <c r="G35" s="3">
        <v>10000000</v>
      </c>
      <c r="H35" s="3">
        <f t="shared" ref="H35:H66" si="6">C35-G35</f>
        <v>-5685739.8880295604</v>
      </c>
      <c r="I35" s="590">
        <f t="shared" ref="I35:I66" si="7">D35/G35</f>
        <v>0.37705363240876377</v>
      </c>
      <c r="J35" s="590">
        <f t="shared" si="4"/>
        <v>-0.62294636759123623</v>
      </c>
      <c r="K35" s="464">
        <v>33</v>
      </c>
    </row>
    <row r="36" spans="1:11" x14ac:dyDescent="0.35">
      <c r="A36" s="210" t="s">
        <v>265</v>
      </c>
      <c r="B36" s="7" t="s">
        <v>57</v>
      </c>
      <c r="C36" s="412">
        <f>'DETAILS (sorted)'!DS35</f>
        <v>3631397.2721955236</v>
      </c>
      <c r="D36" s="412">
        <f>'34Abraham Asenga'!D37</f>
        <v>3594594.1031869818</v>
      </c>
      <c r="E36" s="413" t="b">
        <f t="shared" si="5"/>
        <v>0</v>
      </c>
      <c r="F36" s="2">
        <f>'Summary2 (sorted)'!AD37</f>
        <v>3500000</v>
      </c>
      <c r="G36" s="3">
        <v>10000000</v>
      </c>
      <c r="H36" s="3">
        <f t="shared" si="6"/>
        <v>-6368602.7278044764</v>
      </c>
      <c r="I36" s="590">
        <f t="shared" si="7"/>
        <v>0.35945941031869816</v>
      </c>
      <c r="J36" s="590">
        <f t="shared" si="4"/>
        <v>-0.6405405896813019</v>
      </c>
      <c r="K36" s="464">
        <v>34</v>
      </c>
    </row>
    <row r="37" spans="1:11" x14ac:dyDescent="0.35">
      <c r="A37" s="210" t="s">
        <v>266</v>
      </c>
      <c r="B37" s="7" t="s">
        <v>63</v>
      </c>
      <c r="C37" s="412">
        <f>'DETAILS (sorted)'!DS36</f>
        <v>3564676.720775573</v>
      </c>
      <c r="D37" s="412">
        <f>'35Best Magoma'!D37</f>
        <v>3528549.7454044092</v>
      </c>
      <c r="E37" s="413" t="b">
        <f t="shared" si="5"/>
        <v>0</v>
      </c>
      <c r="F37" s="2">
        <f>'Summary2 (sorted)'!AD38</f>
        <v>3500000</v>
      </c>
      <c r="G37" s="3">
        <v>10000000</v>
      </c>
      <c r="H37" s="3">
        <f t="shared" si="6"/>
        <v>-6435323.2792244274</v>
      </c>
      <c r="I37" s="590">
        <f t="shared" si="7"/>
        <v>0.3528549745404409</v>
      </c>
      <c r="J37" s="590">
        <f t="shared" si="4"/>
        <v>-0.6471450254595591</v>
      </c>
      <c r="K37" s="464">
        <v>35</v>
      </c>
    </row>
    <row r="38" spans="1:11" x14ac:dyDescent="0.35">
      <c r="A38" s="210" t="s">
        <v>267</v>
      </c>
      <c r="B38" s="7" t="s">
        <v>268</v>
      </c>
      <c r="C38" s="412">
        <f>'DETAILS (sorted)'!DS37</f>
        <v>3755433.5468211006</v>
      </c>
      <c r="D38" s="412">
        <f>'36Bakari Hemedi'!D37</f>
        <v>3717373.3057722212</v>
      </c>
      <c r="E38" s="413" t="b">
        <f t="shared" si="5"/>
        <v>0</v>
      </c>
      <c r="F38" s="2">
        <f>'Summary2 (sorted)'!AD39</f>
        <v>3500000</v>
      </c>
      <c r="G38" s="3">
        <v>10000000</v>
      </c>
      <c r="H38" s="3">
        <f t="shared" si="6"/>
        <v>-6244566.4531788994</v>
      </c>
      <c r="I38" s="590">
        <f t="shared" si="7"/>
        <v>0.37173733057722214</v>
      </c>
      <c r="J38" s="590">
        <f t="shared" si="4"/>
        <v>-0.62826266942277786</v>
      </c>
      <c r="K38" s="464">
        <v>36</v>
      </c>
    </row>
    <row r="39" spans="1:11" x14ac:dyDescent="0.35">
      <c r="A39" s="210" t="s">
        <v>269</v>
      </c>
      <c r="B39" s="7" t="s">
        <v>46</v>
      </c>
      <c r="C39" s="412">
        <f>'DETAILS (sorted)'!DS38</f>
        <v>18885840.560239132</v>
      </c>
      <c r="D39" s="412">
        <f>'37Elibariki Mkumbo'!D37</f>
        <v>18694437.98709498</v>
      </c>
      <c r="E39" s="413" t="b">
        <f t="shared" si="5"/>
        <v>0</v>
      </c>
      <c r="F39" s="2">
        <f>'Summary2 (sorted)'!AD40</f>
        <v>3500000</v>
      </c>
      <c r="G39" s="3">
        <v>20000000</v>
      </c>
      <c r="H39" s="3">
        <f t="shared" si="6"/>
        <v>-1114159.4397608675</v>
      </c>
      <c r="I39" s="590">
        <f t="shared" si="7"/>
        <v>0.93472189935474903</v>
      </c>
      <c r="J39" s="590">
        <f t="shared" si="4"/>
        <v>-6.5278100645250969E-2</v>
      </c>
      <c r="K39" s="464">
        <v>37</v>
      </c>
    </row>
    <row r="40" spans="1:11" x14ac:dyDescent="0.35">
      <c r="A40" s="210" t="s">
        <v>270</v>
      </c>
      <c r="B40" s="7" t="s">
        <v>271</v>
      </c>
      <c r="C40" s="412">
        <f>'DETAILS (sorted)'!DS39</f>
        <v>8429314.5161899924</v>
      </c>
      <c r="D40" s="412">
        <f>'38 Charles Jangu'!D37</f>
        <v>8343885.8330930481</v>
      </c>
      <c r="E40" s="413" t="b">
        <f t="shared" si="5"/>
        <v>0</v>
      </c>
      <c r="F40" s="2">
        <f>'Summary2 (sorted)'!AD41</f>
        <v>3500000</v>
      </c>
      <c r="G40" s="3">
        <v>15000000</v>
      </c>
      <c r="H40" s="3">
        <f t="shared" si="6"/>
        <v>-6570685.4838100076</v>
      </c>
      <c r="I40" s="590">
        <f t="shared" si="7"/>
        <v>0.55625905553953658</v>
      </c>
      <c r="J40" s="590">
        <f t="shared" si="4"/>
        <v>-0.44374094446046342</v>
      </c>
      <c r="K40" s="464">
        <v>38</v>
      </c>
    </row>
    <row r="41" spans="1:11" x14ac:dyDescent="0.35">
      <c r="A41" s="210" t="s">
        <v>272</v>
      </c>
      <c r="B41" s="7" t="s">
        <v>71</v>
      </c>
      <c r="C41" s="412">
        <f>'DETAILS (sorted)'!DS40</f>
        <v>3595200.6924693417</v>
      </c>
      <c r="D41" s="412">
        <f>'39 Abdillahi Moshi'!D37</f>
        <v>3558764.3654065691</v>
      </c>
      <c r="E41" s="413" t="b">
        <f t="shared" si="5"/>
        <v>0</v>
      </c>
      <c r="F41" s="2">
        <f>'Summary2 (sorted)'!AD42</f>
        <v>3500000</v>
      </c>
      <c r="G41" s="3">
        <v>4000000</v>
      </c>
      <c r="H41" s="3">
        <f t="shared" si="6"/>
        <v>-404799.30753065832</v>
      </c>
      <c r="I41" s="590">
        <f t="shared" si="7"/>
        <v>0.88969109135164226</v>
      </c>
      <c r="J41" s="590">
        <f t="shared" si="4"/>
        <v>-0.11030890864835774</v>
      </c>
      <c r="K41" s="464">
        <v>39</v>
      </c>
    </row>
    <row r="42" spans="1:11" x14ac:dyDescent="0.35">
      <c r="A42" s="210" t="s">
        <v>273</v>
      </c>
      <c r="B42" s="7" t="s">
        <v>43</v>
      </c>
      <c r="C42" s="412">
        <f>'DETAILS (sorted)'!DS41</f>
        <v>10151755.117282866</v>
      </c>
      <c r="D42" s="412">
        <f>'40 Ahmad Yahya'!D37</f>
        <v>5248869.9930979256</v>
      </c>
      <c r="E42" s="413" t="b">
        <f t="shared" si="5"/>
        <v>0</v>
      </c>
      <c r="F42" s="2">
        <f>'Summary2 (sorted)'!AD43</f>
        <v>3500000</v>
      </c>
      <c r="G42" s="3">
        <v>15000000</v>
      </c>
      <c r="H42" s="3">
        <f t="shared" si="6"/>
        <v>-4848244.8827171344</v>
      </c>
      <c r="I42" s="590">
        <f t="shared" si="7"/>
        <v>0.34992466620652835</v>
      </c>
      <c r="J42" s="590">
        <f t="shared" si="4"/>
        <v>-0.65007533379347171</v>
      </c>
      <c r="K42" s="464">
        <v>40</v>
      </c>
    </row>
    <row r="43" spans="1:11" x14ac:dyDescent="0.35">
      <c r="A43" s="210" t="s">
        <v>274</v>
      </c>
      <c r="B43" s="7" t="s">
        <v>1299</v>
      </c>
      <c r="C43" s="412">
        <f>'DETAILS (sorted)'!DS42</f>
        <v>9118798.2763015889</v>
      </c>
      <c r="D43" s="412">
        <f>'41 Edgar Shumbusho'!D37</f>
        <v>4021381.8732032226</v>
      </c>
      <c r="E43" s="413" t="b">
        <f t="shared" si="5"/>
        <v>0</v>
      </c>
      <c r="F43" s="2">
        <f>'Summary2 (sorted)'!AD44</f>
        <v>3500000</v>
      </c>
      <c r="G43" s="3">
        <v>30000000</v>
      </c>
      <c r="H43" s="3">
        <f t="shared" si="6"/>
        <v>-20881201.723698411</v>
      </c>
      <c r="I43" s="590">
        <f t="shared" si="7"/>
        <v>0.13404606244010742</v>
      </c>
      <c r="J43" s="590">
        <f t="shared" si="4"/>
        <v>-0.86595393755989258</v>
      </c>
      <c r="K43" s="464">
        <v>41</v>
      </c>
    </row>
    <row r="44" spans="1:11" x14ac:dyDescent="0.35">
      <c r="A44" s="210" t="s">
        <v>275</v>
      </c>
      <c r="B44" s="7" t="s">
        <v>79</v>
      </c>
      <c r="C44" s="412">
        <f>'DETAILS (sorted)'!DS43</f>
        <v>13745601.146169009</v>
      </c>
      <c r="D44" s="412">
        <f>'42 Adam Urassa'!D37</f>
        <v>13606293.424047869</v>
      </c>
      <c r="E44" s="413" t="b">
        <f t="shared" si="5"/>
        <v>0</v>
      </c>
      <c r="F44" s="2">
        <f>'Summary2 (sorted)'!AD45</f>
        <v>3500000</v>
      </c>
      <c r="G44" s="3">
        <v>30000000</v>
      </c>
      <c r="H44" s="3">
        <f t="shared" si="6"/>
        <v>-16254398.853830991</v>
      </c>
      <c r="I44" s="590">
        <f t="shared" si="7"/>
        <v>0.45354311413492898</v>
      </c>
      <c r="J44" s="590">
        <f t="shared" si="4"/>
        <v>-0.54645688586507102</v>
      </c>
      <c r="K44" s="464">
        <v>42</v>
      </c>
    </row>
    <row r="45" spans="1:11" x14ac:dyDescent="0.35">
      <c r="A45" s="210" t="s">
        <v>276</v>
      </c>
      <c r="B45" s="7" t="s">
        <v>617</v>
      </c>
      <c r="C45" s="412">
        <f>'DETAILS (sorted)'!DS44</f>
        <v>3801212.8311871896</v>
      </c>
      <c r="D45" s="412">
        <f>'43 Innocent Kasigwa'!D37</f>
        <v>3762688.6302316054</v>
      </c>
      <c r="E45" s="413" t="b">
        <f t="shared" si="5"/>
        <v>0</v>
      </c>
      <c r="F45" s="2">
        <f>'Summary2 (sorted)'!AD46</f>
        <v>3500000</v>
      </c>
      <c r="G45" s="3">
        <v>10000000</v>
      </c>
      <c r="H45" s="3">
        <f t="shared" si="6"/>
        <v>-6198787.1688128104</v>
      </c>
      <c r="I45" s="590">
        <f t="shared" si="7"/>
        <v>0.37626886302316054</v>
      </c>
      <c r="J45" s="590">
        <f t="shared" si="4"/>
        <v>-0.62373113697683946</v>
      </c>
      <c r="K45" s="464">
        <v>43</v>
      </c>
    </row>
    <row r="46" spans="1:11" x14ac:dyDescent="0.35">
      <c r="A46" s="210" t="s">
        <v>277</v>
      </c>
      <c r="B46" s="7" t="s">
        <v>58</v>
      </c>
      <c r="C46" s="412">
        <f>'DETAILS (sorted)'!DS45</f>
        <v>28293742.550772849</v>
      </c>
      <c r="D46" s="412">
        <f>'44 Abduel Kitururu'!D37</f>
        <v>28006993.591370042</v>
      </c>
      <c r="E46" s="413" t="b">
        <f t="shared" si="5"/>
        <v>0</v>
      </c>
      <c r="F46" s="2">
        <f>'Summary2 (sorted)'!AD47</f>
        <v>3500000</v>
      </c>
      <c r="G46" s="3">
        <v>30000000</v>
      </c>
      <c r="H46" s="3">
        <f t="shared" si="6"/>
        <v>-1706257.4492271505</v>
      </c>
      <c r="I46" s="590">
        <f t="shared" si="7"/>
        <v>0.9335664530456681</v>
      </c>
      <c r="J46" s="590">
        <f t="shared" si="4"/>
        <v>-6.6433546954331901E-2</v>
      </c>
      <c r="K46" s="464">
        <v>44</v>
      </c>
    </row>
    <row r="47" spans="1:11" x14ac:dyDescent="0.35">
      <c r="A47" s="210" t="s">
        <v>278</v>
      </c>
      <c r="B47" s="7" t="s">
        <v>279</v>
      </c>
      <c r="C47" s="412">
        <f>'DETAILS (sorted)'!DS46</f>
        <v>3518048.2008464723</v>
      </c>
      <c r="D47" s="412">
        <f>'45 Ernest Shirima'!D37</f>
        <v>3482393.7921406813</v>
      </c>
      <c r="E47" s="413" t="b">
        <f t="shared" si="5"/>
        <v>0</v>
      </c>
      <c r="F47" s="2">
        <f>'Summary2 (sorted)'!AD48</f>
        <v>3500000</v>
      </c>
      <c r="G47" s="3">
        <v>10000000</v>
      </c>
      <c r="H47" s="3">
        <f t="shared" si="6"/>
        <v>-6481951.7991535272</v>
      </c>
      <c r="I47" s="590">
        <f t="shared" si="7"/>
        <v>0.34823937921406811</v>
      </c>
      <c r="J47" s="590">
        <f t="shared" si="4"/>
        <v>-0.65176062078593189</v>
      </c>
      <c r="K47" s="464">
        <v>45</v>
      </c>
    </row>
    <row r="48" spans="1:11" x14ac:dyDescent="0.35">
      <c r="A48" s="210" t="s">
        <v>280</v>
      </c>
      <c r="B48" s="7" t="s">
        <v>780</v>
      </c>
      <c r="C48" s="412">
        <f>'DETAILS (sorted)'!DS47</f>
        <v>10767911.426271165</v>
      </c>
      <c r="D48" s="412">
        <f>' 46 Adolph Ndeabura'!D37</f>
        <v>10158781.734754248</v>
      </c>
      <c r="E48" s="413" t="b">
        <f t="shared" si="5"/>
        <v>0</v>
      </c>
      <c r="F48" s="2">
        <f>'Summary2 (sorted)'!AD49</f>
        <v>3500000</v>
      </c>
      <c r="G48" s="3">
        <v>10000000</v>
      </c>
      <c r="H48" s="3">
        <f t="shared" si="6"/>
        <v>767911.42627116479</v>
      </c>
      <c r="I48" s="590">
        <f t="shared" si="7"/>
        <v>1.0158781734754248</v>
      </c>
      <c r="J48" s="590">
        <f t="shared" si="4"/>
        <v>1.5878173475424751E-2</v>
      </c>
      <c r="K48" s="464">
        <v>46</v>
      </c>
    </row>
    <row r="49" spans="1:11" x14ac:dyDescent="0.35">
      <c r="A49" s="210" t="s">
        <v>281</v>
      </c>
      <c r="B49" s="7" t="s">
        <v>67</v>
      </c>
      <c r="C49" s="412">
        <f>'DETAILS (sorted)'!DS48</f>
        <v>3658462.9946216233</v>
      </c>
      <c r="D49" s="412">
        <f>'47 Emmanuel Msaki'!D37</f>
        <v>1121385.5222851541</v>
      </c>
      <c r="E49" s="413" t="b">
        <f t="shared" si="5"/>
        <v>0</v>
      </c>
      <c r="F49" s="2">
        <f>'Summary2 (sorted)'!AD50</f>
        <v>3500000</v>
      </c>
      <c r="G49" s="3">
        <v>4000000</v>
      </c>
      <c r="H49" s="3">
        <f t="shared" si="6"/>
        <v>-341537.00537837669</v>
      </c>
      <c r="I49" s="590">
        <f t="shared" si="7"/>
        <v>0.28034638057128852</v>
      </c>
      <c r="J49" s="590">
        <f t="shared" si="4"/>
        <v>-0.71965361942871153</v>
      </c>
      <c r="K49" s="464">
        <v>47</v>
      </c>
    </row>
    <row r="50" spans="1:11" x14ac:dyDescent="0.35">
      <c r="A50" s="210" t="s">
        <v>282</v>
      </c>
      <c r="B50" s="7" t="s">
        <v>70</v>
      </c>
      <c r="C50" s="412">
        <f>'DETAILS (sorted)'!DS49</f>
        <v>3585090.2112321621</v>
      </c>
      <c r="D50" s="412">
        <f>'48 Nickson Matowo'!D37</f>
        <v>3548756.3509946456</v>
      </c>
      <c r="E50" s="413" t="b">
        <f t="shared" si="5"/>
        <v>0</v>
      </c>
      <c r="F50" s="2">
        <f>'Summary2 (sorted)'!AD51</f>
        <v>3500000</v>
      </c>
      <c r="G50" s="3">
        <v>5000000</v>
      </c>
      <c r="H50" s="3">
        <f t="shared" si="6"/>
        <v>-1414909.7887678379</v>
      </c>
      <c r="I50" s="590">
        <f t="shared" si="7"/>
        <v>0.70975127019892914</v>
      </c>
      <c r="J50" s="590">
        <f t="shared" si="4"/>
        <v>-0.29024872980107086</v>
      </c>
      <c r="K50" s="464">
        <v>48</v>
      </c>
    </row>
    <row r="51" spans="1:11" x14ac:dyDescent="0.35">
      <c r="A51" s="210" t="s">
        <v>283</v>
      </c>
      <c r="B51" s="7" t="s">
        <v>53</v>
      </c>
      <c r="C51" s="412">
        <f>'DETAILS (sorted)'!DS50</f>
        <v>5682442.5703993607</v>
      </c>
      <c r="D51" s="412">
        <f>'49 Ligglye Vumilia'!D37</f>
        <v>5524852.6460192865</v>
      </c>
      <c r="E51" s="413" t="b">
        <f t="shared" si="5"/>
        <v>0</v>
      </c>
      <c r="F51" s="2">
        <f>'Summary2 (sorted)'!AD52</f>
        <v>3500000</v>
      </c>
      <c r="G51" s="3">
        <v>15000000</v>
      </c>
      <c r="H51" s="3">
        <f t="shared" si="6"/>
        <v>-9317557.4296006393</v>
      </c>
      <c r="I51" s="590">
        <f t="shared" si="7"/>
        <v>0.36832350973461908</v>
      </c>
      <c r="J51" s="590">
        <f t="shared" si="4"/>
        <v>-0.63167649026538086</v>
      </c>
      <c r="K51" s="464">
        <v>49</v>
      </c>
    </row>
    <row r="52" spans="1:11" x14ac:dyDescent="0.35">
      <c r="A52" s="210" t="s">
        <v>284</v>
      </c>
      <c r="B52" s="7" t="s">
        <v>78</v>
      </c>
      <c r="C52" s="412">
        <f>'DETAILS (sorted)'!DS51</f>
        <v>15120028.682057185</v>
      </c>
      <c r="D52" s="412">
        <f>'50 Shumbi Mkumbo'!D37</f>
        <v>1466791.5313712943</v>
      </c>
      <c r="E52" s="413" t="b">
        <f t="shared" si="5"/>
        <v>0</v>
      </c>
      <c r="F52" s="2">
        <f>'Summary2 (sorted)'!AD53</f>
        <v>3500000</v>
      </c>
      <c r="G52" s="3">
        <v>4000000</v>
      </c>
      <c r="H52" s="3">
        <f t="shared" si="6"/>
        <v>11120028.682057185</v>
      </c>
      <c r="I52" s="590">
        <f t="shared" si="7"/>
        <v>0.36669788284282356</v>
      </c>
      <c r="J52" s="590">
        <f t="shared" si="4"/>
        <v>-0.63330211715717644</v>
      </c>
      <c r="K52" s="464">
        <v>50</v>
      </c>
    </row>
    <row r="53" spans="1:11" x14ac:dyDescent="0.35">
      <c r="A53" s="210" t="s">
        <v>285</v>
      </c>
      <c r="B53" s="7" t="s">
        <v>62</v>
      </c>
      <c r="C53" s="412">
        <f>'DETAILS (sorted)'!DS52</f>
        <v>3418616.3167021372</v>
      </c>
      <c r="D53" s="412">
        <f>'51 Nalogwa Kiula'!D37</f>
        <v>3383969.6216015257</v>
      </c>
      <c r="E53" s="413" t="b">
        <f t="shared" si="5"/>
        <v>0</v>
      </c>
      <c r="F53" s="2">
        <f>'Summary2 (sorted)'!AD54</f>
        <v>3500000</v>
      </c>
      <c r="G53" s="3">
        <v>4000000</v>
      </c>
      <c r="H53" s="3">
        <f t="shared" si="6"/>
        <v>-581383.68329786276</v>
      </c>
      <c r="I53" s="590">
        <f t="shared" si="7"/>
        <v>0.84599240540038145</v>
      </c>
      <c r="J53" s="590">
        <f t="shared" ref="J53:J84" si="8">I53-1</f>
        <v>-0.15400759459961855</v>
      </c>
      <c r="K53" s="464">
        <v>51</v>
      </c>
    </row>
    <row r="54" spans="1:11" x14ac:dyDescent="0.35">
      <c r="A54" s="210" t="s">
        <v>286</v>
      </c>
      <c r="B54" s="7" t="s">
        <v>49</v>
      </c>
      <c r="C54" s="412">
        <f>'DETAILS (sorted)'!DS53</f>
        <v>4408352.007749619</v>
      </c>
      <c r="D54" s="412">
        <f>'52 Omary Mwasema'!D37</f>
        <v>4363674.6255109468</v>
      </c>
      <c r="E54" s="413" t="b">
        <f t="shared" si="5"/>
        <v>0</v>
      </c>
      <c r="F54" s="2">
        <f>'Summary2 (sorted)'!AD55</f>
        <v>3500000</v>
      </c>
      <c r="G54" s="3">
        <v>10000000</v>
      </c>
      <c r="H54" s="3">
        <f t="shared" si="6"/>
        <v>-5591647.992250381</v>
      </c>
      <c r="I54" s="590">
        <f t="shared" si="7"/>
        <v>0.43636746255109471</v>
      </c>
      <c r="J54" s="590">
        <f t="shared" si="8"/>
        <v>-0.56363253744890529</v>
      </c>
      <c r="K54" s="464">
        <v>52</v>
      </c>
    </row>
    <row r="55" spans="1:11" x14ac:dyDescent="0.35">
      <c r="A55" s="210" t="s">
        <v>287</v>
      </c>
      <c r="B55" s="7" t="s">
        <v>80</v>
      </c>
      <c r="C55" s="412">
        <f>'DETAILS (sorted)'!DS54</f>
        <v>5453472.1384301092</v>
      </c>
      <c r="D55" s="412">
        <f>'53 Robert Masegese'!D37</f>
        <v>3778202.7636550711</v>
      </c>
      <c r="E55" s="413" t="b">
        <f t="shared" si="5"/>
        <v>0</v>
      </c>
      <c r="F55" s="2">
        <f>'Summary2 (sorted)'!AD56</f>
        <v>3500000</v>
      </c>
      <c r="G55" s="3">
        <v>4000000</v>
      </c>
      <c r="H55" s="3">
        <f t="shared" si="6"/>
        <v>1453472.1384301092</v>
      </c>
      <c r="I55" s="590">
        <f t="shared" si="7"/>
        <v>0.94455069091376775</v>
      </c>
      <c r="J55" s="590">
        <f t="shared" si="8"/>
        <v>-5.5449309086232246E-2</v>
      </c>
      <c r="K55" s="464">
        <v>53</v>
      </c>
    </row>
    <row r="56" spans="1:11" x14ac:dyDescent="0.35">
      <c r="A56" s="210" t="s">
        <v>288</v>
      </c>
      <c r="B56" s="7" t="s">
        <v>289</v>
      </c>
      <c r="C56" s="412">
        <f>'DETAILS (sorted)'!DS55</f>
        <v>3686768.0513019888</v>
      </c>
      <c r="D56" s="412">
        <f>'54 Stanslaus Nyembea'!D37</f>
        <v>3649403.7153406604</v>
      </c>
      <c r="E56" s="413" t="b">
        <f t="shared" si="5"/>
        <v>0</v>
      </c>
      <c r="F56" s="2">
        <f>'Summary2 (sorted)'!AD57</f>
        <v>3500000</v>
      </c>
      <c r="G56" s="3">
        <v>10000000</v>
      </c>
      <c r="H56" s="3">
        <f t="shared" si="6"/>
        <v>-6313231.9486980112</v>
      </c>
      <c r="I56" s="590">
        <f t="shared" si="7"/>
        <v>0.36494037153406605</v>
      </c>
      <c r="J56" s="590">
        <f t="shared" si="8"/>
        <v>-0.635059628465934</v>
      </c>
      <c r="K56" s="464">
        <v>54</v>
      </c>
    </row>
    <row r="57" spans="1:11" x14ac:dyDescent="0.35">
      <c r="A57" s="210" t="s">
        <v>290</v>
      </c>
      <c r="B57" s="7" t="s">
        <v>975</v>
      </c>
      <c r="C57" s="412">
        <f>'DETAILS (sorted)'!DS56</f>
        <v>5523203.1013964452</v>
      </c>
      <c r="D57" s="412">
        <f>'55 SIFUNI MCHOME'!D37</f>
        <v>5467227.0233271094</v>
      </c>
      <c r="E57" s="413" t="b">
        <f t="shared" si="5"/>
        <v>0</v>
      </c>
      <c r="F57" s="2">
        <f>'Summary2 (sorted)'!AD58</f>
        <v>3500000</v>
      </c>
      <c r="G57" s="3">
        <v>4000000</v>
      </c>
      <c r="H57" s="3">
        <f t="shared" si="6"/>
        <v>1523203.1013964452</v>
      </c>
      <c r="I57" s="590">
        <f t="shared" si="7"/>
        <v>1.3668067558317774</v>
      </c>
      <c r="J57" s="590">
        <f t="shared" si="8"/>
        <v>0.36680675583177735</v>
      </c>
      <c r="K57" s="464">
        <v>55</v>
      </c>
    </row>
    <row r="58" spans="1:11" x14ac:dyDescent="0.35">
      <c r="A58" s="210" t="s">
        <v>291</v>
      </c>
      <c r="B58" s="7" t="s">
        <v>1287</v>
      </c>
      <c r="C58" s="412">
        <f>'DETAILS (sorted)'!DS57</f>
        <v>3660677.403756598</v>
      </c>
      <c r="D58" s="412">
        <f>'56 Leo Richard Kilamile'!D37</f>
        <v>3623577.4890191639</v>
      </c>
      <c r="E58" s="413" t="b">
        <f t="shared" si="5"/>
        <v>0</v>
      </c>
      <c r="F58" s="2">
        <f>'Summary2 (sorted)'!AD59</f>
        <v>3500000</v>
      </c>
      <c r="G58" s="3">
        <v>10000000</v>
      </c>
      <c r="H58" s="3">
        <f t="shared" si="6"/>
        <v>-6339322.596243402</v>
      </c>
      <c r="I58" s="590">
        <f t="shared" si="7"/>
        <v>0.36235774890191641</v>
      </c>
      <c r="J58" s="590">
        <f t="shared" si="8"/>
        <v>-0.63764225109808359</v>
      </c>
      <c r="K58" s="464">
        <v>56</v>
      </c>
    </row>
    <row r="59" spans="1:11" x14ac:dyDescent="0.35">
      <c r="A59" s="210" t="s">
        <v>292</v>
      </c>
      <c r="B59" s="7" t="s">
        <v>293</v>
      </c>
      <c r="C59" s="412">
        <f>'DETAILS (sorted)'!DS58</f>
        <v>3574853.3430419164</v>
      </c>
      <c r="D59" s="412">
        <f>'57 Patiens Rweyemamu'!D37</f>
        <v>3538623.2305251504</v>
      </c>
      <c r="E59" s="413" t="b">
        <f t="shared" si="5"/>
        <v>0</v>
      </c>
      <c r="F59" s="2">
        <f>'Summary2 (sorted)'!AD60</f>
        <v>3500000</v>
      </c>
      <c r="G59" s="3">
        <v>10000000</v>
      </c>
      <c r="H59" s="3">
        <f t="shared" si="6"/>
        <v>-6425146.6569580836</v>
      </c>
      <c r="I59" s="590">
        <f t="shared" si="7"/>
        <v>0.35386232305251503</v>
      </c>
      <c r="J59" s="590">
        <f t="shared" si="8"/>
        <v>-0.64613767694748492</v>
      </c>
      <c r="K59" s="464">
        <v>57</v>
      </c>
    </row>
    <row r="60" spans="1:11" x14ac:dyDescent="0.35">
      <c r="A60" s="210" t="s">
        <v>294</v>
      </c>
      <c r="B60" s="7" t="s">
        <v>34</v>
      </c>
      <c r="C60" s="412">
        <f>'DETAILS (sorted)'!DS59</f>
        <v>73534021.629986867</v>
      </c>
      <c r="D60" s="412">
        <f>'58 Jacobs Casthom Mwambegele'!D37</f>
        <v>3788775.4277474973</v>
      </c>
      <c r="E60" s="413" t="b">
        <f t="shared" si="5"/>
        <v>0</v>
      </c>
      <c r="F60" s="2">
        <f>'Summary2 (sorted)'!AD61</f>
        <v>3500000</v>
      </c>
      <c r="G60" s="3">
        <v>4000000</v>
      </c>
      <c r="H60" s="3">
        <f t="shared" si="6"/>
        <v>69534021.629986867</v>
      </c>
      <c r="I60" s="590">
        <f t="shared" si="7"/>
        <v>0.9471938569368743</v>
      </c>
      <c r="J60" s="590">
        <f t="shared" si="8"/>
        <v>-5.2806143063125699E-2</v>
      </c>
      <c r="K60" s="464">
        <v>58</v>
      </c>
    </row>
    <row r="61" spans="1:11" x14ac:dyDescent="0.35">
      <c r="A61" s="210" t="s">
        <v>295</v>
      </c>
      <c r="B61" s="7" t="s">
        <v>47</v>
      </c>
      <c r="C61" s="412">
        <f>'DETAILS (sorted)'!DS60</f>
        <v>4134406.0530199073</v>
      </c>
      <c r="D61" s="412">
        <f>'59 David Koilla'!D37</f>
        <v>4092505.0343998121</v>
      </c>
      <c r="E61" s="413" t="b">
        <f t="shared" si="5"/>
        <v>0</v>
      </c>
      <c r="F61" s="2">
        <f>'Summary2 (sorted)'!AD62</f>
        <v>3500000</v>
      </c>
      <c r="G61" s="3">
        <v>4000000</v>
      </c>
      <c r="H61" s="3">
        <f t="shared" si="6"/>
        <v>134406.05301990733</v>
      </c>
      <c r="I61" s="590">
        <f t="shared" si="7"/>
        <v>1.023126258599953</v>
      </c>
      <c r="J61" s="590">
        <f t="shared" si="8"/>
        <v>2.3126258599952987E-2</v>
      </c>
      <c r="K61" s="464">
        <v>59</v>
      </c>
    </row>
    <row r="62" spans="1:11" x14ac:dyDescent="0.35">
      <c r="A62" s="210" t="s">
        <v>296</v>
      </c>
      <c r="B62" s="7" t="s">
        <v>1034</v>
      </c>
      <c r="C62" s="412">
        <f>'DETAILS (sorted)'!DS61</f>
        <v>6193496.9316000231</v>
      </c>
      <c r="D62" s="412">
        <f>'60 Beatus Rwegalulira'!D37</f>
        <v>6130727.6179606616</v>
      </c>
      <c r="E62" s="413" t="b">
        <f t="shared" si="5"/>
        <v>0</v>
      </c>
      <c r="F62" s="2">
        <f>'Summary2 (sorted)'!AD63</f>
        <v>3500000</v>
      </c>
      <c r="G62" s="3">
        <v>20000000</v>
      </c>
      <c r="H62" s="3">
        <f t="shared" si="6"/>
        <v>-13806503.068399977</v>
      </c>
      <c r="I62" s="590">
        <f t="shared" si="7"/>
        <v>0.30653638089803309</v>
      </c>
      <c r="J62" s="590">
        <f t="shared" si="8"/>
        <v>-0.69346361910196697</v>
      </c>
      <c r="K62" s="464">
        <v>60</v>
      </c>
    </row>
    <row r="63" spans="1:11" x14ac:dyDescent="0.35">
      <c r="A63" s="210" t="s">
        <v>297</v>
      </c>
      <c r="B63" s="7" t="s">
        <v>298</v>
      </c>
      <c r="C63" s="412">
        <f>'DETAILS (sorted)'!DS62</f>
        <v>92833877.743412971</v>
      </c>
      <c r="D63" s="412">
        <f>'61 Emmanuel Metta'!D37</f>
        <v>56893033.039235637</v>
      </c>
      <c r="E63" s="413" t="b">
        <f t="shared" si="5"/>
        <v>0</v>
      </c>
      <c r="F63" s="2">
        <f>'Summary2 (sorted)'!AD64</f>
        <v>3500000</v>
      </c>
      <c r="G63" s="3">
        <v>70000000</v>
      </c>
      <c r="H63" s="3">
        <f t="shared" si="6"/>
        <v>22833877.743412971</v>
      </c>
      <c r="I63" s="590">
        <f t="shared" si="7"/>
        <v>0.81275761484622333</v>
      </c>
      <c r="J63" s="590">
        <f t="shared" si="8"/>
        <v>-0.18724238515377667</v>
      </c>
      <c r="K63" s="464">
        <v>61</v>
      </c>
    </row>
    <row r="64" spans="1:11" x14ac:dyDescent="0.35">
      <c r="A64" s="210" t="s">
        <v>299</v>
      </c>
      <c r="B64" s="7" t="s">
        <v>300</v>
      </c>
      <c r="C64" s="412">
        <f>'DETAILS (sorted)'!DS63</f>
        <v>5224156.1706417687</v>
      </c>
      <c r="D64" s="412">
        <f>'62 Africa Silayo'!D27</f>
        <v>5199146.8150486946</v>
      </c>
      <c r="E64" s="413" t="b">
        <f t="shared" si="5"/>
        <v>0</v>
      </c>
      <c r="F64" s="2">
        <f>'Summary2 (sorted)'!AD65</f>
        <v>3500000</v>
      </c>
      <c r="G64" s="3">
        <v>10000000</v>
      </c>
      <c r="H64" s="3">
        <f t="shared" si="6"/>
        <v>-4775843.8293582313</v>
      </c>
      <c r="I64" s="590">
        <f t="shared" si="7"/>
        <v>0.51991468150486941</v>
      </c>
      <c r="J64" s="590">
        <f t="shared" si="8"/>
        <v>-0.48008531849513059</v>
      </c>
      <c r="K64" s="464">
        <v>62</v>
      </c>
    </row>
    <row r="65" spans="1:11" x14ac:dyDescent="0.35">
      <c r="A65" s="210" t="s">
        <v>301</v>
      </c>
      <c r="B65" s="7" t="s">
        <v>302</v>
      </c>
      <c r="C65" s="412">
        <f>'DETAILS (sorted)'!DS64</f>
        <v>8308067.6792666558</v>
      </c>
      <c r="D65" s="412">
        <f>'63 Ted Silkuluwasha'!D27</f>
        <v>7223867.7980596088</v>
      </c>
      <c r="E65" s="413" t="b">
        <f t="shared" si="5"/>
        <v>0</v>
      </c>
      <c r="F65" s="2">
        <f>'Summary2 (sorted)'!AD66</f>
        <v>3500000</v>
      </c>
      <c r="G65" s="3">
        <v>15000000</v>
      </c>
      <c r="H65" s="3">
        <f t="shared" si="6"/>
        <v>-6691932.3207333442</v>
      </c>
      <c r="I65" s="590">
        <f t="shared" si="7"/>
        <v>0.48159118653730726</v>
      </c>
      <c r="J65" s="590">
        <f t="shared" si="8"/>
        <v>-0.51840881346269274</v>
      </c>
      <c r="K65" s="464">
        <v>63</v>
      </c>
    </row>
    <row r="66" spans="1:11" x14ac:dyDescent="0.35">
      <c r="A66" s="210" t="s">
        <v>303</v>
      </c>
      <c r="B66" s="7" t="s">
        <v>304</v>
      </c>
      <c r="C66" s="412">
        <f>'DETAILS (sorted)'!DS65</f>
        <v>8279168.2144382838</v>
      </c>
      <c r="D66" s="412">
        <f>'64 Deogratius Lashayo'!D27</f>
        <v>5195261.2210120577</v>
      </c>
      <c r="E66" s="413" t="b">
        <f t="shared" si="5"/>
        <v>0</v>
      </c>
      <c r="F66" s="2">
        <f>'Summary2 (sorted)'!AD67</f>
        <v>3500000</v>
      </c>
      <c r="G66" s="3">
        <v>15000000</v>
      </c>
      <c r="H66" s="3">
        <f t="shared" si="6"/>
        <v>-6720831.7855617162</v>
      </c>
      <c r="I66" s="590">
        <f t="shared" si="7"/>
        <v>0.34635074806747052</v>
      </c>
      <c r="J66" s="590">
        <f t="shared" si="8"/>
        <v>-0.65364925193252943</v>
      </c>
      <c r="K66" s="464">
        <v>64</v>
      </c>
    </row>
    <row r="67" spans="1:11" x14ac:dyDescent="0.35">
      <c r="A67" s="210" t="s">
        <v>305</v>
      </c>
      <c r="B67" s="7" t="s">
        <v>306</v>
      </c>
      <c r="C67" s="412">
        <f>'DETAILS (sorted)'!DS66</f>
        <v>20346790.945684433</v>
      </c>
      <c r="D67" s="412">
        <f>'65 Aminiel Kabura'!D27</f>
        <v>15140582.059730522</v>
      </c>
      <c r="E67" s="413" t="b">
        <f t="shared" ref="E67:E98" si="9">C67=D67</f>
        <v>0</v>
      </c>
      <c r="F67" s="2">
        <f>'Summary2 (sorted)'!AD68</f>
        <v>3500000</v>
      </c>
      <c r="G67" s="3">
        <v>30000000</v>
      </c>
      <c r="H67" s="3">
        <f t="shared" ref="H67:H98" si="10">C67-G67</f>
        <v>-9653209.054315567</v>
      </c>
      <c r="I67" s="590">
        <f t="shared" ref="I67:I98" si="11">D67/G67</f>
        <v>0.50468606865768406</v>
      </c>
      <c r="J67" s="590">
        <f t="shared" si="8"/>
        <v>-0.49531393134231594</v>
      </c>
      <c r="K67" s="464">
        <v>65</v>
      </c>
    </row>
    <row r="68" spans="1:11" x14ac:dyDescent="0.35">
      <c r="A68" s="210" t="s">
        <v>307</v>
      </c>
      <c r="B68" s="7" t="s">
        <v>308</v>
      </c>
      <c r="C68" s="412">
        <f>'DETAILS (sorted)'!DS67</f>
        <v>20581320.611616503</v>
      </c>
      <c r="D68" s="412">
        <f>'66 Gilbert Mrema'!D27</f>
        <v>10372734.834817048</v>
      </c>
      <c r="E68" s="413" t="b">
        <f t="shared" si="9"/>
        <v>0</v>
      </c>
      <c r="F68" s="2">
        <f>'Summary2 (sorted)'!AD69</f>
        <v>3500000</v>
      </c>
      <c r="G68" s="3">
        <v>30000000</v>
      </c>
      <c r="H68" s="3">
        <f t="shared" si="10"/>
        <v>-9418679.3883834966</v>
      </c>
      <c r="I68" s="590">
        <f t="shared" si="11"/>
        <v>0.34575782782723496</v>
      </c>
      <c r="J68" s="590">
        <f t="shared" si="8"/>
        <v>-0.65424217217276504</v>
      </c>
      <c r="K68" s="464">
        <v>66</v>
      </c>
    </row>
    <row r="69" spans="1:11" x14ac:dyDescent="0.35">
      <c r="A69" s="210" t="s">
        <v>309</v>
      </c>
      <c r="B69" s="7" t="s">
        <v>310</v>
      </c>
      <c r="C69" s="412">
        <f>'DETAILS (sorted)'!DS68</f>
        <v>4376877.2526204214</v>
      </c>
      <c r="D69" s="412">
        <f>'67 Philemon Barabojick'!D27</f>
        <v>3632518.8579905638</v>
      </c>
      <c r="E69" s="413" t="b">
        <f t="shared" si="9"/>
        <v>0</v>
      </c>
      <c r="F69" s="2">
        <f>'Summary2 (sorted)'!AD70</f>
        <v>3500000</v>
      </c>
      <c r="G69" s="3">
        <v>10000000</v>
      </c>
      <c r="H69" s="3">
        <f t="shared" si="10"/>
        <v>-5623122.7473795786</v>
      </c>
      <c r="I69" s="590">
        <f t="shared" si="11"/>
        <v>0.36325188579905637</v>
      </c>
      <c r="J69" s="590">
        <f t="shared" si="8"/>
        <v>-0.63674811420094368</v>
      </c>
      <c r="K69" s="464">
        <v>67</v>
      </c>
    </row>
    <row r="70" spans="1:11" x14ac:dyDescent="0.35">
      <c r="A70" s="210" t="s">
        <v>311</v>
      </c>
      <c r="B70" s="7" t="s">
        <v>312</v>
      </c>
      <c r="C70" s="412">
        <f>'DETAILS (sorted)'!DS69</f>
        <v>21572773.410590589</v>
      </c>
      <c r="D70" s="412">
        <f>'68 Wasia Mushi'!D27</f>
        <v>14354139.544257108</v>
      </c>
      <c r="E70" s="413" t="b">
        <f t="shared" si="9"/>
        <v>0</v>
      </c>
      <c r="F70" s="2">
        <f>'Summary2 (sorted)'!AD71</f>
        <v>3500000</v>
      </c>
      <c r="G70" s="3">
        <v>30000000</v>
      </c>
      <c r="H70" s="3">
        <f t="shared" si="10"/>
        <v>-8427226.589409411</v>
      </c>
      <c r="I70" s="590">
        <f t="shared" si="11"/>
        <v>0.47847131814190358</v>
      </c>
      <c r="J70" s="590">
        <f t="shared" si="8"/>
        <v>-0.52152868185809642</v>
      </c>
      <c r="K70" s="464">
        <v>68</v>
      </c>
    </row>
    <row r="71" spans="1:11" x14ac:dyDescent="0.35">
      <c r="A71" s="210" t="s">
        <v>313</v>
      </c>
      <c r="B71" s="7" t="s">
        <v>314</v>
      </c>
      <c r="C71" s="412">
        <f>'DETAILS (sorted)'!DS70</f>
        <v>3869131.4631617516</v>
      </c>
      <c r="D71" s="412">
        <f>'69 Judica Nassary'!D27</f>
        <v>3829918.9263662612</v>
      </c>
      <c r="E71" s="413" t="b">
        <f t="shared" si="9"/>
        <v>0</v>
      </c>
      <c r="F71" s="2">
        <f>'Summary2 (sorted)'!AD72</f>
        <v>3500000</v>
      </c>
      <c r="G71" s="3">
        <v>20000000</v>
      </c>
      <c r="H71" s="3">
        <f t="shared" si="10"/>
        <v>-16130868.536838248</v>
      </c>
      <c r="I71" s="590">
        <f t="shared" si="11"/>
        <v>0.19149594631831307</v>
      </c>
      <c r="J71" s="590">
        <f t="shared" si="8"/>
        <v>-0.80850405368168698</v>
      </c>
      <c r="K71" s="464">
        <v>69</v>
      </c>
    </row>
    <row r="72" spans="1:11" x14ac:dyDescent="0.35">
      <c r="A72" s="210" t="s">
        <v>315</v>
      </c>
      <c r="B72" s="7" t="s">
        <v>316</v>
      </c>
      <c r="C72" s="412">
        <f>'DETAILS (sorted)'!DS71</f>
        <v>15463177.878671918</v>
      </c>
      <c r="D72" s="412">
        <f>'70 Kusirye Ukio'!D27</f>
        <v>15306463.009374833</v>
      </c>
      <c r="E72" s="413" t="b">
        <f t="shared" si="9"/>
        <v>0</v>
      </c>
      <c r="F72" s="2">
        <f>'Summary2 (sorted)'!AD73</f>
        <v>3500000</v>
      </c>
      <c r="G72" s="3">
        <v>50000000</v>
      </c>
      <c r="H72" s="3">
        <f t="shared" si="10"/>
        <v>-34536822.121328086</v>
      </c>
      <c r="I72" s="590">
        <f t="shared" si="11"/>
        <v>0.30612926018749664</v>
      </c>
      <c r="J72" s="590">
        <f t="shared" si="8"/>
        <v>-0.69387073981250336</v>
      </c>
      <c r="K72" s="464">
        <v>70</v>
      </c>
    </row>
    <row r="73" spans="1:11" x14ac:dyDescent="0.35">
      <c r="A73" s="210" t="s">
        <v>317</v>
      </c>
      <c r="B73" s="7" t="s">
        <v>318</v>
      </c>
      <c r="C73" s="412">
        <f>'DETAILS (sorted)'!DS72</f>
        <v>6150365.3254044717</v>
      </c>
      <c r="D73" s="412">
        <f>'71 Eliud Massaga'!D25</f>
        <v>6088033.1382135376</v>
      </c>
      <c r="E73" s="413" t="b">
        <f t="shared" si="9"/>
        <v>0</v>
      </c>
      <c r="F73" s="2">
        <f>'Summary2 (sorted)'!AD74</f>
        <v>3500000</v>
      </c>
      <c r="G73" s="3">
        <v>15000000</v>
      </c>
      <c r="H73" s="3">
        <f t="shared" si="10"/>
        <v>-8849634.6745955274</v>
      </c>
      <c r="I73" s="590">
        <f t="shared" si="11"/>
        <v>0.40586887588090254</v>
      </c>
      <c r="J73" s="590">
        <f t="shared" si="8"/>
        <v>-0.59413112411909741</v>
      </c>
      <c r="K73" s="464">
        <v>71</v>
      </c>
    </row>
    <row r="74" spans="1:11" x14ac:dyDescent="0.35">
      <c r="A74" s="210" t="s">
        <v>319</v>
      </c>
      <c r="B74" s="7" t="s">
        <v>320</v>
      </c>
      <c r="C74" s="412">
        <f>'DETAILS (sorted)'!DS73</f>
        <v>4378782.4559366107</v>
      </c>
      <c r="D74" s="412">
        <f>'72 Ludovic Swai'!D25</f>
        <v>3834404.7526180074</v>
      </c>
      <c r="E74" s="413" t="b">
        <f t="shared" si="9"/>
        <v>0</v>
      </c>
      <c r="F74" s="2">
        <f>'Summary2 (sorted)'!AD75</f>
        <v>3500000</v>
      </c>
      <c r="G74" s="3">
        <v>10000000</v>
      </c>
      <c r="H74" s="3">
        <f t="shared" si="10"/>
        <v>-5621217.5440633893</v>
      </c>
      <c r="I74" s="590">
        <f t="shared" si="11"/>
        <v>0.38344047526180075</v>
      </c>
      <c r="J74" s="590">
        <f t="shared" si="8"/>
        <v>-0.61655952473819919</v>
      </c>
      <c r="K74" s="464">
        <v>72</v>
      </c>
    </row>
    <row r="75" spans="1:11" x14ac:dyDescent="0.35">
      <c r="A75" s="210" t="s">
        <v>321</v>
      </c>
      <c r="B75" s="7" t="s">
        <v>322</v>
      </c>
      <c r="C75" s="412">
        <f>'DETAILS (sorted)'!DS74</f>
        <v>3432274.1410848722</v>
      </c>
      <c r="D75" s="412">
        <f>'73 David Mushi'!D25</f>
        <v>3397489.0278544417</v>
      </c>
      <c r="E75" s="413" t="b">
        <f t="shared" si="9"/>
        <v>0</v>
      </c>
      <c r="F75" s="2">
        <f>'Summary2 (sorted)'!AD76</f>
        <v>3500000</v>
      </c>
      <c r="G75" s="3">
        <v>15000000</v>
      </c>
      <c r="H75" s="3">
        <f t="shared" si="10"/>
        <v>-11567725.858915128</v>
      </c>
      <c r="I75" s="590">
        <f t="shared" si="11"/>
        <v>0.22649926852362945</v>
      </c>
      <c r="J75" s="590">
        <f t="shared" si="8"/>
        <v>-0.77350073147637055</v>
      </c>
      <c r="K75" s="464">
        <v>73</v>
      </c>
    </row>
    <row r="76" spans="1:11" x14ac:dyDescent="0.35">
      <c r="A76" s="210" t="s">
        <v>323</v>
      </c>
      <c r="B76" s="7" t="s">
        <v>324</v>
      </c>
      <c r="C76" s="412">
        <f>'DETAILS (sorted)'!DS75</f>
        <v>4155857.8265486066</v>
      </c>
      <c r="D76" s="412">
        <f>'74 Boniphace Joseph'!D25</f>
        <v>4113739.4003612488</v>
      </c>
      <c r="E76" s="413" t="b">
        <f t="shared" si="9"/>
        <v>0</v>
      </c>
      <c r="F76" s="2">
        <f>'Summary2 (sorted)'!AD77</f>
        <v>3500000</v>
      </c>
      <c r="G76" s="3">
        <v>10000000</v>
      </c>
      <c r="H76" s="3">
        <f t="shared" si="10"/>
        <v>-5844142.1734513938</v>
      </c>
      <c r="I76" s="590">
        <f t="shared" si="11"/>
        <v>0.41137394003612487</v>
      </c>
      <c r="J76" s="590">
        <f t="shared" si="8"/>
        <v>-0.58862605996387507</v>
      </c>
      <c r="K76" s="464">
        <v>74</v>
      </c>
    </row>
    <row r="77" spans="1:11" x14ac:dyDescent="0.35">
      <c r="A77" s="210" t="s">
        <v>325</v>
      </c>
      <c r="B77" s="7" t="s">
        <v>326</v>
      </c>
      <c r="C77" s="412">
        <f>'DETAILS (sorted)'!DS76</f>
        <v>13633161.778948316</v>
      </c>
      <c r="D77" s="412">
        <f>'75 Paul Mikongoti'!D25</f>
        <v>11494993.59753971</v>
      </c>
      <c r="E77" s="413" t="b">
        <f t="shared" si="9"/>
        <v>0</v>
      </c>
      <c r="F77" s="2">
        <f>'Summary2 (sorted)'!AD78</f>
        <v>3500000</v>
      </c>
      <c r="G77" s="3">
        <v>30000000</v>
      </c>
      <c r="H77" s="3">
        <f t="shared" si="10"/>
        <v>-16366838.221051684</v>
      </c>
      <c r="I77" s="590">
        <f t="shared" si="11"/>
        <v>0.38316645325132365</v>
      </c>
      <c r="J77" s="590">
        <f t="shared" si="8"/>
        <v>-0.6168335467486763</v>
      </c>
      <c r="K77" s="464">
        <v>75</v>
      </c>
    </row>
    <row r="78" spans="1:11" x14ac:dyDescent="0.35">
      <c r="A78" s="311" t="s">
        <v>492</v>
      </c>
      <c r="B78" s="312" t="s">
        <v>493</v>
      </c>
      <c r="C78" s="412">
        <f>'DETAILS (sorted)'!DS77</f>
        <v>5359596.3143870281</v>
      </c>
      <c r="D78" s="412">
        <f>'76 Daniel Kisaka'!D25</f>
        <v>4305278.3441428384</v>
      </c>
      <c r="E78" s="413" t="b">
        <f t="shared" si="9"/>
        <v>0</v>
      </c>
      <c r="F78" s="2">
        <f>'Summary2 (sorted)'!AD79</f>
        <v>3500000</v>
      </c>
      <c r="G78" s="3">
        <v>10000000</v>
      </c>
      <c r="H78" s="3">
        <f t="shared" si="10"/>
        <v>-4640403.6856129719</v>
      </c>
      <c r="I78" s="590">
        <f t="shared" si="11"/>
        <v>0.43052783441428383</v>
      </c>
      <c r="J78" s="590">
        <f t="shared" si="8"/>
        <v>-0.56947216558571623</v>
      </c>
      <c r="K78" s="464">
        <v>76</v>
      </c>
    </row>
    <row r="79" spans="1:11" x14ac:dyDescent="0.35">
      <c r="A79" s="311" t="s">
        <v>494</v>
      </c>
      <c r="B79" s="7" t="s">
        <v>327</v>
      </c>
      <c r="C79" s="412">
        <f>'DETAILS (sorted)'!DS78</f>
        <v>11289226.752892096</v>
      </c>
      <c r="D79" s="412">
        <f>'77 Sililiandumi Naiman'!D27</f>
        <v>11174813.680176632</v>
      </c>
      <c r="E79" s="413" t="b">
        <f t="shared" si="9"/>
        <v>0</v>
      </c>
      <c r="F79" s="2">
        <f>'Summary2 (sorted)'!AD80</f>
        <v>3500000</v>
      </c>
      <c r="G79" s="3">
        <v>15000000</v>
      </c>
      <c r="H79" s="3">
        <f t="shared" si="10"/>
        <v>-3710773.2471079044</v>
      </c>
      <c r="I79" s="590">
        <f t="shared" si="11"/>
        <v>0.74498757867844212</v>
      </c>
      <c r="J79" s="590">
        <f t="shared" si="8"/>
        <v>-0.25501242132155788</v>
      </c>
      <c r="K79" s="464">
        <v>77</v>
      </c>
    </row>
    <row r="80" spans="1:11" x14ac:dyDescent="0.35">
      <c r="A80" s="311" t="s">
        <v>507</v>
      </c>
      <c r="B80" s="7" t="s">
        <v>508</v>
      </c>
      <c r="C80" s="412">
        <f>'DETAILS (sorted)'!DS79</f>
        <v>5469238.7882350823</v>
      </c>
      <c r="D80" s="412">
        <f>'78 Alcard Mumwi'!D27</f>
        <v>5413809.6229898836</v>
      </c>
      <c r="E80" s="413" t="b">
        <f t="shared" si="9"/>
        <v>0</v>
      </c>
      <c r="F80" s="2">
        <f>'Summary2 (sorted)'!AD81</f>
        <v>3500000</v>
      </c>
      <c r="G80" s="3">
        <v>10000000</v>
      </c>
      <c r="H80" s="3">
        <f t="shared" si="10"/>
        <v>-4530761.2117649177</v>
      </c>
      <c r="I80" s="590">
        <f t="shared" si="11"/>
        <v>0.54138096229898836</v>
      </c>
      <c r="J80" s="590">
        <f t="shared" si="8"/>
        <v>-0.45861903770101164</v>
      </c>
      <c r="K80" s="464">
        <v>78</v>
      </c>
    </row>
    <row r="81" spans="1:11" x14ac:dyDescent="0.35">
      <c r="A81" s="311" t="s">
        <v>511</v>
      </c>
      <c r="B81" s="7" t="s">
        <v>512</v>
      </c>
      <c r="C81" s="412">
        <f>'DETAILS (sorted)'!DS80</f>
        <v>12647570.449852392</v>
      </c>
      <c r="D81" s="412">
        <f>'79 Emmanuel Massawe'!D27</f>
        <v>12519390.953663053</v>
      </c>
      <c r="E81" s="413" t="b">
        <f t="shared" si="9"/>
        <v>0</v>
      </c>
      <c r="F81" s="2">
        <f>'Summary2 (sorted)'!AD82</f>
        <v>3500000</v>
      </c>
      <c r="G81" s="3">
        <v>30000000</v>
      </c>
      <c r="H81" s="3">
        <f t="shared" si="10"/>
        <v>-17352429.550147608</v>
      </c>
      <c r="I81" s="590">
        <f t="shared" si="11"/>
        <v>0.41731303178876844</v>
      </c>
      <c r="J81" s="590">
        <f t="shared" si="8"/>
        <v>-0.58268696821123156</v>
      </c>
      <c r="K81" s="464">
        <v>79</v>
      </c>
    </row>
    <row r="82" spans="1:11" x14ac:dyDescent="0.35">
      <c r="A82" s="311" t="s">
        <v>545</v>
      </c>
      <c r="B82" s="7" t="s">
        <v>546</v>
      </c>
      <c r="C82" s="412">
        <f>'DETAILS (sorted)'!DS81</f>
        <v>5434476.6504329043</v>
      </c>
      <c r="D82" s="412">
        <f>'80 Aisha Babu'!D27</f>
        <v>5179399.7894763127</v>
      </c>
      <c r="E82" s="413" t="b">
        <f t="shared" si="9"/>
        <v>0</v>
      </c>
      <c r="F82" s="2">
        <f>'Summary2 (sorted)'!AD83</f>
        <v>3500000</v>
      </c>
      <c r="G82" s="3">
        <v>4000000</v>
      </c>
      <c r="H82" s="3">
        <f t="shared" si="10"/>
        <v>1434476.6504329043</v>
      </c>
      <c r="I82" s="590">
        <f t="shared" si="11"/>
        <v>1.2948499473690782</v>
      </c>
      <c r="J82" s="590">
        <f t="shared" si="8"/>
        <v>0.29484994736907821</v>
      </c>
      <c r="K82" s="464">
        <v>80</v>
      </c>
    </row>
    <row r="83" spans="1:11" x14ac:dyDescent="0.35">
      <c r="A83" s="311" t="s">
        <v>566</v>
      </c>
      <c r="B83" s="7" t="s">
        <v>601</v>
      </c>
      <c r="C83" s="412">
        <f>'DETAILS (sorted)'!DS82</f>
        <v>11656012.678117774</v>
      </c>
      <c r="D83" s="412">
        <f>'81 Diocles Ishengoma'!D27</f>
        <v>7537882.3353312556</v>
      </c>
      <c r="E83" s="413" t="b">
        <f t="shared" si="9"/>
        <v>0</v>
      </c>
      <c r="F83" s="2">
        <f>'Summary2 (sorted)'!AD84</f>
        <v>3500000</v>
      </c>
      <c r="G83" s="3">
        <v>20000000</v>
      </c>
      <c r="H83" s="3">
        <f t="shared" si="10"/>
        <v>-8343987.3218822256</v>
      </c>
      <c r="I83" s="590">
        <f t="shared" si="11"/>
        <v>0.37689411676656276</v>
      </c>
      <c r="J83" s="590">
        <f t="shared" si="8"/>
        <v>-0.6231058832334373</v>
      </c>
      <c r="K83" s="464">
        <v>81</v>
      </c>
    </row>
    <row r="84" spans="1:11" x14ac:dyDescent="0.35">
      <c r="A84" s="311" t="s">
        <v>602</v>
      </c>
      <c r="B84" s="7" t="s">
        <v>600</v>
      </c>
      <c r="C84" s="412">
        <f>'DETAILS (sorted)'!DS83</f>
        <v>8207708.8568918901</v>
      </c>
      <c r="D84" s="412">
        <f>'82 Edson Rwechungura'!D27</f>
        <v>5424526.0835429234</v>
      </c>
      <c r="E84" s="413" t="b">
        <f t="shared" si="9"/>
        <v>0</v>
      </c>
      <c r="F84" s="2">
        <f>'Summary2 (sorted)'!AD85</f>
        <v>3500000</v>
      </c>
      <c r="G84" s="3">
        <v>15000000</v>
      </c>
      <c r="H84" s="3">
        <f t="shared" si="10"/>
        <v>-6792291.1431081099</v>
      </c>
      <c r="I84" s="590">
        <f t="shared" si="11"/>
        <v>0.3616350722361949</v>
      </c>
      <c r="J84" s="590">
        <f t="shared" si="8"/>
        <v>-0.63836492776380505</v>
      </c>
      <c r="K84" s="464">
        <v>82</v>
      </c>
    </row>
    <row r="85" spans="1:11" x14ac:dyDescent="0.35">
      <c r="A85" s="311" t="s">
        <v>607</v>
      </c>
      <c r="B85" s="7" t="s">
        <v>608</v>
      </c>
      <c r="C85" s="412">
        <f>'DETAILS (sorted)'!DS84</f>
        <v>31761556.748469815</v>
      </c>
      <c r="D85" s="412">
        <f>'83 Mathew Mndeme'!D27</f>
        <v>30928630.48756412</v>
      </c>
      <c r="E85" s="413" t="b">
        <f t="shared" si="9"/>
        <v>0</v>
      </c>
      <c r="F85" s="2">
        <f>'Summary2 (sorted)'!AD86</f>
        <v>3500000</v>
      </c>
      <c r="G85" s="3">
        <v>30000000</v>
      </c>
      <c r="H85" s="3">
        <f t="shared" si="10"/>
        <v>1761556.7484698147</v>
      </c>
      <c r="I85" s="590">
        <f t="shared" si="11"/>
        <v>1.0309543495854707</v>
      </c>
      <c r="J85" s="590">
        <f t="shared" ref="J85:J112" si="12">I85-1</f>
        <v>3.095434958547072E-2</v>
      </c>
      <c r="K85" s="464">
        <v>83</v>
      </c>
    </row>
    <row r="86" spans="1:11" x14ac:dyDescent="0.35">
      <c r="A86" s="311" t="s">
        <v>609</v>
      </c>
      <c r="B86" s="7" t="s">
        <v>610</v>
      </c>
      <c r="C86" s="412">
        <f>'DETAILS (sorted)'!DS85</f>
        <v>3497157.1610157499</v>
      </c>
      <c r="D86" s="412">
        <f>'84 Wariael Ayo'!D27</f>
        <v>3461714.4770021439</v>
      </c>
      <c r="E86" s="413" t="b">
        <f t="shared" si="9"/>
        <v>0</v>
      </c>
      <c r="F86" s="2">
        <f>'Summary2 (sorted)'!AD87</f>
        <v>3500000</v>
      </c>
      <c r="G86" s="3">
        <v>4000000</v>
      </c>
      <c r="H86" s="3">
        <f t="shared" si="10"/>
        <v>-502842.83898425009</v>
      </c>
      <c r="I86" s="590">
        <f t="shared" si="11"/>
        <v>0.86542861925053594</v>
      </c>
      <c r="J86" s="590">
        <f t="shared" si="12"/>
        <v>-0.13457138074946406</v>
      </c>
      <c r="K86" s="464">
        <v>84</v>
      </c>
    </row>
    <row r="87" spans="1:11" x14ac:dyDescent="0.35">
      <c r="A87" s="311" t="s">
        <v>611</v>
      </c>
      <c r="B87" s="7" t="s">
        <v>612</v>
      </c>
      <c r="C87" s="412">
        <f>'DETAILS (sorted)'!DS86</f>
        <v>3387005.2258349373</v>
      </c>
      <c r="D87" s="412">
        <f>'85 Shukuru Ndosi'!D27</f>
        <v>3352678.9000667143</v>
      </c>
      <c r="E87" s="413" t="b">
        <f t="shared" si="9"/>
        <v>0</v>
      </c>
      <c r="F87" s="2">
        <f>'Summary2 (sorted)'!AD88</f>
        <v>3500000</v>
      </c>
      <c r="G87" s="3">
        <v>4000000</v>
      </c>
      <c r="H87" s="3">
        <f t="shared" si="10"/>
        <v>-612994.7741650627</v>
      </c>
      <c r="I87" s="590">
        <f t="shared" si="11"/>
        <v>0.83816972501667852</v>
      </c>
      <c r="J87" s="590">
        <f t="shared" si="12"/>
        <v>-0.16183027498332148</v>
      </c>
      <c r="K87" s="464">
        <v>85</v>
      </c>
    </row>
    <row r="88" spans="1:11" x14ac:dyDescent="0.35">
      <c r="A88" s="311" t="s">
        <v>620</v>
      </c>
      <c r="B88" s="7" t="s">
        <v>622</v>
      </c>
      <c r="C88" s="412">
        <f>'DETAILS (sorted)'!DS87</f>
        <v>4633842.7795032235</v>
      </c>
      <c r="D88" s="412">
        <f>'86 Joseph Njuu'!D27</f>
        <v>3586880.1130170082</v>
      </c>
      <c r="E88" s="413" t="b">
        <f t="shared" si="9"/>
        <v>0</v>
      </c>
      <c r="F88" s="2">
        <f>'Summary2 (sorted)'!AD89</f>
        <v>3500000</v>
      </c>
      <c r="G88" s="3">
        <v>15000000</v>
      </c>
      <c r="H88" s="3">
        <f t="shared" si="10"/>
        <v>-10366157.220496777</v>
      </c>
      <c r="I88" s="590">
        <f t="shared" si="11"/>
        <v>0.23912534086780055</v>
      </c>
      <c r="J88" s="590">
        <f t="shared" si="12"/>
        <v>-0.76087465913219943</v>
      </c>
      <c r="K88" s="464">
        <v>86</v>
      </c>
    </row>
    <row r="89" spans="1:11" x14ac:dyDescent="0.35">
      <c r="A89" s="311" t="s">
        <v>621</v>
      </c>
      <c r="B89" s="7" t="s">
        <v>623</v>
      </c>
      <c r="C89" s="412">
        <f>'DETAILS (sorted)'!DS88</f>
        <v>4335282.3390609594</v>
      </c>
      <c r="D89" s="412">
        <f>'87 Stephano Lolloo'!D27</f>
        <v>4291345.4969407506</v>
      </c>
      <c r="E89" s="413" t="b">
        <f t="shared" si="9"/>
        <v>0</v>
      </c>
      <c r="F89" s="2">
        <f>'Summary2 (sorted)'!AD90</f>
        <v>3500000</v>
      </c>
      <c r="G89" s="3">
        <v>15000000</v>
      </c>
      <c r="H89" s="3">
        <f t="shared" si="10"/>
        <v>-10664717.660939042</v>
      </c>
      <c r="I89" s="590">
        <f t="shared" si="11"/>
        <v>0.28608969979605003</v>
      </c>
      <c r="J89" s="590">
        <f t="shared" si="12"/>
        <v>-0.71391030020394997</v>
      </c>
      <c r="K89" s="464">
        <v>87</v>
      </c>
    </row>
    <row r="90" spans="1:11" x14ac:dyDescent="0.35">
      <c r="A90" s="311" t="s">
        <v>628</v>
      </c>
      <c r="B90" s="7" t="s">
        <v>629</v>
      </c>
      <c r="C90" s="412">
        <f>'DETAILS (sorted)'!DS89</f>
        <v>21254029.909172934</v>
      </c>
      <c r="D90" s="412">
        <f>'88 CPA Emmanuel Marero'!D28</f>
        <v>21038626.416735165</v>
      </c>
      <c r="E90" s="413" t="b">
        <f t="shared" si="9"/>
        <v>0</v>
      </c>
      <c r="F90" s="2">
        <f>'Summary2 (sorted)'!AD92</f>
        <v>3500000</v>
      </c>
      <c r="G90" s="3">
        <v>30000000</v>
      </c>
      <c r="H90" s="3">
        <f t="shared" si="10"/>
        <v>-8745970.0908270665</v>
      </c>
      <c r="I90" s="590">
        <f t="shared" si="11"/>
        <v>0.70128754722450548</v>
      </c>
      <c r="J90" s="590">
        <f t="shared" si="12"/>
        <v>-0.29871245277549452</v>
      </c>
      <c r="K90" s="464">
        <v>88</v>
      </c>
    </row>
    <row r="91" spans="1:11" x14ac:dyDescent="0.35">
      <c r="A91" s="311" t="s">
        <v>630</v>
      </c>
      <c r="B91" s="7" t="s">
        <v>631</v>
      </c>
      <c r="C91" s="412">
        <f>'DETAILS (sorted)'!DS90</f>
        <v>10238089.010495214</v>
      </c>
      <c r="D91" s="412">
        <f>'89 Emmanuel Mungure'!D27</f>
        <v>5134328.91708358</v>
      </c>
      <c r="E91" s="413" t="b">
        <f t="shared" si="9"/>
        <v>0</v>
      </c>
      <c r="F91" s="2">
        <f>'Summary2 (sorted)'!AD93</f>
        <v>3500000</v>
      </c>
      <c r="G91" s="3">
        <v>15000000</v>
      </c>
      <c r="H91" s="3">
        <f t="shared" si="10"/>
        <v>-4761910.9895047862</v>
      </c>
      <c r="I91" s="590">
        <f t="shared" si="11"/>
        <v>0.34228859447223869</v>
      </c>
      <c r="J91" s="590">
        <f t="shared" si="12"/>
        <v>-0.65771140552776131</v>
      </c>
      <c r="K91" s="464">
        <v>89</v>
      </c>
    </row>
    <row r="92" spans="1:11" x14ac:dyDescent="0.35">
      <c r="A92" s="311" t="s">
        <v>661</v>
      </c>
      <c r="B92" s="7" t="s">
        <v>660</v>
      </c>
      <c r="C92" s="412">
        <f>'DETAILS (sorted)'!DS91</f>
        <v>5440072.5924482588</v>
      </c>
      <c r="D92" s="412">
        <f>'90 Adam Lyson Mwaipungu'!D27</f>
        <v>5384939.0182255842</v>
      </c>
      <c r="E92" s="413" t="b">
        <f t="shared" si="9"/>
        <v>0</v>
      </c>
      <c r="F92" s="2">
        <f>'Summary2 (sorted)'!AD92</f>
        <v>3500000</v>
      </c>
      <c r="G92" s="3">
        <v>15000000</v>
      </c>
      <c r="H92" s="3">
        <f t="shared" si="10"/>
        <v>-9559927.4075517412</v>
      </c>
      <c r="I92" s="590">
        <f t="shared" si="11"/>
        <v>0.35899593454837225</v>
      </c>
      <c r="J92" s="590">
        <f t="shared" si="12"/>
        <v>-0.6410040654516278</v>
      </c>
      <c r="K92" s="464">
        <v>90</v>
      </c>
    </row>
    <row r="93" spans="1:11" x14ac:dyDescent="0.35">
      <c r="A93" s="311" t="s">
        <v>662</v>
      </c>
      <c r="B93" s="7" t="s">
        <v>663</v>
      </c>
      <c r="C93" s="412">
        <f>'DETAILS (sorted)'!DS92</f>
        <v>4541295.963706024</v>
      </c>
      <c r="D93" s="412">
        <f>'91 Everest Thadeo Sikilo'!D27</f>
        <v>4095271.232633559</v>
      </c>
      <c r="E93" s="413" t="b">
        <f t="shared" si="9"/>
        <v>0</v>
      </c>
      <c r="F93" s="2">
        <f>'Summary2 (sorted)'!AD93</f>
        <v>3500000</v>
      </c>
      <c r="G93" s="3">
        <v>15000000</v>
      </c>
      <c r="H93" s="3">
        <f t="shared" si="10"/>
        <v>-10458704.036293976</v>
      </c>
      <c r="I93" s="590">
        <f t="shared" si="11"/>
        <v>0.27301808217557061</v>
      </c>
      <c r="J93" s="590">
        <f t="shared" si="12"/>
        <v>-0.72698191782442945</v>
      </c>
      <c r="K93" s="464">
        <v>91</v>
      </c>
    </row>
    <row r="94" spans="1:11" x14ac:dyDescent="0.35">
      <c r="A94" s="311" t="s">
        <v>699</v>
      </c>
      <c r="B94" s="7" t="s">
        <v>700</v>
      </c>
      <c r="C94" s="412">
        <f>'DETAILS (sorted)'!DS93</f>
        <v>7686857.7598770559</v>
      </c>
      <c r="D94" s="412">
        <f>'92 Kaanaeli Gabriel Nko'!E25</f>
        <v>7686857.7598770559</v>
      </c>
      <c r="E94" s="413" t="b">
        <f t="shared" si="9"/>
        <v>1</v>
      </c>
      <c r="F94" s="2">
        <f>'Summary2 (sorted)'!AD94</f>
        <v>3500000</v>
      </c>
      <c r="G94" s="3">
        <v>20000000</v>
      </c>
      <c r="H94" s="3">
        <f t="shared" si="10"/>
        <v>-12313142.240122944</v>
      </c>
      <c r="I94" s="590">
        <f t="shared" si="11"/>
        <v>0.3843428879938528</v>
      </c>
      <c r="J94" s="590">
        <f t="shared" si="12"/>
        <v>-0.61565711200614714</v>
      </c>
      <c r="K94" s="464">
        <v>92</v>
      </c>
    </row>
    <row r="95" spans="1:11" x14ac:dyDescent="0.35">
      <c r="A95" s="311" t="s">
        <v>710</v>
      </c>
      <c r="B95" s="7" t="s">
        <v>742</v>
      </c>
      <c r="C95" s="412">
        <f>'DETAILS (sorted)'!DS94</f>
        <v>4092585.5378266871</v>
      </c>
      <c r="D95" s="412">
        <f>'93 Jonas Mwano'!D27</f>
        <v>3451108.3581240419</v>
      </c>
      <c r="E95" s="413" t="b">
        <f t="shared" si="9"/>
        <v>0</v>
      </c>
      <c r="F95" s="2">
        <f>'Summary2 (sorted)'!AD95</f>
        <v>3500000</v>
      </c>
      <c r="G95" s="3">
        <v>10000000</v>
      </c>
      <c r="H95" s="3">
        <f t="shared" si="10"/>
        <v>-5907414.4621733129</v>
      </c>
      <c r="I95" s="590">
        <f t="shared" si="11"/>
        <v>0.3451108358124042</v>
      </c>
      <c r="J95" s="590">
        <f t="shared" si="12"/>
        <v>-0.6548891641875958</v>
      </c>
      <c r="K95" s="464">
        <v>93</v>
      </c>
    </row>
    <row r="96" spans="1:11" x14ac:dyDescent="0.35">
      <c r="A96" s="311" t="s">
        <v>714</v>
      </c>
      <c r="B96" s="7" t="s">
        <v>715</v>
      </c>
      <c r="C96" s="412">
        <f>'DETAILS (sorted)'!DS95</f>
        <v>4612114.6559262332</v>
      </c>
      <c r="D96" s="412">
        <f>'94 Edwin Mwombeki'!D27</f>
        <v>4565372.197735697</v>
      </c>
      <c r="E96" s="413" t="b">
        <f t="shared" si="9"/>
        <v>0</v>
      </c>
      <c r="F96" s="2">
        <f>'Summary2 (sorted)'!AD96</f>
        <v>3500000</v>
      </c>
      <c r="G96" s="3">
        <v>15000000</v>
      </c>
      <c r="H96" s="3">
        <f t="shared" si="10"/>
        <v>-10387885.344073767</v>
      </c>
      <c r="I96" s="590">
        <f t="shared" si="11"/>
        <v>0.30435814651571313</v>
      </c>
      <c r="J96" s="590">
        <f t="shared" si="12"/>
        <v>-0.69564185348428687</v>
      </c>
      <c r="K96" s="464">
        <v>94</v>
      </c>
    </row>
    <row r="97" spans="1:11" x14ac:dyDescent="0.35">
      <c r="A97" s="311" t="s">
        <v>716</v>
      </c>
      <c r="B97" s="7" t="s">
        <v>918</v>
      </c>
      <c r="C97" s="412">
        <f>'DETAILS (sorted)'!DS96</f>
        <v>3586021.6322580026</v>
      </c>
      <c r="D97" s="412">
        <f>'95 Nuhu Ngangaji'!D27</f>
        <v>3449678.3323357422</v>
      </c>
      <c r="E97" s="413" t="b">
        <f t="shared" si="9"/>
        <v>0</v>
      </c>
      <c r="F97" s="2">
        <f>'Summary2 (sorted)'!AD97</f>
        <v>3500000</v>
      </c>
      <c r="G97" s="3">
        <v>15000000</v>
      </c>
      <c r="H97" s="3">
        <f t="shared" si="10"/>
        <v>-11413978.367741998</v>
      </c>
      <c r="I97" s="590">
        <f t="shared" si="11"/>
        <v>0.22997855548904947</v>
      </c>
      <c r="J97" s="590">
        <f t="shared" si="12"/>
        <v>-0.77002144451095056</v>
      </c>
      <c r="K97" s="464">
        <v>95</v>
      </c>
    </row>
    <row r="98" spans="1:11" x14ac:dyDescent="0.35">
      <c r="A98" s="311" t="s">
        <v>717</v>
      </c>
      <c r="B98" s="7" t="s">
        <v>718</v>
      </c>
      <c r="C98" s="412">
        <f>'DETAILS (sorted)'!DS97</f>
        <v>8447856.4700327553</v>
      </c>
      <c r="D98" s="412">
        <f>'96 Paul Masatu'!D27</f>
        <v>5362239.8695558412</v>
      </c>
      <c r="E98" s="413" t="b">
        <f t="shared" si="9"/>
        <v>0</v>
      </c>
      <c r="F98" s="2">
        <f>'Summary2 (sorted)'!AD98</f>
        <v>3500000</v>
      </c>
      <c r="G98" s="3">
        <v>15000000</v>
      </c>
      <c r="H98" s="3">
        <f t="shared" si="10"/>
        <v>-6552143.5299672447</v>
      </c>
      <c r="I98" s="590">
        <f t="shared" si="11"/>
        <v>0.35748265797038942</v>
      </c>
      <c r="J98" s="590">
        <f t="shared" si="12"/>
        <v>-0.64251734202961064</v>
      </c>
      <c r="K98" s="464">
        <v>96</v>
      </c>
    </row>
    <row r="99" spans="1:11" x14ac:dyDescent="0.35">
      <c r="A99" s="311" t="s">
        <v>719</v>
      </c>
      <c r="B99" s="7" t="s">
        <v>720</v>
      </c>
      <c r="C99" s="412">
        <f>'DETAILS (sorted)'!DS98</f>
        <v>6928164.7533267001</v>
      </c>
      <c r="D99" s="412">
        <f>'97 Jackson N. Mmary'!D27</f>
        <v>3357949.792190942</v>
      </c>
      <c r="E99" s="413" t="b">
        <f t="shared" ref="E99:E104" si="13">C99=D99</f>
        <v>0</v>
      </c>
      <c r="F99" s="2">
        <f>'Summary2 (sorted)'!AD99</f>
        <v>3500000</v>
      </c>
      <c r="G99" s="3">
        <v>15000000</v>
      </c>
      <c r="H99" s="3">
        <f t="shared" ref="H99:H104" si="14">C99-G99</f>
        <v>-8071835.2466732999</v>
      </c>
      <c r="I99" s="590">
        <f t="shared" ref="I99:I104" si="15">D99/G99</f>
        <v>0.22386331947939614</v>
      </c>
      <c r="J99" s="590">
        <f t="shared" si="12"/>
        <v>-0.77613668052060381</v>
      </c>
      <c r="K99" s="464">
        <v>97</v>
      </c>
    </row>
    <row r="100" spans="1:11" x14ac:dyDescent="0.35">
      <c r="A100" s="311" t="s">
        <v>721</v>
      </c>
      <c r="B100" s="7" t="s">
        <v>722</v>
      </c>
      <c r="C100" s="412">
        <f>'DETAILS (sorted)'!DS99</f>
        <v>4296979.0835810974</v>
      </c>
      <c r="D100" s="412">
        <f>'98 Daniel Mdachi'!D27</f>
        <v>3603430.4339607283</v>
      </c>
      <c r="E100" s="413" t="b">
        <f t="shared" si="13"/>
        <v>0</v>
      </c>
      <c r="F100" s="2">
        <f>'Summary2 (sorted)'!AD100</f>
        <v>3500000</v>
      </c>
      <c r="G100" s="3">
        <v>10000000</v>
      </c>
      <c r="H100" s="3">
        <f t="shared" si="14"/>
        <v>-5703020.9164189026</v>
      </c>
      <c r="I100" s="590">
        <f t="shared" si="15"/>
        <v>0.36034304339607282</v>
      </c>
      <c r="J100" s="590">
        <f t="shared" si="12"/>
        <v>-0.63965695660392718</v>
      </c>
      <c r="K100" s="464">
        <v>98</v>
      </c>
    </row>
    <row r="101" spans="1:11" x14ac:dyDescent="0.35">
      <c r="A101" s="311" t="s">
        <v>723</v>
      </c>
      <c r="B101" s="7" t="s">
        <v>724</v>
      </c>
      <c r="C101" s="412">
        <f>'DETAILS (sorted)'!DS100</f>
        <v>3789825.8501701001</v>
      </c>
      <c r="D101" s="412">
        <f>'99 Salum Miraji Mwegero'!D27</f>
        <v>3751417.0529986396</v>
      </c>
      <c r="E101" s="413" t="b">
        <f t="shared" si="13"/>
        <v>0</v>
      </c>
      <c r="F101" s="2">
        <f>'Summary2 (sorted)'!AD101</f>
        <v>3500000</v>
      </c>
      <c r="G101" s="3">
        <v>10000000</v>
      </c>
      <c r="H101" s="3">
        <f t="shared" si="14"/>
        <v>-6210174.1498298999</v>
      </c>
      <c r="I101" s="590">
        <f t="shared" si="15"/>
        <v>0.37514170529986396</v>
      </c>
      <c r="J101" s="590">
        <f t="shared" si="12"/>
        <v>-0.62485829470013599</v>
      </c>
      <c r="K101" s="464">
        <v>99</v>
      </c>
    </row>
    <row r="102" spans="1:11" x14ac:dyDescent="0.35">
      <c r="A102" s="311" t="s">
        <v>725</v>
      </c>
      <c r="B102" s="7" t="s">
        <v>726</v>
      </c>
      <c r="C102" s="412">
        <f>'DETAILS (sorted)'!DS101</f>
        <v>13323886.783786898</v>
      </c>
      <c r="D102" s="412">
        <f>'100 Juma Selemani Nantubwi '!D27</f>
        <v>13188853.015680904</v>
      </c>
      <c r="E102" s="413" t="b">
        <f t="shared" si="13"/>
        <v>0</v>
      </c>
      <c r="F102" s="2">
        <f>'Summary2 (sorted)'!AD102</f>
        <v>3500000</v>
      </c>
      <c r="G102" s="3">
        <v>20000000</v>
      </c>
      <c r="H102" s="3">
        <f t="shared" si="14"/>
        <v>-6676113.2162131015</v>
      </c>
      <c r="I102" s="590">
        <f t="shared" si="15"/>
        <v>0.65944265078404518</v>
      </c>
      <c r="J102" s="590">
        <f t="shared" si="12"/>
        <v>-0.34055734921595482</v>
      </c>
      <c r="K102" s="464">
        <v>100</v>
      </c>
    </row>
    <row r="103" spans="1:11" x14ac:dyDescent="0.35">
      <c r="A103" s="311" t="s">
        <v>727</v>
      </c>
      <c r="B103" s="7" t="s">
        <v>731</v>
      </c>
      <c r="C103" s="412">
        <f>'DETAILS (sorted)'!DS102</f>
        <v>10190210.89560489</v>
      </c>
      <c r="D103" s="412">
        <f>'101 Is Haka Mkwawa'!D27</f>
        <v>5086936.0331448819</v>
      </c>
      <c r="E103" s="413" t="b">
        <f t="shared" si="13"/>
        <v>0</v>
      </c>
      <c r="F103" s="2">
        <f>'Summary2 (sorted)'!AD103</f>
        <v>3500000</v>
      </c>
      <c r="G103" s="3">
        <v>15000000</v>
      </c>
      <c r="H103" s="3">
        <f t="shared" si="14"/>
        <v>-4809789.1043951102</v>
      </c>
      <c r="I103" s="590">
        <f t="shared" si="15"/>
        <v>0.33912906887632549</v>
      </c>
      <c r="J103" s="590">
        <f t="shared" si="12"/>
        <v>-0.66087093112367445</v>
      </c>
      <c r="K103" s="464">
        <v>101</v>
      </c>
    </row>
    <row r="104" spans="1:11" x14ac:dyDescent="0.35">
      <c r="A104" s="311" t="s">
        <v>739</v>
      </c>
      <c r="B104" s="7" t="s">
        <v>740</v>
      </c>
      <c r="C104" s="412">
        <f>'DETAILS (sorted)'!DS103</f>
        <v>6125913.09420917</v>
      </c>
      <c r="D104" s="412">
        <f>'102 James Ignas Koola'!D27</f>
        <v>4063828.7233627071</v>
      </c>
      <c r="E104" s="413" t="b">
        <f t="shared" si="13"/>
        <v>0</v>
      </c>
      <c r="F104" s="2">
        <f>'Summary2 (sorted)'!AD104</f>
        <v>3500000</v>
      </c>
      <c r="G104" s="3">
        <v>15000000</v>
      </c>
      <c r="H104" s="3">
        <f t="shared" si="14"/>
        <v>-8874086.90579083</v>
      </c>
      <c r="I104" s="590">
        <f t="shared" si="15"/>
        <v>0.27092191489084716</v>
      </c>
      <c r="J104" s="590">
        <f t="shared" si="12"/>
        <v>-0.72907808510915284</v>
      </c>
      <c r="K104" s="464">
        <v>102</v>
      </c>
    </row>
    <row r="105" spans="1:11" x14ac:dyDescent="0.35">
      <c r="A105" s="311" t="s">
        <v>749</v>
      </c>
      <c r="B105" s="7" t="s">
        <v>751</v>
      </c>
      <c r="C105" s="412">
        <f>'DETAILS (sorted)'!DS104</f>
        <v>3382217.4143459047</v>
      </c>
      <c r="D105" s="412">
        <f>'103 Fredrick Mjema'!D27</f>
        <v>3347939.6116728447</v>
      </c>
      <c r="E105" s="413" t="b">
        <f t="shared" ref="E105" si="16">C105=D105</f>
        <v>0</v>
      </c>
      <c r="F105" s="2">
        <f>'Summary2 (sorted)'!AD105</f>
        <v>3500000</v>
      </c>
      <c r="G105" s="3">
        <v>15000000</v>
      </c>
      <c r="H105" s="3">
        <f t="shared" ref="H105" si="17">C105-G105</f>
        <v>-11617782.585654095</v>
      </c>
      <c r="I105" s="590">
        <f t="shared" ref="I105" si="18">D105/G105</f>
        <v>0.22319597411152298</v>
      </c>
      <c r="J105" s="590">
        <f t="shared" si="12"/>
        <v>-0.77680402588847697</v>
      </c>
      <c r="K105" s="464">
        <v>103</v>
      </c>
    </row>
    <row r="106" spans="1:11" x14ac:dyDescent="0.35">
      <c r="A106" s="311" t="s">
        <v>757</v>
      </c>
      <c r="B106" s="7" t="s">
        <v>758</v>
      </c>
      <c r="C106" s="412">
        <f>'DETAILS (sorted)'!DS105</f>
        <v>5003221.9121656977</v>
      </c>
      <c r="D106" s="412">
        <f>'104 Fulgence Thomas Massawe'!D27</f>
        <v>3952515.6941954037</v>
      </c>
      <c r="E106" s="413" t="b">
        <f t="shared" ref="E106" si="19">C106=D106</f>
        <v>0</v>
      </c>
      <c r="F106" s="2">
        <f>'Summary2 (sorted)'!AD106</f>
        <v>3500000</v>
      </c>
      <c r="G106" s="3">
        <v>15000000</v>
      </c>
      <c r="H106" s="3">
        <f t="shared" ref="H106" si="20">C106-G106</f>
        <v>-9996778.0878343023</v>
      </c>
      <c r="I106" s="590">
        <f t="shared" ref="I106" si="21">D106/G106</f>
        <v>0.26350104627969356</v>
      </c>
      <c r="J106" s="590">
        <f t="shared" si="12"/>
        <v>-0.73649895372030638</v>
      </c>
      <c r="K106" s="464">
        <v>104</v>
      </c>
    </row>
    <row r="107" spans="1:11" x14ac:dyDescent="0.35">
      <c r="A107" s="311" t="s">
        <v>762</v>
      </c>
      <c r="B107" s="7" t="s">
        <v>764</v>
      </c>
      <c r="C107" s="412">
        <f>'DETAILS (sorted)'!DS106</f>
        <v>14020059.431288293</v>
      </c>
      <c r="D107" s="412">
        <f>'105 Baltazar Thomas Mrosso'!D27</f>
        <v>3877970.1532271374</v>
      </c>
      <c r="E107" s="413" t="b">
        <f t="shared" ref="E107" si="22">C107=D107</f>
        <v>0</v>
      </c>
      <c r="F107" s="2">
        <f>'Summary2 (sorted)'!AD107</f>
        <v>3500000</v>
      </c>
      <c r="G107" s="3">
        <v>15000000</v>
      </c>
      <c r="H107" s="3">
        <f t="shared" ref="H107" si="23">C107-G107</f>
        <v>-979940.56871170737</v>
      </c>
      <c r="I107" s="590">
        <f t="shared" ref="I107" si="24">D107/G107</f>
        <v>0.25853134354847584</v>
      </c>
      <c r="J107" s="590">
        <f t="shared" si="12"/>
        <v>-0.74146865645152416</v>
      </c>
      <c r="K107" s="464">
        <v>105</v>
      </c>
    </row>
    <row r="108" spans="1:11" x14ac:dyDescent="0.35">
      <c r="A108" s="311" t="s">
        <v>769</v>
      </c>
      <c r="B108" s="7" t="s">
        <v>771</v>
      </c>
      <c r="C108" s="412">
        <f>'DETAILS (sorted)'!DS107</f>
        <v>6129449.0612630416</v>
      </c>
      <c r="D108" s="412">
        <f>'106 Alex Gerald Heruka'!D27</f>
        <v>4367328.8544054404</v>
      </c>
      <c r="E108" s="413" t="b">
        <f t="shared" ref="E108" si="25">C108=D108</f>
        <v>0</v>
      </c>
      <c r="F108" s="2">
        <f>'Summary2 (sorted)'!AD108</f>
        <v>3500000</v>
      </c>
      <c r="G108" s="3">
        <v>10000000</v>
      </c>
      <c r="H108" s="3">
        <f t="shared" ref="H108" si="26">C108-G108</f>
        <v>-3870550.9387369584</v>
      </c>
      <c r="I108" s="590">
        <f t="shared" ref="I108" si="27">D108/G108</f>
        <v>0.43673288544054406</v>
      </c>
      <c r="J108" s="590">
        <f t="shared" si="12"/>
        <v>-0.56326711455945588</v>
      </c>
      <c r="K108" s="464">
        <v>106</v>
      </c>
    </row>
    <row r="109" spans="1:11" x14ac:dyDescent="0.35">
      <c r="A109" s="311" t="s">
        <v>772</v>
      </c>
      <c r="B109" s="7" t="s">
        <v>773</v>
      </c>
      <c r="C109" s="412">
        <f>'DETAILS (sorted)'!DS108</f>
        <v>9159403.2491981611</v>
      </c>
      <c r="D109" s="412">
        <f>'107 Francis Mwasilu'!D27</f>
        <v>7066575.3263546163</v>
      </c>
      <c r="E109" s="413" t="b">
        <f t="shared" ref="E109" si="28">C109=D109</f>
        <v>0</v>
      </c>
      <c r="F109" s="2">
        <f>'Summary2 (sorted)'!AD109</f>
        <v>3500000</v>
      </c>
      <c r="G109" s="3">
        <v>15000000</v>
      </c>
      <c r="H109" s="3">
        <f t="shared" ref="H109" si="29">C109-G109</f>
        <v>-5840596.7508018389</v>
      </c>
      <c r="I109" s="590">
        <f t="shared" ref="I109" si="30">D109/G109</f>
        <v>0.47110502175697444</v>
      </c>
      <c r="J109" s="590">
        <f t="shared" si="12"/>
        <v>-0.52889497824302556</v>
      </c>
      <c r="K109" s="464">
        <v>107</v>
      </c>
    </row>
    <row r="110" spans="1:11" x14ac:dyDescent="0.35">
      <c r="A110" s="311" t="s">
        <v>776</v>
      </c>
      <c r="B110" s="7" t="s">
        <v>778</v>
      </c>
      <c r="C110" s="412">
        <f>'DETAILS (sorted)'!DS109</f>
        <v>3382217.4143459047</v>
      </c>
      <c r="D110" s="412">
        <f>'108 David Msechu'!D27</f>
        <v>3347939.6116728447</v>
      </c>
      <c r="E110" s="413" t="b">
        <f t="shared" ref="E110" si="31">C110=D110</f>
        <v>0</v>
      </c>
      <c r="F110" s="2">
        <f>'Summary2 (sorted)'!AD110</f>
        <v>3500000</v>
      </c>
      <c r="G110" s="3">
        <v>15000000</v>
      </c>
      <c r="H110" s="3">
        <f t="shared" ref="H110" si="32">C110-G110</f>
        <v>-11617782.585654095</v>
      </c>
      <c r="I110" s="590">
        <f t="shared" ref="I110" si="33">D110/G110</f>
        <v>0.22319597411152298</v>
      </c>
      <c r="J110" s="590">
        <f t="shared" si="12"/>
        <v>-0.77680402588847697</v>
      </c>
      <c r="K110" s="464">
        <v>108</v>
      </c>
    </row>
    <row r="111" spans="1:11" x14ac:dyDescent="0.35">
      <c r="A111" s="311" t="s">
        <v>783</v>
      </c>
      <c r="B111" s="7" t="s">
        <v>784</v>
      </c>
      <c r="C111" s="412">
        <f>'DETAILS (sorted)'!DS110</f>
        <v>10222561.402843853</v>
      </c>
      <c r="D111" s="412">
        <f>'109 Salum Masudi'!D27</f>
        <v>4378883.6772787701</v>
      </c>
      <c r="E111" s="413" t="b">
        <f t="shared" ref="E111" si="34">C111=D111</f>
        <v>0</v>
      </c>
      <c r="F111" s="2">
        <f>'Summary2 (sorted)'!AD111</f>
        <v>3500000</v>
      </c>
      <c r="G111" s="3">
        <v>10000000</v>
      </c>
      <c r="H111" s="3">
        <f t="shared" ref="H111" si="35">C111-G111</f>
        <v>222561.40284385346</v>
      </c>
      <c r="I111" s="590">
        <f t="shared" ref="I111" si="36">D111/G111</f>
        <v>0.43788836772787704</v>
      </c>
      <c r="J111" s="590">
        <f t="shared" si="12"/>
        <v>-0.56211163227212291</v>
      </c>
      <c r="K111" s="464">
        <v>109</v>
      </c>
    </row>
    <row r="112" spans="1:11" x14ac:dyDescent="0.35">
      <c r="A112" s="311" t="s">
        <v>850</v>
      </c>
      <c r="B112" s="7" t="s">
        <v>851</v>
      </c>
      <c r="C112" s="412">
        <f>'DETAILS (sorted)'!DS111</f>
        <v>4407131.7823295118</v>
      </c>
      <c r="D112" s="412">
        <f>'110 William Baraka Tigahwa'!D27</f>
        <v>4362466.7667252216</v>
      </c>
      <c r="E112" s="413" t="b">
        <f t="shared" ref="E112" si="37">C112=D112</f>
        <v>0</v>
      </c>
      <c r="F112" s="2">
        <f>'Summary2 (sorted)'!AD112</f>
        <v>3500000</v>
      </c>
      <c r="G112" s="3">
        <v>10000000</v>
      </c>
      <c r="H112" s="3">
        <f t="shared" ref="H112" si="38">C112-G112</f>
        <v>-5592868.2176704882</v>
      </c>
      <c r="I112" s="590">
        <f t="shared" ref="I112" si="39">D112/G112</f>
        <v>0.43624667667252215</v>
      </c>
      <c r="J112" s="590">
        <f t="shared" si="12"/>
        <v>-0.56375332332747785</v>
      </c>
      <c r="K112" s="464">
        <v>110</v>
      </c>
    </row>
    <row r="113" spans="1:11" x14ac:dyDescent="0.35">
      <c r="A113" s="311" t="s">
        <v>868</v>
      </c>
      <c r="B113" s="7" t="s">
        <v>870</v>
      </c>
      <c r="C113" s="412">
        <f>'DETAILS (sorted)'!DS112</f>
        <v>3689691.7247409872</v>
      </c>
      <c r="D113" s="412">
        <f>'111 Joseph Albin Swai'!D27</f>
        <v>3652297.7581885578</v>
      </c>
      <c r="E113" s="413" t="b">
        <f t="shared" ref="E113" si="40">C113=D113</f>
        <v>0</v>
      </c>
      <c r="F113" s="2">
        <f>'Summary2 (sorted)'!AD113</f>
        <v>3500000</v>
      </c>
      <c r="G113" s="3">
        <v>15000000</v>
      </c>
      <c r="H113" s="3">
        <f t="shared" ref="H113" si="41">C113-G113</f>
        <v>-11310308.275259012</v>
      </c>
      <c r="I113" s="590">
        <f t="shared" ref="I113" si="42">D113/G113</f>
        <v>0.24348651721257053</v>
      </c>
      <c r="J113" s="590">
        <f t="shared" ref="J113" si="43">I113-1</f>
        <v>-0.75651348278742947</v>
      </c>
      <c r="K113" s="464">
        <v>111</v>
      </c>
    </row>
    <row r="114" spans="1:11" x14ac:dyDescent="0.35">
      <c r="A114" s="311" t="s">
        <v>872</v>
      </c>
      <c r="B114" s="7" t="s">
        <v>871</v>
      </c>
      <c r="C114" s="412">
        <f>'DETAILS (sorted)'!DS113</f>
        <v>8447856.4700327553</v>
      </c>
      <c r="D114" s="412">
        <f>'112 Bruno Sunguya'!D27</f>
        <v>3362239.8695558412</v>
      </c>
      <c r="E114" s="413" t="b">
        <f t="shared" ref="E114" si="44">C114=D114</f>
        <v>0</v>
      </c>
      <c r="F114" s="2">
        <f>'Summary2 (sorted)'!AD114</f>
        <v>3500000</v>
      </c>
      <c r="G114" s="3">
        <v>15000000</v>
      </c>
      <c r="H114" s="3">
        <f t="shared" ref="H114" si="45">C114-G114</f>
        <v>-6552143.5299672447</v>
      </c>
      <c r="I114" s="590">
        <f t="shared" ref="I114" si="46">D114/G114</f>
        <v>0.22414932463705609</v>
      </c>
      <c r="J114" s="590">
        <f t="shared" ref="J114" si="47">I114-1</f>
        <v>-0.77585067536294394</v>
      </c>
      <c r="K114" s="464">
        <v>112</v>
      </c>
    </row>
    <row r="115" spans="1:11" x14ac:dyDescent="0.35">
      <c r="A115" s="311" t="s">
        <v>879</v>
      </c>
      <c r="B115" s="7" t="s">
        <v>878</v>
      </c>
      <c r="C115" s="412">
        <f>'DETAILS (sorted)'!DS114</f>
        <v>3686155.757687116</v>
      </c>
      <c r="D115" s="412">
        <f>'113 Nicholaus Abdon'!D27</f>
        <v>3648797.6271458245</v>
      </c>
      <c r="E115" s="413" t="b">
        <f t="shared" ref="E115" si="48">C115=D115</f>
        <v>0</v>
      </c>
      <c r="F115" s="2">
        <f>'Summary2 (sorted)'!AD115</f>
        <v>3500000</v>
      </c>
      <c r="G115" s="3">
        <v>15000000</v>
      </c>
      <c r="H115" s="3">
        <f t="shared" ref="H115" si="49">C115-G115</f>
        <v>-11313844.242312884</v>
      </c>
      <c r="I115" s="590">
        <f t="shared" ref="I115" si="50">D115/G115</f>
        <v>0.24325317514305497</v>
      </c>
      <c r="J115" s="590">
        <f t="shared" ref="J115" si="51">I115-1</f>
        <v>-0.756746824856945</v>
      </c>
      <c r="K115" s="464">
        <v>113</v>
      </c>
    </row>
    <row r="116" spans="1:11" x14ac:dyDescent="0.35">
      <c r="A116" s="311" t="s">
        <v>881</v>
      </c>
      <c r="B116" s="7" t="s">
        <v>880</v>
      </c>
      <c r="C116" s="412">
        <f>'DETAILS (sorted)'!DS115</f>
        <v>3382217.4143459047</v>
      </c>
      <c r="D116" s="412">
        <f>'114 Edwin Francis Kordun'!D27</f>
        <v>3347939.6116728447</v>
      </c>
      <c r="E116" s="413" t="b">
        <f t="shared" ref="E116" si="52">C116=D116</f>
        <v>0</v>
      </c>
      <c r="F116" s="2">
        <f>'Summary2 (sorted)'!AD116</f>
        <v>3500000</v>
      </c>
      <c r="G116" s="3">
        <v>15000000</v>
      </c>
      <c r="H116" s="3">
        <f t="shared" ref="H116" si="53">C116-G116</f>
        <v>-11617782.585654095</v>
      </c>
      <c r="I116" s="590">
        <f t="shared" ref="I116" si="54">D116/G116</f>
        <v>0.22319597411152298</v>
      </c>
      <c r="J116" s="590">
        <f t="shared" ref="J116" si="55">I116-1</f>
        <v>-0.77680402588847697</v>
      </c>
      <c r="K116" s="464">
        <v>114</v>
      </c>
    </row>
    <row r="117" spans="1:11" x14ac:dyDescent="0.35">
      <c r="A117" s="311" t="s">
        <v>882</v>
      </c>
      <c r="B117" s="7" t="s">
        <v>884</v>
      </c>
      <c r="C117" s="412">
        <f>'DETAILS (sorted)'!DS116</f>
        <v>6421600.8477580156</v>
      </c>
      <c r="D117" s="412">
        <f>'115 Calvin Francis Masao'!D27</f>
        <v>3356519.7664026427</v>
      </c>
      <c r="E117" s="413" t="b">
        <f t="shared" ref="E117:E118" si="56">C117=D117</f>
        <v>0</v>
      </c>
      <c r="F117" s="2">
        <f>'Summary2 (sorted)'!AD117</f>
        <v>3500000</v>
      </c>
      <c r="G117" s="3">
        <v>15000000</v>
      </c>
      <c r="H117" s="3">
        <f t="shared" ref="H117:H118" si="57">C117-G117</f>
        <v>-8578399.1522419844</v>
      </c>
      <c r="I117" s="590">
        <f t="shared" ref="I117:I118" si="58">D117/G117</f>
        <v>0.22376798442684284</v>
      </c>
      <c r="J117" s="590">
        <f t="shared" ref="J117:J118" si="59">I117-1</f>
        <v>-0.77623201557315713</v>
      </c>
      <c r="K117" s="464">
        <v>115</v>
      </c>
    </row>
    <row r="118" spans="1:11" x14ac:dyDescent="0.35">
      <c r="A118" s="311" t="s">
        <v>883</v>
      </c>
      <c r="B118" s="7" t="s">
        <v>885</v>
      </c>
      <c r="C118" s="412">
        <f>'DETAILS (sorted)'!DS117</f>
        <v>3990094.1010283269</v>
      </c>
      <c r="D118" s="412">
        <f>'116 Nyirabu Zablon Musira'!D27</f>
        <v>3349655.6426188042</v>
      </c>
      <c r="E118" s="413" t="b">
        <f t="shared" si="56"/>
        <v>0</v>
      </c>
      <c r="F118" s="2">
        <f>'Summary2 (sorted)'!AD118</f>
        <v>3500000</v>
      </c>
      <c r="G118" s="3">
        <v>15000000</v>
      </c>
      <c r="H118" s="3">
        <f t="shared" si="57"/>
        <v>-11009905.898971673</v>
      </c>
      <c r="I118" s="590">
        <f t="shared" si="58"/>
        <v>0.22331037617458696</v>
      </c>
      <c r="J118" s="590">
        <f t="shared" si="59"/>
        <v>-0.77668962382541307</v>
      </c>
      <c r="K118" s="464">
        <v>116</v>
      </c>
    </row>
    <row r="119" spans="1:11" x14ac:dyDescent="0.35">
      <c r="A119" s="311" t="s">
        <v>901</v>
      </c>
      <c r="B119" s="7" t="s">
        <v>902</v>
      </c>
      <c r="C119" s="412">
        <f>'DETAILS (sorted)'!DS118</f>
        <v>10190210.89560489</v>
      </c>
      <c r="D119" s="412">
        <f>'117 Kajiru Gad Kilonzo'!D27</f>
        <v>5086936.0331448819</v>
      </c>
      <c r="E119" s="413" t="b">
        <f t="shared" ref="E119" si="60">C119=D119</f>
        <v>0</v>
      </c>
      <c r="F119" s="2">
        <f>'Summary2 (sorted)'!AD119</f>
        <v>3500000</v>
      </c>
      <c r="G119" s="3">
        <v>20000000</v>
      </c>
      <c r="H119" s="3">
        <f t="shared" ref="H119" si="61">C119-G119</f>
        <v>-9809789.1043951102</v>
      </c>
      <c r="I119" s="590">
        <f t="shared" ref="I119" si="62">D119/G119</f>
        <v>0.2543468016572441</v>
      </c>
      <c r="J119" s="590">
        <f t="shared" ref="J119" si="63">I119-1</f>
        <v>-0.7456531983427559</v>
      </c>
      <c r="K119" s="464">
        <v>117</v>
      </c>
    </row>
    <row r="120" spans="1:11" x14ac:dyDescent="0.35">
      <c r="A120" s="311" t="s">
        <v>910</v>
      </c>
      <c r="B120" s="7" t="s">
        <v>911</v>
      </c>
      <c r="C120" s="412">
        <f>'DETAILS (sorted)'!DS119</f>
        <v>5124571.8399180379</v>
      </c>
      <c r="D120" s="412">
        <f>'118 Vicent Tango'!D27</f>
        <v>5072635.7752618855</v>
      </c>
      <c r="E120" s="413" t="b">
        <f t="shared" ref="E120" si="64">C120=D120</f>
        <v>0</v>
      </c>
      <c r="F120" s="2">
        <f>'Summary2 (sorted)'!AD120</f>
        <v>3500000</v>
      </c>
      <c r="G120" s="3">
        <v>15000000</v>
      </c>
      <c r="H120" s="3">
        <f t="shared" ref="H120" si="65">C120-G120</f>
        <v>-9875428.1600819621</v>
      </c>
      <c r="I120" s="590">
        <f t="shared" ref="I120" si="66">D120/G120</f>
        <v>0.33817571835079235</v>
      </c>
      <c r="J120" s="590">
        <f t="shared" ref="J120" si="67">I120-1</f>
        <v>-0.6618242816492077</v>
      </c>
      <c r="K120" s="464">
        <v>118</v>
      </c>
    </row>
    <row r="121" spans="1:11" x14ac:dyDescent="0.35">
      <c r="A121" s="311" t="s">
        <v>912</v>
      </c>
      <c r="B121" s="7" t="s">
        <v>914</v>
      </c>
      <c r="C121" s="412">
        <f>'DETAILS (sorted)'!DS120</f>
        <v>20380421.79120978</v>
      </c>
      <c r="D121" s="412">
        <f>'119 Prosper Nambaya'!D27</f>
        <v>10173872.066289764</v>
      </c>
      <c r="E121" s="413" t="b">
        <f t="shared" ref="E121:E122" si="68">C121=D121</f>
        <v>0</v>
      </c>
      <c r="F121" s="2">
        <f>'Summary2 (sorted)'!AD121</f>
        <v>3500000</v>
      </c>
      <c r="G121" s="3">
        <v>15000000</v>
      </c>
      <c r="H121" s="3">
        <f t="shared" ref="H121:H122" si="69">C121-G121</f>
        <v>5380421.7912097797</v>
      </c>
      <c r="I121" s="590">
        <f t="shared" ref="I121:I122" si="70">D121/G121</f>
        <v>0.67825813775265098</v>
      </c>
      <c r="J121" s="590">
        <f t="shared" ref="J121:J122" si="71">I121-1</f>
        <v>-0.32174186224734902</v>
      </c>
      <c r="K121" s="464">
        <v>119</v>
      </c>
    </row>
    <row r="122" spans="1:11" x14ac:dyDescent="0.35">
      <c r="A122" s="311" t="s">
        <v>913</v>
      </c>
      <c r="B122" s="7" t="s">
        <v>915</v>
      </c>
      <c r="C122" s="412">
        <f>'DETAILS (sorted)'!DS121</f>
        <v>3691717.9803632614</v>
      </c>
      <c r="D122" s="412">
        <f>'120 Goodwil Nambaya'!D27</f>
        <v>3652303.4782917108</v>
      </c>
      <c r="E122" s="413" t="b">
        <f t="shared" si="68"/>
        <v>0</v>
      </c>
      <c r="F122" s="2">
        <f>'Summary2 (sorted)'!AD122</f>
        <v>3500000</v>
      </c>
      <c r="G122" s="3">
        <v>15000000</v>
      </c>
      <c r="H122" s="3">
        <f t="shared" si="69"/>
        <v>-11308282.019636739</v>
      </c>
      <c r="I122" s="590">
        <f t="shared" si="70"/>
        <v>0.24348689855278072</v>
      </c>
      <c r="J122" s="590">
        <f t="shared" si="71"/>
        <v>-0.75651310144721928</v>
      </c>
      <c r="K122" s="464">
        <v>120</v>
      </c>
    </row>
    <row r="123" spans="1:11" x14ac:dyDescent="0.35">
      <c r="A123" s="311" t="s">
        <v>916</v>
      </c>
      <c r="B123" s="7" t="s">
        <v>917</v>
      </c>
      <c r="C123" s="412">
        <f>'DETAILS (sorted)'!DS122</f>
        <v>13557105.786050687</v>
      </c>
      <c r="D123" s="412">
        <f>'121 Deodati Donati'!D27</f>
        <v>7119708.4102992155</v>
      </c>
      <c r="E123" s="413" t="b">
        <f t="shared" ref="E123" si="72">C123=D123</f>
        <v>0</v>
      </c>
      <c r="F123" s="2">
        <f>'Summary2 (sorted)'!AD123</f>
        <v>3500000</v>
      </c>
      <c r="G123" s="3">
        <v>15000000</v>
      </c>
      <c r="H123" s="3">
        <f t="shared" ref="H123" si="73">C123-G123</f>
        <v>-1442894.2139493134</v>
      </c>
      <c r="I123" s="590">
        <f t="shared" ref="I123" si="74">D123/G123</f>
        <v>0.47464722735328102</v>
      </c>
      <c r="J123" s="590">
        <f t="shared" ref="J123" si="75">I123-1</f>
        <v>-0.52535277264671898</v>
      </c>
      <c r="K123" s="464">
        <v>121</v>
      </c>
    </row>
    <row r="124" spans="1:11" x14ac:dyDescent="0.35">
      <c r="A124" s="311" t="s">
        <v>920</v>
      </c>
      <c r="B124" s="7" t="s">
        <v>922</v>
      </c>
      <c r="C124" s="412">
        <f>'DETAILS (sorted)'!DS123</f>
        <v>5510964.4734190051</v>
      </c>
      <c r="D124" s="412">
        <f>'122 Dismas Prosper Batiri'!D27</f>
        <v>3439555.0224134284</v>
      </c>
      <c r="E124" s="413" t="b">
        <f t="shared" ref="E124" si="76">C124=D124</f>
        <v>0</v>
      </c>
      <c r="F124" s="2">
        <f>'Summary2 (sorted)'!AD124</f>
        <v>3500000</v>
      </c>
      <c r="G124" s="3">
        <v>15000000</v>
      </c>
      <c r="H124" s="3">
        <f t="shared" ref="H124" si="77">C124-G124</f>
        <v>-9489035.5265809949</v>
      </c>
      <c r="I124" s="590">
        <f t="shared" ref="I124" si="78">D124/G124</f>
        <v>0.22930366816089523</v>
      </c>
      <c r="J124" s="590">
        <f t="shared" ref="J124" si="79">I124-1</f>
        <v>-0.7706963318391048</v>
      </c>
      <c r="K124" s="464">
        <v>122</v>
      </c>
    </row>
    <row r="125" spans="1:11" x14ac:dyDescent="0.35">
      <c r="A125" s="311" t="s">
        <v>923</v>
      </c>
      <c r="B125" s="7" t="s">
        <v>924</v>
      </c>
      <c r="C125" s="412">
        <f>'DETAILS (sorted)'!DS124</f>
        <v>3888781.3199145901</v>
      </c>
      <c r="D125" s="412">
        <f>'123 Limbu Malongo Limbu'!D27</f>
        <v>3349369.637461144</v>
      </c>
      <c r="E125" s="413" t="b">
        <f t="shared" ref="E125" si="80">C125=D125</f>
        <v>0</v>
      </c>
      <c r="F125" s="2">
        <f>'Summary2 (sorted)'!AD125</f>
        <v>3500000</v>
      </c>
      <c r="G125" s="3">
        <v>15000000</v>
      </c>
      <c r="H125" s="3">
        <f t="shared" ref="H125" si="81">C125-G125</f>
        <v>-11111218.680085409</v>
      </c>
      <c r="I125" s="590">
        <f t="shared" ref="I125" si="82">D125/G125</f>
        <v>0.22329130916407627</v>
      </c>
      <c r="J125" s="590">
        <f t="shared" ref="J125" si="83">I125-1</f>
        <v>-0.77670869083592375</v>
      </c>
      <c r="K125" s="464">
        <v>123</v>
      </c>
    </row>
    <row r="126" spans="1:11" x14ac:dyDescent="0.35">
      <c r="A126" s="311" t="s">
        <v>926</v>
      </c>
      <c r="B126" s="7" t="s">
        <v>929</v>
      </c>
      <c r="C126" s="412">
        <f>'DETAILS (sorted)'!DS125</f>
        <v>3484708.8511442649</v>
      </c>
      <c r="D126" s="412">
        <f>'124 Hamad Habeed Mansoor'!D27</f>
        <v>3449392.3271780824</v>
      </c>
      <c r="E126" s="413" t="b">
        <f t="shared" ref="E126:E128" si="84">C126=D126</f>
        <v>0</v>
      </c>
      <c r="F126" s="2">
        <f>'Summary2 (sorted)'!AD126</f>
        <v>3500000</v>
      </c>
      <c r="G126" s="3">
        <v>15000000</v>
      </c>
      <c r="H126" s="3">
        <f t="shared" ref="H126:H128" si="85">C126-G126</f>
        <v>-11515291.148855735</v>
      </c>
      <c r="I126" s="590">
        <f t="shared" ref="I126:I128" si="86">D126/G126</f>
        <v>0.22995948847853884</v>
      </c>
      <c r="J126" s="590">
        <f t="shared" ref="J126:J128" si="87">I126-1</f>
        <v>-0.77004051152146114</v>
      </c>
      <c r="K126" s="464">
        <v>124</v>
      </c>
    </row>
    <row r="127" spans="1:11" x14ac:dyDescent="0.35">
      <c r="A127" s="311" t="s">
        <v>927</v>
      </c>
      <c r="B127" s="7" t="s">
        <v>928</v>
      </c>
      <c r="C127" s="412">
        <f>'DETAILS (sorted)'!DS126</f>
        <v>3482351.5397750176</v>
      </c>
      <c r="D127" s="412">
        <f>'125 Shabani Juma Ndosi'!D27</f>
        <v>3447058.9064829266</v>
      </c>
      <c r="E127" s="413" t="b">
        <f t="shared" si="84"/>
        <v>0</v>
      </c>
      <c r="F127" s="2">
        <f>'Summary2 (sorted)'!AD127</f>
        <v>3500000</v>
      </c>
      <c r="G127" s="3">
        <v>15000000</v>
      </c>
      <c r="H127" s="3">
        <f t="shared" si="85"/>
        <v>-11517648.460224982</v>
      </c>
      <c r="I127" s="590">
        <f t="shared" si="86"/>
        <v>0.22980392709886177</v>
      </c>
      <c r="J127" s="590">
        <f t="shared" si="87"/>
        <v>-0.77019607290113823</v>
      </c>
      <c r="K127" s="464">
        <v>125</v>
      </c>
    </row>
    <row r="128" spans="1:11" x14ac:dyDescent="0.35">
      <c r="A128" s="311" t="s">
        <v>930</v>
      </c>
      <c r="B128" s="7" t="s">
        <v>931</v>
      </c>
      <c r="C128" s="412">
        <f>'DETAILS (sorted)'!DS127</f>
        <v>15255849.951291742</v>
      </c>
      <c r="D128" s="412">
        <f>'126 Peter Anthon Sobe '!D27</f>
        <v>5101236.2910278793</v>
      </c>
      <c r="E128" s="413" t="b">
        <f t="shared" si="84"/>
        <v>0</v>
      </c>
      <c r="F128" s="2">
        <f>'Summary2 (sorted)'!AD128</f>
        <v>3500000</v>
      </c>
      <c r="G128" s="3">
        <v>15000000</v>
      </c>
      <c r="H128" s="3">
        <f t="shared" si="85"/>
        <v>255849.9512917418</v>
      </c>
      <c r="I128" s="590">
        <f t="shared" si="86"/>
        <v>0.34008241940185863</v>
      </c>
      <c r="J128" s="590">
        <f t="shared" si="87"/>
        <v>-0.65991758059814143</v>
      </c>
      <c r="K128" s="464">
        <v>126</v>
      </c>
    </row>
    <row r="129" spans="1:11" x14ac:dyDescent="0.35">
      <c r="A129" s="311" t="s">
        <v>933</v>
      </c>
      <c r="B129" s="7" t="s">
        <v>934</v>
      </c>
      <c r="C129" s="412">
        <f>'DETAILS (sorted)'!DS128</f>
        <v>5615808.0886918893</v>
      </c>
      <c r="D129" s="412">
        <f>'127 Ignas Nicodemus Chilewa'!D27</f>
        <v>3558893.4856573637</v>
      </c>
      <c r="E129" s="413" t="b">
        <f t="shared" ref="E129" si="88">C129=D129</f>
        <v>0</v>
      </c>
      <c r="F129" s="2">
        <f>'Summary2 (sorted)'!AD129</f>
        <v>3500000</v>
      </c>
      <c r="G129" s="3">
        <v>15000000</v>
      </c>
      <c r="H129" s="3">
        <f t="shared" ref="H129" si="89">C129-G129</f>
        <v>-9384191.9113081098</v>
      </c>
      <c r="I129" s="590">
        <f t="shared" ref="I129" si="90">D129/G129</f>
        <v>0.23725956571049092</v>
      </c>
      <c r="J129" s="590">
        <f t="shared" ref="J129" si="91">I129-1</f>
        <v>-0.76274043428950911</v>
      </c>
      <c r="K129" s="464">
        <v>127</v>
      </c>
    </row>
    <row r="130" spans="1:11" x14ac:dyDescent="0.35">
      <c r="A130" s="311" t="s">
        <v>935</v>
      </c>
      <c r="B130" s="7" t="s">
        <v>936</v>
      </c>
      <c r="C130" s="412">
        <f>'DETAILS (sorted)'!DS129</f>
        <v>3484708.8511442649</v>
      </c>
      <c r="D130" s="412">
        <f>'128 Mohamed Abdallah Muanda'!D27</f>
        <v>3449392.3271780824</v>
      </c>
      <c r="E130" s="413" t="b">
        <f t="shared" ref="E130" si="92">C130=D130</f>
        <v>0</v>
      </c>
      <c r="F130" s="2">
        <f>'Summary2 (sorted)'!AD130</f>
        <v>3500000</v>
      </c>
      <c r="G130" s="3">
        <v>15000000</v>
      </c>
      <c r="H130" s="3">
        <f t="shared" ref="H130" si="93">C130-G130</f>
        <v>-11515291.148855735</v>
      </c>
      <c r="I130" s="590">
        <f t="shared" ref="I130" si="94">D130/G130</f>
        <v>0.22995948847853884</v>
      </c>
      <c r="J130" s="590">
        <f t="shared" ref="J130" si="95">I130-1</f>
        <v>-0.77004051152146114</v>
      </c>
      <c r="K130" s="464">
        <v>128</v>
      </c>
    </row>
    <row r="131" spans="1:11" x14ac:dyDescent="0.35">
      <c r="A131" s="311" t="s">
        <v>949</v>
      </c>
      <c r="B131" s="7" t="s">
        <v>948</v>
      </c>
      <c r="C131" s="412">
        <f>'DETAILS (sorted)'!DS130</f>
        <v>3587200.287942626</v>
      </c>
      <c r="D131" s="412">
        <f>'129 Africa Jumanne Bwamkuu'!D27</f>
        <v>3550845.0426833201</v>
      </c>
      <c r="E131" s="413" t="b">
        <f t="shared" ref="E131:E132" si="96">C131=D131</f>
        <v>0</v>
      </c>
      <c r="F131" s="2">
        <f>'Summary2 (sorted)'!AD131</f>
        <v>3500000</v>
      </c>
      <c r="G131" s="3">
        <v>15000000</v>
      </c>
      <c r="H131" s="3">
        <f t="shared" ref="H131:H132" si="97">C131-G131</f>
        <v>-11412799.712057374</v>
      </c>
      <c r="I131" s="590">
        <f t="shared" ref="I131:I132" si="98">D131/G131</f>
        <v>0.23672300284555467</v>
      </c>
      <c r="J131" s="590">
        <f t="shared" ref="J131:J132" si="99">I131-1</f>
        <v>-0.7632769971544453</v>
      </c>
      <c r="K131" s="464">
        <v>129</v>
      </c>
    </row>
    <row r="132" spans="1:11" x14ac:dyDescent="0.35">
      <c r="A132" s="311" t="s">
        <v>950</v>
      </c>
      <c r="B132" s="7" t="s">
        <v>985</v>
      </c>
      <c r="C132" s="412">
        <f>'DETAILS (sorted)'!DS131</f>
        <v>5395345.225483275</v>
      </c>
      <c r="D132" s="412">
        <f>'130 Bavo Emmanuel Mzee'!D27</f>
        <v>4350799.6632494442</v>
      </c>
      <c r="E132" s="413" t="b">
        <f t="shared" si="96"/>
        <v>0</v>
      </c>
      <c r="F132" s="2">
        <f>'Summary2 (sorted)'!AD132</f>
        <v>3500000</v>
      </c>
      <c r="G132" s="3">
        <v>15000000</v>
      </c>
      <c r="H132" s="3">
        <f t="shared" si="97"/>
        <v>-9604654.7745167241</v>
      </c>
      <c r="I132" s="590">
        <f t="shared" si="98"/>
        <v>0.29005331088329628</v>
      </c>
      <c r="J132" s="590">
        <f t="shared" si="99"/>
        <v>-0.70994668911670367</v>
      </c>
      <c r="K132" s="464">
        <v>130</v>
      </c>
    </row>
    <row r="133" spans="1:11" x14ac:dyDescent="0.35">
      <c r="A133" s="311" t="s">
        <v>952</v>
      </c>
      <c r="B133" s="7" t="s">
        <v>951</v>
      </c>
      <c r="C133" s="412">
        <f>'DETAILS (sorted)'!DS132</f>
        <v>3382217.4143459047</v>
      </c>
      <c r="D133" s="412">
        <f>'131 Titus Moses Safari'!D27</f>
        <v>3347939.6116728447</v>
      </c>
      <c r="E133" s="413" t="b">
        <f t="shared" ref="E133:E145" si="100">C133=D133</f>
        <v>0</v>
      </c>
      <c r="F133" s="2">
        <f>'Summary2 (sorted)'!AD133</f>
        <v>3500000</v>
      </c>
      <c r="G133" s="3">
        <v>15000000</v>
      </c>
      <c r="H133" s="3">
        <f t="shared" ref="H133:H145" si="101">C133-G133</f>
        <v>-11617782.585654095</v>
      </c>
      <c r="I133" s="590">
        <f t="shared" ref="I133:I145" si="102">D133/G133</f>
        <v>0.22319597411152298</v>
      </c>
      <c r="J133" s="590">
        <f t="shared" ref="J133:J145" si="103">I133-1</f>
        <v>-0.77680402588847697</v>
      </c>
      <c r="K133" s="464">
        <v>131</v>
      </c>
    </row>
    <row r="134" spans="1:11" x14ac:dyDescent="0.35">
      <c r="A134" s="311" t="s">
        <v>953</v>
      </c>
      <c r="B134" s="7" t="s">
        <v>988</v>
      </c>
      <c r="C134" s="412">
        <f>'DETAILS (sorted)'!DS133</f>
        <v>4597970.7877107486</v>
      </c>
      <c r="D134" s="412">
        <f>'132 Afred Kishe'!D27</f>
        <v>3351371.6735647637</v>
      </c>
      <c r="E134" s="413" t="b">
        <f t="shared" si="100"/>
        <v>0</v>
      </c>
      <c r="F134" s="2">
        <f>'Summary2 (sorted)'!AD134</f>
        <v>3500000</v>
      </c>
      <c r="G134" s="3">
        <v>15000000</v>
      </c>
      <c r="H134" s="3">
        <f t="shared" si="101"/>
        <v>-10402029.212289251</v>
      </c>
      <c r="I134" s="590">
        <f t="shared" si="102"/>
        <v>0.22342477823765092</v>
      </c>
      <c r="J134" s="590">
        <f t="shared" si="103"/>
        <v>-0.77657522176234905</v>
      </c>
      <c r="K134" s="464">
        <v>132</v>
      </c>
    </row>
    <row r="135" spans="1:11" x14ac:dyDescent="0.35">
      <c r="A135" s="311" t="s">
        <v>954</v>
      </c>
      <c r="B135" s="7" t="s">
        <v>956</v>
      </c>
      <c r="C135" s="412">
        <f>'DETAILS (sorted)'!DS134</f>
        <v>4600328.0990799963</v>
      </c>
      <c r="D135" s="412">
        <f>'133 Martin Kitundu'!D27</f>
        <v>3553705.0942599191</v>
      </c>
      <c r="E135" s="413" t="b">
        <f t="shared" si="100"/>
        <v>0</v>
      </c>
      <c r="F135" s="2">
        <f>'Summary2 (sorted)'!AD135</f>
        <v>3500000</v>
      </c>
      <c r="G135" s="3">
        <v>15000000</v>
      </c>
      <c r="H135" s="3">
        <f t="shared" si="101"/>
        <v>-10399671.900920004</v>
      </c>
      <c r="I135" s="590">
        <f t="shared" si="102"/>
        <v>0.23691367295066126</v>
      </c>
      <c r="J135" s="590">
        <f t="shared" si="103"/>
        <v>-0.76308632704933876</v>
      </c>
      <c r="K135" s="464">
        <v>133</v>
      </c>
    </row>
    <row r="136" spans="1:11" x14ac:dyDescent="0.35">
      <c r="A136" s="311" t="s">
        <v>955</v>
      </c>
      <c r="B136" s="7" t="s">
        <v>957</v>
      </c>
      <c r="C136" s="412">
        <f>'DETAILS (sorted)'!DS135</f>
        <v>3689691.7247409872</v>
      </c>
      <c r="D136" s="412">
        <f>'134 Tumwesige Mujwauzi'!D27</f>
        <v>3652297.7581885578</v>
      </c>
      <c r="E136" s="413" t="b">
        <f t="shared" si="100"/>
        <v>0</v>
      </c>
      <c r="F136" s="2">
        <f>'Summary2 (sorted)'!AD136</f>
        <v>3500000</v>
      </c>
      <c r="G136" s="3">
        <v>15000000</v>
      </c>
      <c r="H136" s="3">
        <f t="shared" si="101"/>
        <v>-11310308.275259012</v>
      </c>
      <c r="I136" s="590">
        <f t="shared" si="102"/>
        <v>0.24348651721257053</v>
      </c>
      <c r="J136" s="590">
        <f t="shared" si="103"/>
        <v>-0.75651348278742947</v>
      </c>
      <c r="K136" s="464">
        <v>134</v>
      </c>
    </row>
    <row r="137" spans="1:11" x14ac:dyDescent="0.35">
      <c r="A137" s="311" t="s">
        <v>964</v>
      </c>
      <c r="B137" s="7" t="s">
        <v>968</v>
      </c>
      <c r="C137" s="412">
        <f>'DETAILS (sorted)'!DS136</f>
        <v>4395345.225483275</v>
      </c>
      <c r="D137" s="412">
        <f>'135 Novat Adam Moshi'!D27</f>
        <v>3350799.6632494438</v>
      </c>
      <c r="E137" s="413" t="b">
        <f t="shared" si="100"/>
        <v>0</v>
      </c>
      <c r="F137" s="2">
        <f>'Summary2 (sorted)'!AD137</f>
        <v>3500000</v>
      </c>
      <c r="G137" s="3">
        <v>15000000</v>
      </c>
      <c r="H137" s="3">
        <f t="shared" si="101"/>
        <v>-10604654.774516724</v>
      </c>
      <c r="I137" s="590">
        <f t="shared" si="102"/>
        <v>0.22338664421662957</v>
      </c>
      <c r="J137" s="590">
        <f t="shared" si="103"/>
        <v>-0.77661335578337043</v>
      </c>
      <c r="K137" s="464">
        <v>135</v>
      </c>
    </row>
    <row r="138" spans="1:11" x14ac:dyDescent="0.35">
      <c r="A138" s="311" t="s">
        <v>965</v>
      </c>
      <c r="B138" s="7" t="s">
        <v>969</v>
      </c>
      <c r="C138" s="412">
        <f>'DETAILS (sorted)'!DS137</f>
        <v>3382217.4143459047</v>
      </c>
      <c r="D138" s="412">
        <f>'136 Fortunatus Mhambe'!D27</f>
        <v>3347939.6116728447</v>
      </c>
      <c r="E138" s="413" t="b">
        <f t="shared" si="100"/>
        <v>0</v>
      </c>
      <c r="F138" s="2">
        <f>'Summary2 (sorted)'!AD138</f>
        <v>3500000</v>
      </c>
      <c r="G138" s="3">
        <v>15000000</v>
      </c>
      <c r="H138" s="3">
        <f t="shared" si="101"/>
        <v>-11617782.585654095</v>
      </c>
      <c r="I138" s="590">
        <f t="shared" si="102"/>
        <v>0.22319597411152298</v>
      </c>
      <c r="J138" s="590">
        <f t="shared" si="103"/>
        <v>-0.77680402588847697</v>
      </c>
      <c r="K138" s="464">
        <v>136</v>
      </c>
    </row>
    <row r="139" spans="1:11" x14ac:dyDescent="0.35">
      <c r="A139" s="311" t="s">
        <v>966</v>
      </c>
      <c r="B139" s="7" t="s">
        <v>970</v>
      </c>
      <c r="C139" s="412">
        <f>'DETAILS (sorted)'!DS138</f>
        <v>4091406.8821420642</v>
      </c>
      <c r="D139" s="412">
        <f>'137 Marcel John Kisoka'!D27</f>
        <v>3349941.647776464</v>
      </c>
      <c r="E139" s="413" t="b">
        <f t="shared" si="100"/>
        <v>0</v>
      </c>
      <c r="F139" s="2">
        <f>'Summary2 (sorted)'!AD139</f>
        <v>3500000</v>
      </c>
      <c r="G139" s="3">
        <v>15000000</v>
      </c>
      <c r="H139" s="3">
        <f t="shared" si="101"/>
        <v>-10908593.117857937</v>
      </c>
      <c r="I139" s="590">
        <f t="shared" si="102"/>
        <v>0.22332944318509759</v>
      </c>
      <c r="J139" s="590">
        <f t="shared" si="103"/>
        <v>-0.77667055681490238</v>
      </c>
      <c r="K139" s="464">
        <v>137</v>
      </c>
    </row>
    <row r="140" spans="1:11" x14ac:dyDescent="0.35">
      <c r="A140" s="311" t="s">
        <v>967</v>
      </c>
      <c r="B140" s="7" t="s">
        <v>971</v>
      </c>
      <c r="C140" s="412">
        <f>'DETAILS (sorted)'!DS139</f>
        <v>3587200.287942626</v>
      </c>
      <c r="D140" s="412">
        <f>'138 Daniel Mchegere'!D27</f>
        <v>3550845.0426833201</v>
      </c>
      <c r="E140" s="413" t="b">
        <f t="shared" si="100"/>
        <v>0</v>
      </c>
      <c r="F140" s="2">
        <f>'Summary2 (sorted)'!AD140</f>
        <v>3500000</v>
      </c>
      <c r="G140" s="3">
        <v>15000000</v>
      </c>
      <c r="H140" s="3">
        <f t="shared" si="101"/>
        <v>-11412799.712057374</v>
      </c>
      <c r="I140" s="590">
        <f t="shared" si="102"/>
        <v>0.23672300284555467</v>
      </c>
      <c r="J140" s="590">
        <f t="shared" si="103"/>
        <v>-0.7632769971544453</v>
      </c>
      <c r="K140" s="464">
        <v>138</v>
      </c>
    </row>
    <row r="141" spans="1:11" x14ac:dyDescent="0.35">
      <c r="A141" s="311" t="s">
        <v>972</v>
      </c>
      <c r="B141" s="7" t="s">
        <v>982</v>
      </c>
      <c r="C141" s="412">
        <f>'DETAILS (sorted)'!DS140</f>
        <v>3888781.3199145901</v>
      </c>
      <c r="D141" s="412">
        <f>'139 Cleverfred Mhidze'!D27</f>
        <v>3349369.637461144</v>
      </c>
      <c r="E141" s="413" t="b">
        <f t="shared" si="100"/>
        <v>0</v>
      </c>
      <c r="F141" s="2">
        <f>'Summary2 (sorted)'!AD141</f>
        <v>3500000</v>
      </c>
      <c r="G141" s="3">
        <v>15000000</v>
      </c>
      <c r="H141" s="3">
        <f t="shared" si="101"/>
        <v>-11111218.680085409</v>
      </c>
      <c r="I141" s="590">
        <f t="shared" si="102"/>
        <v>0.22329130916407627</v>
      </c>
      <c r="J141" s="590">
        <f t="shared" si="103"/>
        <v>-0.77670869083592375</v>
      </c>
      <c r="K141" s="464">
        <v>139</v>
      </c>
    </row>
    <row r="142" spans="1:11" x14ac:dyDescent="0.35">
      <c r="A142" s="311" t="s">
        <v>973</v>
      </c>
      <c r="B142" s="7" t="s">
        <v>983</v>
      </c>
      <c r="C142" s="412">
        <f>'DETAILS (sorted)'!DS141</f>
        <v>7989323.3927934663</v>
      </c>
      <c r="D142" s="412">
        <f>'140 Mwombeki Florian Fabian'!D27</f>
        <v>3360380.8360310518</v>
      </c>
      <c r="E142" s="413" t="b">
        <f t="shared" si="100"/>
        <v>0</v>
      </c>
      <c r="F142" s="2">
        <f>'Summary2 (sorted)'!AD142</f>
        <v>3500000</v>
      </c>
      <c r="G142" s="3">
        <v>15000000</v>
      </c>
      <c r="H142" s="3">
        <f t="shared" si="101"/>
        <v>-7010676.6072065337</v>
      </c>
      <c r="I142" s="590">
        <f t="shared" si="102"/>
        <v>0.22402538906873679</v>
      </c>
      <c r="J142" s="590">
        <f t="shared" si="103"/>
        <v>-0.77597461093126319</v>
      </c>
      <c r="K142" s="464">
        <v>140</v>
      </c>
    </row>
    <row r="143" spans="1:11" x14ac:dyDescent="0.35">
      <c r="A143" s="311" t="s">
        <v>977</v>
      </c>
      <c r="B143" s="7" t="s">
        <v>980</v>
      </c>
      <c r="C143" s="412">
        <f>'DETAILS (sorted)'!DS142</f>
        <v>5408473.0366206458</v>
      </c>
      <c r="D143" s="412">
        <f>'141 Patrick Mbosa'!D27</f>
        <v>3353659.7148260432</v>
      </c>
      <c r="E143" s="413" t="b">
        <f t="shared" si="100"/>
        <v>0</v>
      </c>
      <c r="F143" s="2">
        <f>'Summary2 (sorted)'!AD143</f>
        <v>3500000</v>
      </c>
      <c r="G143" s="3">
        <v>15000000</v>
      </c>
      <c r="H143" s="3">
        <f t="shared" si="101"/>
        <v>-9591526.9633793533</v>
      </c>
      <c r="I143" s="590">
        <f t="shared" si="102"/>
        <v>0.22357731432173622</v>
      </c>
      <c r="J143" s="590">
        <f t="shared" si="103"/>
        <v>-0.77642268567826378</v>
      </c>
      <c r="K143" s="464">
        <v>141</v>
      </c>
    </row>
    <row r="144" spans="1:11" x14ac:dyDescent="0.35">
      <c r="A144" s="311" t="s">
        <v>978</v>
      </c>
      <c r="B144" s="7" t="s">
        <v>989</v>
      </c>
      <c r="C144" s="412">
        <f>'DETAILS (sorted)'!DS143</f>
        <v>3888781.3199145901</v>
      </c>
      <c r="D144" s="412">
        <f>'142 Selemani Pongolani'!D27</f>
        <v>3349369.637461144</v>
      </c>
      <c r="E144" s="413" t="b">
        <f t="shared" si="100"/>
        <v>0</v>
      </c>
      <c r="F144" s="2">
        <f>'Summary2 (sorted)'!AD144</f>
        <v>3500000</v>
      </c>
      <c r="G144" s="3">
        <v>15000000</v>
      </c>
      <c r="H144" s="3">
        <f t="shared" si="101"/>
        <v>-11111218.680085409</v>
      </c>
      <c r="I144" s="590">
        <f t="shared" si="102"/>
        <v>0.22329130916407627</v>
      </c>
      <c r="J144" s="590">
        <f t="shared" si="103"/>
        <v>-0.77670869083592375</v>
      </c>
      <c r="K144" s="464">
        <v>142</v>
      </c>
    </row>
    <row r="145" spans="1:11" x14ac:dyDescent="0.35">
      <c r="A145" s="311" t="s">
        <v>979</v>
      </c>
      <c r="B145" s="7" t="s">
        <v>992</v>
      </c>
      <c r="C145" s="412">
        <f>'DETAILS (sorted)'!DS144</f>
        <v>5104534.693279434</v>
      </c>
      <c r="D145" s="412">
        <f>'143 Honest Tesha'!D27</f>
        <v>3352801.6993530635</v>
      </c>
      <c r="E145" s="413" t="b">
        <f t="shared" si="100"/>
        <v>0</v>
      </c>
      <c r="F145" s="2">
        <f>'Summary2 (sorted)'!AD145</f>
        <v>3500000</v>
      </c>
      <c r="G145" s="3">
        <v>15000000</v>
      </c>
      <c r="H145" s="3">
        <f t="shared" si="101"/>
        <v>-9895465.306720566</v>
      </c>
      <c r="I145" s="590">
        <f t="shared" si="102"/>
        <v>0.22352011329020424</v>
      </c>
      <c r="J145" s="590">
        <f t="shared" si="103"/>
        <v>-0.77647988670979573</v>
      </c>
      <c r="K145" s="464">
        <v>143</v>
      </c>
    </row>
    <row r="146" spans="1:11" x14ac:dyDescent="0.35">
      <c r="A146" s="311" t="s">
        <v>995</v>
      </c>
      <c r="B146" s="7" t="s">
        <v>996</v>
      </c>
      <c r="C146" s="412">
        <f>'DETAILS (sorted)'!DS145</f>
        <v>3647260.1200945326</v>
      </c>
      <c r="D146" s="412">
        <f>'144 Steven Chihwallo'!D27</f>
        <v>3610296.1856757575</v>
      </c>
      <c r="E146" s="413" t="b">
        <f t="shared" ref="E146:E148" si="104">C146=D146</f>
        <v>0</v>
      </c>
      <c r="F146" s="2">
        <f>'Summary2 (sorted)'!AD146</f>
        <v>3500000</v>
      </c>
      <c r="G146" s="3">
        <v>15000000</v>
      </c>
      <c r="H146" s="3">
        <f t="shared" ref="H146:H148" si="105">C146-G146</f>
        <v>-11352739.879905468</v>
      </c>
      <c r="I146" s="590">
        <f t="shared" ref="I146:I148" si="106">D146/G146</f>
        <v>0.24068641237838384</v>
      </c>
      <c r="J146" s="590">
        <f t="shared" ref="J146:J148" si="107">I146-1</f>
        <v>-0.75931358762161616</v>
      </c>
      <c r="K146" s="464">
        <v>144</v>
      </c>
    </row>
    <row r="147" spans="1:11" x14ac:dyDescent="0.35">
      <c r="A147" s="311" t="s">
        <v>1004</v>
      </c>
      <c r="B147" s="7" t="s">
        <v>1005</v>
      </c>
      <c r="C147" s="412">
        <f>'DETAILS (sorted)'!DS146</f>
        <v>3444634.557867059</v>
      </c>
      <c r="D147" s="412">
        <f>'145 Jaha Kamugisha Mvuha'!D27</f>
        <v>3409724.1753604379</v>
      </c>
      <c r="E147" s="413" t="b">
        <f t="shared" si="104"/>
        <v>0</v>
      </c>
      <c r="F147" s="2">
        <f>'Summary2 (sorted)'!AD147</f>
        <v>3500000</v>
      </c>
      <c r="G147" s="3">
        <v>15000000</v>
      </c>
      <c r="H147" s="3">
        <f t="shared" si="105"/>
        <v>-11555365.442132941</v>
      </c>
      <c r="I147" s="590">
        <f t="shared" si="106"/>
        <v>0.22731494502402919</v>
      </c>
      <c r="J147" s="590">
        <f t="shared" si="107"/>
        <v>-0.77268505497597084</v>
      </c>
      <c r="K147" s="464">
        <v>145</v>
      </c>
    </row>
    <row r="148" spans="1:11" x14ac:dyDescent="0.35">
      <c r="A148" s="311" t="s">
        <v>1006</v>
      </c>
      <c r="B148" s="7" t="s">
        <v>1007</v>
      </c>
      <c r="C148" s="412">
        <f>'DETAILS (sorted)'!DS147</f>
        <v>11853595.390307231</v>
      </c>
      <c r="D148" s="412">
        <f>'146 Hussein Shamdas'!D27</f>
        <v>3733462.6034462121</v>
      </c>
      <c r="E148" s="413" t="b">
        <f t="shared" si="104"/>
        <v>0</v>
      </c>
      <c r="F148" s="2">
        <f>'Summary2 (sorted)'!AD148</f>
        <v>3500000</v>
      </c>
      <c r="G148" s="3">
        <v>15000000</v>
      </c>
      <c r="H148" s="3">
        <f t="shared" si="105"/>
        <v>-3146404.6096927691</v>
      </c>
      <c r="I148" s="590">
        <f t="shared" si="106"/>
        <v>0.24889750689641416</v>
      </c>
      <c r="J148" s="590">
        <f t="shared" si="107"/>
        <v>-0.7511024931035859</v>
      </c>
      <c r="K148" s="464">
        <v>146</v>
      </c>
    </row>
    <row r="149" spans="1:11" x14ac:dyDescent="0.35">
      <c r="A149" s="311" t="s">
        <v>1019</v>
      </c>
      <c r="B149" s="7" t="s">
        <v>1020</v>
      </c>
      <c r="C149" s="412">
        <f>'DETAILS (sorted)'!DS148</f>
        <v>3567729.5869202493</v>
      </c>
      <c r="D149" s="412">
        <f>'147 Julius Chacha Mwita'!D27</f>
        <v>3531571.6716269944</v>
      </c>
      <c r="E149" s="413" t="b">
        <f t="shared" ref="E149" si="108">C149=D149</f>
        <v>0</v>
      </c>
      <c r="F149" s="2">
        <f>'Summary2 (sorted)'!AD149</f>
        <v>3500000</v>
      </c>
      <c r="G149" s="3">
        <v>15000000</v>
      </c>
      <c r="H149" s="3">
        <f t="shared" ref="H149" si="109">C149-G149</f>
        <v>-11432270.41307975</v>
      </c>
      <c r="I149" s="590">
        <f t="shared" ref="I149" si="110">D149/G149</f>
        <v>0.23543811144179963</v>
      </c>
      <c r="J149" s="590">
        <f t="shared" ref="J149" si="111">I149-1</f>
        <v>-0.7645618885582004</v>
      </c>
      <c r="K149" s="464">
        <v>147</v>
      </c>
    </row>
    <row r="150" spans="1:11" x14ac:dyDescent="0.35">
      <c r="A150" s="311" t="s">
        <v>1312</v>
      </c>
      <c r="B150" s="7" t="s">
        <v>1315</v>
      </c>
      <c r="C150" s="412">
        <f>'DETAILS (sorted)'!DS149</f>
        <v>6078766.8668242218</v>
      </c>
      <c r="D150" s="412">
        <f>'147 Julius Chacha Mwita'!D28</f>
        <v>15000000</v>
      </c>
      <c r="E150" s="413" t="b">
        <f t="shared" ref="E150:E152" si="112">C150=D150</f>
        <v>0</v>
      </c>
      <c r="F150" s="2">
        <f>'Summary2 (sorted)'!AD150</f>
        <v>3500000</v>
      </c>
      <c r="G150" s="3">
        <v>15000001</v>
      </c>
      <c r="H150" s="3">
        <f t="shared" ref="H150:H152" si="113">C150-G150</f>
        <v>-8921234.1331757791</v>
      </c>
      <c r="I150" s="590">
        <f t="shared" ref="I150:I152" si="114">D150/G150</f>
        <v>0.99999993333333781</v>
      </c>
      <c r="J150" s="590">
        <f t="shared" ref="J150:J152" si="115">I150-1</f>
        <v>-6.6666662190684178E-8</v>
      </c>
      <c r="K150" s="464">
        <v>148</v>
      </c>
    </row>
    <row r="151" spans="1:11" x14ac:dyDescent="0.35">
      <c r="A151" s="311" t="s">
        <v>1314</v>
      </c>
      <c r="B151" s="7" t="s">
        <v>1316</v>
      </c>
      <c r="C151" s="412">
        <f>'DETAILS (sorted)'!DS150</f>
        <v>3545947.3389807958</v>
      </c>
      <c r="D151" s="412">
        <f>'147 Julius Chacha Mwita'!D29</f>
        <v>-11468428.328373006</v>
      </c>
      <c r="E151" s="413" t="b">
        <f t="shared" si="112"/>
        <v>0</v>
      </c>
      <c r="F151" s="2">
        <f>'Summary2 (sorted)'!AD151</f>
        <v>3500000</v>
      </c>
      <c r="G151" s="3">
        <v>15000002</v>
      </c>
      <c r="H151" s="3">
        <f t="shared" si="113"/>
        <v>-11454054.661019204</v>
      </c>
      <c r="I151" s="590">
        <f t="shared" si="114"/>
        <v>-0.76456178661662888</v>
      </c>
      <c r="J151" s="590">
        <f t="shared" si="115"/>
        <v>-1.7645617866166288</v>
      </c>
      <c r="K151" s="464">
        <v>149</v>
      </c>
    </row>
    <row r="152" spans="1:11" x14ac:dyDescent="0.35">
      <c r="A152" s="311" t="s">
        <v>1349</v>
      </c>
      <c r="B152" s="7" t="s">
        <v>1350</v>
      </c>
      <c r="C152" s="412">
        <f>'DETAILS (sorted)'!DS151</f>
        <v>5065639.055686851</v>
      </c>
      <c r="D152" s="412">
        <f>'147 Julius Chacha Mwita'!D30</f>
        <v>0</v>
      </c>
      <c r="E152" s="413" t="b">
        <f t="shared" si="112"/>
        <v>0</v>
      </c>
      <c r="F152" s="2">
        <f>'Summary2 (sorted)'!AD152</f>
        <v>3500000</v>
      </c>
      <c r="G152" s="3">
        <v>15000003</v>
      </c>
      <c r="H152" s="3">
        <f t="shared" si="113"/>
        <v>-9934363.9443131499</v>
      </c>
      <c r="I152" s="590">
        <f t="shared" si="114"/>
        <v>0</v>
      </c>
      <c r="J152" s="590">
        <f t="shared" si="115"/>
        <v>-1</v>
      </c>
      <c r="K152" s="464">
        <v>150</v>
      </c>
    </row>
    <row r="153" spans="1:11" x14ac:dyDescent="0.35">
      <c r="A153" s="311"/>
      <c r="B153" s="7"/>
      <c r="C153" s="412"/>
      <c r="D153" s="412"/>
      <c r="E153" s="413"/>
      <c r="F153" s="2"/>
      <c r="G153" s="3"/>
      <c r="H153" s="3"/>
      <c r="I153" s="590"/>
      <c r="J153" s="590"/>
      <c r="K153" s="514"/>
    </row>
    <row r="154" spans="1:11" x14ac:dyDescent="0.35">
      <c r="A154" s="2"/>
      <c r="B154" s="2"/>
      <c r="C154" s="412">
        <f>SUM(C3:C153)</f>
        <v>1589705274.7600012</v>
      </c>
      <c r="D154" s="412">
        <f>SUM(D3:D153)</f>
        <v>1206412343.3405032</v>
      </c>
      <c r="E154" s="413" t="b">
        <f>C154=D154</f>
        <v>0</v>
      </c>
      <c r="F154" s="3">
        <f>SUM(F3:F153)</f>
        <v>525000000</v>
      </c>
      <c r="G154" s="3">
        <f t="shared" ref="G154:J154" si="116">SUM(G3:G153)</f>
        <v>2611000006</v>
      </c>
      <c r="H154" s="3">
        <f t="shared" si="116"/>
        <v>-1021294731.2400002</v>
      </c>
      <c r="I154" s="3">
        <f t="shared" si="116"/>
        <v>68.407212439079416</v>
      </c>
      <c r="J154" s="3">
        <f t="shared" si="116"/>
        <v>-81.678591985942262</v>
      </c>
    </row>
    <row r="155" spans="1:11" x14ac:dyDescent="0.35">
      <c r="C155" s="28">
        <f>D154</f>
        <v>1206412343.3405032</v>
      </c>
      <c r="D155" s="28">
        <f>C154</f>
        <v>1589705274.7600012</v>
      </c>
    </row>
  </sheetData>
  <phoneticPr fontId="3"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82F16-383E-496F-984D-56AE3063FB32}">
  <dimension ref="B1:K87"/>
  <sheetViews>
    <sheetView topLeftCell="A23" workbookViewId="0">
      <selection activeCell="B50" sqref="B50"/>
    </sheetView>
  </sheetViews>
  <sheetFormatPr defaultRowHeight="14.5" x14ac:dyDescent="0.35"/>
  <cols>
    <col min="2" max="2" width="2.7265625" bestFit="1" customWidth="1"/>
    <col min="3" max="3" width="15.36328125" bestFit="1" customWidth="1"/>
    <col min="4" max="4" width="3.81640625" bestFit="1" customWidth="1"/>
    <col min="5" max="5" width="7.54296875" bestFit="1" customWidth="1"/>
    <col min="6" max="6" width="5.08984375" bestFit="1" customWidth="1"/>
    <col min="8" max="8" width="6.26953125" bestFit="1" customWidth="1"/>
    <col min="9" max="9" width="4.453125" bestFit="1" customWidth="1"/>
    <col min="10" max="10" width="8.90625" bestFit="1" customWidth="1"/>
    <col min="11" max="11" width="6.26953125" bestFit="1" customWidth="1"/>
  </cols>
  <sheetData>
    <row r="1" spans="2:6" ht="15" thickBot="1" x14ac:dyDescent="0.4">
      <c r="C1" t="s">
        <v>830</v>
      </c>
    </row>
    <row r="2" spans="2:6" x14ac:dyDescent="0.35">
      <c r="B2" s="480" t="s">
        <v>828</v>
      </c>
      <c r="C2" s="481" t="s">
        <v>123</v>
      </c>
      <c r="D2" s="481" t="s">
        <v>787</v>
      </c>
      <c r="E2" s="481" t="s">
        <v>788</v>
      </c>
      <c r="F2" s="482" t="s">
        <v>768</v>
      </c>
    </row>
    <row r="3" spans="2:6" x14ac:dyDescent="0.35">
      <c r="B3" s="483">
        <v>1</v>
      </c>
      <c r="C3" s="484" t="s">
        <v>801</v>
      </c>
      <c r="D3" s="484" t="s">
        <v>767</v>
      </c>
      <c r="E3" s="484" t="s">
        <v>788</v>
      </c>
      <c r="F3" s="485"/>
    </row>
    <row r="4" spans="2:6" x14ac:dyDescent="0.35">
      <c r="B4" s="483">
        <v>2</v>
      </c>
      <c r="C4" s="484" t="s">
        <v>802</v>
      </c>
      <c r="D4" s="484" t="s">
        <v>766</v>
      </c>
      <c r="E4" s="484"/>
      <c r="F4" s="485" t="s">
        <v>768</v>
      </c>
    </row>
    <row r="5" spans="2:6" x14ac:dyDescent="0.35">
      <c r="B5" s="483">
        <v>3</v>
      </c>
      <c r="C5" s="484" t="s">
        <v>803</v>
      </c>
      <c r="D5" s="484" t="s">
        <v>767</v>
      </c>
      <c r="E5" s="484" t="s">
        <v>788</v>
      </c>
      <c r="F5" s="485"/>
    </row>
    <row r="6" spans="2:6" x14ac:dyDescent="0.35">
      <c r="B6" s="483">
        <v>4</v>
      </c>
      <c r="C6" s="484" t="s">
        <v>638</v>
      </c>
      <c r="D6" s="484" t="s">
        <v>789</v>
      </c>
      <c r="E6" s="484" t="s">
        <v>788</v>
      </c>
      <c r="F6" s="485" t="s">
        <v>768</v>
      </c>
    </row>
    <row r="7" spans="2:6" x14ac:dyDescent="0.35">
      <c r="B7" s="483">
        <v>5</v>
      </c>
      <c r="C7" s="484" t="s">
        <v>804</v>
      </c>
      <c r="D7" s="484" t="s">
        <v>767</v>
      </c>
      <c r="E7" s="484" t="s">
        <v>788</v>
      </c>
      <c r="F7" s="485" t="s">
        <v>768</v>
      </c>
    </row>
    <row r="8" spans="2:6" x14ac:dyDescent="0.35">
      <c r="B8" s="483">
        <v>6</v>
      </c>
      <c r="C8" s="484" t="s">
        <v>792</v>
      </c>
      <c r="D8" s="484" t="s">
        <v>766</v>
      </c>
      <c r="E8" s="484" t="s">
        <v>788</v>
      </c>
      <c r="F8" s="485"/>
    </row>
    <row r="9" spans="2:6" x14ac:dyDescent="0.35">
      <c r="B9" s="483">
        <v>7</v>
      </c>
      <c r="C9" s="484" t="s">
        <v>805</v>
      </c>
      <c r="D9" s="484" t="s">
        <v>789</v>
      </c>
      <c r="E9" s="484" t="s">
        <v>788</v>
      </c>
      <c r="F9" s="485" t="s">
        <v>768</v>
      </c>
    </row>
    <row r="10" spans="2:6" x14ac:dyDescent="0.35">
      <c r="B10" s="483">
        <v>8</v>
      </c>
      <c r="C10" s="484" t="s">
        <v>827</v>
      </c>
      <c r="D10" s="484" t="s">
        <v>794</v>
      </c>
      <c r="E10" s="484" t="s">
        <v>788</v>
      </c>
      <c r="F10" s="485"/>
    </row>
    <row r="11" spans="2:6" x14ac:dyDescent="0.35">
      <c r="B11" s="483">
        <v>9</v>
      </c>
      <c r="C11" s="484" t="s">
        <v>806</v>
      </c>
      <c r="D11" s="484" t="s">
        <v>767</v>
      </c>
      <c r="E11" s="484" t="s">
        <v>788</v>
      </c>
      <c r="F11" s="485"/>
    </row>
    <row r="12" spans="2:6" x14ac:dyDescent="0.35">
      <c r="B12" s="483">
        <v>10</v>
      </c>
      <c r="C12" s="484" t="s">
        <v>807</v>
      </c>
      <c r="D12" s="484" t="s">
        <v>765</v>
      </c>
      <c r="E12" s="484" t="s">
        <v>788</v>
      </c>
      <c r="F12" s="485" t="s">
        <v>768</v>
      </c>
    </row>
    <row r="13" spans="2:6" x14ac:dyDescent="0.35">
      <c r="B13" s="483">
        <v>11</v>
      </c>
      <c r="C13" s="484" t="s">
        <v>825</v>
      </c>
      <c r="D13" s="484" t="s">
        <v>767</v>
      </c>
      <c r="E13" s="484" t="s">
        <v>788</v>
      </c>
      <c r="F13" s="485" t="s">
        <v>768</v>
      </c>
    </row>
    <row r="14" spans="2:6" x14ac:dyDescent="0.35">
      <c r="B14" s="483">
        <v>12</v>
      </c>
      <c r="C14" s="484" t="s">
        <v>829</v>
      </c>
      <c r="D14" s="484" t="s">
        <v>767</v>
      </c>
      <c r="E14" s="484" t="s">
        <v>788</v>
      </c>
      <c r="F14" s="485" t="s">
        <v>768</v>
      </c>
    </row>
    <row r="15" spans="2:6" x14ac:dyDescent="0.35">
      <c r="B15" s="483">
        <v>13</v>
      </c>
      <c r="C15" s="484" t="s">
        <v>826</v>
      </c>
      <c r="D15" s="484" t="s">
        <v>767</v>
      </c>
      <c r="E15" s="484" t="s">
        <v>788</v>
      </c>
      <c r="F15" s="485" t="s">
        <v>768</v>
      </c>
    </row>
    <row r="16" spans="2:6" x14ac:dyDescent="0.35">
      <c r="B16" s="483">
        <v>14</v>
      </c>
      <c r="C16" s="484" t="s">
        <v>808</v>
      </c>
      <c r="D16" s="484" t="s">
        <v>767</v>
      </c>
      <c r="E16" s="484" t="s">
        <v>788</v>
      </c>
      <c r="F16" s="485"/>
    </row>
    <row r="17" spans="2:6" x14ac:dyDescent="0.35">
      <c r="B17" s="483">
        <v>15</v>
      </c>
      <c r="C17" s="484" t="s">
        <v>66</v>
      </c>
      <c r="D17" s="484" t="s">
        <v>767</v>
      </c>
      <c r="E17" s="484" t="s">
        <v>788</v>
      </c>
      <c r="F17" s="485"/>
    </row>
    <row r="18" spans="2:6" x14ac:dyDescent="0.35">
      <c r="B18" s="483">
        <v>16</v>
      </c>
      <c r="C18" s="484" t="s">
        <v>790</v>
      </c>
      <c r="D18" s="484" t="s">
        <v>767</v>
      </c>
      <c r="E18" s="484"/>
      <c r="F18" s="485" t="s">
        <v>768</v>
      </c>
    </row>
    <row r="19" spans="2:6" x14ac:dyDescent="0.35">
      <c r="B19" s="483">
        <v>17</v>
      </c>
      <c r="C19" s="484" t="s">
        <v>793</v>
      </c>
      <c r="D19" s="484"/>
      <c r="E19" s="484"/>
      <c r="F19" s="485"/>
    </row>
    <row r="20" spans="2:6" x14ac:dyDescent="0.35">
      <c r="B20" s="483">
        <v>18</v>
      </c>
      <c r="C20" s="484" t="s">
        <v>795</v>
      </c>
      <c r="D20" s="484" t="s">
        <v>767</v>
      </c>
      <c r="E20" s="484" t="s">
        <v>788</v>
      </c>
      <c r="F20" s="485"/>
    </row>
    <row r="21" spans="2:6" x14ac:dyDescent="0.35">
      <c r="B21" s="483">
        <v>19</v>
      </c>
      <c r="C21" s="484" t="s">
        <v>809</v>
      </c>
      <c r="D21" s="484" t="s">
        <v>766</v>
      </c>
      <c r="E21" s="484"/>
      <c r="F21" s="485" t="s">
        <v>768</v>
      </c>
    </row>
    <row r="22" spans="2:6" x14ac:dyDescent="0.35">
      <c r="B22" s="483">
        <v>20</v>
      </c>
      <c r="C22" s="484" t="s">
        <v>57</v>
      </c>
      <c r="D22" s="484" t="s">
        <v>766</v>
      </c>
      <c r="E22" s="484"/>
      <c r="F22" s="485" t="s">
        <v>768</v>
      </c>
    </row>
    <row r="23" spans="2:6" x14ac:dyDescent="0.35">
      <c r="B23" s="483">
        <v>21</v>
      </c>
      <c r="C23" s="484" t="s">
        <v>86</v>
      </c>
      <c r="D23" s="484" t="s">
        <v>794</v>
      </c>
      <c r="E23" s="484" t="s">
        <v>788</v>
      </c>
      <c r="F23" s="485"/>
    </row>
    <row r="24" spans="2:6" x14ac:dyDescent="0.35">
      <c r="B24" s="483">
        <v>22</v>
      </c>
      <c r="C24" s="484" t="s">
        <v>791</v>
      </c>
      <c r="D24" s="484" t="s">
        <v>794</v>
      </c>
      <c r="E24" s="484"/>
      <c r="F24" s="485" t="s">
        <v>768</v>
      </c>
    </row>
    <row r="25" spans="2:6" x14ac:dyDescent="0.35">
      <c r="B25" s="483">
        <v>23</v>
      </c>
      <c r="C25" s="484" t="s">
        <v>810</v>
      </c>
      <c r="D25" s="484" t="s">
        <v>766</v>
      </c>
      <c r="E25" s="484" t="s">
        <v>788</v>
      </c>
      <c r="F25" s="485" t="s">
        <v>768</v>
      </c>
    </row>
    <row r="26" spans="2:6" x14ac:dyDescent="0.35">
      <c r="B26" s="483">
        <v>24</v>
      </c>
      <c r="C26" s="484" t="s">
        <v>811</v>
      </c>
      <c r="D26" s="484" t="s">
        <v>765</v>
      </c>
      <c r="E26" s="484" t="s">
        <v>788</v>
      </c>
      <c r="F26" s="485"/>
    </row>
    <row r="27" spans="2:6" x14ac:dyDescent="0.35">
      <c r="B27" s="483">
        <v>25</v>
      </c>
      <c r="C27" s="484" t="s">
        <v>812</v>
      </c>
      <c r="D27" s="484" t="s">
        <v>765</v>
      </c>
      <c r="E27" s="484" t="s">
        <v>788</v>
      </c>
      <c r="F27" s="485"/>
    </row>
    <row r="28" spans="2:6" x14ac:dyDescent="0.35">
      <c r="B28" s="483">
        <v>26</v>
      </c>
      <c r="C28" s="484" t="s">
        <v>88</v>
      </c>
      <c r="D28" s="484" t="s">
        <v>794</v>
      </c>
      <c r="E28" s="484" t="s">
        <v>788</v>
      </c>
      <c r="F28" s="485" t="s">
        <v>768</v>
      </c>
    </row>
    <row r="29" spans="2:6" x14ac:dyDescent="0.35">
      <c r="B29" s="483">
        <v>27</v>
      </c>
      <c r="C29" s="484" t="s">
        <v>836</v>
      </c>
      <c r="D29" s="484" t="s">
        <v>765</v>
      </c>
      <c r="E29" s="484" t="s">
        <v>788</v>
      </c>
      <c r="F29" s="485"/>
    </row>
    <row r="30" spans="2:6" x14ac:dyDescent="0.35">
      <c r="B30" s="483">
        <v>28</v>
      </c>
      <c r="C30" s="484" t="s">
        <v>61</v>
      </c>
      <c r="D30" s="484" t="s">
        <v>767</v>
      </c>
      <c r="E30" s="484" t="s">
        <v>788</v>
      </c>
      <c r="F30" s="485"/>
    </row>
    <row r="31" spans="2:6" x14ac:dyDescent="0.35">
      <c r="B31" s="483">
        <v>29</v>
      </c>
      <c r="C31" s="484" t="s">
        <v>54</v>
      </c>
      <c r="D31" s="484" t="s">
        <v>767</v>
      </c>
      <c r="E31" s="484" t="s">
        <v>788</v>
      </c>
      <c r="F31" s="485"/>
    </row>
    <row r="32" spans="2:6" x14ac:dyDescent="0.35">
      <c r="B32" s="483">
        <v>30</v>
      </c>
      <c r="C32" s="484" t="s">
        <v>837</v>
      </c>
      <c r="D32" s="484" t="s">
        <v>767</v>
      </c>
      <c r="E32" s="484" t="s">
        <v>788</v>
      </c>
      <c r="F32" s="485"/>
    </row>
    <row r="33" spans="2:6" ht="15" thickBot="1" x14ac:dyDescent="0.4">
      <c r="B33" s="486">
        <v>31</v>
      </c>
      <c r="C33" s="487" t="s">
        <v>854</v>
      </c>
      <c r="D33" s="487" t="s">
        <v>767</v>
      </c>
      <c r="E33" s="487" t="s">
        <v>788</v>
      </c>
      <c r="F33" s="488"/>
    </row>
    <row r="34" spans="2:6" x14ac:dyDescent="0.35">
      <c r="B34" s="489">
        <v>32</v>
      </c>
      <c r="C34" s="490" t="s">
        <v>813</v>
      </c>
      <c r="D34" s="490" t="s">
        <v>766</v>
      </c>
      <c r="E34" s="490" t="s">
        <v>788</v>
      </c>
      <c r="F34" s="491"/>
    </row>
    <row r="35" spans="2:6" x14ac:dyDescent="0.35">
      <c r="B35" s="483">
        <v>33</v>
      </c>
      <c r="C35" s="484" t="s">
        <v>796</v>
      </c>
      <c r="D35" s="484" t="s">
        <v>765</v>
      </c>
      <c r="E35" s="484" t="s">
        <v>788</v>
      </c>
      <c r="F35" s="485" t="s">
        <v>768</v>
      </c>
    </row>
    <row r="36" spans="2:6" x14ac:dyDescent="0.35">
      <c r="B36" s="483">
        <v>34</v>
      </c>
      <c r="C36" s="484" t="s">
        <v>797</v>
      </c>
      <c r="D36" s="484" t="s">
        <v>767</v>
      </c>
      <c r="E36" s="484" t="s">
        <v>788</v>
      </c>
      <c r="F36" s="485" t="s">
        <v>768</v>
      </c>
    </row>
    <row r="37" spans="2:6" x14ac:dyDescent="0.35">
      <c r="B37" s="483">
        <v>35</v>
      </c>
      <c r="C37" s="484" t="s">
        <v>56</v>
      </c>
      <c r="D37" s="484" t="s">
        <v>766</v>
      </c>
      <c r="E37" s="484"/>
      <c r="F37" s="485" t="s">
        <v>768</v>
      </c>
    </row>
    <row r="38" spans="2:6" x14ac:dyDescent="0.35">
      <c r="B38" s="483">
        <v>36</v>
      </c>
      <c r="C38" s="484" t="s">
        <v>814</v>
      </c>
      <c r="D38" s="484" t="s">
        <v>767</v>
      </c>
      <c r="E38" s="484"/>
      <c r="F38" s="485" t="s">
        <v>768</v>
      </c>
    </row>
    <row r="39" spans="2:6" x14ac:dyDescent="0.35">
      <c r="B39" s="483">
        <v>37</v>
      </c>
      <c r="C39" s="484" t="s">
        <v>815</v>
      </c>
      <c r="D39" s="484" t="s">
        <v>767</v>
      </c>
      <c r="E39" s="484"/>
      <c r="F39" s="485" t="s">
        <v>768</v>
      </c>
    </row>
    <row r="40" spans="2:6" x14ac:dyDescent="0.35">
      <c r="B40" s="483">
        <v>38</v>
      </c>
      <c r="C40" s="484" t="s">
        <v>816</v>
      </c>
      <c r="D40" s="484" t="s">
        <v>767</v>
      </c>
      <c r="E40" s="484" t="s">
        <v>788</v>
      </c>
      <c r="F40" s="485" t="s">
        <v>768</v>
      </c>
    </row>
    <row r="41" spans="2:6" x14ac:dyDescent="0.35">
      <c r="B41" s="483">
        <v>39</v>
      </c>
      <c r="C41" s="484" t="s">
        <v>817</v>
      </c>
      <c r="D41" s="484" t="s">
        <v>794</v>
      </c>
      <c r="E41" s="484" t="s">
        <v>788</v>
      </c>
      <c r="F41" s="485" t="s">
        <v>768</v>
      </c>
    </row>
    <row r="42" spans="2:6" x14ac:dyDescent="0.35">
      <c r="B42" s="483">
        <v>40</v>
      </c>
      <c r="C42" s="484" t="s">
        <v>818</v>
      </c>
      <c r="D42" s="484" t="s">
        <v>766</v>
      </c>
      <c r="E42" s="484" t="s">
        <v>788</v>
      </c>
      <c r="F42" s="485" t="s">
        <v>768</v>
      </c>
    </row>
    <row r="43" spans="2:6" x14ac:dyDescent="0.35">
      <c r="B43" s="483">
        <v>41</v>
      </c>
      <c r="C43" s="484" t="s">
        <v>64</v>
      </c>
      <c r="D43" s="484" t="s">
        <v>766</v>
      </c>
      <c r="E43" s="484" t="s">
        <v>788</v>
      </c>
      <c r="F43" s="485" t="s">
        <v>768</v>
      </c>
    </row>
    <row r="44" spans="2:6" x14ac:dyDescent="0.35">
      <c r="B44" s="483">
        <v>42</v>
      </c>
      <c r="C44" s="484" t="s">
        <v>819</v>
      </c>
      <c r="D44" s="484" t="s">
        <v>794</v>
      </c>
      <c r="E44" s="484" t="s">
        <v>788</v>
      </c>
      <c r="F44" s="485" t="s">
        <v>768</v>
      </c>
    </row>
    <row r="45" spans="2:6" x14ac:dyDescent="0.35">
      <c r="B45" s="483">
        <v>43</v>
      </c>
      <c r="C45" s="484" t="s">
        <v>798</v>
      </c>
      <c r="D45" s="484" t="s">
        <v>766</v>
      </c>
      <c r="E45" s="484"/>
      <c r="F45" s="485" t="s">
        <v>768</v>
      </c>
    </row>
    <row r="46" spans="2:6" x14ac:dyDescent="0.35">
      <c r="B46" s="483">
        <v>44</v>
      </c>
      <c r="C46" s="484" t="s">
        <v>799</v>
      </c>
      <c r="D46" s="484" t="s">
        <v>767</v>
      </c>
      <c r="E46" s="484" t="s">
        <v>788</v>
      </c>
      <c r="F46" s="485"/>
    </row>
    <row r="47" spans="2:6" x14ac:dyDescent="0.35">
      <c r="B47" s="483">
        <v>45</v>
      </c>
      <c r="C47" s="484" t="s">
        <v>820</v>
      </c>
      <c r="D47" s="484" t="s">
        <v>765</v>
      </c>
      <c r="E47" s="484" t="s">
        <v>788</v>
      </c>
      <c r="F47" s="485"/>
    </row>
    <row r="48" spans="2:6" x14ac:dyDescent="0.35">
      <c r="B48" s="483">
        <v>46</v>
      </c>
      <c r="C48" s="484" t="s">
        <v>800</v>
      </c>
      <c r="D48" s="484" t="s">
        <v>766</v>
      </c>
      <c r="E48" s="484" t="s">
        <v>788</v>
      </c>
      <c r="F48" s="485" t="s">
        <v>768</v>
      </c>
    </row>
    <row r="49" spans="2:6" x14ac:dyDescent="0.35">
      <c r="B49" s="483">
        <v>47</v>
      </c>
      <c r="C49" s="484" t="s">
        <v>821</v>
      </c>
      <c r="D49" s="484" t="s">
        <v>794</v>
      </c>
      <c r="E49" s="484"/>
      <c r="F49" s="485" t="s">
        <v>768</v>
      </c>
    </row>
    <row r="50" spans="2:6" x14ac:dyDescent="0.35">
      <c r="B50" s="483">
        <v>48</v>
      </c>
      <c r="C50" s="484" t="s">
        <v>822</v>
      </c>
      <c r="D50" s="484" t="s">
        <v>794</v>
      </c>
      <c r="E50" s="484" t="s">
        <v>788</v>
      </c>
      <c r="F50" s="485"/>
    </row>
    <row r="51" spans="2:6" x14ac:dyDescent="0.35">
      <c r="B51" s="483">
        <v>49</v>
      </c>
      <c r="C51" s="484" t="s">
        <v>823</v>
      </c>
      <c r="D51" s="484" t="s">
        <v>766</v>
      </c>
      <c r="E51" s="484" t="s">
        <v>788</v>
      </c>
      <c r="F51" s="485" t="s">
        <v>768</v>
      </c>
    </row>
    <row r="52" spans="2:6" x14ac:dyDescent="0.35">
      <c r="B52" s="483">
        <v>50</v>
      </c>
      <c r="C52" s="484" t="s">
        <v>824</v>
      </c>
      <c r="D52" s="484" t="s">
        <v>767</v>
      </c>
      <c r="E52" s="484" t="s">
        <v>788</v>
      </c>
      <c r="F52" s="485" t="s">
        <v>768</v>
      </c>
    </row>
    <row r="53" spans="2:6" x14ac:dyDescent="0.35">
      <c r="B53" s="483">
        <v>51</v>
      </c>
      <c r="C53" s="484" t="s">
        <v>47</v>
      </c>
      <c r="D53" s="484" t="s">
        <v>766</v>
      </c>
      <c r="E53" s="484" t="s">
        <v>788</v>
      </c>
      <c r="F53" s="485"/>
    </row>
    <row r="54" spans="2:6" x14ac:dyDescent="0.35">
      <c r="B54" s="483">
        <v>52</v>
      </c>
      <c r="C54" s="484" t="s">
        <v>70</v>
      </c>
      <c r="D54" s="484" t="s">
        <v>794</v>
      </c>
      <c r="E54" s="484" t="s">
        <v>788</v>
      </c>
      <c r="F54" s="485"/>
    </row>
    <row r="55" spans="2:6" x14ac:dyDescent="0.35">
      <c r="B55" s="483">
        <v>53</v>
      </c>
      <c r="C55" s="484" t="s">
        <v>831</v>
      </c>
      <c r="D55" s="484" t="s">
        <v>832</v>
      </c>
      <c r="E55" s="484" t="s">
        <v>788</v>
      </c>
      <c r="F55" s="485"/>
    </row>
    <row r="56" spans="2:6" x14ac:dyDescent="0.35">
      <c r="B56" s="483">
        <v>54</v>
      </c>
      <c r="C56" s="484" t="s">
        <v>837</v>
      </c>
      <c r="D56" s="484" t="s">
        <v>767</v>
      </c>
      <c r="E56" s="484" t="s">
        <v>788</v>
      </c>
      <c r="F56" s="485"/>
    </row>
    <row r="57" spans="2:6" x14ac:dyDescent="0.35">
      <c r="B57" s="483">
        <v>55</v>
      </c>
      <c r="C57" s="484" t="s">
        <v>838</v>
      </c>
      <c r="D57" s="484" t="s">
        <v>765</v>
      </c>
      <c r="E57" s="484" t="s">
        <v>788</v>
      </c>
      <c r="F57" s="485"/>
    </row>
    <row r="58" spans="2:6" x14ac:dyDescent="0.35">
      <c r="B58" s="483">
        <v>56</v>
      </c>
      <c r="C58" s="484" t="s">
        <v>822</v>
      </c>
      <c r="D58" s="484" t="s">
        <v>794</v>
      </c>
      <c r="E58" s="484" t="s">
        <v>788</v>
      </c>
      <c r="F58" s="485"/>
    </row>
    <row r="59" spans="2:6" x14ac:dyDescent="0.35">
      <c r="B59" s="483">
        <v>57</v>
      </c>
      <c r="C59" s="484" t="s">
        <v>839</v>
      </c>
      <c r="D59" s="484" t="s">
        <v>766</v>
      </c>
      <c r="E59" s="484" t="s">
        <v>788</v>
      </c>
      <c r="F59" s="485" t="s">
        <v>768</v>
      </c>
    </row>
    <row r="60" spans="2:6" x14ac:dyDescent="0.35">
      <c r="B60" s="483">
        <v>58</v>
      </c>
      <c r="C60" s="484" t="s">
        <v>824</v>
      </c>
      <c r="D60" s="484" t="s">
        <v>767</v>
      </c>
      <c r="E60" s="484" t="s">
        <v>788</v>
      </c>
      <c r="F60" s="485" t="s">
        <v>768</v>
      </c>
    </row>
    <row r="61" spans="2:6" x14ac:dyDescent="0.35">
      <c r="B61" s="483">
        <v>59</v>
      </c>
      <c r="C61" s="484" t="s">
        <v>840</v>
      </c>
      <c r="D61" s="484" t="s">
        <v>767</v>
      </c>
      <c r="E61" s="484" t="s">
        <v>788</v>
      </c>
      <c r="F61" s="485" t="s">
        <v>768</v>
      </c>
    </row>
    <row r="62" spans="2:6" x14ac:dyDescent="0.35">
      <c r="B62" s="483">
        <v>60</v>
      </c>
      <c r="C62" s="484" t="s">
        <v>841</v>
      </c>
      <c r="D62" s="484" t="s">
        <v>767</v>
      </c>
      <c r="E62" s="484" t="s">
        <v>788</v>
      </c>
      <c r="F62" s="485"/>
    </row>
    <row r="63" spans="2:6" x14ac:dyDescent="0.35">
      <c r="B63" s="483">
        <v>61</v>
      </c>
      <c r="C63" s="484" t="s">
        <v>842</v>
      </c>
      <c r="D63" s="484" t="s">
        <v>767</v>
      </c>
      <c r="E63" s="484" t="s">
        <v>788</v>
      </c>
      <c r="F63" s="485" t="s">
        <v>768</v>
      </c>
    </row>
    <row r="64" spans="2:6" x14ac:dyDescent="0.35">
      <c r="B64" s="483">
        <v>62</v>
      </c>
      <c r="C64" s="484" t="s">
        <v>45</v>
      </c>
      <c r="D64" s="484" t="s">
        <v>767</v>
      </c>
      <c r="E64" s="484" t="s">
        <v>788</v>
      </c>
      <c r="F64" s="485"/>
    </row>
    <row r="65" spans="2:11" x14ac:dyDescent="0.35">
      <c r="B65" s="483">
        <v>63</v>
      </c>
      <c r="C65" s="484" t="s">
        <v>843</v>
      </c>
      <c r="D65" s="484" t="s">
        <v>766</v>
      </c>
      <c r="E65" s="484" t="s">
        <v>788</v>
      </c>
      <c r="F65" s="485" t="s">
        <v>768</v>
      </c>
    </row>
    <row r="66" spans="2:11" x14ac:dyDescent="0.35">
      <c r="B66" s="483">
        <v>64</v>
      </c>
      <c r="C66" s="484" t="s">
        <v>844</v>
      </c>
      <c r="D66" s="484" t="s">
        <v>794</v>
      </c>
      <c r="E66" s="484" t="s">
        <v>788</v>
      </c>
      <c r="F66" s="485"/>
    </row>
    <row r="67" spans="2:11" x14ac:dyDescent="0.35">
      <c r="B67" s="483">
        <v>65</v>
      </c>
      <c r="C67" s="484" t="s">
        <v>845</v>
      </c>
      <c r="D67" s="484" t="s">
        <v>794</v>
      </c>
      <c r="E67" s="484" t="s">
        <v>788</v>
      </c>
      <c r="F67" s="485" t="s">
        <v>768</v>
      </c>
    </row>
    <row r="68" spans="2:11" x14ac:dyDescent="0.35">
      <c r="B68" s="483">
        <v>66</v>
      </c>
      <c r="C68" s="484" t="s">
        <v>846</v>
      </c>
      <c r="D68" s="484" t="s">
        <v>767</v>
      </c>
      <c r="E68" s="484" t="s">
        <v>788</v>
      </c>
      <c r="F68" s="485" t="s">
        <v>768</v>
      </c>
    </row>
    <row r="69" spans="2:11" x14ac:dyDescent="0.35">
      <c r="B69" s="483">
        <v>67</v>
      </c>
      <c r="C69" s="484" t="s">
        <v>847</v>
      </c>
      <c r="D69" s="484" t="s">
        <v>794</v>
      </c>
      <c r="E69" s="484" t="s">
        <v>788</v>
      </c>
      <c r="F69" s="485"/>
    </row>
    <row r="70" spans="2:11" x14ac:dyDescent="0.35">
      <c r="B70" s="483">
        <v>68</v>
      </c>
      <c r="C70" s="484" t="s">
        <v>848</v>
      </c>
      <c r="D70" s="484" t="s">
        <v>766</v>
      </c>
      <c r="E70" s="484" t="s">
        <v>788</v>
      </c>
      <c r="F70" s="485"/>
    </row>
    <row r="71" spans="2:11" x14ac:dyDescent="0.35">
      <c r="B71" s="483">
        <v>69</v>
      </c>
      <c r="C71" s="484" t="s">
        <v>849</v>
      </c>
      <c r="D71" s="484" t="s">
        <v>794</v>
      </c>
      <c r="E71" s="484" t="s">
        <v>788</v>
      </c>
      <c r="F71" s="485" t="s">
        <v>768</v>
      </c>
    </row>
    <row r="72" spans="2:11" ht="15" thickBot="1" x14ac:dyDescent="0.4">
      <c r="B72" s="486">
        <v>70</v>
      </c>
      <c r="C72" s="487" t="s">
        <v>67</v>
      </c>
      <c r="D72" s="487" t="s">
        <v>765</v>
      </c>
      <c r="E72" s="487" t="s">
        <v>788</v>
      </c>
      <c r="F72" s="488"/>
    </row>
    <row r="75" spans="2:11" x14ac:dyDescent="0.35">
      <c r="I75" s="74" t="s">
        <v>787</v>
      </c>
      <c r="J75" s="74" t="s">
        <v>834</v>
      </c>
      <c r="K75" s="74" t="s">
        <v>835</v>
      </c>
    </row>
    <row r="76" spans="2:11" x14ac:dyDescent="0.35">
      <c r="I76" s="2" t="s">
        <v>765</v>
      </c>
      <c r="J76" s="2" t="s">
        <v>788</v>
      </c>
      <c r="K76" s="2">
        <v>7</v>
      </c>
    </row>
    <row r="77" spans="2:11" x14ac:dyDescent="0.35">
      <c r="I77" s="2" t="s">
        <v>765</v>
      </c>
      <c r="J77" s="2" t="s">
        <v>768</v>
      </c>
      <c r="K77" s="2">
        <v>2</v>
      </c>
    </row>
    <row r="78" spans="2:11" x14ac:dyDescent="0.35">
      <c r="I78" s="2" t="s">
        <v>766</v>
      </c>
      <c r="J78" s="2" t="s">
        <v>788</v>
      </c>
      <c r="K78" s="2">
        <v>12</v>
      </c>
    </row>
    <row r="79" spans="2:11" x14ac:dyDescent="0.35">
      <c r="I79" s="2" t="s">
        <v>766</v>
      </c>
      <c r="J79" s="2" t="s">
        <v>768</v>
      </c>
      <c r="K79" s="2">
        <v>12</v>
      </c>
    </row>
    <row r="80" spans="2:11" x14ac:dyDescent="0.35">
      <c r="I80" s="2" t="s">
        <v>767</v>
      </c>
      <c r="J80" s="2" t="s">
        <v>788</v>
      </c>
      <c r="K80" s="2">
        <v>24</v>
      </c>
    </row>
    <row r="81" spans="9:11" x14ac:dyDescent="0.35">
      <c r="I81" s="2" t="s">
        <v>767</v>
      </c>
      <c r="J81" s="2" t="s">
        <v>768</v>
      </c>
      <c r="K81" s="2">
        <v>14</v>
      </c>
    </row>
    <row r="82" spans="9:11" x14ac:dyDescent="0.35">
      <c r="I82" s="2" t="s">
        <v>794</v>
      </c>
      <c r="J82" s="2" t="s">
        <v>788</v>
      </c>
      <c r="K82" s="2">
        <v>13</v>
      </c>
    </row>
    <row r="83" spans="9:11" x14ac:dyDescent="0.35">
      <c r="I83" s="2" t="s">
        <v>794</v>
      </c>
      <c r="J83" s="2" t="s">
        <v>768</v>
      </c>
      <c r="K83" s="2">
        <v>7</v>
      </c>
    </row>
    <row r="84" spans="9:11" x14ac:dyDescent="0.35">
      <c r="I84" s="2" t="s">
        <v>833</v>
      </c>
      <c r="J84" s="2" t="s">
        <v>788</v>
      </c>
      <c r="K84" s="2">
        <v>1</v>
      </c>
    </row>
    <row r="85" spans="9:11" x14ac:dyDescent="0.35">
      <c r="I85" s="2" t="s">
        <v>789</v>
      </c>
      <c r="J85" s="2" t="s">
        <v>788</v>
      </c>
      <c r="K85" s="2">
        <v>2</v>
      </c>
    </row>
    <row r="86" spans="9:11" x14ac:dyDescent="0.35">
      <c r="I86" s="2" t="s">
        <v>789</v>
      </c>
      <c r="J86" s="2" t="s">
        <v>768</v>
      </c>
      <c r="K86" s="2">
        <v>2</v>
      </c>
    </row>
    <row r="87" spans="9:11" x14ac:dyDescent="0.35">
      <c r="I87" s="741" t="s">
        <v>187</v>
      </c>
      <c r="J87" s="742"/>
      <c r="K87" s="74">
        <f>SUBTOTAL(9,K76:K86)</f>
        <v>96</v>
      </c>
    </row>
  </sheetData>
  <mergeCells count="1">
    <mergeCell ref="I87:J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6CAAC-F910-4188-9025-EE3415019DBE}">
  <sheetPr>
    <tabColor rgb="FF7030A0"/>
  </sheetPr>
  <dimension ref="A1:BR377"/>
  <sheetViews>
    <sheetView topLeftCell="A246" zoomScaleNormal="100" workbookViewId="0">
      <selection activeCell="AE260" sqref="AE260"/>
    </sheetView>
  </sheetViews>
  <sheetFormatPr defaultColWidth="8.81640625" defaultRowHeight="16" x14ac:dyDescent="0.4"/>
  <cols>
    <col min="1" max="1" width="22" customWidth="1"/>
    <col min="2" max="2" width="30.08984375" customWidth="1"/>
    <col min="3" max="3" width="20.6328125" style="1" bestFit="1" customWidth="1"/>
    <col min="4" max="4" width="14.1796875" hidden="1" customWidth="1"/>
    <col min="5" max="5" width="16.453125" hidden="1" customWidth="1"/>
    <col min="6" max="8" width="14.453125" hidden="1" customWidth="1"/>
    <col min="9" max="10" width="14.453125" style="526" hidden="1" customWidth="1"/>
    <col min="11" max="29" width="14.453125" hidden="1" customWidth="1"/>
    <col min="30" max="30" width="22.08984375" style="125" customWidth="1"/>
    <col min="31" max="31" width="17.453125" customWidth="1"/>
    <col min="32" max="32" width="14.453125" customWidth="1"/>
    <col min="33" max="33" width="14.453125" style="323" customWidth="1"/>
    <col min="34" max="34" width="49.6328125" customWidth="1"/>
    <col min="35" max="35" width="22.08984375" customWidth="1"/>
    <col min="36" max="36" width="23.1796875" style="1" customWidth="1"/>
    <col min="37" max="37" width="48.26953125" customWidth="1"/>
    <col min="38" max="39" width="14.453125" customWidth="1"/>
    <col min="40" max="40" width="24.1796875" customWidth="1"/>
    <col min="41" max="41" width="25.1796875" customWidth="1"/>
    <col min="42" max="51" width="14.453125" customWidth="1"/>
    <col min="52" max="66" width="8.81640625" customWidth="1"/>
  </cols>
  <sheetData>
    <row r="1" spans="1:67" ht="23.5" x14ac:dyDescent="0.55000000000000004">
      <c r="A1" s="100"/>
      <c r="B1" s="100"/>
      <c r="C1" s="389"/>
      <c r="D1" s="100"/>
      <c r="E1" s="100"/>
      <c r="AD1" s="196"/>
      <c r="AI1" s="28">
        <f>60000000-C3</f>
        <v>-32833877.743412971</v>
      </c>
    </row>
    <row r="2" spans="1:67" ht="19" thickBot="1" x14ac:dyDescent="0.5">
      <c r="A2" s="101" t="s">
        <v>190</v>
      </c>
      <c r="B2" s="101" t="s">
        <v>221</v>
      </c>
      <c r="C2" s="674" t="s">
        <v>137</v>
      </c>
      <c r="D2" s="112" t="s">
        <v>133</v>
      </c>
      <c r="E2" s="112" t="s">
        <v>682</v>
      </c>
      <c r="F2" s="675" t="s">
        <v>138</v>
      </c>
      <c r="G2" s="675" t="s">
        <v>139</v>
      </c>
      <c r="H2" s="675" t="s">
        <v>140</v>
      </c>
      <c r="I2" s="676" t="s">
        <v>141</v>
      </c>
      <c r="J2" s="676" t="s">
        <v>142</v>
      </c>
      <c r="K2" s="675" t="s">
        <v>363</v>
      </c>
      <c r="L2" s="675" t="s">
        <v>364</v>
      </c>
      <c r="M2" s="675" t="s">
        <v>365</v>
      </c>
      <c r="N2" s="675" t="s">
        <v>366</v>
      </c>
      <c r="O2" s="675" t="s">
        <v>367</v>
      </c>
      <c r="P2" s="675" t="s">
        <v>368</v>
      </c>
      <c r="Q2" s="675" t="s">
        <v>369</v>
      </c>
      <c r="R2" s="675" t="s">
        <v>370</v>
      </c>
      <c r="S2" s="675" t="s">
        <v>371</v>
      </c>
      <c r="T2" s="675" t="s">
        <v>372</v>
      </c>
      <c r="U2" s="675" t="s">
        <v>373</v>
      </c>
      <c r="V2" s="675" t="s">
        <v>374</v>
      </c>
      <c r="W2" s="675" t="s">
        <v>375</v>
      </c>
      <c r="X2" s="675" t="s">
        <v>376</v>
      </c>
      <c r="Y2" s="675" t="s">
        <v>377</v>
      </c>
      <c r="Z2" s="675" t="s">
        <v>378</v>
      </c>
      <c r="AA2" s="675" t="s">
        <v>379</v>
      </c>
      <c r="AB2" s="675" t="s">
        <v>380</v>
      </c>
      <c r="AC2" s="675" t="s">
        <v>381</v>
      </c>
      <c r="AD2" s="677" t="s">
        <v>382</v>
      </c>
      <c r="AE2" s="678" t="s">
        <v>188</v>
      </c>
      <c r="AF2" s="675" t="s">
        <v>383</v>
      </c>
      <c r="AG2" s="679" t="s">
        <v>495</v>
      </c>
      <c r="AH2" s="440" t="s">
        <v>384</v>
      </c>
    </row>
    <row r="3" spans="1:67" s="61" customFormat="1" ht="16.5" thickBot="1" x14ac:dyDescent="0.45">
      <c r="A3" s="325" t="str">
        <f>'DETAILS (sorted)'!A62</f>
        <v>ILS24-F00061</v>
      </c>
      <c r="B3" s="326" t="str">
        <f>'DETAILS (sorted)'!B62</f>
        <v xml:space="preserve">Emmanuel Metta </v>
      </c>
      <c r="C3" s="335">
        <f>'DETAILS (sorted)'!DS62</f>
        <v>92833877.743412971</v>
      </c>
      <c r="D3" s="326">
        <v>200000</v>
      </c>
      <c r="E3" s="326">
        <v>1000000</v>
      </c>
      <c r="F3" s="327">
        <v>100000</v>
      </c>
      <c r="G3" s="327">
        <v>100000</v>
      </c>
      <c r="H3" s="327">
        <v>100000</v>
      </c>
      <c r="I3" s="575">
        <v>100000</v>
      </c>
      <c r="J3" s="575">
        <v>100000</v>
      </c>
      <c r="K3" s="327">
        <v>100000</v>
      </c>
      <c r="L3" s="327">
        <v>100000</v>
      </c>
      <c r="M3" s="327">
        <v>100000</v>
      </c>
      <c r="N3" s="327">
        <v>100000</v>
      </c>
      <c r="O3" s="327">
        <v>100000</v>
      </c>
      <c r="P3" s="327">
        <v>100000</v>
      </c>
      <c r="Q3" s="327">
        <v>100000</v>
      </c>
      <c r="R3" s="327">
        <v>100000</v>
      </c>
      <c r="S3" s="327">
        <v>100000</v>
      </c>
      <c r="T3" s="327">
        <v>100000</v>
      </c>
      <c r="U3" s="327">
        <v>100000</v>
      </c>
      <c r="V3" s="327">
        <v>100000</v>
      </c>
      <c r="W3" s="327">
        <v>100000</v>
      </c>
      <c r="X3" s="327">
        <v>100000</v>
      </c>
      <c r="Y3" s="327">
        <v>100000</v>
      </c>
      <c r="Z3" s="327">
        <v>100000</v>
      </c>
      <c r="AA3" s="327">
        <v>100000</v>
      </c>
      <c r="AB3" s="327">
        <v>100000</v>
      </c>
      <c r="AC3" s="327"/>
      <c r="AD3" s="328">
        <f>SUM(D3:AC3)</f>
        <v>3500000</v>
      </c>
      <c r="AE3" s="329">
        <f>C3-AD3</f>
        <v>89333877.743412971</v>
      </c>
      <c r="AF3" s="330" t="str">
        <f t="shared" ref="AF3:AF34" si="0">IF(C3&gt;=700000,"YES","NO")</f>
        <v>YES</v>
      </c>
      <c r="AG3" s="331">
        <v>1</v>
      </c>
      <c r="AH3" s="209"/>
      <c r="AI3" s="439" t="s">
        <v>190</v>
      </c>
      <c r="AJ3" s="439" t="s">
        <v>385</v>
      </c>
      <c r="AK3" s="439" t="s">
        <v>196</v>
      </c>
      <c r="AL3" s="439"/>
      <c r="AM3" s="209"/>
      <c r="AN3" s="209"/>
      <c r="AO3" s="209"/>
      <c r="AP3" s="209"/>
      <c r="AQ3" s="209"/>
      <c r="AR3" s="209"/>
      <c r="AS3" s="209"/>
      <c r="AT3" s="209"/>
      <c r="AU3" s="209"/>
      <c r="AV3" s="209"/>
      <c r="AW3" s="209"/>
      <c r="AX3" s="209"/>
      <c r="AY3" s="209"/>
      <c r="AZ3" s="209"/>
      <c r="BA3" s="209"/>
      <c r="BB3" s="209"/>
      <c r="BC3" s="209"/>
      <c r="BD3" s="209"/>
      <c r="BE3" s="209"/>
      <c r="BF3" s="209"/>
      <c r="BG3" s="209"/>
      <c r="BH3" s="209"/>
      <c r="BI3" s="209"/>
      <c r="BJ3" s="209"/>
      <c r="BK3" s="209"/>
      <c r="BL3" s="209"/>
      <c r="BM3" s="209"/>
      <c r="BN3" s="209"/>
      <c r="BO3" s="209"/>
    </row>
    <row r="4" spans="1:67" s="61" customFormat="1" ht="16.5" thickBot="1" x14ac:dyDescent="0.45">
      <c r="A4" s="332" t="str">
        <f>'DETAILS (sorted)'!A4</f>
        <v>ILS24-F00003</v>
      </c>
      <c r="B4" s="134" t="str">
        <f>'DETAILS (sorted)'!B4</f>
        <v>Norbert Massay</v>
      </c>
      <c r="C4" s="145">
        <f>'DETAILS (sorted)'!DS4</f>
        <v>83076480.964771852</v>
      </c>
      <c r="D4" s="134">
        <v>200000</v>
      </c>
      <c r="E4" s="134">
        <v>1000000</v>
      </c>
      <c r="F4" s="172">
        <v>100000</v>
      </c>
      <c r="G4" s="172">
        <v>100000</v>
      </c>
      <c r="H4" s="172">
        <v>100000</v>
      </c>
      <c r="I4" s="576">
        <v>100000</v>
      </c>
      <c r="J4" s="576">
        <v>100000</v>
      </c>
      <c r="K4" s="172">
        <v>100000</v>
      </c>
      <c r="L4" s="172">
        <v>100000</v>
      </c>
      <c r="M4" s="172">
        <v>100000</v>
      </c>
      <c r="N4" s="172">
        <v>100000</v>
      </c>
      <c r="O4" s="172">
        <v>100000</v>
      </c>
      <c r="P4" s="172">
        <v>100000</v>
      </c>
      <c r="Q4" s="172">
        <v>100000</v>
      </c>
      <c r="R4" s="172">
        <v>100000</v>
      </c>
      <c r="S4" s="172">
        <v>100000</v>
      </c>
      <c r="T4" s="172">
        <v>100000</v>
      </c>
      <c r="U4" s="172">
        <v>100000</v>
      </c>
      <c r="V4" s="172">
        <v>100000</v>
      </c>
      <c r="W4" s="172">
        <v>100000</v>
      </c>
      <c r="X4" s="172">
        <v>100000</v>
      </c>
      <c r="Y4" s="172">
        <v>100000</v>
      </c>
      <c r="Z4" s="172">
        <v>100000</v>
      </c>
      <c r="AA4" s="172">
        <v>100000</v>
      </c>
      <c r="AB4" s="327">
        <v>100000</v>
      </c>
      <c r="AC4" s="172"/>
      <c r="AD4" s="173">
        <f>SUM(D4:AC4)</f>
        <v>3500000</v>
      </c>
      <c r="AE4" s="770">
        <f>C4-AD4</f>
        <v>79576480.964771852</v>
      </c>
      <c r="AF4" s="310" t="str">
        <f t="shared" si="0"/>
        <v>YES</v>
      </c>
      <c r="AG4" s="333">
        <v>2</v>
      </c>
      <c r="AH4" s="209"/>
      <c r="AI4" s="134" t="s">
        <v>225</v>
      </c>
      <c r="AJ4" s="198" t="s">
        <v>69</v>
      </c>
      <c r="AK4" s="171">
        <v>7652030.7375145992</v>
      </c>
      <c r="AL4" s="172" t="s">
        <v>386</v>
      </c>
      <c r="AM4" s="209"/>
      <c r="AN4" s="209"/>
      <c r="AO4" s="209"/>
      <c r="AP4" s="209"/>
      <c r="AQ4" s="209"/>
      <c r="AR4" s="209"/>
      <c r="AS4" s="209"/>
      <c r="AT4" s="209"/>
      <c r="AU4" s="209"/>
      <c r="AV4" s="209"/>
      <c r="AW4" s="209"/>
      <c r="AX4" s="209"/>
      <c r="AY4" s="209"/>
      <c r="AZ4" s="209"/>
      <c r="BA4" s="209"/>
      <c r="BB4" s="209"/>
      <c r="BC4" s="209"/>
      <c r="BD4" s="209"/>
      <c r="BE4" s="209"/>
      <c r="BF4" s="209"/>
      <c r="BG4" s="209"/>
      <c r="BH4" s="209"/>
      <c r="BI4" s="209"/>
      <c r="BJ4" s="209"/>
      <c r="BK4" s="209"/>
      <c r="BL4" s="209"/>
      <c r="BM4" s="209"/>
      <c r="BN4" s="209"/>
      <c r="BO4" s="209"/>
    </row>
    <row r="5" spans="1:67" s="61" customFormat="1" ht="16.5" thickBot="1" x14ac:dyDescent="0.45">
      <c r="A5" s="506" t="str">
        <f>'DETAILS (sorted)'!A59</f>
        <v>ILS24-F00058</v>
      </c>
      <c r="B5" s="162" t="str">
        <f>'DETAILS (sorted)'!B59</f>
        <v>Jacobs Casthom Mwambegele</v>
      </c>
      <c r="C5" s="507">
        <f>'DETAILS (sorted)'!DS59</f>
        <v>73534021.629986867</v>
      </c>
      <c r="D5" s="162">
        <v>200000</v>
      </c>
      <c r="E5" s="162">
        <v>1000000</v>
      </c>
      <c r="F5" s="508">
        <v>100000</v>
      </c>
      <c r="G5" s="508">
        <v>100000</v>
      </c>
      <c r="H5" s="508">
        <v>100000</v>
      </c>
      <c r="I5" s="577">
        <v>100000</v>
      </c>
      <c r="J5" s="577">
        <v>100000</v>
      </c>
      <c r="K5" s="508">
        <v>100000</v>
      </c>
      <c r="L5" s="508">
        <v>100000</v>
      </c>
      <c r="M5" s="508">
        <v>100000</v>
      </c>
      <c r="N5" s="508">
        <v>100000</v>
      </c>
      <c r="O5" s="508">
        <v>100000</v>
      </c>
      <c r="P5" s="508">
        <v>100000</v>
      </c>
      <c r="Q5" s="508">
        <v>100000</v>
      </c>
      <c r="R5" s="508">
        <v>100000</v>
      </c>
      <c r="S5" s="508">
        <v>100000</v>
      </c>
      <c r="T5" s="508">
        <v>100000</v>
      </c>
      <c r="U5" s="508">
        <v>100000</v>
      </c>
      <c r="V5" s="508">
        <v>100000</v>
      </c>
      <c r="W5" s="508">
        <v>100000</v>
      </c>
      <c r="X5" s="508">
        <v>100000</v>
      </c>
      <c r="Y5" s="508">
        <v>100000</v>
      </c>
      <c r="Z5" s="508">
        <v>100000</v>
      </c>
      <c r="AA5" s="508">
        <v>100000</v>
      </c>
      <c r="AB5" s="327">
        <v>100000</v>
      </c>
      <c r="AC5" s="508"/>
      <c r="AD5" s="509">
        <f>SUM(D5:AC5)</f>
        <v>3500000</v>
      </c>
      <c r="AE5" s="510">
        <f>C5-AD5</f>
        <v>70034021.629986867</v>
      </c>
      <c r="AF5" s="511" t="str">
        <f t="shared" si="0"/>
        <v>YES</v>
      </c>
      <c r="AG5" s="512">
        <v>3</v>
      </c>
      <c r="AH5" s="209"/>
      <c r="AI5" s="134" t="s">
        <v>224</v>
      </c>
      <c r="AJ5" s="198" t="s">
        <v>42</v>
      </c>
      <c r="AK5" s="171">
        <v>3732705.0350091765</v>
      </c>
      <c r="AL5" s="172" t="s">
        <v>387</v>
      </c>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row>
    <row r="6" spans="1:67" s="62" customFormat="1" ht="16.5" thickBot="1" x14ac:dyDescent="0.45">
      <c r="A6" s="325" t="str">
        <f>'DETAILS (sorted)'!A17</f>
        <v>ILS24-F00016</v>
      </c>
      <c r="B6" s="326" t="str">
        <f>'DETAILS (sorted)'!B17</f>
        <v xml:space="preserve">Walter Salema </v>
      </c>
      <c r="C6" s="335">
        <f>'DETAILS (sorted)'!DS17</f>
        <v>45696106.78383147</v>
      </c>
      <c r="D6" s="326">
        <v>200000</v>
      </c>
      <c r="E6" s="326">
        <v>1000000</v>
      </c>
      <c r="F6" s="327">
        <v>100000</v>
      </c>
      <c r="G6" s="327">
        <v>100000</v>
      </c>
      <c r="H6" s="327">
        <v>100000</v>
      </c>
      <c r="I6" s="575">
        <v>100000</v>
      </c>
      <c r="J6" s="575">
        <v>100000</v>
      </c>
      <c r="K6" s="327">
        <v>100000</v>
      </c>
      <c r="L6" s="327">
        <v>100000</v>
      </c>
      <c r="M6" s="327">
        <v>100000</v>
      </c>
      <c r="N6" s="327">
        <v>100000</v>
      </c>
      <c r="O6" s="327">
        <v>100000</v>
      </c>
      <c r="P6" s="327">
        <v>100000</v>
      </c>
      <c r="Q6" s="327">
        <v>100000</v>
      </c>
      <c r="R6" s="327">
        <v>100000</v>
      </c>
      <c r="S6" s="327">
        <v>100000</v>
      </c>
      <c r="T6" s="327">
        <v>100000</v>
      </c>
      <c r="U6" s="327">
        <v>100000</v>
      </c>
      <c r="V6" s="327">
        <v>100000</v>
      </c>
      <c r="W6" s="327">
        <v>100000</v>
      </c>
      <c r="X6" s="327">
        <v>100000</v>
      </c>
      <c r="Y6" s="327">
        <v>100000</v>
      </c>
      <c r="Z6" s="327">
        <v>100000</v>
      </c>
      <c r="AA6" s="327">
        <v>100000</v>
      </c>
      <c r="AB6" s="327">
        <v>100000</v>
      </c>
      <c r="AC6" s="327"/>
      <c r="AD6" s="328">
        <f>SUM(D6:AC6)</f>
        <v>3500000</v>
      </c>
      <c r="AE6" s="329">
        <f>C6-AD6</f>
        <v>42196106.78383147</v>
      </c>
      <c r="AF6" s="330" t="str">
        <f t="shared" si="0"/>
        <v>YES</v>
      </c>
      <c r="AG6" s="331">
        <v>4</v>
      </c>
      <c r="AI6" s="134" t="s">
        <v>227</v>
      </c>
      <c r="AJ6" s="198" t="s">
        <v>28</v>
      </c>
      <c r="AK6" s="171">
        <v>6428245.2575079249</v>
      </c>
      <c r="AL6" s="172" t="s">
        <v>388</v>
      </c>
    </row>
    <row r="7" spans="1:67" s="60" customFormat="1" ht="16.5" thickBot="1" x14ac:dyDescent="0.45">
      <c r="A7" s="332" t="str">
        <f>'DETAILS (sorted)'!A2</f>
        <v>ILS24-F00001</v>
      </c>
      <c r="B7" s="134" t="str">
        <f>'DETAILS (sorted)'!B2</f>
        <v xml:space="preserve">Nsanyiwa Kiloba </v>
      </c>
      <c r="C7" s="145">
        <f>'DETAILS (sorted)'!DS2</f>
        <v>42240068.399687767</v>
      </c>
      <c r="D7" s="134">
        <v>200000</v>
      </c>
      <c r="E7" s="134">
        <v>1000000</v>
      </c>
      <c r="F7" s="172">
        <v>100000</v>
      </c>
      <c r="G7" s="172">
        <v>100000</v>
      </c>
      <c r="H7" s="172">
        <v>100000</v>
      </c>
      <c r="I7" s="576">
        <v>100000</v>
      </c>
      <c r="J7" s="576">
        <v>100000</v>
      </c>
      <c r="K7" s="172">
        <v>100000</v>
      </c>
      <c r="L7" s="172">
        <v>100000</v>
      </c>
      <c r="M7" s="172">
        <v>100000</v>
      </c>
      <c r="N7" s="172">
        <v>100000</v>
      </c>
      <c r="O7" s="172">
        <v>100000</v>
      </c>
      <c r="P7" s="172">
        <v>100000</v>
      </c>
      <c r="Q7" s="172">
        <v>100000</v>
      </c>
      <c r="R7" s="172">
        <v>100000</v>
      </c>
      <c r="S7" s="172">
        <v>100000</v>
      </c>
      <c r="T7" s="172">
        <v>100000</v>
      </c>
      <c r="U7" s="172">
        <v>100000</v>
      </c>
      <c r="V7" s="172">
        <v>100000</v>
      </c>
      <c r="W7" s="172">
        <v>100000</v>
      </c>
      <c r="X7" s="172">
        <v>100000</v>
      </c>
      <c r="Y7" s="172">
        <v>100000</v>
      </c>
      <c r="Z7" s="172">
        <v>100000</v>
      </c>
      <c r="AA7" s="172">
        <v>100000</v>
      </c>
      <c r="AB7" s="327">
        <v>100000</v>
      </c>
      <c r="AC7" s="172"/>
      <c r="AD7" s="173">
        <f>SUM(D7:AC7)</f>
        <v>3500000</v>
      </c>
      <c r="AE7" s="174">
        <f>C7-AD7</f>
        <v>38740068.399687767</v>
      </c>
      <c r="AF7" s="310" t="str">
        <f t="shared" si="0"/>
        <v>YES</v>
      </c>
      <c r="AG7" s="333">
        <v>5</v>
      </c>
      <c r="AI7" s="438" t="s">
        <v>243</v>
      </c>
      <c r="AJ7" s="438" t="s">
        <v>31</v>
      </c>
      <c r="AK7" s="438">
        <v>2223785.4800066738</v>
      </c>
      <c r="AL7" s="438" t="s">
        <v>389</v>
      </c>
    </row>
    <row r="8" spans="1:67" s="61" customFormat="1" ht="16.5" thickBot="1" x14ac:dyDescent="0.45">
      <c r="A8" s="332" t="str">
        <f>'DETAILS (sorted)'!A8</f>
        <v>ILS24-F00007</v>
      </c>
      <c r="B8" s="134" t="str">
        <f>'DETAILS (sorted)'!B8</f>
        <v xml:space="preserve">Erick Kitali </v>
      </c>
      <c r="C8" s="145">
        <f>'DETAILS (sorted)'!DS8</f>
        <v>40727737.587595046</v>
      </c>
      <c r="D8" s="134">
        <v>200000</v>
      </c>
      <c r="E8" s="134">
        <v>1000000</v>
      </c>
      <c r="F8" s="172">
        <v>100000</v>
      </c>
      <c r="G8" s="172">
        <v>100000</v>
      </c>
      <c r="H8" s="172">
        <v>100000</v>
      </c>
      <c r="I8" s="576">
        <v>100000</v>
      </c>
      <c r="J8" s="576">
        <v>100000</v>
      </c>
      <c r="K8" s="172">
        <v>100000</v>
      </c>
      <c r="L8" s="172">
        <v>100000</v>
      </c>
      <c r="M8" s="172">
        <v>100000</v>
      </c>
      <c r="N8" s="172">
        <v>100000</v>
      </c>
      <c r="O8" s="172">
        <v>100000</v>
      </c>
      <c r="P8" s="172">
        <v>100000</v>
      </c>
      <c r="Q8" s="172">
        <v>100000</v>
      </c>
      <c r="R8" s="172">
        <v>100000</v>
      </c>
      <c r="S8" s="172">
        <v>100000</v>
      </c>
      <c r="T8" s="172">
        <v>100000</v>
      </c>
      <c r="U8" s="172">
        <v>100000</v>
      </c>
      <c r="V8" s="172">
        <v>100000</v>
      </c>
      <c r="W8" s="172">
        <v>100000</v>
      </c>
      <c r="X8" s="172">
        <v>100000</v>
      </c>
      <c r="Y8" s="172">
        <v>100000</v>
      </c>
      <c r="Z8" s="172">
        <v>100000</v>
      </c>
      <c r="AA8" s="172">
        <v>100000</v>
      </c>
      <c r="AB8" s="327">
        <v>100000</v>
      </c>
      <c r="AC8" s="172"/>
      <c r="AD8" s="173">
        <f>SUM(D8:AC8)</f>
        <v>3500000</v>
      </c>
      <c r="AE8" s="174">
        <f>C8-AD8</f>
        <v>37227737.587595046</v>
      </c>
      <c r="AF8" s="310" t="str">
        <f t="shared" si="0"/>
        <v>YES</v>
      </c>
      <c r="AG8" s="333">
        <v>6</v>
      </c>
      <c r="AH8" s="209"/>
      <c r="AI8" s="209"/>
      <c r="AJ8" s="209"/>
      <c r="AK8" s="171">
        <f>SUM(AK4:AK7)</f>
        <v>20036766.510038372</v>
      </c>
      <c r="AL8" s="209"/>
      <c r="AM8" s="209"/>
      <c r="AN8" s="209"/>
      <c r="AO8" s="209"/>
      <c r="AP8" s="209"/>
      <c r="AQ8" s="209"/>
      <c r="AR8" s="209"/>
      <c r="AS8" s="209"/>
      <c r="AT8" s="209"/>
      <c r="AU8" s="209"/>
      <c r="AV8" s="209"/>
      <c r="AW8" s="209"/>
      <c r="AX8" s="209"/>
      <c r="AY8" s="209"/>
      <c r="AZ8" s="209"/>
      <c r="BA8" s="209"/>
      <c r="BB8" s="209"/>
      <c r="BC8" s="209"/>
      <c r="BD8" s="209"/>
      <c r="BE8" s="209"/>
      <c r="BF8" s="209"/>
      <c r="BG8" s="209"/>
      <c r="BH8" s="209"/>
      <c r="BI8" s="209"/>
      <c r="BJ8" s="209"/>
      <c r="BK8" s="209"/>
      <c r="BL8" s="209"/>
      <c r="BM8" s="209"/>
      <c r="BN8" s="209"/>
      <c r="BO8" s="209"/>
    </row>
    <row r="9" spans="1:67" s="61" customFormat="1" ht="16.5" thickBot="1" x14ac:dyDescent="0.45">
      <c r="A9" s="332" t="str">
        <f>'DETAILS (sorted)'!A19</f>
        <v>ILS24-F00018</v>
      </c>
      <c r="B9" s="134" t="str">
        <f>'DETAILS (sorted)'!B19</f>
        <v xml:space="preserve">Alban Robert Kimario </v>
      </c>
      <c r="C9" s="145">
        <f>'DETAILS (sorted)'!DS19</f>
        <v>33412761.497731984</v>
      </c>
      <c r="D9" s="134">
        <v>200000</v>
      </c>
      <c r="E9" s="134">
        <v>1000000</v>
      </c>
      <c r="F9" s="172">
        <v>100000</v>
      </c>
      <c r="G9" s="172">
        <v>100000</v>
      </c>
      <c r="H9" s="172">
        <v>100000</v>
      </c>
      <c r="I9" s="576">
        <v>100000</v>
      </c>
      <c r="J9" s="576">
        <v>100000</v>
      </c>
      <c r="K9" s="172">
        <v>100000</v>
      </c>
      <c r="L9" s="172">
        <v>100000</v>
      </c>
      <c r="M9" s="172">
        <v>100000</v>
      </c>
      <c r="N9" s="172">
        <v>100000</v>
      </c>
      <c r="O9" s="172">
        <v>100000</v>
      </c>
      <c r="P9" s="172">
        <v>100000</v>
      </c>
      <c r="Q9" s="172">
        <v>100000</v>
      </c>
      <c r="R9" s="172">
        <v>100000</v>
      </c>
      <c r="S9" s="172">
        <v>100000</v>
      </c>
      <c r="T9" s="172">
        <v>100000</v>
      </c>
      <c r="U9" s="172">
        <v>100000</v>
      </c>
      <c r="V9" s="172">
        <v>100000</v>
      </c>
      <c r="W9" s="172">
        <v>100000</v>
      </c>
      <c r="X9" s="172">
        <v>100000</v>
      </c>
      <c r="Y9" s="172">
        <v>100000</v>
      </c>
      <c r="Z9" s="172">
        <v>100000</v>
      </c>
      <c r="AA9" s="172">
        <v>100000</v>
      </c>
      <c r="AB9" s="327">
        <v>100000</v>
      </c>
      <c r="AC9" s="172"/>
      <c r="AD9" s="173">
        <f>SUM(D9:AC9)</f>
        <v>3500000</v>
      </c>
      <c r="AE9" s="174">
        <f>C9-AD9</f>
        <v>29912761.497731984</v>
      </c>
      <c r="AF9" s="310" t="str">
        <f t="shared" si="0"/>
        <v>YES</v>
      </c>
      <c r="AG9" s="333">
        <v>7</v>
      </c>
      <c r="AH9" s="209"/>
      <c r="AI9" s="209"/>
      <c r="AJ9" s="209"/>
      <c r="AK9" s="171"/>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row>
    <row r="10" spans="1:67" s="61" customFormat="1" ht="16.5" thickBot="1" x14ac:dyDescent="0.45">
      <c r="A10" s="506" t="str">
        <f>'DETAILS (sorted)'!A84</f>
        <v>ILS24-F00083</v>
      </c>
      <c r="B10" s="162" t="str">
        <f>'DETAILS (sorted)'!B84</f>
        <v>Mathew J. Mndeme</v>
      </c>
      <c r="C10" s="507">
        <f>'DETAILS (sorted)'!DS84</f>
        <v>31761556.748469815</v>
      </c>
      <c r="D10" s="162">
        <v>200000</v>
      </c>
      <c r="E10" s="162">
        <v>1000000</v>
      </c>
      <c r="F10" s="508">
        <v>100000</v>
      </c>
      <c r="G10" s="508">
        <v>100000</v>
      </c>
      <c r="H10" s="508">
        <v>100000</v>
      </c>
      <c r="I10" s="577">
        <v>100000</v>
      </c>
      <c r="J10" s="577">
        <v>100000</v>
      </c>
      <c r="K10" s="508">
        <v>100000</v>
      </c>
      <c r="L10" s="508">
        <v>100000</v>
      </c>
      <c r="M10" s="508">
        <v>100000</v>
      </c>
      <c r="N10" s="508">
        <v>100000</v>
      </c>
      <c r="O10" s="508">
        <v>100000</v>
      </c>
      <c r="P10" s="508">
        <v>100000</v>
      </c>
      <c r="Q10" s="508">
        <v>100000</v>
      </c>
      <c r="R10" s="508">
        <v>100000</v>
      </c>
      <c r="S10" s="508">
        <v>100000</v>
      </c>
      <c r="T10" s="508">
        <v>100000</v>
      </c>
      <c r="U10" s="508">
        <v>100000</v>
      </c>
      <c r="V10" s="508">
        <v>100000</v>
      </c>
      <c r="W10" s="508">
        <v>100000</v>
      </c>
      <c r="X10" s="508">
        <v>100000</v>
      </c>
      <c r="Y10" s="508">
        <v>100000</v>
      </c>
      <c r="Z10" s="508">
        <v>100000</v>
      </c>
      <c r="AA10" s="508">
        <v>100000</v>
      </c>
      <c r="AB10" s="327">
        <v>100000</v>
      </c>
      <c r="AC10" s="508"/>
      <c r="AD10" s="509">
        <f>SUM(D10:AC10)</f>
        <v>3500000</v>
      </c>
      <c r="AE10" s="510">
        <f>C10-AD10</f>
        <v>28261556.748469815</v>
      </c>
      <c r="AF10" s="511" t="str">
        <f t="shared" si="0"/>
        <v>YES</v>
      </c>
      <c r="AG10" s="512">
        <v>8</v>
      </c>
      <c r="AH10" s="209"/>
      <c r="AI10" s="209" t="s">
        <v>225</v>
      </c>
      <c r="AJ10" s="209" t="s">
        <v>69</v>
      </c>
      <c r="AK10" s="171">
        <v>20187324.412172459</v>
      </c>
      <c r="AL10" s="209" t="s">
        <v>386</v>
      </c>
      <c r="AM10" s="209"/>
      <c r="AN10" s="209"/>
      <c r="AO10" s="209"/>
      <c r="AP10" s="209"/>
      <c r="AQ10" s="209"/>
      <c r="AR10" s="209"/>
      <c r="AS10" s="209"/>
      <c r="AT10" s="209"/>
      <c r="AU10" s="209"/>
      <c r="AV10" s="209"/>
      <c r="AW10" s="209"/>
      <c r="AX10" s="209"/>
      <c r="AY10" s="209"/>
      <c r="AZ10" s="209"/>
      <c r="BA10" s="209"/>
      <c r="BB10" s="209"/>
      <c r="BC10" s="209"/>
      <c r="BD10" s="209"/>
      <c r="BE10" s="209"/>
      <c r="BF10" s="209"/>
      <c r="BG10" s="209"/>
      <c r="BH10" s="209"/>
      <c r="BI10" s="209"/>
      <c r="BJ10" s="209"/>
      <c r="BK10" s="209"/>
      <c r="BL10" s="209"/>
      <c r="BM10" s="209"/>
      <c r="BN10" s="209"/>
      <c r="BO10" s="209"/>
    </row>
    <row r="11" spans="1:67" s="61" customFormat="1" ht="16.5" thickBot="1" x14ac:dyDescent="0.45">
      <c r="A11" s="325" t="str">
        <f>'DETAILS (sorted)'!A11</f>
        <v>ILS24-F00010</v>
      </c>
      <c r="B11" s="326" t="str">
        <f>'DETAILS (sorted)'!B11</f>
        <v>Mosses Makoko</v>
      </c>
      <c r="C11" s="335">
        <f>'DETAILS (sorted)'!DS11</f>
        <v>31339395.065855179</v>
      </c>
      <c r="D11" s="326">
        <v>200000</v>
      </c>
      <c r="E11" s="326">
        <v>1000000</v>
      </c>
      <c r="F11" s="327">
        <v>100000</v>
      </c>
      <c r="G11" s="327">
        <v>100000</v>
      </c>
      <c r="H11" s="327">
        <v>100000</v>
      </c>
      <c r="I11" s="575">
        <v>100000</v>
      </c>
      <c r="J11" s="575">
        <v>100000</v>
      </c>
      <c r="K11" s="327">
        <v>100000</v>
      </c>
      <c r="L11" s="327">
        <v>100000</v>
      </c>
      <c r="M11" s="327">
        <v>100000</v>
      </c>
      <c r="N11" s="327">
        <v>100000</v>
      </c>
      <c r="O11" s="327">
        <v>100000</v>
      </c>
      <c r="P11" s="327">
        <v>100000</v>
      </c>
      <c r="Q11" s="327">
        <v>100000</v>
      </c>
      <c r="R11" s="327">
        <v>100000</v>
      </c>
      <c r="S11" s="327">
        <v>100000</v>
      </c>
      <c r="T11" s="327">
        <v>100000</v>
      </c>
      <c r="U11" s="327">
        <v>100000</v>
      </c>
      <c r="V11" s="327">
        <v>100000</v>
      </c>
      <c r="W11" s="327">
        <v>100000</v>
      </c>
      <c r="X11" s="327">
        <v>100000</v>
      </c>
      <c r="Y11" s="327">
        <v>100000</v>
      </c>
      <c r="Z11" s="327">
        <v>100000</v>
      </c>
      <c r="AA11" s="327">
        <v>100000</v>
      </c>
      <c r="AB11" s="327">
        <v>100000</v>
      </c>
      <c r="AC11" s="327"/>
      <c r="AD11" s="328">
        <f>SUM(D11:AC11)</f>
        <v>3500000</v>
      </c>
      <c r="AE11" s="329">
        <f>C11-AD11</f>
        <v>27839395.065855179</v>
      </c>
      <c r="AF11" s="330" t="str">
        <f t="shared" si="0"/>
        <v>YES</v>
      </c>
      <c r="AG11" s="331">
        <v>9</v>
      </c>
      <c r="AH11" s="209"/>
      <c r="AI11" s="134" t="s">
        <v>224</v>
      </c>
      <c r="AJ11" s="198" t="s">
        <v>42</v>
      </c>
      <c r="AK11" s="171">
        <v>13774774.598425493</v>
      </c>
      <c r="AL11" s="172" t="s">
        <v>387</v>
      </c>
      <c r="AM11" s="209"/>
      <c r="AN11" s="209"/>
      <c r="AO11" s="209"/>
      <c r="AP11" s="209"/>
      <c r="AQ11" s="209"/>
      <c r="AR11" s="209"/>
      <c r="AS11" s="209"/>
      <c r="AT11" s="209"/>
      <c r="AU11" s="209"/>
      <c r="AV11" s="209"/>
      <c r="AW11" s="209"/>
      <c r="AX11" s="209"/>
      <c r="AY11" s="209"/>
      <c r="AZ11" s="209"/>
      <c r="BA11" s="209"/>
      <c r="BB11" s="209"/>
      <c r="BC11" s="209"/>
      <c r="BD11" s="209"/>
      <c r="BE11" s="209"/>
      <c r="BF11" s="209"/>
      <c r="BG11" s="209"/>
      <c r="BH11" s="209"/>
      <c r="BI11" s="209"/>
      <c r="BJ11" s="209"/>
      <c r="BK11" s="209"/>
      <c r="BL11" s="209"/>
      <c r="BM11" s="209"/>
      <c r="BN11" s="209"/>
      <c r="BO11" s="209"/>
    </row>
    <row r="12" spans="1:67" s="61" customFormat="1" ht="16.5" thickBot="1" x14ac:dyDescent="0.45">
      <c r="A12" s="332" t="str">
        <f>'DETAILS (sorted)'!A13</f>
        <v>ILS24-F00012</v>
      </c>
      <c r="B12" s="134" t="str">
        <f>'DETAILS (sorted)'!B13</f>
        <v>Mlindwa Kashindye</v>
      </c>
      <c r="C12" s="145">
        <f>'DETAILS (sorted)'!DS13</f>
        <v>28367578.295165222</v>
      </c>
      <c r="D12" s="134">
        <v>200000</v>
      </c>
      <c r="E12" s="134">
        <v>1000000</v>
      </c>
      <c r="F12" s="172">
        <v>100000</v>
      </c>
      <c r="G12" s="172">
        <v>100000</v>
      </c>
      <c r="H12" s="172">
        <v>100000</v>
      </c>
      <c r="I12" s="576">
        <v>100000</v>
      </c>
      <c r="J12" s="576">
        <v>100000</v>
      </c>
      <c r="K12" s="172">
        <v>100000</v>
      </c>
      <c r="L12" s="172">
        <v>100000</v>
      </c>
      <c r="M12" s="172">
        <v>100000</v>
      </c>
      <c r="N12" s="172">
        <v>100000</v>
      </c>
      <c r="O12" s="172">
        <v>100000</v>
      </c>
      <c r="P12" s="172">
        <v>100000</v>
      </c>
      <c r="Q12" s="172">
        <v>100000</v>
      </c>
      <c r="R12" s="172">
        <v>100000</v>
      </c>
      <c r="S12" s="172">
        <v>100000</v>
      </c>
      <c r="T12" s="172">
        <v>100000</v>
      </c>
      <c r="U12" s="172">
        <v>100000</v>
      </c>
      <c r="V12" s="172">
        <v>100000</v>
      </c>
      <c r="W12" s="172">
        <v>100000</v>
      </c>
      <c r="X12" s="172">
        <v>100000</v>
      </c>
      <c r="Y12" s="172">
        <v>100000</v>
      </c>
      <c r="Z12" s="172">
        <v>100000</v>
      </c>
      <c r="AA12" s="172">
        <v>100000</v>
      </c>
      <c r="AB12" s="327">
        <v>100000</v>
      </c>
      <c r="AC12" s="172"/>
      <c r="AD12" s="173">
        <f>SUM(D12:AC12)</f>
        <v>3500000</v>
      </c>
      <c r="AE12" s="337">
        <f>C12-AD12</f>
        <v>24867578.295165222</v>
      </c>
      <c r="AF12" s="310" t="str">
        <f t="shared" si="0"/>
        <v>YES</v>
      </c>
      <c r="AG12" s="333">
        <v>10</v>
      </c>
      <c r="AH12" s="209"/>
      <c r="AI12" s="134" t="s">
        <v>227</v>
      </c>
      <c r="AJ12" s="198" t="s">
        <v>28</v>
      </c>
      <c r="AK12" s="171">
        <v>16303093.995264379</v>
      </c>
      <c r="AL12" s="172" t="s">
        <v>388</v>
      </c>
      <c r="AM12" s="209"/>
      <c r="AN12" s="209"/>
      <c r="AO12" s="209"/>
      <c r="AP12" s="209"/>
      <c r="AQ12" s="209"/>
      <c r="AR12" s="209"/>
      <c r="AS12" s="209"/>
      <c r="AT12" s="209"/>
      <c r="AU12" s="209"/>
      <c r="AV12" s="209"/>
      <c r="AW12" s="209"/>
      <c r="AX12" s="209"/>
      <c r="AY12" s="209"/>
      <c r="AZ12" s="209"/>
      <c r="BA12" s="209"/>
      <c r="BB12" s="209"/>
      <c r="BC12" s="209"/>
      <c r="BD12" s="209"/>
      <c r="BE12" s="209"/>
      <c r="BF12" s="209"/>
      <c r="BG12" s="209"/>
      <c r="BH12" s="209"/>
      <c r="BI12" s="209"/>
      <c r="BJ12" s="209"/>
      <c r="BK12" s="209"/>
      <c r="BL12" s="209"/>
      <c r="BM12" s="209"/>
      <c r="BN12" s="209"/>
      <c r="BO12" s="209"/>
    </row>
    <row r="13" spans="1:67" s="61" customFormat="1" ht="16.5" thickBot="1" x14ac:dyDescent="0.45">
      <c r="A13" s="332" t="str">
        <f>'DETAILS (sorted)'!A45</f>
        <v>ILS24-F00044</v>
      </c>
      <c r="B13" s="134" t="str">
        <f>'DETAILS (sorted)'!B45</f>
        <v>Abduel Kitururu</v>
      </c>
      <c r="C13" s="145">
        <f>'DETAILS (sorted)'!DS45</f>
        <v>28293742.550772849</v>
      </c>
      <c r="D13" s="134">
        <v>200000</v>
      </c>
      <c r="E13" s="134">
        <v>1000000</v>
      </c>
      <c r="F13" s="172">
        <v>100000</v>
      </c>
      <c r="G13" s="172">
        <v>100000</v>
      </c>
      <c r="H13" s="172">
        <v>100000</v>
      </c>
      <c r="I13" s="576">
        <v>100000</v>
      </c>
      <c r="J13" s="576">
        <v>100000</v>
      </c>
      <c r="K13" s="172">
        <v>100000</v>
      </c>
      <c r="L13" s="172">
        <v>100000</v>
      </c>
      <c r="M13" s="172">
        <v>100000</v>
      </c>
      <c r="N13" s="172">
        <v>100000</v>
      </c>
      <c r="O13" s="172">
        <v>100000</v>
      </c>
      <c r="P13" s="172">
        <v>100000</v>
      </c>
      <c r="Q13" s="172">
        <v>100000</v>
      </c>
      <c r="R13" s="172">
        <v>100000</v>
      </c>
      <c r="S13" s="172">
        <v>100000</v>
      </c>
      <c r="T13" s="172">
        <v>100000</v>
      </c>
      <c r="U13" s="172">
        <v>100000</v>
      </c>
      <c r="V13" s="172">
        <v>100000</v>
      </c>
      <c r="W13" s="172">
        <v>100000</v>
      </c>
      <c r="X13" s="172">
        <v>100000</v>
      </c>
      <c r="Y13" s="172">
        <v>100000</v>
      </c>
      <c r="Z13" s="172">
        <v>100000</v>
      </c>
      <c r="AA13" s="172">
        <v>100000</v>
      </c>
      <c r="AB13" s="327">
        <v>100000</v>
      </c>
      <c r="AC13" s="172"/>
      <c r="AD13" s="173">
        <f>SUM(D13:AC13)</f>
        <v>3500000</v>
      </c>
      <c r="AE13" s="174">
        <f>C13-AD13</f>
        <v>24793742.550772849</v>
      </c>
      <c r="AF13" s="310" t="str">
        <f t="shared" si="0"/>
        <v>YES</v>
      </c>
      <c r="AG13" s="333">
        <v>11</v>
      </c>
      <c r="AH13" s="209"/>
      <c r="AI13" s="134" t="str">
        <f>A16</f>
        <v>ILS24-F00023</v>
      </c>
      <c r="AJ13" s="198" t="str">
        <f>B16</f>
        <v xml:space="preserve">Amos Nungu </v>
      </c>
      <c r="AK13" s="171">
        <v>3939098.227381533</v>
      </c>
      <c r="AL13" s="172" t="s">
        <v>389</v>
      </c>
      <c r="AM13" s="209"/>
      <c r="AN13" s="209"/>
      <c r="AO13" s="209"/>
      <c r="AP13" s="209"/>
      <c r="AQ13" s="209"/>
      <c r="AR13" s="209"/>
      <c r="AS13" s="209"/>
      <c r="AT13" s="209"/>
      <c r="AU13" s="209"/>
      <c r="AV13" s="209"/>
      <c r="AW13" s="209"/>
      <c r="AX13" s="209"/>
      <c r="AY13" s="209"/>
      <c r="AZ13" s="209"/>
      <c r="BA13" s="209"/>
      <c r="BB13" s="209"/>
      <c r="BC13" s="209"/>
      <c r="BD13" s="209"/>
      <c r="BE13" s="209"/>
      <c r="BF13" s="209"/>
      <c r="BG13" s="209"/>
      <c r="BH13" s="209"/>
      <c r="BI13" s="209"/>
      <c r="BJ13" s="209"/>
      <c r="BK13" s="209"/>
      <c r="BL13" s="209"/>
      <c r="BM13" s="209"/>
      <c r="BN13" s="209"/>
      <c r="BO13" s="209"/>
    </row>
    <row r="14" spans="1:67" s="61" customFormat="1" ht="16.5" thickBot="1" x14ac:dyDescent="0.45">
      <c r="A14" s="332" t="str">
        <f>'DETAILS (sorted)'!A3</f>
        <v>ILS24-F00002</v>
      </c>
      <c r="B14" s="134" t="str">
        <f>'DETAILS (sorted)'!B3</f>
        <v xml:space="preserve">Werema Msongo </v>
      </c>
      <c r="C14" s="145">
        <f>'DETAILS (sorted)'!DS3</f>
        <v>27339182.305427976</v>
      </c>
      <c r="D14" s="134">
        <v>200000</v>
      </c>
      <c r="E14" s="134">
        <v>1000000</v>
      </c>
      <c r="F14" s="172">
        <v>100000</v>
      </c>
      <c r="G14" s="172">
        <v>100000</v>
      </c>
      <c r="H14" s="172">
        <v>100000</v>
      </c>
      <c r="I14" s="576">
        <v>100000</v>
      </c>
      <c r="J14" s="576">
        <v>100000</v>
      </c>
      <c r="K14" s="172">
        <v>100000</v>
      </c>
      <c r="L14" s="172">
        <v>100000</v>
      </c>
      <c r="M14" s="172">
        <v>100000</v>
      </c>
      <c r="N14" s="172">
        <v>100000</v>
      </c>
      <c r="O14" s="172">
        <v>100000</v>
      </c>
      <c r="P14" s="172">
        <v>100000</v>
      </c>
      <c r="Q14" s="172">
        <v>100000</v>
      </c>
      <c r="R14" s="172">
        <v>100000</v>
      </c>
      <c r="S14" s="172">
        <v>100000</v>
      </c>
      <c r="T14" s="172">
        <v>100000</v>
      </c>
      <c r="U14" s="172">
        <v>100000</v>
      </c>
      <c r="V14" s="172">
        <v>100000</v>
      </c>
      <c r="W14" s="172">
        <v>100000</v>
      </c>
      <c r="X14" s="172">
        <v>100000</v>
      </c>
      <c r="Y14" s="172">
        <v>100000</v>
      </c>
      <c r="Z14" s="172">
        <v>100000</v>
      </c>
      <c r="AA14" s="172">
        <v>100000</v>
      </c>
      <c r="AB14" s="327">
        <v>100000</v>
      </c>
      <c r="AC14" s="172"/>
      <c r="AD14" s="173">
        <f>SUM(D14:AC14)</f>
        <v>3500000</v>
      </c>
      <c r="AE14" s="174">
        <f>C14-AD14</f>
        <v>23839182.305427976</v>
      </c>
      <c r="AF14" s="310" t="str">
        <f t="shared" si="0"/>
        <v>YES</v>
      </c>
      <c r="AG14" s="333">
        <v>12</v>
      </c>
      <c r="AH14" s="209"/>
      <c r="AI14" s="134" t="s">
        <v>243</v>
      </c>
      <c r="AJ14" s="198" t="s">
        <v>31</v>
      </c>
      <c r="AK14" s="171">
        <v>4293557.3173796749</v>
      </c>
      <c r="AL14" s="172" t="s">
        <v>389</v>
      </c>
      <c r="AM14" s="209"/>
      <c r="AN14" s="209"/>
      <c r="AO14" s="209"/>
      <c r="AP14" s="209"/>
      <c r="AQ14" s="209"/>
      <c r="AR14" s="209"/>
      <c r="AS14" s="209"/>
      <c r="AT14" s="209"/>
      <c r="AU14" s="209"/>
      <c r="AV14" s="209"/>
      <c r="AW14" s="209"/>
      <c r="AX14" s="209"/>
      <c r="AY14" s="209"/>
      <c r="AZ14" s="209"/>
      <c r="BA14" s="209"/>
      <c r="BB14" s="209"/>
      <c r="BC14" s="209"/>
      <c r="BD14" s="209"/>
      <c r="BE14" s="209"/>
      <c r="BF14" s="209"/>
      <c r="BG14" s="209"/>
      <c r="BH14" s="209"/>
      <c r="BI14" s="209"/>
      <c r="BJ14" s="209"/>
      <c r="BK14" s="209"/>
      <c r="BL14" s="209"/>
      <c r="BM14" s="209"/>
      <c r="BN14" s="209"/>
      <c r="BO14" s="209"/>
    </row>
    <row r="15" spans="1:67" s="61" customFormat="1" ht="16.5" thickBot="1" x14ac:dyDescent="0.45">
      <c r="A15" s="332" t="str">
        <f>'DETAILS (sorted)'!A7</f>
        <v>ILS24-F00006</v>
      </c>
      <c r="B15" s="134" t="str">
        <f>'DETAILS (sorted)'!B7</f>
        <v>Emmanuel Matee</v>
      </c>
      <c r="C15" s="145">
        <f>'DETAILS (sorted)'!DS7</f>
        <v>23301939.274148986</v>
      </c>
      <c r="D15" s="134">
        <v>200000</v>
      </c>
      <c r="E15" s="134">
        <v>1000000</v>
      </c>
      <c r="F15" s="172">
        <v>100000</v>
      </c>
      <c r="G15" s="172">
        <v>100000</v>
      </c>
      <c r="H15" s="172">
        <v>100000</v>
      </c>
      <c r="I15" s="576">
        <v>100000</v>
      </c>
      <c r="J15" s="576">
        <v>100000</v>
      </c>
      <c r="K15" s="172">
        <v>100000</v>
      </c>
      <c r="L15" s="172">
        <v>100000</v>
      </c>
      <c r="M15" s="172">
        <v>100000</v>
      </c>
      <c r="N15" s="172">
        <v>100000</v>
      </c>
      <c r="O15" s="172">
        <v>100000</v>
      </c>
      <c r="P15" s="172">
        <v>100000</v>
      </c>
      <c r="Q15" s="172">
        <v>100000</v>
      </c>
      <c r="R15" s="172">
        <v>100000</v>
      </c>
      <c r="S15" s="172">
        <v>100000</v>
      </c>
      <c r="T15" s="172">
        <v>100000</v>
      </c>
      <c r="U15" s="172">
        <v>100000</v>
      </c>
      <c r="V15" s="172">
        <v>100000</v>
      </c>
      <c r="W15" s="172">
        <v>100000</v>
      </c>
      <c r="X15" s="172">
        <v>100000</v>
      </c>
      <c r="Y15" s="172">
        <v>100000</v>
      </c>
      <c r="Z15" s="172">
        <v>100000</v>
      </c>
      <c r="AA15" s="172">
        <v>100000</v>
      </c>
      <c r="AB15" s="327">
        <v>100000</v>
      </c>
      <c r="AC15" s="172"/>
      <c r="AD15" s="173">
        <f>SUM(D15:AC15)</f>
        <v>3500000</v>
      </c>
      <c r="AE15" s="174">
        <f>C15-AD15</f>
        <v>19801939.274148986</v>
      </c>
      <c r="AF15" s="310" t="str">
        <f t="shared" si="0"/>
        <v>YES</v>
      </c>
      <c r="AG15" s="333">
        <v>13</v>
      </c>
      <c r="AH15" s="209"/>
      <c r="AI15" s="134"/>
      <c r="AJ15" s="198"/>
      <c r="AK15" s="171">
        <f>SUM(AK10:AK14)</f>
        <v>58497848.550623544</v>
      </c>
      <c r="AL15" s="172"/>
      <c r="AM15" s="209"/>
      <c r="AN15" s="209"/>
      <c r="AO15" s="209"/>
      <c r="AP15" s="209"/>
      <c r="AQ15" s="209"/>
      <c r="AR15" s="209"/>
      <c r="AS15" s="209"/>
      <c r="AT15" s="209"/>
      <c r="AU15" s="209"/>
      <c r="AV15" s="209"/>
      <c r="AW15" s="209"/>
      <c r="AX15" s="209"/>
      <c r="AY15" s="209"/>
      <c r="AZ15" s="209"/>
      <c r="BA15" s="209"/>
      <c r="BB15" s="209"/>
      <c r="BC15" s="209"/>
      <c r="BD15" s="209"/>
      <c r="BE15" s="209"/>
      <c r="BF15" s="209"/>
      <c r="BG15" s="209"/>
      <c r="BH15" s="209"/>
      <c r="BI15" s="209"/>
      <c r="BJ15" s="209"/>
      <c r="BK15" s="209"/>
      <c r="BL15" s="209"/>
      <c r="BM15" s="209"/>
      <c r="BN15" s="209"/>
      <c r="BO15" s="209" t="e">
        <f>#REF!+C15+F15+I15+L15+O15+R15+AF15+AJ15+AM15+AO15+AU15+AR15+AX15+BA15+BD15+BG15+BM15+BJ15</f>
        <v>#REF!</v>
      </c>
    </row>
    <row r="16" spans="1:67" s="61" customFormat="1" ht="16.5" thickBot="1" x14ac:dyDescent="0.45">
      <c r="A16" s="506" t="str">
        <f>'DETAILS (sorted)'!A24</f>
        <v>ILS24-F00023</v>
      </c>
      <c r="B16" s="162" t="str">
        <f>'DETAILS (sorted)'!B24</f>
        <v xml:space="preserve">Amos Nungu </v>
      </c>
      <c r="C16" s="507">
        <f>'DETAILS (sorted)'!DS24</f>
        <v>22735258.844848908</v>
      </c>
      <c r="D16" s="162">
        <v>200000</v>
      </c>
      <c r="E16" s="162">
        <v>1000000</v>
      </c>
      <c r="F16" s="508">
        <v>100000</v>
      </c>
      <c r="G16" s="508">
        <v>100000</v>
      </c>
      <c r="H16" s="508">
        <v>100000</v>
      </c>
      <c r="I16" s="577">
        <v>100000</v>
      </c>
      <c r="J16" s="577">
        <v>100000</v>
      </c>
      <c r="K16" s="508">
        <v>100000</v>
      </c>
      <c r="L16" s="508">
        <v>100000</v>
      </c>
      <c r="M16" s="508">
        <v>100000</v>
      </c>
      <c r="N16" s="508">
        <v>100000</v>
      </c>
      <c r="O16" s="508">
        <v>100000</v>
      </c>
      <c r="P16" s="508">
        <v>100000</v>
      </c>
      <c r="Q16" s="508">
        <v>100000</v>
      </c>
      <c r="R16" s="508">
        <v>100000</v>
      </c>
      <c r="S16" s="508">
        <v>100000</v>
      </c>
      <c r="T16" s="508">
        <v>100000</v>
      </c>
      <c r="U16" s="508">
        <v>100000</v>
      </c>
      <c r="V16" s="508">
        <v>100000</v>
      </c>
      <c r="W16" s="508">
        <v>100000</v>
      </c>
      <c r="X16" s="508">
        <v>100000</v>
      </c>
      <c r="Y16" s="508">
        <v>100000</v>
      </c>
      <c r="Z16" s="508">
        <v>100000</v>
      </c>
      <c r="AA16" s="508">
        <v>100000</v>
      </c>
      <c r="AB16" s="327">
        <v>100000</v>
      </c>
      <c r="AC16" s="508"/>
      <c r="AD16" s="509">
        <f>SUM(D16:AC16)</f>
        <v>3500000</v>
      </c>
      <c r="AE16" s="510">
        <f>C16-AD16</f>
        <v>19235258.844848908</v>
      </c>
      <c r="AF16" s="511" t="str">
        <f t="shared" si="0"/>
        <v>YES</v>
      </c>
      <c r="AG16" s="512">
        <v>14</v>
      </c>
      <c r="AH16" s="209"/>
      <c r="AI16" s="209"/>
      <c r="AJ16" s="209"/>
      <c r="AK16" s="209"/>
      <c r="AL16" s="209"/>
      <c r="AM16" s="209"/>
      <c r="AN16" s="209"/>
      <c r="AO16" s="209"/>
      <c r="AP16" s="209"/>
      <c r="AQ16" s="209"/>
      <c r="AR16" s="209"/>
      <c r="AS16" s="209"/>
      <c r="AT16" s="209"/>
      <c r="AU16" s="209"/>
      <c r="AV16" s="209"/>
      <c r="AW16" s="209"/>
      <c r="AX16" s="209"/>
      <c r="AY16" s="209"/>
      <c r="AZ16" s="209"/>
      <c r="BA16" s="209"/>
      <c r="BB16" s="209"/>
      <c r="BC16" s="209"/>
      <c r="BD16" s="209"/>
      <c r="BE16" s="209"/>
      <c r="BF16" s="209"/>
      <c r="BG16" s="209"/>
      <c r="BH16" s="209"/>
      <c r="BI16" s="209"/>
      <c r="BJ16" s="209"/>
      <c r="BK16" s="209"/>
      <c r="BL16" s="209"/>
      <c r="BM16" s="209"/>
      <c r="BN16" s="209"/>
      <c r="BO16" s="209"/>
    </row>
    <row r="17" spans="1:67" s="61" customFormat="1" ht="16.5" thickBot="1" x14ac:dyDescent="0.45">
      <c r="A17" s="325" t="str">
        <f>'DETAILS (sorted)'!A69</f>
        <v>ILS24-F00068</v>
      </c>
      <c r="B17" s="326" t="str">
        <f>'DETAILS (sorted)'!B69</f>
        <v>Wasia Issa Mushi</v>
      </c>
      <c r="C17" s="335">
        <f>'DETAILS (sorted)'!DS69</f>
        <v>21572773.410590589</v>
      </c>
      <c r="D17" s="326">
        <v>200000</v>
      </c>
      <c r="E17" s="326">
        <v>1000000</v>
      </c>
      <c r="F17" s="327">
        <v>100000</v>
      </c>
      <c r="G17" s="327">
        <v>100000</v>
      </c>
      <c r="H17" s="327">
        <v>100000</v>
      </c>
      <c r="I17" s="575">
        <v>100000</v>
      </c>
      <c r="J17" s="575">
        <v>100000</v>
      </c>
      <c r="K17" s="327">
        <v>100000</v>
      </c>
      <c r="L17" s="327">
        <v>100000</v>
      </c>
      <c r="M17" s="327">
        <v>100000</v>
      </c>
      <c r="N17" s="327">
        <v>100000</v>
      </c>
      <c r="O17" s="327">
        <v>100000</v>
      </c>
      <c r="P17" s="327">
        <v>100000</v>
      </c>
      <c r="Q17" s="327">
        <v>100000</v>
      </c>
      <c r="R17" s="327">
        <v>100000</v>
      </c>
      <c r="S17" s="327">
        <v>100000</v>
      </c>
      <c r="T17" s="327">
        <v>100000</v>
      </c>
      <c r="U17" s="327">
        <v>100000</v>
      </c>
      <c r="V17" s="327">
        <v>100000</v>
      </c>
      <c r="W17" s="327">
        <v>100000</v>
      </c>
      <c r="X17" s="327">
        <v>100000</v>
      </c>
      <c r="Y17" s="327">
        <v>100000</v>
      </c>
      <c r="Z17" s="327">
        <v>100000</v>
      </c>
      <c r="AA17" s="327">
        <v>100000</v>
      </c>
      <c r="AB17" s="327">
        <v>100000</v>
      </c>
      <c r="AC17" s="327"/>
      <c r="AD17" s="328">
        <f>SUM(D17:AC17)</f>
        <v>3500000</v>
      </c>
      <c r="AE17" s="329">
        <f>C17-AD17</f>
        <v>18072773.410590589</v>
      </c>
      <c r="AF17" s="330" t="str">
        <f t="shared" si="0"/>
        <v>YES</v>
      </c>
      <c r="AG17" s="331">
        <v>15</v>
      </c>
      <c r="AH17" s="209"/>
      <c r="AI17" s="134" t="s">
        <v>227</v>
      </c>
      <c r="AJ17" s="198" t="s">
        <v>28</v>
      </c>
      <c r="AK17" s="171">
        <f>C5</f>
        <v>73534021.629986867</v>
      </c>
      <c r="AL17" s="172" t="s">
        <v>388</v>
      </c>
    </row>
    <row r="18" spans="1:67" s="61" customFormat="1" ht="16.5" thickBot="1" x14ac:dyDescent="0.45">
      <c r="A18" s="332" t="str">
        <f>'DETAILS (sorted)'!A12</f>
        <v>ILS24-F00011</v>
      </c>
      <c r="B18" s="134" t="str">
        <f>'DETAILS (sorted)'!B12</f>
        <v xml:space="preserve">Jacob Shabani Mangu </v>
      </c>
      <c r="C18" s="145">
        <f>'DETAILS (sorted)'!DS12</f>
        <v>21275683.549250465</v>
      </c>
      <c r="D18" s="134">
        <v>200000</v>
      </c>
      <c r="E18" s="134">
        <v>1000000</v>
      </c>
      <c r="F18" s="172">
        <v>100000</v>
      </c>
      <c r="G18" s="172">
        <v>100000</v>
      </c>
      <c r="H18" s="172">
        <v>100000</v>
      </c>
      <c r="I18" s="576">
        <v>100000</v>
      </c>
      <c r="J18" s="576">
        <v>100000</v>
      </c>
      <c r="K18" s="172">
        <v>100000</v>
      </c>
      <c r="L18" s="172">
        <v>100000</v>
      </c>
      <c r="M18" s="172">
        <v>100000</v>
      </c>
      <c r="N18" s="172">
        <v>100000</v>
      </c>
      <c r="O18" s="172">
        <v>100000</v>
      </c>
      <c r="P18" s="172">
        <v>100000</v>
      </c>
      <c r="Q18" s="172">
        <v>100000</v>
      </c>
      <c r="R18" s="172">
        <v>100000</v>
      </c>
      <c r="S18" s="172">
        <v>100000</v>
      </c>
      <c r="T18" s="172">
        <v>100000</v>
      </c>
      <c r="U18" s="172">
        <v>100000</v>
      </c>
      <c r="V18" s="172">
        <v>100000</v>
      </c>
      <c r="W18" s="172">
        <v>100000</v>
      </c>
      <c r="X18" s="172">
        <v>100000</v>
      </c>
      <c r="Y18" s="172">
        <v>100000</v>
      </c>
      <c r="Z18" s="172">
        <v>100000</v>
      </c>
      <c r="AA18" s="172">
        <v>100000</v>
      </c>
      <c r="AB18" s="327">
        <v>100000</v>
      </c>
      <c r="AC18" s="172"/>
      <c r="AD18" s="173">
        <f>SUM(D18:AC18)</f>
        <v>3500000</v>
      </c>
      <c r="AE18" s="337">
        <f>C18-AD18</f>
        <v>17775683.549250465</v>
      </c>
      <c r="AF18" s="310" t="str">
        <f t="shared" si="0"/>
        <v>YES</v>
      </c>
      <c r="AG18" s="333">
        <v>16</v>
      </c>
      <c r="AH18" s="209"/>
      <c r="AI18" s="439" t="s">
        <v>224</v>
      </c>
      <c r="AJ18" s="439" t="s">
        <v>42</v>
      </c>
      <c r="AK18" s="171" t="e">
        <f>#REF!-5000000</f>
        <v>#REF!</v>
      </c>
      <c r="AL18" s="439" t="s">
        <v>387</v>
      </c>
      <c r="AM18" s="209"/>
      <c r="AN18" s="209"/>
      <c r="AO18" s="209"/>
      <c r="AP18" s="209"/>
      <c r="AQ18" s="209"/>
      <c r="AR18" s="209"/>
      <c r="AS18" s="209"/>
      <c r="AT18" s="209"/>
      <c r="AU18" s="209"/>
      <c r="AV18" s="209"/>
      <c r="AW18" s="209"/>
      <c r="AX18" s="209"/>
      <c r="AY18" s="209"/>
      <c r="AZ18" s="209"/>
      <c r="BA18" s="209"/>
      <c r="BB18" s="209"/>
      <c r="BC18" s="209"/>
      <c r="BD18" s="209"/>
      <c r="BE18" s="209"/>
      <c r="BF18" s="209"/>
      <c r="BG18" s="209"/>
      <c r="BH18" s="209"/>
      <c r="BI18" s="209"/>
      <c r="BJ18" s="209"/>
      <c r="BK18" s="209"/>
      <c r="BL18" s="209"/>
      <c r="BM18" s="209"/>
      <c r="BN18" s="209"/>
      <c r="BO18" s="209"/>
    </row>
    <row r="19" spans="1:67" s="61" customFormat="1" ht="16.5" thickBot="1" x14ac:dyDescent="0.45">
      <c r="A19" s="332" t="str">
        <f>'DETAILS (sorted)'!A89</f>
        <v>ILS24-F00088</v>
      </c>
      <c r="B19" s="134" t="str">
        <f>'DETAILS (sorted)'!B89</f>
        <v>CPA Emmanuel Wanjara Marero</v>
      </c>
      <c r="C19" s="145">
        <f>'DETAILS (sorted)'!DS89</f>
        <v>21254029.909172934</v>
      </c>
      <c r="D19" s="134">
        <v>200000</v>
      </c>
      <c r="E19" s="134">
        <v>1000000</v>
      </c>
      <c r="F19" s="172">
        <v>100000</v>
      </c>
      <c r="G19" s="172">
        <v>100000</v>
      </c>
      <c r="H19" s="172">
        <v>100000</v>
      </c>
      <c r="I19" s="576">
        <v>100000</v>
      </c>
      <c r="J19" s="576">
        <v>100000</v>
      </c>
      <c r="K19" s="172">
        <v>100000</v>
      </c>
      <c r="L19" s="172">
        <v>100000</v>
      </c>
      <c r="M19" s="172">
        <v>100000</v>
      </c>
      <c r="N19" s="172">
        <v>100000</v>
      </c>
      <c r="O19" s="172">
        <v>100000</v>
      </c>
      <c r="P19" s="172">
        <v>100000</v>
      </c>
      <c r="Q19" s="172">
        <v>100000</v>
      </c>
      <c r="R19" s="172">
        <v>100000</v>
      </c>
      <c r="S19" s="172">
        <v>100000</v>
      </c>
      <c r="T19" s="172">
        <v>100000</v>
      </c>
      <c r="U19" s="172">
        <v>100000</v>
      </c>
      <c r="V19" s="172">
        <v>100000</v>
      </c>
      <c r="W19" s="172">
        <v>100000</v>
      </c>
      <c r="X19" s="172">
        <v>100000</v>
      </c>
      <c r="Y19" s="172">
        <v>100000</v>
      </c>
      <c r="Z19" s="172">
        <v>100000</v>
      </c>
      <c r="AA19" s="172">
        <v>100000</v>
      </c>
      <c r="AB19" s="327">
        <v>100000</v>
      </c>
      <c r="AC19" s="172"/>
      <c r="AD19" s="173">
        <f>SUM(D19:AC19)</f>
        <v>3500000</v>
      </c>
      <c r="AE19" s="174">
        <f>C19-AD19</f>
        <v>17754029.909172934</v>
      </c>
      <c r="AF19" s="310" t="str">
        <f t="shared" si="0"/>
        <v>YES</v>
      </c>
      <c r="AG19" s="333">
        <v>17</v>
      </c>
      <c r="AH19" s="209"/>
      <c r="AI19" s="134" t="str">
        <f>A9</f>
        <v>ILS24-F00018</v>
      </c>
      <c r="AJ19" s="198" t="str">
        <f>B9</f>
        <v xml:space="preserve">Alban Robert Kimario </v>
      </c>
      <c r="AK19" s="171">
        <f>C9</f>
        <v>33412761.497731984</v>
      </c>
      <c r="AL19" s="172"/>
    </row>
    <row r="20" spans="1:67" s="61" customFormat="1" ht="16.5" thickBot="1" x14ac:dyDescent="0.45">
      <c r="A20" s="332" t="str">
        <f>'DETAILS (sorted)'!A21</f>
        <v>ILS24-F00020</v>
      </c>
      <c r="B20" s="134" t="str">
        <f>'DETAILS (sorted)'!B21</f>
        <v xml:space="preserve">John Arbogast Massawe </v>
      </c>
      <c r="C20" s="145">
        <f>'DETAILS (sorted)'!DS21</f>
        <v>20623220.7075294</v>
      </c>
      <c r="D20" s="134">
        <v>200000</v>
      </c>
      <c r="E20" s="134">
        <v>1000000</v>
      </c>
      <c r="F20" s="172">
        <v>100000</v>
      </c>
      <c r="G20" s="172">
        <v>100000</v>
      </c>
      <c r="H20" s="172">
        <v>100000</v>
      </c>
      <c r="I20" s="576">
        <v>100000</v>
      </c>
      <c r="J20" s="576">
        <v>100000</v>
      </c>
      <c r="K20" s="172">
        <v>100000</v>
      </c>
      <c r="L20" s="172">
        <v>100000</v>
      </c>
      <c r="M20" s="172">
        <v>100000</v>
      </c>
      <c r="N20" s="172">
        <v>100000</v>
      </c>
      <c r="O20" s="172">
        <v>100000</v>
      </c>
      <c r="P20" s="172">
        <v>100000</v>
      </c>
      <c r="Q20" s="172">
        <v>100000</v>
      </c>
      <c r="R20" s="172">
        <v>100000</v>
      </c>
      <c r="S20" s="172">
        <v>100000</v>
      </c>
      <c r="T20" s="172">
        <v>100000</v>
      </c>
      <c r="U20" s="172">
        <v>100000</v>
      </c>
      <c r="V20" s="172">
        <v>100000</v>
      </c>
      <c r="W20" s="172">
        <v>100000</v>
      </c>
      <c r="X20" s="172">
        <v>100000</v>
      </c>
      <c r="Y20" s="172">
        <v>100000</v>
      </c>
      <c r="Z20" s="172">
        <v>100000</v>
      </c>
      <c r="AA20" s="172">
        <v>100000</v>
      </c>
      <c r="AB20" s="327">
        <v>100000</v>
      </c>
      <c r="AC20" s="172"/>
      <c r="AD20" s="173">
        <f>SUM(D20:AC20)</f>
        <v>3500000</v>
      </c>
      <c r="AE20" s="174">
        <f>C20-AD20</f>
        <v>17123220.7075294</v>
      </c>
      <c r="AF20" s="310" t="str">
        <f t="shared" si="0"/>
        <v>YES</v>
      </c>
      <c r="AG20" s="333">
        <v>18</v>
      </c>
      <c r="AH20" s="209"/>
      <c r="AI20" s="134"/>
      <c r="AJ20" s="198"/>
      <c r="AK20" s="171"/>
      <c r="AL20" s="172"/>
    </row>
    <row r="21" spans="1:67" s="61" customFormat="1" ht="16.5" thickBot="1" x14ac:dyDescent="0.45">
      <c r="A21" s="332" t="str">
        <f>'DETAILS (sorted)'!A67</f>
        <v>ILS24-F00066</v>
      </c>
      <c r="B21" s="134" t="str">
        <f>'DETAILS (sorted)'!B67</f>
        <v>Gilbert Z. Mrema</v>
      </c>
      <c r="C21" s="145">
        <f>'DETAILS (sorted)'!DS67</f>
        <v>20581320.611616503</v>
      </c>
      <c r="D21" s="134">
        <v>200000</v>
      </c>
      <c r="E21" s="134">
        <v>1000000</v>
      </c>
      <c r="F21" s="172">
        <v>100000</v>
      </c>
      <c r="G21" s="172">
        <v>100000</v>
      </c>
      <c r="H21" s="172">
        <v>100000</v>
      </c>
      <c r="I21" s="576">
        <v>100000</v>
      </c>
      <c r="J21" s="576">
        <v>100000</v>
      </c>
      <c r="K21" s="172">
        <v>100000</v>
      </c>
      <c r="L21" s="172">
        <v>100000</v>
      </c>
      <c r="M21" s="172">
        <v>100000</v>
      </c>
      <c r="N21" s="172">
        <v>100000</v>
      </c>
      <c r="O21" s="172">
        <v>100000</v>
      </c>
      <c r="P21" s="172">
        <v>100000</v>
      </c>
      <c r="Q21" s="172">
        <v>100000</v>
      </c>
      <c r="R21" s="172">
        <v>100000</v>
      </c>
      <c r="S21" s="172">
        <v>100000</v>
      </c>
      <c r="T21" s="172">
        <v>100000</v>
      </c>
      <c r="U21" s="172">
        <v>100000</v>
      </c>
      <c r="V21" s="172">
        <v>100000</v>
      </c>
      <c r="W21" s="172">
        <v>100000</v>
      </c>
      <c r="X21" s="172">
        <v>100000</v>
      </c>
      <c r="Y21" s="172">
        <v>100000</v>
      </c>
      <c r="Z21" s="172">
        <v>100000</v>
      </c>
      <c r="AA21" s="172">
        <v>100000</v>
      </c>
      <c r="AB21" s="327">
        <v>100000</v>
      </c>
      <c r="AC21" s="172"/>
      <c r="AD21" s="173">
        <f>SUM(D21:AC21)</f>
        <v>3500000</v>
      </c>
      <c r="AE21" s="174">
        <f>C21-AD21</f>
        <v>17081320.611616503</v>
      </c>
      <c r="AF21" s="310" t="str">
        <f t="shared" si="0"/>
        <v>YES</v>
      </c>
      <c r="AG21" s="333">
        <v>19</v>
      </c>
      <c r="AH21" s="209"/>
      <c r="AI21" s="439"/>
      <c r="AJ21" s="439"/>
      <c r="AK21" s="439"/>
      <c r="AL21" s="439"/>
    </row>
    <row r="22" spans="1:67" s="61" customFormat="1" ht="16.5" thickBot="1" x14ac:dyDescent="0.45">
      <c r="A22" s="332" t="str">
        <f>'DETAILS (sorted)'!A120</f>
        <v>ILS24-F00119</v>
      </c>
      <c r="B22" s="134" t="str">
        <f>'DETAILS (sorted)'!B120</f>
        <v>Prosper Gunze Nambaya</v>
      </c>
      <c r="C22" s="145">
        <f>'DETAILS (sorted)'!DS120</f>
        <v>20380421.79120978</v>
      </c>
      <c r="D22" s="134">
        <v>200000</v>
      </c>
      <c r="E22" s="134">
        <v>1000000</v>
      </c>
      <c r="F22" s="172">
        <v>100000</v>
      </c>
      <c r="G22" s="172">
        <v>100000</v>
      </c>
      <c r="H22" s="172">
        <v>100000</v>
      </c>
      <c r="I22" s="576">
        <v>100000</v>
      </c>
      <c r="J22" s="576">
        <v>100000</v>
      </c>
      <c r="K22" s="172">
        <v>100000</v>
      </c>
      <c r="L22" s="172">
        <v>100000</v>
      </c>
      <c r="M22" s="172">
        <v>100000</v>
      </c>
      <c r="N22" s="172">
        <v>100000</v>
      </c>
      <c r="O22" s="172">
        <v>100000</v>
      </c>
      <c r="P22" s="172">
        <v>100000</v>
      </c>
      <c r="Q22" s="172">
        <v>100000</v>
      </c>
      <c r="R22" s="172">
        <v>100000</v>
      </c>
      <c r="S22" s="172">
        <v>100000</v>
      </c>
      <c r="T22" s="172">
        <v>100000</v>
      </c>
      <c r="U22" s="172">
        <v>100000</v>
      </c>
      <c r="V22" s="172">
        <v>100000</v>
      </c>
      <c r="W22" s="172">
        <v>100000</v>
      </c>
      <c r="X22" s="172">
        <v>100000</v>
      </c>
      <c r="Y22" s="172">
        <v>100000</v>
      </c>
      <c r="Z22" s="172">
        <v>100000</v>
      </c>
      <c r="AA22" s="172">
        <v>100000</v>
      </c>
      <c r="AB22" s="327">
        <v>100000</v>
      </c>
      <c r="AC22" s="172"/>
      <c r="AD22" s="173">
        <f>SUM(D22:AC22)</f>
        <v>3500000</v>
      </c>
      <c r="AE22" s="174">
        <f>C22-AD22</f>
        <v>16880421.79120978</v>
      </c>
      <c r="AF22" s="310" t="str">
        <f t="shared" si="0"/>
        <v>YES</v>
      </c>
      <c r="AG22" s="333">
        <v>20</v>
      </c>
      <c r="AH22" s="209"/>
      <c r="AI22" s="439" t="str">
        <f>A23</f>
        <v>ILS24-F00065</v>
      </c>
      <c r="AJ22" s="439" t="str">
        <f>B23</f>
        <v>Aminiel Kabby Kabura</v>
      </c>
      <c r="AK22" s="439">
        <f>C23</f>
        <v>20346790.945684433</v>
      </c>
      <c r="AL22" s="439" t="s">
        <v>389</v>
      </c>
    </row>
    <row r="23" spans="1:67" s="60" customFormat="1" ht="16.5" thickBot="1" x14ac:dyDescent="0.45">
      <c r="A23" s="332" t="str">
        <f>'DETAILS (sorted)'!A66</f>
        <v>ILS24-F00065</v>
      </c>
      <c r="B23" s="134" t="str">
        <f>'DETAILS (sorted)'!B66</f>
        <v>Aminiel Kabby Kabura</v>
      </c>
      <c r="C23" s="145">
        <f>'DETAILS (sorted)'!DS66</f>
        <v>20346790.945684433</v>
      </c>
      <c r="D23" s="134">
        <v>200000</v>
      </c>
      <c r="E23" s="134">
        <v>1000000</v>
      </c>
      <c r="F23" s="172">
        <v>100000</v>
      </c>
      <c r="G23" s="172">
        <v>100000</v>
      </c>
      <c r="H23" s="172">
        <v>100000</v>
      </c>
      <c r="I23" s="576">
        <v>100000</v>
      </c>
      <c r="J23" s="576">
        <v>100000</v>
      </c>
      <c r="K23" s="172">
        <v>100000</v>
      </c>
      <c r="L23" s="172">
        <v>100000</v>
      </c>
      <c r="M23" s="172">
        <v>100000</v>
      </c>
      <c r="N23" s="172">
        <v>100000</v>
      </c>
      <c r="O23" s="172">
        <v>100000</v>
      </c>
      <c r="P23" s="172">
        <v>100000</v>
      </c>
      <c r="Q23" s="172">
        <v>100000</v>
      </c>
      <c r="R23" s="172">
        <v>100000</v>
      </c>
      <c r="S23" s="172">
        <v>100000</v>
      </c>
      <c r="T23" s="172">
        <v>100000</v>
      </c>
      <c r="U23" s="172">
        <v>100000</v>
      </c>
      <c r="V23" s="172">
        <v>100000</v>
      </c>
      <c r="W23" s="172">
        <v>100000</v>
      </c>
      <c r="X23" s="172">
        <v>100000</v>
      </c>
      <c r="Y23" s="172">
        <v>100000</v>
      </c>
      <c r="Z23" s="172">
        <v>100000</v>
      </c>
      <c r="AA23" s="172">
        <v>100000</v>
      </c>
      <c r="AB23" s="327">
        <v>100000</v>
      </c>
      <c r="AC23" s="172"/>
      <c r="AD23" s="173">
        <f>SUM(D23:AC23)</f>
        <v>3500000</v>
      </c>
      <c r="AE23" s="337">
        <f>C23-AD23</f>
        <v>16846790.945684433</v>
      </c>
      <c r="AF23" s="310" t="str">
        <f t="shared" si="0"/>
        <v>YES</v>
      </c>
      <c r="AG23" s="333">
        <v>21</v>
      </c>
      <c r="AI23" s="134" t="s">
        <v>243</v>
      </c>
      <c r="AJ23" s="198" t="s">
        <v>31</v>
      </c>
      <c r="AK23" s="171">
        <f>C25</f>
        <v>15463177.878671918</v>
      </c>
      <c r="AL23" s="172" t="s">
        <v>389</v>
      </c>
    </row>
    <row r="24" spans="1:67" s="60" customFormat="1" ht="16.5" thickBot="1" x14ac:dyDescent="0.45">
      <c r="A24" s="332" t="str">
        <f>'DETAILS (sorted)'!A38</f>
        <v>ILS24-F00037</v>
      </c>
      <c r="B24" s="134" t="str">
        <f>'DETAILS (sorted)'!B38</f>
        <v>Elibariki Mkumbo</v>
      </c>
      <c r="C24" s="145">
        <f>'DETAILS (sorted)'!DS38</f>
        <v>18885840.560239132</v>
      </c>
      <c r="D24" s="134">
        <v>200000</v>
      </c>
      <c r="E24" s="134">
        <v>1000000</v>
      </c>
      <c r="F24" s="172">
        <v>100000</v>
      </c>
      <c r="G24" s="172">
        <v>100000</v>
      </c>
      <c r="H24" s="172">
        <v>100000</v>
      </c>
      <c r="I24" s="576">
        <v>100000</v>
      </c>
      <c r="J24" s="576">
        <v>100000</v>
      </c>
      <c r="K24" s="172">
        <v>100000</v>
      </c>
      <c r="L24" s="172">
        <v>100000</v>
      </c>
      <c r="M24" s="172">
        <v>100000</v>
      </c>
      <c r="N24" s="172">
        <v>100000</v>
      </c>
      <c r="O24" s="172">
        <v>100000</v>
      </c>
      <c r="P24" s="172">
        <v>100000</v>
      </c>
      <c r="Q24" s="172">
        <v>100000</v>
      </c>
      <c r="R24" s="172">
        <v>100000</v>
      </c>
      <c r="S24" s="172">
        <v>100000</v>
      </c>
      <c r="T24" s="172">
        <v>100000</v>
      </c>
      <c r="U24" s="172">
        <v>100000</v>
      </c>
      <c r="V24" s="172">
        <v>100000</v>
      </c>
      <c r="W24" s="172">
        <v>100000</v>
      </c>
      <c r="X24" s="172">
        <v>100000</v>
      </c>
      <c r="Y24" s="172">
        <v>100000</v>
      </c>
      <c r="Z24" s="172">
        <v>100000</v>
      </c>
      <c r="AA24" s="172">
        <v>100000</v>
      </c>
      <c r="AB24" s="327">
        <v>100000</v>
      </c>
      <c r="AC24" s="172"/>
      <c r="AD24" s="173">
        <f>SUM(D24:AC24)</f>
        <v>3500000</v>
      </c>
      <c r="AE24" s="174">
        <f>C24-AD24</f>
        <v>15385840.560239132</v>
      </c>
      <c r="AF24" s="310" t="str">
        <f t="shared" si="0"/>
        <v>YES</v>
      </c>
      <c r="AG24" s="333">
        <v>22</v>
      </c>
      <c r="AI24" s="134"/>
      <c r="AJ24" s="134"/>
      <c r="AK24" s="145" t="e">
        <f>SUM(AK17:AK23)</f>
        <v>#REF!</v>
      </c>
      <c r="AL24" s="172"/>
    </row>
    <row r="25" spans="1:67" s="60" customFormat="1" ht="16.5" thickBot="1" x14ac:dyDescent="0.45">
      <c r="A25" s="332" t="str">
        <f>'DETAILS (sorted)'!A71</f>
        <v>ILS24-F00070</v>
      </c>
      <c r="B25" s="134" t="str">
        <f>'DETAILS (sorted)'!B71</f>
        <v xml:space="preserve">Kusirye Boniface Ukio </v>
      </c>
      <c r="C25" s="145">
        <f>'DETAILS (sorted)'!DS71</f>
        <v>15463177.878671918</v>
      </c>
      <c r="D25" s="134">
        <v>200000</v>
      </c>
      <c r="E25" s="134">
        <v>1000000</v>
      </c>
      <c r="F25" s="172">
        <v>100000</v>
      </c>
      <c r="G25" s="172">
        <v>100000</v>
      </c>
      <c r="H25" s="172">
        <v>100000</v>
      </c>
      <c r="I25" s="576">
        <v>100000</v>
      </c>
      <c r="J25" s="576">
        <v>100000</v>
      </c>
      <c r="K25" s="172">
        <v>100000</v>
      </c>
      <c r="L25" s="172">
        <v>100000</v>
      </c>
      <c r="M25" s="172">
        <v>100000</v>
      </c>
      <c r="N25" s="172">
        <v>100000</v>
      </c>
      <c r="O25" s="172">
        <v>100000</v>
      </c>
      <c r="P25" s="172">
        <v>100000</v>
      </c>
      <c r="Q25" s="172">
        <v>100000</v>
      </c>
      <c r="R25" s="172">
        <v>100000</v>
      </c>
      <c r="S25" s="172">
        <v>100000</v>
      </c>
      <c r="T25" s="172">
        <v>100000</v>
      </c>
      <c r="U25" s="172">
        <v>100000</v>
      </c>
      <c r="V25" s="172">
        <v>100000</v>
      </c>
      <c r="W25" s="172">
        <v>100000</v>
      </c>
      <c r="X25" s="172">
        <v>100000</v>
      </c>
      <c r="Y25" s="172">
        <v>100000</v>
      </c>
      <c r="Z25" s="172">
        <v>100000</v>
      </c>
      <c r="AA25" s="172">
        <v>100000</v>
      </c>
      <c r="AB25" s="327">
        <v>100000</v>
      </c>
      <c r="AC25" s="172"/>
      <c r="AD25" s="173">
        <f>SUM(D25:AC25)</f>
        <v>3500000</v>
      </c>
      <c r="AE25" s="174">
        <f>C25-AD25</f>
        <v>11963177.878671918</v>
      </c>
      <c r="AF25" s="310" t="str">
        <f t="shared" si="0"/>
        <v>YES</v>
      </c>
      <c r="AG25" s="333">
        <v>23</v>
      </c>
      <c r="AI25" s="134">
        <f>C24</f>
        <v>18885840.560239132</v>
      </c>
      <c r="AJ25" s="134"/>
      <c r="AK25" s="145"/>
      <c r="AL25" s="172"/>
    </row>
    <row r="26" spans="1:67" s="60" customFormat="1" ht="16.5" thickBot="1" x14ac:dyDescent="0.45">
      <c r="A26" s="332" t="str">
        <f>'DETAILS (sorted)'!A127</f>
        <v>ILS24-F00126</v>
      </c>
      <c r="B26" s="134" t="str">
        <f>'DETAILS (sorted)'!B127</f>
        <v>Peter Anthon Sobe</v>
      </c>
      <c r="C26" s="145">
        <f>'DETAILS (sorted)'!DS127</f>
        <v>15255849.951291742</v>
      </c>
      <c r="D26" s="134">
        <v>200000</v>
      </c>
      <c r="E26" s="134">
        <v>1000000</v>
      </c>
      <c r="F26" s="172">
        <v>100000</v>
      </c>
      <c r="G26" s="172">
        <v>100000</v>
      </c>
      <c r="H26" s="172">
        <v>100000</v>
      </c>
      <c r="I26" s="576">
        <v>100000</v>
      </c>
      <c r="J26" s="576">
        <v>100000</v>
      </c>
      <c r="K26" s="172">
        <v>100000</v>
      </c>
      <c r="L26" s="172">
        <v>100000</v>
      </c>
      <c r="M26" s="172">
        <v>100000</v>
      </c>
      <c r="N26" s="172">
        <v>100000</v>
      </c>
      <c r="O26" s="172">
        <v>100000</v>
      </c>
      <c r="P26" s="172">
        <v>100000</v>
      </c>
      <c r="Q26" s="172">
        <v>100000</v>
      </c>
      <c r="R26" s="172">
        <v>100000</v>
      </c>
      <c r="S26" s="172">
        <v>100000</v>
      </c>
      <c r="T26" s="172">
        <v>100000</v>
      </c>
      <c r="U26" s="172">
        <v>100000</v>
      </c>
      <c r="V26" s="172">
        <v>100000</v>
      </c>
      <c r="W26" s="172">
        <v>100000</v>
      </c>
      <c r="X26" s="172">
        <v>100000</v>
      </c>
      <c r="Y26" s="172">
        <v>100000</v>
      </c>
      <c r="Z26" s="172">
        <v>100000</v>
      </c>
      <c r="AA26" s="172">
        <v>100000</v>
      </c>
      <c r="AB26" s="327">
        <v>100000</v>
      </c>
      <c r="AC26" s="172"/>
      <c r="AD26" s="173">
        <f>SUM(D26:AC26)</f>
        <v>3500000</v>
      </c>
      <c r="AE26" s="174">
        <f>C26-AD26</f>
        <v>11755849.951291742</v>
      </c>
      <c r="AF26" s="310" t="str">
        <f t="shared" si="0"/>
        <v>YES</v>
      </c>
      <c r="AG26" s="333">
        <v>24</v>
      </c>
      <c r="AI26" s="439"/>
      <c r="AJ26" s="439"/>
      <c r="AK26" s="171"/>
      <c r="AL26" s="439"/>
    </row>
    <row r="27" spans="1:67" s="60" customFormat="1" ht="16.5" thickBot="1" x14ac:dyDescent="0.45">
      <c r="A27" s="332" t="str">
        <f>'DETAILS (sorted)'!A51</f>
        <v>ILS24-F00050</v>
      </c>
      <c r="B27" s="134" t="str">
        <f>'DETAILS (sorted)'!B51</f>
        <v xml:space="preserve">Innocent John Umbulla </v>
      </c>
      <c r="C27" s="145">
        <f>'DETAILS (sorted)'!DS51</f>
        <v>15120028.682057185</v>
      </c>
      <c r="D27" s="134">
        <v>200000</v>
      </c>
      <c r="E27" s="134">
        <v>1000000</v>
      </c>
      <c r="F27" s="172">
        <v>100000</v>
      </c>
      <c r="G27" s="172">
        <v>100000</v>
      </c>
      <c r="H27" s="172">
        <v>100000</v>
      </c>
      <c r="I27" s="576">
        <v>100000</v>
      </c>
      <c r="J27" s="576">
        <v>100000</v>
      </c>
      <c r="K27" s="172">
        <v>100000</v>
      </c>
      <c r="L27" s="172">
        <v>100000</v>
      </c>
      <c r="M27" s="172">
        <v>100000</v>
      </c>
      <c r="N27" s="172">
        <v>100000</v>
      </c>
      <c r="O27" s="172">
        <v>100000</v>
      </c>
      <c r="P27" s="172">
        <v>100000</v>
      </c>
      <c r="Q27" s="172">
        <v>100000</v>
      </c>
      <c r="R27" s="172">
        <v>100000</v>
      </c>
      <c r="S27" s="172">
        <v>100000</v>
      </c>
      <c r="T27" s="172">
        <v>100000</v>
      </c>
      <c r="U27" s="172">
        <v>100000</v>
      </c>
      <c r="V27" s="172">
        <v>100000</v>
      </c>
      <c r="W27" s="172">
        <v>100000</v>
      </c>
      <c r="X27" s="172">
        <v>100000</v>
      </c>
      <c r="Y27" s="172">
        <v>100000</v>
      </c>
      <c r="Z27" s="172">
        <v>100000</v>
      </c>
      <c r="AA27" s="172">
        <v>100000</v>
      </c>
      <c r="AB27" s="327">
        <v>100000</v>
      </c>
      <c r="AC27" s="172"/>
      <c r="AD27" s="173">
        <f>SUM(D27:AC27)</f>
        <v>3500000</v>
      </c>
      <c r="AE27" s="174">
        <f>C27-AD27</f>
        <v>11620028.682057185</v>
      </c>
      <c r="AF27" s="310" t="str">
        <f t="shared" si="0"/>
        <v>YES</v>
      </c>
      <c r="AG27" s="333">
        <v>25</v>
      </c>
      <c r="AI27" s="134" t="s">
        <v>225</v>
      </c>
      <c r="AJ27" s="134" t="s">
        <v>69</v>
      </c>
      <c r="AK27" s="145">
        <f>C4</f>
        <v>83076480.964771852</v>
      </c>
      <c r="AL27" s="172" t="s">
        <v>386</v>
      </c>
    </row>
    <row r="28" spans="1:67" s="60" customFormat="1" ht="16.5" thickBot="1" x14ac:dyDescent="0.45">
      <c r="A28" s="332" t="str">
        <f>'DETAILS (sorted)'!A14</f>
        <v>ILS24-F00013</v>
      </c>
      <c r="B28" s="134" t="str">
        <f>'DETAILS (sorted)'!B14</f>
        <v xml:space="preserve">Emmanuel Matechi </v>
      </c>
      <c r="C28" s="145">
        <f>'DETAILS (sorted)'!DS14</f>
        <v>14506354.589453647</v>
      </c>
      <c r="D28" s="134">
        <v>200000</v>
      </c>
      <c r="E28" s="134">
        <v>1000000</v>
      </c>
      <c r="F28" s="172">
        <v>100000</v>
      </c>
      <c r="G28" s="172">
        <v>100000</v>
      </c>
      <c r="H28" s="172">
        <v>100000</v>
      </c>
      <c r="I28" s="576">
        <v>100000</v>
      </c>
      <c r="J28" s="576">
        <v>100000</v>
      </c>
      <c r="K28" s="172">
        <v>100000</v>
      </c>
      <c r="L28" s="172">
        <v>100000</v>
      </c>
      <c r="M28" s="172">
        <v>100000</v>
      </c>
      <c r="N28" s="172">
        <v>100000</v>
      </c>
      <c r="O28" s="172">
        <v>100000</v>
      </c>
      <c r="P28" s="172">
        <v>100000</v>
      </c>
      <c r="Q28" s="172">
        <v>100000</v>
      </c>
      <c r="R28" s="172">
        <v>100000</v>
      </c>
      <c r="S28" s="172">
        <v>100000</v>
      </c>
      <c r="T28" s="172">
        <v>100000</v>
      </c>
      <c r="U28" s="172">
        <v>100000</v>
      </c>
      <c r="V28" s="172">
        <v>100000</v>
      </c>
      <c r="W28" s="172">
        <v>100000</v>
      </c>
      <c r="X28" s="172">
        <v>100000</v>
      </c>
      <c r="Y28" s="172">
        <v>100000</v>
      </c>
      <c r="Z28" s="172">
        <v>100000</v>
      </c>
      <c r="AA28" s="172">
        <v>100000</v>
      </c>
      <c r="AB28" s="327">
        <v>100000</v>
      </c>
      <c r="AC28" s="172"/>
      <c r="AD28" s="173">
        <f>SUM(D28:AC28)</f>
        <v>3500000</v>
      </c>
      <c r="AE28" s="174">
        <f>C28-AD28</f>
        <v>11006354.589453647</v>
      </c>
      <c r="AF28" s="310" t="str">
        <f t="shared" si="0"/>
        <v>YES</v>
      </c>
      <c r="AG28" s="333">
        <v>26</v>
      </c>
      <c r="AI28" s="134" t="s">
        <v>224</v>
      </c>
      <c r="AJ28" s="134" t="s">
        <v>42</v>
      </c>
      <c r="AK28" s="145">
        <v>13774774.598425493</v>
      </c>
      <c r="AL28" s="172" t="s">
        <v>387</v>
      </c>
    </row>
    <row r="29" spans="1:67" s="60" customFormat="1" ht="16.5" thickBot="1" x14ac:dyDescent="0.45">
      <c r="A29" s="332" t="str">
        <f>'DETAILS (sorted)'!A106</f>
        <v>ILS24-F00105</v>
      </c>
      <c r="B29" s="134" t="str">
        <f>'DETAILS (sorted)'!B106</f>
        <v xml:space="preserve">Baltazar Thomas Mrosso </v>
      </c>
      <c r="C29" s="145">
        <f>'DETAILS (sorted)'!DS106</f>
        <v>14020059.431288293</v>
      </c>
      <c r="D29" s="134">
        <v>200000</v>
      </c>
      <c r="E29" s="134">
        <v>1000000</v>
      </c>
      <c r="F29" s="172">
        <v>100000</v>
      </c>
      <c r="G29" s="172">
        <v>100000</v>
      </c>
      <c r="H29" s="172">
        <v>100000</v>
      </c>
      <c r="I29" s="576">
        <v>100000</v>
      </c>
      <c r="J29" s="576">
        <v>100000</v>
      </c>
      <c r="K29" s="172">
        <v>100000</v>
      </c>
      <c r="L29" s="172">
        <v>100000</v>
      </c>
      <c r="M29" s="172">
        <v>100000</v>
      </c>
      <c r="N29" s="172">
        <v>100000</v>
      </c>
      <c r="O29" s="172">
        <v>100000</v>
      </c>
      <c r="P29" s="172">
        <v>100000</v>
      </c>
      <c r="Q29" s="172">
        <v>100000</v>
      </c>
      <c r="R29" s="172">
        <v>100000</v>
      </c>
      <c r="S29" s="172">
        <v>100000</v>
      </c>
      <c r="T29" s="172">
        <v>100000</v>
      </c>
      <c r="U29" s="172">
        <v>100000</v>
      </c>
      <c r="V29" s="172">
        <v>100000</v>
      </c>
      <c r="W29" s="172">
        <v>100000</v>
      </c>
      <c r="X29" s="172">
        <v>100000</v>
      </c>
      <c r="Y29" s="172">
        <v>100000</v>
      </c>
      <c r="Z29" s="172">
        <v>100000</v>
      </c>
      <c r="AA29" s="172">
        <v>100000</v>
      </c>
      <c r="AB29" s="327">
        <v>100000</v>
      </c>
      <c r="AC29" s="172"/>
      <c r="AD29" s="173">
        <f>SUM(D29:AC29)</f>
        <v>3500000</v>
      </c>
      <c r="AE29" s="174">
        <f>C29-AD29</f>
        <v>10520059.431288293</v>
      </c>
      <c r="AF29" s="310" t="str">
        <f t="shared" si="0"/>
        <v>YES</v>
      </c>
      <c r="AG29" s="333">
        <v>27</v>
      </c>
      <c r="AH29" s="60">
        <f>C29</f>
        <v>14020059.431288293</v>
      </c>
      <c r="AI29" s="134" t="s">
        <v>227</v>
      </c>
      <c r="AJ29" s="134" t="s">
        <v>28</v>
      </c>
      <c r="AK29" s="145">
        <v>16303093.995264379</v>
      </c>
      <c r="AL29" s="172" t="s">
        <v>388</v>
      </c>
    </row>
    <row r="30" spans="1:67" s="60" customFormat="1" ht="16.5" thickBot="1" x14ac:dyDescent="0.45">
      <c r="A30" s="332" t="str">
        <f>'DETAILS (sorted)'!A43</f>
        <v>ILS24-F00042</v>
      </c>
      <c r="B30" s="134" t="str">
        <f>'DETAILS (sorted)'!B43</f>
        <v xml:space="preserve">Adamu Urassa </v>
      </c>
      <c r="C30" s="145">
        <f>'DETAILS (sorted)'!DS43</f>
        <v>13745601.146169009</v>
      </c>
      <c r="D30" s="134">
        <v>200000</v>
      </c>
      <c r="E30" s="134">
        <v>1000000</v>
      </c>
      <c r="F30" s="172">
        <v>100000</v>
      </c>
      <c r="G30" s="172">
        <v>100000</v>
      </c>
      <c r="H30" s="172">
        <v>100000</v>
      </c>
      <c r="I30" s="576">
        <v>100000</v>
      </c>
      <c r="J30" s="576">
        <v>100000</v>
      </c>
      <c r="K30" s="172">
        <v>100000</v>
      </c>
      <c r="L30" s="172">
        <v>100000</v>
      </c>
      <c r="M30" s="172">
        <v>100000</v>
      </c>
      <c r="N30" s="172">
        <v>100000</v>
      </c>
      <c r="O30" s="172">
        <v>100000</v>
      </c>
      <c r="P30" s="172">
        <v>100000</v>
      </c>
      <c r="Q30" s="172">
        <v>100000</v>
      </c>
      <c r="R30" s="172">
        <v>100000</v>
      </c>
      <c r="S30" s="172">
        <v>100000</v>
      </c>
      <c r="T30" s="172">
        <v>100000</v>
      </c>
      <c r="U30" s="172">
        <v>100000</v>
      </c>
      <c r="V30" s="172">
        <v>100000</v>
      </c>
      <c r="W30" s="172">
        <v>100000</v>
      </c>
      <c r="X30" s="172">
        <v>100000</v>
      </c>
      <c r="Y30" s="172">
        <v>100000</v>
      </c>
      <c r="Z30" s="172">
        <v>100000</v>
      </c>
      <c r="AA30" s="172">
        <v>100000</v>
      </c>
      <c r="AB30" s="327">
        <v>100000</v>
      </c>
      <c r="AC30" s="172"/>
      <c r="AD30" s="173">
        <f>SUM(D30:AC30)</f>
        <v>3500000</v>
      </c>
      <c r="AE30" s="174">
        <f>C30-AD30</f>
        <v>10245601.146169009</v>
      </c>
      <c r="AF30" s="310" t="str">
        <f t="shared" si="0"/>
        <v>YES</v>
      </c>
      <c r="AG30" s="333">
        <v>28</v>
      </c>
      <c r="AI30" s="134" t="s">
        <v>241</v>
      </c>
      <c r="AJ30" s="134" t="s">
        <v>35</v>
      </c>
      <c r="AK30" s="145">
        <v>3939098.227381533</v>
      </c>
      <c r="AL30" s="172" t="s">
        <v>389</v>
      </c>
    </row>
    <row r="31" spans="1:67" s="60" customFormat="1" ht="16.5" thickBot="1" x14ac:dyDescent="0.45">
      <c r="A31" s="332" t="str">
        <f>'DETAILS (sorted)'!A76</f>
        <v>ILS24-F00075</v>
      </c>
      <c r="B31" s="134" t="str">
        <f>'DETAILS (sorted)'!B76</f>
        <v>Paul Sifael Edwin Mikongoti</v>
      </c>
      <c r="C31" s="145">
        <f>'DETAILS (sorted)'!DS76</f>
        <v>13633161.778948316</v>
      </c>
      <c r="D31" s="134">
        <v>200000</v>
      </c>
      <c r="E31" s="134">
        <v>1000000</v>
      </c>
      <c r="F31" s="172">
        <v>100000</v>
      </c>
      <c r="G31" s="172">
        <v>100000</v>
      </c>
      <c r="H31" s="172">
        <v>100000</v>
      </c>
      <c r="I31" s="576">
        <v>100000</v>
      </c>
      <c r="J31" s="576">
        <v>100000</v>
      </c>
      <c r="K31" s="172">
        <v>100000</v>
      </c>
      <c r="L31" s="172">
        <v>100000</v>
      </c>
      <c r="M31" s="172">
        <v>100000</v>
      </c>
      <c r="N31" s="172">
        <v>100000</v>
      </c>
      <c r="O31" s="172">
        <v>100000</v>
      </c>
      <c r="P31" s="172">
        <v>100000</v>
      </c>
      <c r="Q31" s="172">
        <v>100000</v>
      </c>
      <c r="R31" s="172">
        <v>100000</v>
      </c>
      <c r="S31" s="172">
        <v>100000</v>
      </c>
      <c r="T31" s="172">
        <v>100000</v>
      </c>
      <c r="U31" s="172">
        <v>100000</v>
      </c>
      <c r="V31" s="172">
        <v>100000</v>
      </c>
      <c r="W31" s="172">
        <v>100000</v>
      </c>
      <c r="X31" s="172">
        <v>100000</v>
      </c>
      <c r="Y31" s="172">
        <v>100000</v>
      </c>
      <c r="Z31" s="172">
        <v>100000</v>
      </c>
      <c r="AA31" s="172">
        <v>100000</v>
      </c>
      <c r="AB31" s="327">
        <v>100000</v>
      </c>
      <c r="AC31" s="172"/>
      <c r="AD31" s="173">
        <f>SUM(D31:AC31)</f>
        <v>3500000</v>
      </c>
      <c r="AE31" s="411">
        <f>C31-AD31</f>
        <v>10133161.778948316</v>
      </c>
      <c r="AF31" s="310" t="str">
        <f t="shared" si="0"/>
        <v>YES</v>
      </c>
      <c r="AG31" s="333">
        <v>29</v>
      </c>
      <c r="AI31" s="134" t="s">
        <v>243</v>
      </c>
      <c r="AJ31" s="134" t="s">
        <v>31</v>
      </c>
      <c r="AK31" s="145">
        <v>4293557.3173796749</v>
      </c>
      <c r="AL31" s="172" t="s">
        <v>390</v>
      </c>
    </row>
    <row r="32" spans="1:67" s="60" customFormat="1" ht="16.5" thickBot="1" x14ac:dyDescent="0.45">
      <c r="A32" s="332" t="str">
        <f>'DETAILS (sorted)'!A122</f>
        <v>ILS24-F00121</v>
      </c>
      <c r="B32" s="134" t="str">
        <f>'DETAILS (sorted)'!B122</f>
        <v>Deodati Kaishe Donati</v>
      </c>
      <c r="C32" s="145">
        <f>'DETAILS (sorted)'!DS122</f>
        <v>13557105.786050687</v>
      </c>
      <c r="D32" s="134">
        <v>200000</v>
      </c>
      <c r="E32" s="134">
        <v>1000000</v>
      </c>
      <c r="F32" s="172">
        <v>100000</v>
      </c>
      <c r="G32" s="172">
        <v>100000</v>
      </c>
      <c r="H32" s="172">
        <v>100000</v>
      </c>
      <c r="I32" s="576">
        <v>100000</v>
      </c>
      <c r="J32" s="576">
        <v>100000</v>
      </c>
      <c r="K32" s="172">
        <v>100000</v>
      </c>
      <c r="L32" s="172">
        <v>100000</v>
      </c>
      <c r="M32" s="172">
        <v>100000</v>
      </c>
      <c r="N32" s="172">
        <v>100000</v>
      </c>
      <c r="O32" s="172">
        <v>100000</v>
      </c>
      <c r="P32" s="172">
        <v>100000</v>
      </c>
      <c r="Q32" s="172">
        <v>100000</v>
      </c>
      <c r="R32" s="172">
        <v>100000</v>
      </c>
      <c r="S32" s="172">
        <v>100000</v>
      </c>
      <c r="T32" s="172">
        <v>100000</v>
      </c>
      <c r="U32" s="172">
        <v>100000</v>
      </c>
      <c r="V32" s="172">
        <v>100000</v>
      </c>
      <c r="W32" s="172">
        <v>100000</v>
      </c>
      <c r="X32" s="172">
        <v>100000</v>
      </c>
      <c r="Y32" s="172">
        <v>100000</v>
      </c>
      <c r="Z32" s="172">
        <v>100000</v>
      </c>
      <c r="AA32" s="172">
        <v>100000</v>
      </c>
      <c r="AB32" s="327">
        <v>100000</v>
      </c>
      <c r="AC32" s="172"/>
      <c r="AD32" s="173">
        <f>SUM(D32:AC32)</f>
        <v>3500000</v>
      </c>
      <c r="AE32" s="174">
        <f>C32-AD32</f>
        <v>10057105.786050687</v>
      </c>
      <c r="AF32" s="513" t="str">
        <f t="shared" si="0"/>
        <v>YES</v>
      </c>
      <c r="AG32" s="333">
        <v>30</v>
      </c>
      <c r="AI32" s="154" t="s">
        <v>233</v>
      </c>
      <c r="AJ32" s="154" t="s">
        <v>50</v>
      </c>
      <c r="AK32" s="145">
        <v>1502151</v>
      </c>
      <c r="AL32" s="172" t="s">
        <v>391</v>
      </c>
    </row>
    <row r="33" spans="1:70" s="60" customFormat="1" ht="16.5" thickBot="1" x14ac:dyDescent="0.45">
      <c r="A33" s="332" t="str">
        <f>'DETAILS (sorted)'!A31</f>
        <v>ILS24-F00030</v>
      </c>
      <c r="B33" s="134" t="str">
        <f>'DETAILS (sorted)'!B31</f>
        <v xml:space="preserve">Patrick Salum Kiani </v>
      </c>
      <c r="C33" s="145">
        <f>'DETAILS (sorted)'!DS31</f>
        <v>13470562.048187941</v>
      </c>
      <c r="D33" s="134">
        <v>200000</v>
      </c>
      <c r="E33" s="134">
        <v>1000000</v>
      </c>
      <c r="F33" s="172">
        <v>100000</v>
      </c>
      <c r="G33" s="172">
        <v>100000</v>
      </c>
      <c r="H33" s="172">
        <v>100000</v>
      </c>
      <c r="I33" s="576">
        <v>100000</v>
      </c>
      <c r="J33" s="576">
        <v>100000</v>
      </c>
      <c r="K33" s="172">
        <v>100000</v>
      </c>
      <c r="L33" s="172">
        <v>100000</v>
      </c>
      <c r="M33" s="172">
        <v>100000</v>
      </c>
      <c r="N33" s="172">
        <v>100000</v>
      </c>
      <c r="O33" s="172">
        <v>100000</v>
      </c>
      <c r="P33" s="172">
        <v>100000</v>
      </c>
      <c r="Q33" s="172">
        <v>100000</v>
      </c>
      <c r="R33" s="172">
        <v>100000</v>
      </c>
      <c r="S33" s="172">
        <v>100000</v>
      </c>
      <c r="T33" s="172">
        <v>100000</v>
      </c>
      <c r="U33" s="172">
        <v>100000</v>
      </c>
      <c r="V33" s="172">
        <v>100000</v>
      </c>
      <c r="W33" s="172">
        <v>100000</v>
      </c>
      <c r="X33" s="172">
        <v>100000</v>
      </c>
      <c r="Y33" s="172">
        <v>100000</v>
      </c>
      <c r="Z33" s="172">
        <v>100000</v>
      </c>
      <c r="AA33" s="172">
        <v>100000</v>
      </c>
      <c r="AB33" s="327">
        <v>100000</v>
      </c>
      <c r="AC33" s="172"/>
      <c r="AD33" s="173">
        <f>SUM(D33:AC33)</f>
        <v>3500000</v>
      </c>
      <c r="AE33" s="174">
        <f>C33-AD33</f>
        <v>9970562.0481879413</v>
      </c>
      <c r="AF33" s="310" t="str">
        <f t="shared" si="0"/>
        <v>YES</v>
      </c>
      <c r="AG33" s="333">
        <v>31</v>
      </c>
      <c r="AK33" s="255">
        <f>SUM(AK27:AK32)</f>
        <v>122889156.10322292</v>
      </c>
      <c r="BO33" s="60" t="e">
        <f>#REF!+C33+F33+I33+L33+O33+R33+AF33+AJ33+AM33+AO33+AU33+AR33+AX33+BA33+BD33+BG33+BM33</f>
        <v>#REF!</v>
      </c>
    </row>
    <row r="34" spans="1:70" s="60" customFormat="1" ht="16.5" thickBot="1" x14ac:dyDescent="0.45">
      <c r="A34" s="332" t="str">
        <f>'DETAILS (sorted)'!A22</f>
        <v>ILS24-F00021</v>
      </c>
      <c r="B34" s="134" t="str">
        <f>'DETAILS (sorted)'!B22</f>
        <v xml:space="preserve">Masale Rajabu Masale </v>
      </c>
      <c r="C34" s="145">
        <f>'DETAILS (sorted)'!DS22</f>
        <v>13412072.587400509</v>
      </c>
      <c r="D34" s="134">
        <v>200000</v>
      </c>
      <c r="E34" s="134">
        <v>1000000</v>
      </c>
      <c r="F34" s="172">
        <v>100000</v>
      </c>
      <c r="G34" s="172">
        <v>100000</v>
      </c>
      <c r="H34" s="172">
        <v>100000</v>
      </c>
      <c r="I34" s="576">
        <v>100000</v>
      </c>
      <c r="J34" s="576">
        <v>100000</v>
      </c>
      <c r="K34" s="172">
        <v>100000</v>
      </c>
      <c r="L34" s="172">
        <v>100000</v>
      </c>
      <c r="M34" s="172">
        <v>100000</v>
      </c>
      <c r="N34" s="172">
        <v>100000</v>
      </c>
      <c r="O34" s="172">
        <v>100000</v>
      </c>
      <c r="P34" s="172">
        <v>100000</v>
      </c>
      <c r="Q34" s="172">
        <v>100000</v>
      </c>
      <c r="R34" s="172">
        <v>100000</v>
      </c>
      <c r="S34" s="172">
        <v>100000</v>
      </c>
      <c r="T34" s="172">
        <v>100000</v>
      </c>
      <c r="U34" s="172">
        <v>100000</v>
      </c>
      <c r="V34" s="172">
        <v>100000</v>
      </c>
      <c r="W34" s="172">
        <v>100000</v>
      </c>
      <c r="X34" s="172">
        <v>100000</v>
      </c>
      <c r="Y34" s="172">
        <v>100000</v>
      </c>
      <c r="Z34" s="172">
        <v>100000</v>
      </c>
      <c r="AA34" s="172">
        <v>100000</v>
      </c>
      <c r="AB34" s="327">
        <v>100000</v>
      </c>
      <c r="AC34" s="172"/>
      <c r="AD34" s="173">
        <f>SUM(D34:AC34)</f>
        <v>3500000</v>
      </c>
      <c r="AE34" s="174">
        <f>C34-AD34</f>
        <v>9912072.587400509</v>
      </c>
      <c r="AF34" s="310" t="str">
        <f t="shared" si="0"/>
        <v>YES</v>
      </c>
      <c r="AG34" s="333">
        <v>32</v>
      </c>
    </row>
    <row r="35" spans="1:70" s="60" customFormat="1" ht="16.5" thickBot="1" x14ac:dyDescent="0.45">
      <c r="A35" s="332" t="str">
        <f>'DETAILS (sorted)'!A101</f>
        <v>ILS24-F00100</v>
      </c>
      <c r="B35" s="134" t="str">
        <f>'DETAILS (sorted)'!B101</f>
        <v xml:space="preserve">Juma Selemani Nantubwi </v>
      </c>
      <c r="C35" s="145">
        <f>'DETAILS (sorted)'!DS101</f>
        <v>13323886.783786898</v>
      </c>
      <c r="D35" s="134">
        <v>200000</v>
      </c>
      <c r="E35" s="134">
        <v>1000000</v>
      </c>
      <c r="F35" s="172">
        <v>100000</v>
      </c>
      <c r="G35" s="172">
        <v>100000</v>
      </c>
      <c r="H35" s="172">
        <v>100000</v>
      </c>
      <c r="I35" s="576">
        <v>100000</v>
      </c>
      <c r="J35" s="576">
        <v>100000</v>
      </c>
      <c r="K35" s="172">
        <v>100000</v>
      </c>
      <c r="L35" s="172">
        <v>100000</v>
      </c>
      <c r="M35" s="172">
        <v>100000</v>
      </c>
      <c r="N35" s="172">
        <v>100000</v>
      </c>
      <c r="O35" s="172">
        <v>100000</v>
      </c>
      <c r="P35" s="172">
        <v>100000</v>
      </c>
      <c r="Q35" s="172">
        <v>100000</v>
      </c>
      <c r="R35" s="172">
        <v>100000</v>
      </c>
      <c r="S35" s="172">
        <v>100000</v>
      </c>
      <c r="T35" s="172">
        <v>100000</v>
      </c>
      <c r="U35" s="172">
        <v>100000</v>
      </c>
      <c r="V35" s="172">
        <v>100000</v>
      </c>
      <c r="W35" s="172">
        <v>100000</v>
      </c>
      <c r="X35" s="172">
        <v>100000</v>
      </c>
      <c r="Y35" s="172">
        <v>100000</v>
      </c>
      <c r="Z35" s="172">
        <v>100000</v>
      </c>
      <c r="AA35" s="172">
        <v>100000</v>
      </c>
      <c r="AB35" s="327">
        <v>100000</v>
      </c>
      <c r="AC35" s="172"/>
      <c r="AD35" s="173">
        <f>SUM(D35:AC35)</f>
        <v>3500000</v>
      </c>
      <c r="AE35" s="174">
        <f>C35-AD35</f>
        <v>9823886.7837868985</v>
      </c>
      <c r="AF35" s="310" t="str">
        <f t="shared" ref="AF35:AF66" si="1">IF(C35&gt;=700000,"YES","NO")</f>
        <v>YES</v>
      </c>
      <c r="AG35" s="333">
        <v>33</v>
      </c>
      <c r="AK35" s="255"/>
    </row>
    <row r="36" spans="1:70" s="60" customFormat="1" ht="16.5" thickBot="1" x14ac:dyDescent="0.45">
      <c r="A36" s="332" t="str">
        <f>'DETAILS (sorted)'!A6</f>
        <v>ILS24-F00005</v>
      </c>
      <c r="B36" s="134" t="str">
        <f>'DETAILS (sorted)'!B6</f>
        <v>Elianshasaria Munisi</v>
      </c>
      <c r="C36" s="145">
        <f>'DETAILS (sorted)'!DS6</f>
        <v>12961769.486828147</v>
      </c>
      <c r="D36" s="134">
        <v>200000</v>
      </c>
      <c r="E36" s="134">
        <v>1000000</v>
      </c>
      <c r="F36" s="172">
        <v>100000</v>
      </c>
      <c r="G36" s="172">
        <v>100000</v>
      </c>
      <c r="H36" s="172">
        <v>100000</v>
      </c>
      <c r="I36" s="576">
        <v>100000</v>
      </c>
      <c r="J36" s="576">
        <v>100000</v>
      </c>
      <c r="K36" s="172">
        <v>100000</v>
      </c>
      <c r="L36" s="172">
        <v>100000</v>
      </c>
      <c r="M36" s="172">
        <v>100000</v>
      </c>
      <c r="N36" s="172">
        <v>100000</v>
      </c>
      <c r="O36" s="172">
        <v>100000</v>
      </c>
      <c r="P36" s="172">
        <v>100000</v>
      </c>
      <c r="Q36" s="172">
        <v>100000</v>
      </c>
      <c r="R36" s="172">
        <v>100000</v>
      </c>
      <c r="S36" s="172">
        <v>100000</v>
      </c>
      <c r="T36" s="172">
        <v>100000</v>
      </c>
      <c r="U36" s="172">
        <v>100000</v>
      </c>
      <c r="V36" s="172">
        <v>100000</v>
      </c>
      <c r="W36" s="172">
        <v>100000</v>
      </c>
      <c r="X36" s="172">
        <v>100000</v>
      </c>
      <c r="Y36" s="172">
        <v>100000</v>
      </c>
      <c r="Z36" s="172">
        <v>100000</v>
      </c>
      <c r="AA36" s="172">
        <v>100000</v>
      </c>
      <c r="AB36" s="327">
        <v>100000</v>
      </c>
      <c r="AC36" s="172"/>
      <c r="AD36" s="173">
        <f>SUM(D36:AC36)</f>
        <v>3500000</v>
      </c>
      <c r="AE36" s="174">
        <f>C36-AD36</f>
        <v>9461769.4868281465</v>
      </c>
      <c r="AF36" s="310" t="str">
        <f t="shared" si="1"/>
        <v>YES</v>
      </c>
      <c r="AG36" s="333">
        <v>34</v>
      </c>
    </row>
    <row r="37" spans="1:70" s="60" customFormat="1" ht="16.5" thickBot="1" x14ac:dyDescent="0.45">
      <c r="A37" s="332" t="str">
        <f>'DETAILS (sorted)'!A80</f>
        <v>ILS24-F00079</v>
      </c>
      <c r="B37" s="134" t="str">
        <f>'DETAILS (sorted)'!B80</f>
        <v>Emmanuel Simforian Massawe</v>
      </c>
      <c r="C37" s="145">
        <f>'DETAILS (sorted)'!DS80</f>
        <v>12647570.449852392</v>
      </c>
      <c r="D37" s="134">
        <v>200000</v>
      </c>
      <c r="E37" s="134">
        <v>1000000</v>
      </c>
      <c r="F37" s="172">
        <v>100000</v>
      </c>
      <c r="G37" s="172">
        <v>100000</v>
      </c>
      <c r="H37" s="172">
        <v>100000</v>
      </c>
      <c r="I37" s="576">
        <v>100000</v>
      </c>
      <c r="J37" s="576">
        <v>100000</v>
      </c>
      <c r="K37" s="172">
        <v>100000</v>
      </c>
      <c r="L37" s="172">
        <v>100000</v>
      </c>
      <c r="M37" s="172">
        <v>100000</v>
      </c>
      <c r="N37" s="172">
        <v>100000</v>
      </c>
      <c r="O37" s="172">
        <v>100000</v>
      </c>
      <c r="P37" s="172">
        <v>100000</v>
      </c>
      <c r="Q37" s="172">
        <v>100000</v>
      </c>
      <c r="R37" s="172">
        <v>100000</v>
      </c>
      <c r="S37" s="172">
        <v>100000</v>
      </c>
      <c r="T37" s="172">
        <v>100000</v>
      </c>
      <c r="U37" s="172">
        <v>100000</v>
      </c>
      <c r="V37" s="172">
        <v>100000</v>
      </c>
      <c r="W37" s="172">
        <v>100000</v>
      </c>
      <c r="X37" s="172">
        <v>100000</v>
      </c>
      <c r="Y37" s="172">
        <v>100000</v>
      </c>
      <c r="Z37" s="172">
        <v>100000</v>
      </c>
      <c r="AA37" s="172">
        <v>100000</v>
      </c>
      <c r="AB37" s="327">
        <v>100000</v>
      </c>
      <c r="AC37" s="172"/>
      <c r="AD37" s="173">
        <f>SUM(D37:AC37)</f>
        <v>3500000</v>
      </c>
      <c r="AE37" s="375">
        <f>C37-AD37</f>
        <v>9147570.4498523921</v>
      </c>
      <c r="AF37" s="310" t="str">
        <f t="shared" si="1"/>
        <v>YES</v>
      </c>
      <c r="AG37" s="333">
        <v>35</v>
      </c>
      <c r="AI37" s="134" t="str">
        <f>A56</f>
        <v>ILS24-F00038</v>
      </c>
      <c r="AJ37" s="198" t="str">
        <f>B56</f>
        <v>Charles Suka Jangu</v>
      </c>
      <c r="AK37" s="171">
        <f>C56</f>
        <v>8429314.5161899924</v>
      </c>
      <c r="AL37" s="172"/>
    </row>
    <row r="38" spans="1:70" s="60" customFormat="1" ht="16.5" thickBot="1" x14ac:dyDescent="0.45">
      <c r="A38" s="332" t="str">
        <f>'DETAILS (sorted)'!A20</f>
        <v>ILS24-F00019</v>
      </c>
      <c r="B38" s="134" t="str">
        <f>'DETAILS (sorted)'!B20</f>
        <v xml:space="preserve">Laurian Gidoyi </v>
      </c>
      <c r="C38" s="145">
        <f>'DETAILS (sorted)'!DS20</f>
        <v>12556249.978378084</v>
      </c>
      <c r="D38" s="134">
        <v>200000</v>
      </c>
      <c r="E38" s="134">
        <v>1000000</v>
      </c>
      <c r="F38" s="172">
        <v>100000</v>
      </c>
      <c r="G38" s="172">
        <v>100000</v>
      </c>
      <c r="H38" s="172">
        <v>100000</v>
      </c>
      <c r="I38" s="576">
        <v>100000</v>
      </c>
      <c r="J38" s="576">
        <v>100000</v>
      </c>
      <c r="K38" s="172">
        <v>100000</v>
      </c>
      <c r="L38" s="172">
        <v>100000</v>
      </c>
      <c r="M38" s="172">
        <v>100000</v>
      </c>
      <c r="N38" s="172">
        <v>100000</v>
      </c>
      <c r="O38" s="172">
        <v>100000</v>
      </c>
      <c r="P38" s="172">
        <v>100000</v>
      </c>
      <c r="Q38" s="172">
        <v>100000</v>
      </c>
      <c r="R38" s="172">
        <v>100000</v>
      </c>
      <c r="S38" s="172">
        <v>100000</v>
      </c>
      <c r="T38" s="172">
        <v>100000</v>
      </c>
      <c r="U38" s="172">
        <v>100000</v>
      </c>
      <c r="V38" s="172">
        <v>100000</v>
      </c>
      <c r="W38" s="172">
        <v>100000</v>
      </c>
      <c r="X38" s="172">
        <v>100000</v>
      </c>
      <c r="Y38" s="172">
        <v>100000</v>
      </c>
      <c r="Z38" s="172">
        <v>100000</v>
      </c>
      <c r="AA38" s="172">
        <v>100000</v>
      </c>
      <c r="AB38" s="327">
        <v>100000</v>
      </c>
      <c r="AC38" s="172"/>
      <c r="AD38" s="173">
        <f>SUM(D38:AC38)</f>
        <v>3500000</v>
      </c>
      <c r="AE38" s="174">
        <f>C38-AD38</f>
        <v>9056249.9783780836</v>
      </c>
      <c r="AF38" s="310" t="str">
        <f t="shared" si="1"/>
        <v>YES</v>
      </c>
      <c r="AG38" s="333">
        <v>36</v>
      </c>
      <c r="AI38" s="134" t="str">
        <f>A6</f>
        <v>ILS24-F00016</v>
      </c>
      <c r="AJ38" s="198" t="str">
        <f>B6</f>
        <v xml:space="preserve">Walter Salema </v>
      </c>
      <c r="AK38" s="171">
        <f>C6</f>
        <v>45696106.78383147</v>
      </c>
      <c r="AL38" s="172" t="s">
        <v>392</v>
      </c>
    </row>
    <row r="39" spans="1:70" s="61" customFormat="1" ht="16.5" thickBot="1" x14ac:dyDescent="0.45">
      <c r="A39" s="332" t="str">
        <f>'DETAILS (sorted)'!A30</f>
        <v>ILS24-F00029</v>
      </c>
      <c r="B39" s="134" t="str">
        <f>'DETAILS (sorted)'!B30</f>
        <v>Emanuel Ezekiah Moshi</v>
      </c>
      <c r="C39" s="145">
        <f>'DETAILS (sorted)'!DS30</f>
        <v>12438989.814563684</v>
      </c>
      <c r="D39" s="134">
        <v>200000</v>
      </c>
      <c r="E39" s="134">
        <v>1000000</v>
      </c>
      <c r="F39" s="172">
        <v>100000</v>
      </c>
      <c r="G39" s="172">
        <v>100000</v>
      </c>
      <c r="H39" s="172">
        <v>100000</v>
      </c>
      <c r="I39" s="576">
        <v>100000</v>
      </c>
      <c r="J39" s="576">
        <v>100000</v>
      </c>
      <c r="K39" s="172">
        <v>100000</v>
      </c>
      <c r="L39" s="172">
        <v>100000</v>
      </c>
      <c r="M39" s="172">
        <v>100000</v>
      </c>
      <c r="N39" s="172">
        <v>100000</v>
      </c>
      <c r="O39" s="172">
        <v>100000</v>
      </c>
      <c r="P39" s="172">
        <v>100000</v>
      </c>
      <c r="Q39" s="172">
        <v>100000</v>
      </c>
      <c r="R39" s="172">
        <v>100000</v>
      </c>
      <c r="S39" s="172">
        <v>100000</v>
      </c>
      <c r="T39" s="172">
        <v>100000</v>
      </c>
      <c r="U39" s="172">
        <v>100000</v>
      </c>
      <c r="V39" s="172">
        <v>100000</v>
      </c>
      <c r="W39" s="172">
        <v>100000</v>
      </c>
      <c r="X39" s="172">
        <v>100000</v>
      </c>
      <c r="Y39" s="172">
        <v>100000</v>
      </c>
      <c r="Z39" s="172">
        <v>100000</v>
      </c>
      <c r="AA39" s="172">
        <v>100000</v>
      </c>
      <c r="AB39" s="327">
        <v>100000</v>
      </c>
      <c r="AC39" s="172"/>
      <c r="AD39" s="173">
        <f>SUM(D39:AC39)</f>
        <v>3500000</v>
      </c>
      <c r="AE39" s="411">
        <f>C39-AD39</f>
        <v>8938989.8145636842</v>
      </c>
      <c r="AF39" s="310" t="str">
        <f t="shared" si="1"/>
        <v>YES</v>
      </c>
      <c r="AG39" s="333">
        <v>37</v>
      </c>
      <c r="AH39" s="209"/>
      <c r="AI39" s="209"/>
      <c r="AJ39" s="209"/>
      <c r="AK39" s="171">
        <f>SUM(AK37:AK38)</f>
        <v>54125421.300021462</v>
      </c>
      <c r="AL39" s="209"/>
      <c r="AM39" s="209"/>
      <c r="AN39" s="209"/>
      <c r="AO39" s="209"/>
      <c r="AP39" s="209"/>
      <c r="AQ39" s="209"/>
      <c r="AR39" s="209"/>
      <c r="AS39" s="209"/>
      <c r="AT39" s="209"/>
      <c r="AU39" s="209"/>
      <c r="AV39" s="209"/>
      <c r="AW39" s="209"/>
      <c r="AX39" s="209"/>
      <c r="AY39" s="209"/>
      <c r="AZ39" s="209"/>
      <c r="BA39" s="209"/>
      <c r="BB39" s="209"/>
      <c r="BC39" s="209"/>
      <c r="BD39" s="209"/>
      <c r="BE39" s="209"/>
      <c r="BF39" s="209"/>
      <c r="BG39" s="209"/>
      <c r="BH39" s="209"/>
      <c r="BI39" s="209"/>
      <c r="BJ39" s="209"/>
      <c r="BK39" s="209"/>
      <c r="BL39" s="209"/>
      <c r="BM39" s="209"/>
      <c r="BN39" s="209"/>
      <c r="BO39" s="209"/>
    </row>
    <row r="40" spans="1:70" s="60" customFormat="1" ht="16.5" thickBot="1" x14ac:dyDescent="0.45">
      <c r="A40" s="332" t="str">
        <f>'DETAILS (sorted)'!A29</f>
        <v>ILS24-F00028</v>
      </c>
      <c r="B40" s="134" t="str">
        <f>'DETAILS (sorted)'!B29</f>
        <v xml:space="preserve">Evance Mori </v>
      </c>
      <c r="C40" s="145">
        <f>'DETAILS (sorted)'!DS29</f>
        <v>12426098.598361038</v>
      </c>
      <c r="D40" s="134">
        <v>200000</v>
      </c>
      <c r="E40" s="134">
        <v>1000000</v>
      </c>
      <c r="F40" s="172">
        <v>100000</v>
      </c>
      <c r="G40" s="172">
        <v>100000</v>
      </c>
      <c r="H40" s="172">
        <v>100000</v>
      </c>
      <c r="I40" s="576">
        <v>100000</v>
      </c>
      <c r="J40" s="576">
        <v>100000</v>
      </c>
      <c r="K40" s="172">
        <v>100000</v>
      </c>
      <c r="L40" s="172">
        <v>100000</v>
      </c>
      <c r="M40" s="172">
        <v>100000</v>
      </c>
      <c r="N40" s="172">
        <v>100000</v>
      </c>
      <c r="O40" s="172">
        <v>100000</v>
      </c>
      <c r="P40" s="172">
        <v>100000</v>
      </c>
      <c r="Q40" s="172">
        <v>100000</v>
      </c>
      <c r="R40" s="172">
        <v>100000</v>
      </c>
      <c r="S40" s="172">
        <v>100000</v>
      </c>
      <c r="T40" s="172">
        <v>100000</v>
      </c>
      <c r="U40" s="172">
        <v>100000</v>
      </c>
      <c r="V40" s="172">
        <v>100000</v>
      </c>
      <c r="W40" s="172">
        <v>100000</v>
      </c>
      <c r="X40" s="172">
        <v>100000</v>
      </c>
      <c r="Y40" s="172">
        <v>100000</v>
      </c>
      <c r="Z40" s="172">
        <v>100000</v>
      </c>
      <c r="AA40" s="172">
        <v>100000</v>
      </c>
      <c r="AB40" s="327">
        <v>100000</v>
      </c>
      <c r="AC40" s="172"/>
      <c r="AD40" s="173">
        <f>SUM(D40:AC40)</f>
        <v>3500000</v>
      </c>
      <c r="AE40" s="174">
        <f>C40-AD40</f>
        <v>8926098.5983610377</v>
      </c>
      <c r="AF40" s="310" t="str">
        <f t="shared" si="1"/>
        <v>YES</v>
      </c>
      <c r="AG40" s="333">
        <v>38</v>
      </c>
      <c r="AI40" s="134"/>
      <c r="AJ40" s="198"/>
      <c r="AK40" s="171"/>
      <c r="AL40" s="172"/>
    </row>
    <row r="41" spans="1:70" s="60" customFormat="1" ht="16.5" thickBot="1" x14ac:dyDescent="0.45">
      <c r="A41" s="506" t="str">
        <f>'DETAILS (sorted)'!A27</f>
        <v>ILS24-F00026</v>
      </c>
      <c r="B41" s="162" t="str">
        <f>'DETAILS (sorted)'!B27</f>
        <v>Plasduce Mkeli Mbossa</v>
      </c>
      <c r="C41" s="507">
        <f>'DETAILS (sorted)'!DS27</f>
        <v>12311149.342113942</v>
      </c>
      <c r="D41" s="162">
        <v>200000</v>
      </c>
      <c r="E41" s="162">
        <v>1000000</v>
      </c>
      <c r="F41" s="508">
        <v>100000</v>
      </c>
      <c r="G41" s="508">
        <v>100000</v>
      </c>
      <c r="H41" s="508">
        <v>100000</v>
      </c>
      <c r="I41" s="577">
        <v>100000</v>
      </c>
      <c r="J41" s="577">
        <v>100000</v>
      </c>
      <c r="K41" s="508">
        <v>100000</v>
      </c>
      <c r="L41" s="508">
        <v>100000</v>
      </c>
      <c r="M41" s="508">
        <v>100000</v>
      </c>
      <c r="N41" s="508">
        <v>100000</v>
      </c>
      <c r="O41" s="508">
        <v>100000</v>
      </c>
      <c r="P41" s="508">
        <v>100000</v>
      </c>
      <c r="Q41" s="508">
        <v>100000</v>
      </c>
      <c r="R41" s="508">
        <v>100000</v>
      </c>
      <c r="S41" s="508">
        <v>100000</v>
      </c>
      <c r="T41" s="508">
        <v>100000</v>
      </c>
      <c r="U41" s="508">
        <v>100000</v>
      </c>
      <c r="V41" s="508">
        <v>100000</v>
      </c>
      <c r="W41" s="508">
        <v>100000</v>
      </c>
      <c r="X41" s="508">
        <v>100000</v>
      </c>
      <c r="Y41" s="508">
        <v>100000</v>
      </c>
      <c r="Z41" s="508">
        <v>100000</v>
      </c>
      <c r="AA41" s="508">
        <v>100000</v>
      </c>
      <c r="AB41" s="327">
        <v>100000</v>
      </c>
      <c r="AC41" s="508"/>
      <c r="AD41" s="509">
        <f>SUM(D41:AC41)</f>
        <v>3500000</v>
      </c>
      <c r="AE41" s="510">
        <f>C41-AD41</f>
        <v>8811149.3421139419</v>
      </c>
      <c r="AF41" s="511" t="str">
        <f t="shared" si="1"/>
        <v>YES</v>
      </c>
      <c r="AG41" s="512">
        <v>39</v>
      </c>
      <c r="AI41" s="134"/>
      <c r="AJ41" s="198"/>
      <c r="AK41" s="171"/>
      <c r="AL41" s="172"/>
    </row>
    <row r="42" spans="1:70" s="60" customFormat="1" ht="16.5" thickBot="1" x14ac:dyDescent="0.45">
      <c r="A42" s="325" t="str">
        <f>'DETAILS (sorted)'!A25</f>
        <v>ILS24-F00024</v>
      </c>
      <c r="B42" s="326" t="str">
        <f>'DETAILS (sorted)'!B25</f>
        <v>Athumani Mwasha</v>
      </c>
      <c r="C42" s="335">
        <f>'DETAILS (sorted)'!DS25</f>
        <v>12051152.67215956</v>
      </c>
      <c r="D42" s="326">
        <v>200000</v>
      </c>
      <c r="E42" s="326">
        <v>1000000</v>
      </c>
      <c r="F42" s="327">
        <v>100000</v>
      </c>
      <c r="G42" s="327">
        <v>100000</v>
      </c>
      <c r="H42" s="327">
        <v>100000</v>
      </c>
      <c r="I42" s="575">
        <v>100000</v>
      </c>
      <c r="J42" s="575">
        <v>100000</v>
      </c>
      <c r="K42" s="327">
        <v>100000</v>
      </c>
      <c r="L42" s="327">
        <v>100000</v>
      </c>
      <c r="M42" s="327">
        <v>100000</v>
      </c>
      <c r="N42" s="327">
        <v>100000</v>
      </c>
      <c r="O42" s="327">
        <v>100000</v>
      </c>
      <c r="P42" s="327">
        <v>100000</v>
      </c>
      <c r="Q42" s="327">
        <v>100000</v>
      </c>
      <c r="R42" s="327">
        <v>100000</v>
      </c>
      <c r="S42" s="327">
        <v>100000</v>
      </c>
      <c r="T42" s="327">
        <v>100000</v>
      </c>
      <c r="U42" s="327">
        <v>100000</v>
      </c>
      <c r="V42" s="327">
        <v>100000</v>
      </c>
      <c r="W42" s="327">
        <v>100000</v>
      </c>
      <c r="X42" s="327">
        <v>100000</v>
      </c>
      <c r="Y42" s="327">
        <v>100000</v>
      </c>
      <c r="Z42" s="327">
        <v>100000</v>
      </c>
      <c r="AA42" s="327">
        <v>100000</v>
      </c>
      <c r="AB42" s="327">
        <v>100000</v>
      </c>
      <c r="AC42" s="327"/>
      <c r="AD42" s="328">
        <f>SUM(D42:AC42)</f>
        <v>3500000</v>
      </c>
      <c r="AE42" s="329">
        <f>C42-AD42</f>
        <v>8551152.67215956</v>
      </c>
      <c r="AF42" s="330" t="str">
        <f t="shared" si="1"/>
        <v>YES</v>
      </c>
      <c r="AG42" s="331">
        <v>40</v>
      </c>
      <c r="AI42" s="298" t="s">
        <v>393</v>
      </c>
      <c r="AJ42" s="298">
        <v>30000000</v>
      </c>
      <c r="AK42" s="298">
        <f>AJ42*1.5%</f>
        <v>450000</v>
      </c>
      <c r="AL42" s="298">
        <f>AJ42+AK42</f>
        <v>30450000</v>
      </c>
    </row>
    <row r="43" spans="1:70" s="61" customFormat="1" ht="16.5" thickBot="1" x14ac:dyDescent="0.45">
      <c r="A43" s="332" t="str">
        <f>'DETAILS (sorted)'!A147</f>
        <v>ILS24-F00146</v>
      </c>
      <c r="B43" s="134" t="str">
        <f>'DETAILS (sorted)'!B147</f>
        <v>Hussein Hussein Shamdas</v>
      </c>
      <c r="C43" s="145">
        <f>'DETAILS (sorted)'!DS147</f>
        <v>11853595.390307231</v>
      </c>
      <c r="D43" s="134">
        <v>200000</v>
      </c>
      <c r="E43" s="134">
        <v>1000000</v>
      </c>
      <c r="F43" s="172">
        <v>100000</v>
      </c>
      <c r="G43" s="172">
        <v>100000</v>
      </c>
      <c r="H43" s="172">
        <v>100000</v>
      </c>
      <c r="I43" s="576">
        <v>100000</v>
      </c>
      <c r="J43" s="576">
        <v>100000</v>
      </c>
      <c r="K43" s="172">
        <v>100000</v>
      </c>
      <c r="L43" s="172">
        <v>100000</v>
      </c>
      <c r="M43" s="172">
        <v>100000</v>
      </c>
      <c r="N43" s="172">
        <v>100000</v>
      </c>
      <c r="O43" s="172">
        <v>100000</v>
      </c>
      <c r="P43" s="172">
        <v>100000</v>
      </c>
      <c r="Q43" s="172">
        <v>100000</v>
      </c>
      <c r="R43" s="172">
        <v>100000</v>
      </c>
      <c r="S43" s="172">
        <v>100000</v>
      </c>
      <c r="T43" s="172">
        <v>100000</v>
      </c>
      <c r="U43" s="172">
        <v>100000</v>
      </c>
      <c r="V43" s="172">
        <v>100000</v>
      </c>
      <c r="W43" s="172">
        <v>100000</v>
      </c>
      <c r="X43" s="172">
        <v>100000</v>
      </c>
      <c r="Y43" s="172">
        <v>100000</v>
      </c>
      <c r="Z43" s="172">
        <v>100000</v>
      </c>
      <c r="AA43" s="172">
        <v>100000</v>
      </c>
      <c r="AB43" s="327">
        <v>100000</v>
      </c>
      <c r="AC43" s="172"/>
      <c r="AD43" s="173">
        <f>SUM(D43:AC43)</f>
        <v>3500000</v>
      </c>
      <c r="AE43" s="174">
        <f>C43-AD43</f>
        <v>8353595.3903072309</v>
      </c>
      <c r="AF43" s="310" t="str">
        <f t="shared" si="1"/>
        <v>YES</v>
      </c>
      <c r="AG43" s="333">
        <v>41</v>
      </c>
      <c r="AH43" s="209"/>
      <c r="AI43" s="209" t="str">
        <f>A12</f>
        <v>ILS24-F00012</v>
      </c>
      <c r="AJ43" s="209" t="str">
        <f>B12</f>
        <v>Mlindwa Kashindye</v>
      </c>
      <c r="AK43" s="171">
        <f>C12</f>
        <v>28367578.295165222</v>
      </c>
      <c r="AL43" s="209" t="s">
        <v>386</v>
      </c>
      <c r="AM43" s="209"/>
      <c r="AN43" s="209"/>
      <c r="AO43" s="209"/>
      <c r="AP43" s="209"/>
      <c r="AQ43" s="209"/>
      <c r="AR43" s="209"/>
      <c r="AS43" s="209"/>
      <c r="AT43" s="209"/>
      <c r="AU43" s="209"/>
      <c r="AV43" s="209"/>
      <c r="AW43" s="209"/>
      <c r="AX43" s="209"/>
      <c r="AY43" s="209"/>
      <c r="AZ43" s="209"/>
      <c r="BA43" s="209"/>
      <c r="BB43" s="209"/>
      <c r="BC43" s="209"/>
      <c r="BD43" s="209"/>
      <c r="BE43" s="209"/>
      <c r="BF43" s="209"/>
      <c r="BG43" s="209"/>
      <c r="BH43" s="209"/>
      <c r="BI43" s="209"/>
      <c r="BJ43" s="209"/>
      <c r="BK43" s="209"/>
      <c r="BL43" s="209"/>
      <c r="BM43" s="209"/>
      <c r="BN43" s="209"/>
      <c r="BO43" s="209"/>
    </row>
    <row r="44" spans="1:70" s="60" customFormat="1" ht="16.5" thickBot="1" x14ac:dyDescent="0.45">
      <c r="A44" s="332" t="str">
        <f>'DETAILS (sorted)'!A82</f>
        <v>ILS24-F00081</v>
      </c>
      <c r="B44" s="134" t="str">
        <f>'DETAILS (sorted)'!B82</f>
        <v>Diocles Mlashani Ishengoma</v>
      </c>
      <c r="C44" s="145">
        <f>'DETAILS (sorted)'!DS82</f>
        <v>11656012.678117774</v>
      </c>
      <c r="D44" s="134">
        <v>200000</v>
      </c>
      <c r="E44" s="134">
        <v>1000000</v>
      </c>
      <c r="F44" s="172">
        <v>100000</v>
      </c>
      <c r="G44" s="172">
        <v>100000</v>
      </c>
      <c r="H44" s="172">
        <v>100000</v>
      </c>
      <c r="I44" s="576">
        <v>100000</v>
      </c>
      <c r="J44" s="576">
        <v>100000</v>
      </c>
      <c r="K44" s="172">
        <v>100000</v>
      </c>
      <c r="L44" s="172">
        <v>100000</v>
      </c>
      <c r="M44" s="172">
        <v>100000</v>
      </c>
      <c r="N44" s="172">
        <v>100000</v>
      </c>
      <c r="O44" s="172">
        <v>100000</v>
      </c>
      <c r="P44" s="172">
        <v>100000</v>
      </c>
      <c r="Q44" s="172">
        <v>100000</v>
      </c>
      <c r="R44" s="172">
        <v>100000</v>
      </c>
      <c r="S44" s="172">
        <v>100000</v>
      </c>
      <c r="T44" s="172">
        <v>100000</v>
      </c>
      <c r="U44" s="172">
        <v>100000</v>
      </c>
      <c r="V44" s="172">
        <v>100000</v>
      </c>
      <c r="W44" s="172">
        <v>100000</v>
      </c>
      <c r="X44" s="172">
        <v>100000</v>
      </c>
      <c r="Y44" s="172">
        <v>100000</v>
      </c>
      <c r="Z44" s="172">
        <v>100000</v>
      </c>
      <c r="AA44" s="172">
        <v>100000</v>
      </c>
      <c r="AB44" s="327">
        <v>100000</v>
      </c>
      <c r="AC44" s="172"/>
      <c r="AD44" s="173">
        <f>SUM(D44:AC44)</f>
        <v>3500000</v>
      </c>
      <c r="AE44" s="380">
        <f>C44-AD44</f>
        <v>8156012.6781177744</v>
      </c>
      <c r="AF44" s="310" t="str">
        <f t="shared" si="1"/>
        <v>YES</v>
      </c>
      <c r="AG44" s="333">
        <v>42</v>
      </c>
      <c r="AI44" s="134" t="str">
        <f>A63</f>
        <v>ILS24-F00115</v>
      </c>
      <c r="AJ44" s="134" t="str">
        <f>B63</f>
        <v>Calvin Francis Masao</v>
      </c>
      <c r="AK44" s="145">
        <f>C63</f>
        <v>6421600.8477580156</v>
      </c>
      <c r="AL44" s="172" t="s">
        <v>392</v>
      </c>
    </row>
    <row r="45" spans="1:70" s="60" customFormat="1" ht="16.5" thickBot="1" x14ac:dyDescent="0.45">
      <c r="A45" s="332" t="str">
        <f>'DETAILS (sorted)'!A78</f>
        <v>ILS24-F00077</v>
      </c>
      <c r="B45" s="134" t="str">
        <f>'DETAILS (sorted)'!B78</f>
        <v>Shililiandumi Naiman</v>
      </c>
      <c r="C45" s="145">
        <f>'DETAILS (sorted)'!DS78</f>
        <v>11289226.752892096</v>
      </c>
      <c r="D45" s="134">
        <v>200000</v>
      </c>
      <c r="E45" s="134">
        <v>1000000</v>
      </c>
      <c r="F45" s="172">
        <v>100000</v>
      </c>
      <c r="G45" s="172">
        <v>100000</v>
      </c>
      <c r="H45" s="172">
        <v>100000</v>
      </c>
      <c r="I45" s="576">
        <v>100000</v>
      </c>
      <c r="J45" s="576">
        <v>100000</v>
      </c>
      <c r="K45" s="172">
        <v>100000</v>
      </c>
      <c r="L45" s="172">
        <v>100000</v>
      </c>
      <c r="M45" s="172">
        <v>100000</v>
      </c>
      <c r="N45" s="172">
        <v>100000</v>
      </c>
      <c r="O45" s="172">
        <v>100000</v>
      </c>
      <c r="P45" s="172">
        <v>100000</v>
      </c>
      <c r="Q45" s="172">
        <v>100000</v>
      </c>
      <c r="R45" s="172">
        <v>100000</v>
      </c>
      <c r="S45" s="172">
        <v>100000</v>
      </c>
      <c r="T45" s="172">
        <v>100000</v>
      </c>
      <c r="U45" s="172">
        <v>100000</v>
      </c>
      <c r="V45" s="172">
        <v>100000</v>
      </c>
      <c r="W45" s="172">
        <v>100000</v>
      </c>
      <c r="X45" s="172">
        <v>100000</v>
      </c>
      <c r="Y45" s="172">
        <v>100000</v>
      </c>
      <c r="Z45" s="172">
        <v>100000</v>
      </c>
      <c r="AA45" s="172">
        <v>100000</v>
      </c>
      <c r="AB45" s="327">
        <v>100000</v>
      </c>
      <c r="AC45" s="172"/>
      <c r="AD45" s="173">
        <f>SUM(D45:AC45)</f>
        <v>3500000</v>
      </c>
      <c r="AE45" s="174">
        <f>C45-AD45</f>
        <v>7789226.7528920956</v>
      </c>
      <c r="AF45" s="310" t="str">
        <f t="shared" si="1"/>
        <v>YES</v>
      </c>
      <c r="AG45" s="333">
        <v>43</v>
      </c>
      <c r="AI45" s="209"/>
      <c r="AJ45" s="209"/>
      <c r="AK45" s="171">
        <f>SUM(AK43:AK44)</f>
        <v>34789179.142923236</v>
      </c>
      <c r="AL45" s="209"/>
    </row>
    <row r="46" spans="1:70" s="60" customFormat="1" ht="16.5" thickBot="1" x14ac:dyDescent="0.45">
      <c r="A46" s="332" t="str">
        <f>'DETAILS (sorted)'!A47</f>
        <v>ILS24-F00046</v>
      </c>
      <c r="B46" s="134" t="str">
        <f>'DETAILS (sorted)'!B47</f>
        <v>Adolph William Ndeabura</v>
      </c>
      <c r="C46" s="145">
        <f>'DETAILS (sorted)'!DS47</f>
        <v>10767911.426271165</v>
      </c>
      <c r="D46" s="134">
        <v>200000</v>
      </c>
      <c r="E46" s="134">
        <v>1000000</v>
      </c>
      <c r="F46" s="172">
        <v>100000</v>
      </c>
      <c r="G46" s="172">
        <v>100000</v>
      </c>
      <c r="H46" s="172">
        <v>100000</v>
      </c>
      <c r="I46" s="576">
        <v>100000</v>
      </c>
      <c r="J46" s="576">
        <v>100000</v>
      </c>
      <c r="K46" s="172">
        <v>100000</v>
      </c>
      <c r="L46" s="172">
        <v>100000</v>
      </c>
      <c r="M46" s="172">
        <v>100000</v>
      </c>
      <c r="N46" s="172">
        <v>100000</v>
      </c>
      <c r="O46" s="172">
        <v>100000</v>
      </c>
      <c r="P46" s="172">
        <v>100000</v>
      </c>
      <c r="Q46" s="172">
        <v>100000</v>
      </c>
      <c r="R46" s="172">
        <v>100000</v>
      </c>
      <c r="S46" s="172">
        <v>100000</v>
      </c>
      <c r="T46" s="172">
        <v>100000</v>
      </c>
      <c r="U46" s="172">
        <v>100000</v>
      </c>
      <c r="V46" s="172">
        <v>100000</v>
      </c>
      <c r="W46" s="172">
        <v>100000</v>
      </c>
      <c r="X46" s="172">
        <v>100000</v>
      </c>
      <c r="Y46" s="172">
        <v>100000</v>
      </c>
      <c r="Z46" s="172">
        <v>100000</v>
      </c>
      <c r="AA46" s="172">
        <v>100000</v>
      </c>
      <c r="AB46" s="327">
        <v>100000</v>
      </c>
      <c r="AC46" s="172"/>
      <c r="AD46" s="173">
        <f>SUM(D46:AC46)</f>
        <v>3500000</v>
      </c>
      <c r="AE46" s="174">
        <f>C46-AD46</f>
        <v>7267911.4262711648</v>
      </c>
      <c r="AF46" s="310" t="str">
        <f t="shared" si="1"/>
        <v>YES</v>
      </c>
      <c r="AG46" s="333">
        <v>44</v>
      </c>
      <c r="AI46" s="438">
        <f>C45</f>
        <v>11289226.752892096</v>
      </c>
      <c r="AJ46" s="438"/>
      <c r="AK46" s="438"/>
      <c r="AL46" s="438"/>
      <c r="BP46" s="60" t="e">
        <f>#REF!+F46</f>
        <v>#REF!</v>
      </c>
      <c r="BR46" s="60">
        <f>C46+I46</f>
        <v>10867911.426271165</v>
      </c>
    </row>
    <row r="47" spans="1:70" s="60" customFormat="1" ht="16.5" thickBot="1" x14ac:dyDescent="0.45">
      <c r="A47" s="332" t="str">
        <f>'DETAILS (sorted)'!A90</f>
        <v>ILS24-F00089</v>
      </c>
      <c r="B47" s="134" t="str">
        <f>'DETAILS (sorted)'!B90</f>
        <v>Emmanuel Jonas Mungure</v>
      </c>
      <c r="C47" s="145">
        <f>'DETAILS (sorted)'!DS90</f>
        <v>10238089.010495214</v>
      </c>
      <c r="D47" s="134">
        <v>200000</v>
      </c>
      <c r="E47" s="134">
        <v>1000000</v>
      </c>
      <c r="F47" s="172">
        <v>100000</v>
      </c>
      <c r="G47" s="172">
        <v>100000</v>
      </c>
      <c r="H47" s="172">
        <v>100000</v>
      </c>
      <c r="I47" s="576">
        <v>100000</v>
      </c>
      <c r="J47" s="576">
        <v>100000</v>
      </c>
      <c r="K47" s="172">
        <v>100000</v>
      </c>
      <c r="L47" s="172">
        <v>100000</v>
      </c>
      <c r="M47" s="172">
        <v>100000</v>
      </c>
      <c r="N47" s="172">
        <v>100000</v>
      </c>
      <c r="O47" s="172">
        <v>100000</v>
      </c>
      <c r="P47" s="172">
        <v>100000</v>
      </c>
      <c r="Q47" s="172">
        <v>100000</v>
      </c>
      <c r="R47" s="172">
        <v>100000</v>
      </c>
      <c r="S47" s="172">
        <v>100000</v>
      </c>
      <c r="T47" s="172">
        <v>100000</v>
      </c>
      <c r="U47" s="172">
        <v>100000</v>
      </c>
      <c r="V47" s="172">
        <v>100000</v>
      </c>
      <c r="W47" s="172">
        <v>100000</v>
      </c>
      <c r="X47" s="172">
        <v>100000</v>
      </c>
      <c r="Y47" s="172">
        <v>100000</v>
      </c>
      <c r="Z47" s="172">
        <v>100000</v>
      </c>
      <c r="AA47" s="172">
        <v>100000</v>
      </c>
      <c r="AB47" s="327">
        <v>100000</v>
      </c>
      <c r="AC47" s="172"/>
      <c r="AD47" s="173">
        <f>SUM(D47:AC47)</f>
        <v>3500000</v>
      </c>
      <c r="AE47" s="337">
        <f>C47-AD47</f>
        <v>6738089.0104952138</v>
      </c>
      <c r="AF47" s="376" t="str">
        <f t="shared" si="1"/>
        <v>YES</v>
      </c>
      <c r="AG47" s="333">
        <v>45</v>
      </c>
    </row>
    <row r="48" spans="1:70" s="60" customFormat="1" ht="16.5" thickBot="1" x14ac:dyDescent="0.45">
      <c r="A48" s="332" t="str">
        <f>'DETAILS (sorted)'!A110</f>
        <v>ILS24-F00109</v>
      </c>
      <c r="B48" s="134" t="str">
        <f>'DETAILS (sorted)'!B110</f>
        <v>Salum Masudi Hassan</v>
      </c>
      <c r="C48" s="145">
        <f>'DETAILS (sorted)'!DS110</f>
        <v>10222561.402843853</v>
      </c>
      <c r="D48" s="134">
        <v>200000</v>
      </c>
      <c r="E48" s="134">
        <v>1000000</v>
      </c>
      <c r="F48" s="172">
        <v>100000</v>
      </c>
      <c r="G48" s="172">
        <v>100000</v>
      </c>
      <c r="H48" s="172">
        <v>100000</v>
      </c>
      <c r="I48" s="576">
        <v>100000</v>
      </c>
      <c r="J48" s="576">
        <v>100000</v>
      </c>
      <c r="K48" s="172">
        <v>100000</v>
      </c>
      <c r="L48" s="172">
        <v>100000</v>
      </c>
      <c r="M48" s="172">
        <v>100000</v>
      </c>
      <c r="N48" s="172">
        <v>100000</v>
      </c>
      <c r="O48" s="172">
        <v>100000</v>
      </c>
      <c r="P48" s="172">
        <v>100000</v>
      </c>
      <c r="Q48" s="172">
        <v>100000</v>
      </c>
      <c r="R48" s="172">
        <v>100000</v>
      </c>
      <c r="S48" s="172">
        <v>100000</v>
      </c>
      <c r="T48" s="172">
        <v>100000</v>
      </c>
      <c r="U48" s="172">
        <v>100000</v>
      </c>
      <c r="V48" s="172">
        <v>100000</v>
      </c>
      <c r="W48" s="172">
        <v>100000</v>
      </c>
      <c r="X48" s="172">
        <v>100000</v>
      </c>
      <c r="Y48" s="172">
        <v>100000</v>
      </c>
      <c r="Z48" s="172">
        <v>100000</v>
      </c>
      <c r="AA48" s="172">
        <v>100000</v>
      </c>
      <c r="AB48" s="327">
        <v>100000</v>
      </c>
      <c r="AC48" s="172"/>
      <c r="AD48" s="173">
        <f>SUM(D48:AC48)</f>
        <v>3500000</v>
      </c>
      <c r="AE48" s="174">
        <f>C48-AD48</f>
        <v>6722561.4028438535</v>
      </c>
      <c r="AF48" s="465" t="str">
        <f t="shared" si="1"/>
        <v>YES</v>
      </c>
      <c r="AG48" s="333">
        <v>46</v>
      </c>
      <c r="AI48" s="60">
        <f>C48</f>
        <v>10222561.402843853</v>
      </c>
    </row>
    <row r="49" spans="1:41" s="60" customFormat="1" ht="16.5" thickBot="1" x14ac:dyDescent="0.45">
      <c r="A49" s="332" t="str">
        <f>'DETAILS (sorted)'!A102</f>
        <v>ILS24-F00101</v>
      </c>
      <c r="B49" s="134" t="str">
        <f>'DETAILS (sorted)'!B102</f>
        <v xml:space="preserve">Is-Haka Mkwawa </v>
      </c>
      <c r="C49" s="145">
        <f>'DETAILS (sorted)'!DS102</f>
        <v>10190210.89560489</v>
      </c>
      <c r="D49" s="134">
        <v>200000</v>
      </c>
      <c r="E49" s="134">
        <v>1000000</v>
      </c>
      <c r="F49" s="172">
        <v>100000</v>
      </c>
      <c r="G49" s="172">
        <v>100000</v>
      </c>
      <c r="H49" s="172">
        <v>100000</v>
      </c>
      <c r="I49" s="576">
        <v>100000</v>
      </c>
      <c r="J49" s="576">
        <v>100000</v>
      </c>
      <c r="K49" s="172">
        <v>100000</v>
      </c>
      <c r="L49" s="172">
        <v>100000</v>
      </c>
      <c r="M49" s="172">
        <v>100000</v>
      </c>
      <c r="N49" s="172">
        <v>100000</v>
      </c>
      <c r="O49" s="172">
        <v>100000</v>
      </c>
      <c r="P49" s="172">
        <v>100000</v>
      </c>
      <c r="Q49" s="172">
        <v>100000</v>
      </c>
      <c r="R49" s="172">
        <v>100000</v>
      </c>
      <c r="S49" s="172">
        <v>100000</v>
      </c>
      <c r="T49" s="172">
        <v>100000</v>
      </c>
      <c r="U49" s="172">
        <v>100000</v>
      </c>
      <c r="V49" s="172">
        <v>100000</v>
      </c>
      <c r="W49" s="172">
        <v>100000</v>
      </c>
      <c r="X49" s="172">
        <v>100000</v>
      </c>
      <c r="Y49" s="172">
        <v>100000</v>
      </c>
      <c r="Z49" s="172">
        <v>100000</v>
      </c>
      <c r="AA49" s="172">
        <v>100000</v>
      </c>
      <c r="AB49" s="327">
        <v>100000</v>
      </c>
      <c r="AC49" s="172"/>
      <c r="AD49" s="173">
        <f>SUM(D49:AC49)</f>
        <v>3500000</v>
      </c>
      <c r="AE49" s="174">
        <f>C49-AD49</f>
        <v>6690210.8956048898</v>
      </c>
      <c r="AF49" s="465" t="str">
        <f t="shared" si="1"/>
        <v>YES</v>
      </c>
      <c r="AG49" s="333">
        <v>47</v>
      </c>
      <c r="AI49" s="60">
        <v>12000000</v>
      </c>
      <c r="AJ49" s="60">
        <f>AI49*5%</f>
        <v>600000</v>
      </c>
    </row>
    <row r="50" spans="1:41" s="60" customFormat="1" ht="16.5" thickBot="1" x14ac:dyDescent="0.45">
      <c r="A50" s="332" t="str">
        <f>'DETAILS (sorted)'!A118</f>
        <v>ILS24-F00117</v>
      </c>
      <c r="B50" s="134" t="str">
        <f>'DETAILS (sorted)'!B118</f>
        <v xml:space="preserve">Kajiru Gad Kilonzo </v>
      </c>
      <c r="C50" s="145">
        <f>'DETAILS (sorted)'!DS118</f>
        <v>10190210.89560489</v>
      </c>
      <c r="D50" s="134">
        <v>200000</v>
      </c>
      <c r="E50" s="134">
        <v>1000000</v>
      </c>
      <c r="F50" s="172">
        <v>100000</v>
      </c>
      <c r="G50" s="172">
        <v>100000</v>
      </c>
      <c r="H50" s="172">
        <v>100000</v>
      </c>
      <c r="I50" s="576">
        <v>100000</v>
      </c>
      <c r="J50" s="576">
        <v>100000</v>
      </c>
      <c r="K50" s="172">
        <v>100000</v>
      </c>
      <c r="L50" s="172">
        <v>100000</v>
      </c>
      <c r="M50" s="172">
        <v>100000</v>
      </c>
      <c r="N50" s="172">
        <v>100000</v>
      </c>
      <c r="O50" s="172">
        <v>100000</v>
      </c>
      <c r="P50" s="172">
        <v>100000</v>
      </c>
      <c r="Q50" s="172">
        <v>100000</v>
      </c>
      <c r="R50" s="172">
        <v>100000</v>
      </c>
      <c r="S50" s="172">
        <v>100000</v>
      </c>
      <c r="T50" s="172">
        <v>100000</v>
      </c>
      <c r="U50" s="172">
        <v>100000</v>
      </c>
      <c r="V50" s="172">
        <v>100000</v>
      </c>
      <c r="W50" s="172">
        <v>100000</v>
      </c>
      <c r="X50" s="172">
        <v>100000</v>
      </c>
      <c r="Y50" s="172">
        <v>100000</v>
      </c>
      <c r="Z50" s="172">
        <v>100000</v>
      </c>
      <c r="AA50" s="172">
        <v>100000</v>
      </c>
      <c r="AB50" s="327">
        <v>100000</v>
      </c>
      <c r="AC50" s="172"/>
      <c r="AD50" s="173">
        <f>SUM(D50:AC50)</f>
        <v>3500000</v>
      </c>
      <c r="AE50" s="174">
        <f>C50-AD50</f>
        <v>6690210.8956048898</v>
      </c>
      <c r="AF50" s="310" t="str">
        <f t="shared" si="1"/>
        <v>YES</v>
      </c>
      <c r="AG50" s="333">
        <v>48</v>
      </c>
      <c r="AI50" s="60">
        <f>AI25+AH29+AI46+AI48</f>
        <v>54417688.14726337</v>
      </c>
      <c r="AN50" s="5" t="s">
        <v>394</v>
      </c>
      <c r="AO50" s="176"/>
    </row>
    <row r="51" spans="1:41" s="60" customFormat="1" ht="16.5" thickBot="1" x14ac:dyDescent="0.45">
      <c r="A51" s="332" t="str">
        <f>'DETAILS (sorted)'!A41</f>
        <v>ILS24-F00040</v>
      </c>
      <c r="B51" s="134" t="str">
        <f>'DETAILS (sorted)'!B41</f>
        <v xml:space="preserve">Ahmad Yahya </v>
      </c>
      <c r="C51" s="145">
        <f>'DETAILS (sorted)'!DS41</f>
        <v>10151755.117282866</v>
      </c>
      <c r="D51" s="134">
        <v>200000</v>
      </c>
      <c r="E51" s="134">
        <v>1000000</v>
      </c>
      <c r="F51" s="172">
        <v>100000</v>
      </c>
      <c r="G51" s="172">
        <v>100000</v>
      </c>
      <c r="H51" s="172">
        <v>100000</v>
      </c>
      <c r="I51" s="576">
        <v>100000</v>
      </c>
      <c r="J51" s="576">
        <v>100000</v>
      </c>
      <c r="K51" s="172">
        <v>100000</v>
      </c>
      <c r="L51" s="172">
        <v>100000</v>
      </c>
      <c r="M51" s="172">
        <v>100000</v>
      </c>
      <c r="N51" s="172">
        <v>100000</v>
      </c>
      <c r="O51" s="172">
        <v>100000</v>
      </c>
      <c r="P51" s="172">
        <v>100000</v>
      </c>
      <c r="Q51" s="172">
        <v>100000</v>
      </c>
      <c r="R51" s="172">
        <v>100000</v>
      </c>
      <c r="S51" s="172">
        <v>100000</v>
      </c>
      <c r="T51" s="172">
        <v>100000</v>
      </c>
      <c r="U51" s="172">
        <v>100000</v>
      </c>
      <c r="V51" s="172">
        <v>100000</v>
      </c>
      <c r="W51" s="172">
        <v>100000</v>
      </c>
      <c r="X51" s="172">
        <v>100000</v>
      </c>
      <c r="Y51" s="172">
        <v>100000</v>
      </c>
      <c r="Z51" s="172">
        <v>100000</v>
      </c>
      <c r="AA51" s="172">
        <v>100000</v>
      </c>
      <c r="AB51" s="327">
        <v>100000</v>
      </c>
      <c r="AC51" s="172"/>
      <c r="AD51" s="173">
        <f>SUM(D51:AC51)</f>
        <v>3500000</v>
      </c>
      <c r="AE51" s="174">
        <f>C51-AD51</f>
        <v>6651755.1172828656</v>
      </c>
      <c r="AF51" s="310" t="str">
        <f t="shared" si="1"/>
        <v>YES</v>
      </c>
      <c r="AG51" s="333">
        <v>49</v>
      </c>
      <c r="AI51" s="438"/>
      <c r="AJ51" s="438"/>
      <c r="AK51" s="438"/>
      <c r="AL51" s="438"/>
      <c r="AN51" s="60" t="s">
        <v>395</v>
      </c>
      <c r="AO51" s="60">
        <v>200000</v>
      </c>
    </row>
    <row r="52" spans="1:41" s="60" customFormat="1" ht="16.5" thickBot="1" x14ac:dyDescent="0.45">
      <c r="A52" s="332" t="str">
        <f>'DETAILS (sorted)'!A108</f>
        <v>ILS24-F00107</v>
      </c>
      <c r="B52" s="134" t="str">
        <f>'DETAILS (sorted)'!B108</f>
        <v>Francis Mwasilu</v>
      </c>
      <c r="C52" s="145">
        <f>'DETAILS (sorted)'!DS108</f>
        <v>9159403.2491981611</v>
      </c>
      <c r="D52" s="134">
        <v>200000</v>
      </c>
      <c r="E52" s="134">
        <v>1000000</v>
      </c>
      <c r="F52" s="172">
        <v>100000</v>
      </c>
      <c r="G52" s="172">
        <v>100000</v>
      </c>
      <c r="H52" s="172">
        <v>100000</v>
      </c>
      <c r="I52" s="576">
        <v>100000</v>
      </c>
      <c r="J52" s="576">
        <v>100000</v>
      </c>
      <c r="K52" s="172">
        <v>100000</v>
      </c>
      <c r="L52" s="172">
        <v>100000</v>
      </c>
      <c r="M52" s="172">
        <v>100000</v>
      </c>
      <c r="N52" s="172">
        <v>100000</v>
      </c>
      <c r="O52" s="172">
        <v>100000</v>
      </c>
      <c r="P52" s="172">
        <v>100000</v>
      </c>
      <c r="Q52" s="172">
        <v>100000</v>
      </c>
      <c r="R52" s="172">
        <v>100000</v>
      </c>
      <c r="S52" s="172">
        <v>100000</v>
      </c>
      <c r="T52" s="172">
        <v>100000</v>
      </c>
      <c r="U52" s="172">
        <v>100000</v>
      </c>
      <c r="V52" s="172">
        <v>100000</v>
      </c>
      <c r="W52" s="172">
        <v>100000</v>
      </c>
      <c r="X52" s="172">
        <v>100000</v>
      </c>
      <c r="Y52" s="172">
        <v>100000</v>
      </c>
      <c r="Z52" s="172">
        <v>100000</v>
      </c>
      <c r="AA52" s="172">
        <v>100000</v>
      </c>
      <c r="AB52" s="327">
        <v>100000</v>
      </c>
      <c r="AC52" s="172"/>
      <c r="AD52" s="173">
        <f>SUM(D52:AC52)</f>
        <v>3500000</v>
      </c>
      <c r="AE52" s="174">
        <f>C52-AD52</f>
        <v>5659403.2491981611</v>
      </c>
      <c r="AF52" s="310" t="str">
        <f t="shared" si="1"/>
        <v>YES</v>
      </c>
      <c r="AG52" s="333">
        <v>50</v>
      </c>
      <c r="AI52" s="438"/>
      <c r="AJ52" s="438"/>
      <c r="AK52" s="438"/>
      <c r="AL52" s="438"/>
      <c r="AN52" s="60" t="s">
        <v>396</v>
      </c>
      <c r="AO52" s="60">
        <v>1000000</v>
      </c>
    </row>
    <row r="53" spans="1:41" s="60" customFormat="1" ht="16.5" thickBot="1" x14ac:dyDescent="0.45">
      <c r="A53" s="332" t="str">
        <f>'DETAILS (sorted)'!A42</f>
        <v>ILS24-F00041</v>
      </c>
      <c r="B53" s="134" t="str">
        <f>'DETAILS (sorted)'!B42</f>
        <v>Edgar Shumbusho</v>
      </c>
      <c r="C53" s="145">
        <f>'DETAILS (sorted)'!DS42</f>
        <v>9118798.2763015889</v>
      </c>
      <c r="D53" s="134">
        <v>200000</v>
      </c>
      <c r="E53" s="134">
        <v>1000000</v>
      </c>
      <c r="F53" s="172">
        <v>100000</v>
      </c>
      <c r="G53" s="172">
        <v>100000</v>
      </c>
      <c r="H53" s="172">
        <v>100000</v>
      </c>
      <c r="I53" s="576">
        <v>100000</v>
      </c>
      <c r="J53" s="576">
        <v>100000</v>
      </c>
      <c r="K53" s="172">
        <v>100000</v>
      </c>
      <c r="L53" s="172">
        <v>100000</v>
      </c>
      <c r="M53" s="172">
        <v>100000</v>
      </c>
      <c r="N53" s="172">
        <v>100000</v>
      </c>
      <c r="O53" s="172">
        <v>100000</v>
      </c>
      <c r="P53" s="172">
        <v>100000</v>
      </c>
      <c r="Q53" s="172">
        <v>100000</v>
      </c>
      <c r="R53" s="172">
        <v>100000</v>
      </c>
      <c r="S53" s="172">
        <v>100000</v>
      </c>
      <c r="T53" s="172">
        <v>100000</v>
      </c>
      <c r="U53" s="172">
        <v>100000</v>
      </c>
      <c r="V53" s="172">
        <v>100000</v>
      </c>
      <c r="W53" s="172">
        <v>100000</v>
      </c>
      <c r="X53" s="172">
        <v>100000</v>
      </c>
      <c r="Y53" s="172">
        <v>100000</v>
      </c>
      <c r="Z53" s="172">
        <v>100000</v>
      </c>
      <c r="AA53" s="172">
        <v>100000</v>
      </c>
      <c r="AB53" s="327">
        <v>100000</v>
      </c>
      <c r="AC53" s="172"/>
      <c r="AD53" s="173">
        <f>SUM(D53:AC53)</f>
        <v>3500000</v>
      </c>
      <c r="AE53" s="174">
        <f>C53-AD53</f>
        <v>5618798.2763015889</v>
      </c>
      <c r="AF53" s="310" t="str">
        <f t="shared" si="1"/>
        <v>YES</v>
      </c>
      <c r="AG53" s="333">
        <v>51</v>
      </c>
      <c r="AI53" s="438"/>
      <c r="AJ53" s="438"/>
      <c r="AK53" s="438"/>
      <c r="AL53" s="438"/>
      <c r="AN53" s="60" t="s">
        <v>397</v>
      </c>
      <c r="AO53" s="60">
        <v>100000</v>
      </c>
    </row>
    <row r="54" spans="1:41" s="60" customFormat="1" ht="16.5" thickBot="1" x14ac:dyDescent="0.45">
      <c r="A54" s="332" t="str">
        <f>'DETAILS (sorted)'!A97</f>
        <v>ILS24-F00096</v>
      </c>
      <c r="B54" s="134" t="str">
        <f>'DETAILS (sorted)'!B97</f>
        <v>Paul Silas Masatu</v>
      </c>
      <c r="C54" s="145">
        <f>'DETAILS (sorted)'!DS97</f>
        <v>8447856.4700327553</v>
      </c>
      <c r="D54" s="134">
        <v>200000</v>
      </c>
      <c r="E54" s="134">
        <v>1000000</v>
      </c>
      <c r="F54" s="172">
        <v>100000</v>
      </c>
      <c r="G54" s="172">
        <v>100000</v>
      </c>
      <c r="H54" s="172">
        <v>100000</v>
      </c>
      <c r="I54" s="576">
        <v>100000</v>
      </c>
      <c r="J54" s="576">
        <v>100000</v>
      </c>
      <c r="K54" s="172">
        <v>100000</v>
      </c>
      <c r="L54" s="172">
        <v>100000</v>
      </c>
      <c r="M54" s="172">
        <v>100000</v>
      </c>
      <c r="N54" s="172">
        <v>100000</v>
      </c>
      <c r="O54" s="172">
        <v>100000</v>
      </c>
      <c r="P54" s="172">
        <v>100000</v>
      </c>
      <c r="Q54" s="172">
        <v>100000</v>
      </c>
      <c r="R54" s="172">
        <v>100000</v>
      </c>
      <c r="S54" s="172">
        <v>100000</v>
      </c>
      <c r="T54" s="172">
        <v>100000</v>
      </c>
      <c r="U54" s="172">
        <v>100000</v>
      </c>
      <c r="V54" s="172">
        <v>100000</v>
      </c>
      <c r="W54" s="172">
        <v>100000</v>
      </c>
      <c r="X54" s="172">
        <v>100000</v>
      </c>
      <c r="Y54" s="172">
        <v>100000</v>
      </c>
      <c r="Z54" s="172">
        <v>100000</v>
      </c>
      <c r="AA54" s="172">
        <v>100000</v>
      </c>
      <c r="AB54" s="327">
        <v>100000</v>
      </c>
      <c r="AC54" s="172"/>
      <c r="AD54" s="173">
        <f>SUM(D54:AC54)</f>
        <v>3500000</v>
      </c>
      <c r="AE54" s="174">
        <f>C54-AD54</f>
        <v>4947856.4700327553</v>
      </c>
      <c r="AF54" s="310" t="str">
        <f t="shared" si="1"/>
        <v>YES</v>
      </c>
      <c r="AG54" s="333">
        <v>52</v>
      </c>
      <c r="AI54" s="169" t="s">
        <v>337</v>
      </c>
      <c r="AJ54" s="438">
        <v>40000000</v>
      </c>
      <c r="AK54" s="438"/>
      <c r="AL54" s="438"/>
    </row>
    <row r="55" spans="1:41" s="60" customFormat="1" ht="16.5" thickBot="1" x14ac:dyDescent="0.45">
      <c r="A55" s="332" t="str">
        <f>'DETAILS (sorted)'!A113</f>
        <v>ILS24-F00112</v>
      </c>
      <c r="B55" s="134" t="str">
        <f>'DETAILS (sorted)'!B113</f>
        <v>Bruno Sunguya</v>
      </c>
      <c r="C55" s="145">
        <f>'DETAILS (sorted)'!DS113</f>
        <v>8447856.4700327553</v>
      </c>
      <c r="D55" s="134">
        <v>200000</v>
      </c>
      <c r="E55" s="134">
        <v>1000000</v>
      </c>
      <c r="F55" s="172">
        <v>100000</v>
      </c>
      <c r="G55" s="172">
        <v>100000</v>
      </c>
      <c r="H55" s="172">
        <v>100000</v>
      </c>
      <c r="I55" s="576">
        <v>100000</v>
      </c>
      <c r="J55" s="576">
        <v>100000</v>
      </c>
      <c r="K55" s="172">
        <v>100000</v>
      </c>
      <c r="L55" s="172">
        <v>100000</v>
      </c>
      <c r="M55" s="172">
        <v>100000</v>
      </c>
      <c r="N55" s="172">
        <v>100000</v>
      </c>
      <c r="O55" s="172">
        <v>100000</v>
      </c>
      <c r="P55" s="172">
        <v>100000</v>
      </c>
      <c r="Q55" s="172">
        <v>100000</v>
      </c>
      <c r="R55" s="172">
        <v>100000</v>
      </c>
      <c r="S55" s="172">
        <v>100000</v>
      </c>
      <c r="T55" s="172">
        <v>100000</v>
      </c>
      <c r="U55" s="172">
        <v>100000</v>
      </c>
      <c r="V55" s="172">
        <v>100000</v>
      </c>
      <c r="W55" s="172">
        <v>100000</v>
      </c>
      <c r="X55" s="172">
        <v>100000</v>
      </c>
      <c r="Y55" s="172">
        <v>100000</v>
      </c>
      <c r="Z55" s="172">
        <v>100000</v>
      </c>
      <c r="AA55" s="172">
        <v>100000</v>
      </c>
      <c r="AB55" s="327">
        <v>100000</v>
      </c>
      <c r="AC55" s="172"/>
      <c r="AD55" s="173">
        <f>SUM(D55:AC55)</f>
        <v>3500000</v>
      </c>
      <c r="AE55" s="174">
        <f>C55-AD55</f>
        <v>4947856.4700327553</v>
      </c>
      <c r="AF55" s="310" t="str">
        <f t="shared" si="1"/>
        <v>YES</v>
      </c>
      <c r="AG55" s="333">
        <v>53</v>
      </c>
      <c r="AJ55" s="60">
        <f>AJ54*1.5%</f>
        <v>600000</v>
      </c>
    </row>
    <row r="56" spans="1:41" s="60" customFormat="1" ht="16.5" thickBot="1" x14ac:dyDescent="0.45">
      <c r="A56" s="332" t="str">
        <f>'DETAILS (sorted)'!A39</f>
        <v>ILS24-F00038</v>
      </c>
      <c r="B56" s="134" t="str">
        <f>'DETAILS (sorted)'!B39</f>
        <v>Charles Suka Jangu</v>
      </c>
      <c r="C56" s="145">
        <f>'DETAILS (sorted)'!DS39</f>
        <v>8429314.5161899924</v>
      </c>
      <c r="D56" s="134">
        <v>200000</v>
      </c>
      <c r="E56" s="134">
        <v>1000000</v>
      </c>
      <c r="F56" s="172">
        <v>100000</v>
      </c>
      <c r="G56" s="172">
        <v>100000</v>
      </c>
      <c r="H56" s="172">
        <v>100000</v>
      </c>
      <c r="I56" s="576">
        <v>100000</v>
      </c>
      <c r="J56" s="576">
        <v>100000</v>
      </c>
      <c r="K56" s="172">
        <v>100000</v>
      </c>
      <c r="L56" s="172">
        <v>100000</v>
      </c>
      <c r="M56" s="172">
        <v>100000</v>
      </c>
      <c r="N56" s="172">
        <v>100000</v>
      </c>
      <c r="O56" s="172">
        <v>100000</v>
      </c>
      <c r="P56" s="172">
        <v>100000</v>
      </c>
      <c r="Q56" s="172">
        <v>100000</v>
      </c>
      <c r="R56" s="172">
        <v>100000</v>
      </c>
      <c r="S56" s="172">
        <v>100000</v>
      </c>
      <c r="T56" s="172">
        <v>100000</v>
      </c>
      <c r="U56" s="172">
        <v>100000</v>
      </c>
      <c r="V56" s="172">
        <v>100000</v>
      </c>
      <c r="W56" s="172">
        <v>100000</v>
      </c>
      <c r="X56" s="172">
        <v>100000</v>
      </c>
      <c r="Y56" s="172">
        <v>100000</v>
      </c>
      <c r="Z56" s="172">
        <v>100000</v>
      </c>
      <c r="AA56" s="172">
        <v>100000</v>
      </c>
      <c r="AB56" s="327">
        <v>100000</v>
      </c>
      <c r="AC56" s="172"/>
      <c r="AD56" s="173">
        <f>SUM(D56:AC56)</f>
        <v>3500000</v>
      </c>
      <c r="AE56" s="174">
        <f>C56-AD56</f>
        <v>4929314.5161899924</v>
      </c>
      <c r="AF56" s="310" t="str">
        <f t="shared" si="1"/>
        <v>YES</v>
      </c>
      <c r="AG56" s="333">
        <v>54</v>
      </c>
      <c r="AJ56" s="60">
        <f>SUM(AJ54:AJ55)</f>
        <v>40600000</v>
      </c>
    </row>
    <row r="57" spans="1:41" s="60" customFormat="1" ht="16.5" thickBot="1" x14ac:dyDescent="0.45">
      <c r="A57" s="332" t="str">
        <f>'DETAILS (sorted)'!A64</f>
        <v>ILS24-F00063</v>
      </c>
      <c r="B57" s="134" t="str">
        <f>'DETAILS (sorted)'!B64</f>
        <v>Ted Frank Silkiluwasha</v>
      </c>
      <c r="C57" s="145">
        <f>'DETAILS (sorted)'!DS64</f>
        <v>8308067.6792666558</v>
      </c>
      <c r="D57" s="134">
        <v>200000</v>
      </c>
      <c r="E57" s="134">
        <v>1000000</v>
      </c>
      <c r="F57" s="172">
        <v>100000</v>
      </c>
      <c r="G57" s="172">
        <v>100000</v>
      </c>
      <c r="H57" s="172">
        <v>100000</v>
      </c>
      <c r="I57" s="576">
        <v>100000</v>
      </c>
      <c r="J57" s="576">
        <v>100000</v>
      </c>
      <c r="K57" s="172">
        <v>100000</v>
      </c>
      <c r="L57" s="172">
        <v>100000</v>
      </c>
      <c r="M57" s="172">
        <v>100000</v>
      </c>
      <c r="N57" s="172">
        <v>100000</v>
      </c>
      <c r="O57" s="172">
        <v>100000</v>
      </c>
      <c r="P57" s="172">
        <v>100000</v>
      </c>
      <c r="Q57" s="172">
        <v>100000</v>
      </c>
      <c r="R57" s="172">
        <v>100000</v>
      </c>
      <c r="S57" s="172">
        <v>100000</v>
      </c>
      <c r="T57" s="172">
        <v>100000</v>
      </c>
      <c r="U57" s="172">
        <v>100000</v>
      </c>
      <c r="V57" s="172">
        <v>100000</v>
      </c>
      <c r="W57" s="172">
        <v>100000</v>
      </c>
      <c r="X57" s="172">
        <v>100000</v>
      </c>
      <c r="Y57" s="172">
        <v>100000</v>
      </c>
      <c r="Z57" s="172">
        <v>100000</v>
      </c>
      <c r="AA57" s="172">
        <v>100000</v>
      </c>
      <c r="AB57" s="327">
        <v>100000</v>
      </c>
      <c r="AC57" s="172"/>
      <c r="AD57" s="173">
        <f>SUM(D57:AC57)</f>
        <v>3500000</v>
      </c>
      <c r="AE57" s="174">
        <f>C57-AD57</f>
        <v>4808067.6792666558</v>
      </c>
      <c r="AF57" s="310" t="str">
        <f t="shared" si="1"/>
        <v>YES</v>
      </c>
      <c r="AG57" s="333">
        <v>55</v>
      </c>
      <c r="AI57" s="438" t="s">
        <v>399</v>
      </c>
      <c r="AJ57" s="438"/>
      <c r="AK57" s="438"/>
      <c r="AL57" s="438"/>
    </row>
    <row r="58" spans="1:41" s="60" customFormat="1" ht="16.5" thickBot="1" x14ac:dyDescent="0.45">
      <c r="A58" s="332" t="str">
        <f>'DETAILS (sorted)'!A65</f>
        <v>ILS24-F00064</v>
      </c>
      <c r="B58" s="134" t="str">
        <f>'DETAILS (sorted)'!B65</f>
        <v>Deogratius Mathew Lashayo</v>
      </c>
      <c r="C58" s="145">
        <f>'DETAILS (sorted)'!DS65</f>
        <v>8279168.2144382838</v>
      </c>
      <c r="D58" s="134">
        <v>200000</v>
      </c>
      <c r="E58" s="134">
        <v>1000000</v>
      </c>
      <c r="F58" s="172">
        <v>100000</v>
      </c>
      <c r="G58" s="172">
        <v>100000</v>
      </c>
      <c r="H58" s="172">
        <v>100000</v>
      </c>
      <c r="I58" s="576">
        <v>100000</v>
      </c>
      <c r="J58" s="576">
        <v>100000</v>
      </c>
      <c r="K58" s="172">
        <v>100000</v>
      </c>
      <c r="L58" s="172">
        <v>100000</v>
      </c>
      <c r="M58" s="172">
        <v>100000</v>
      </c>
      <c r="N58" s="172">
        <v>100000</v>
      </c>
      <c r="O58" s="172">
        <v>100000</v>
      </c>
      <c r="P58" s="172">
        <v>100000</v>
      </c>
      <c r="Q58" s="172">
        <v>100000</v>
      </c>
      <c r="R58" s="172">
        <v>100000</v>
      </c>
      <c r="S58" s="172">
        <v>100000</v>
      </c>
      <c r="T58" s="172">
        <v>100000</v>
      </c>
      <c r="U58" s="172">
        <v>100000</v>
      </c>
      <c r="V58" s="172">
        <v>100000</v>
      </c>
      <c r="W58" s="172">
        <v>100000</v>
      </c>
      <c r="X58" s="172">
        <v>100000</v>
      </c>
      <c r="Y58" s="172">
        <v>100000</v>
      </c>
      <c r="Z58" s="172">
        <v>100000</v>
      </c>
      <c r="AA58" s="172">
        <v>100000</v>
      </c>
      <c r="AB58" s="327">
        <v>100000</v>
      </c>
      <c r="AC58" s="172"/>
      <c r="AD58" s="173">
        <f>SUM(D58:AC58)</f>
        <v>3500000</v>
      </c>
      <c r="AE58" s="174">
        <f>C58-AD58</f>
        <v>4779168.2144382838</v>
      </c>
      <c r="AF58" s="310" t="str">
        <f t="shared" si="1"/>
        <v>YES</v>
      </c>
      <c r="AG58" s="333">
        <v>56</v>
      </c>
      <c r="AI58" s="438"/>
      <c r="AJ58" s="438"/>
      <c r="AK58" s="438"/>
      <c r="AL58" s="438"/>
    </row>
    <row r="59" spans="1:41" s="60" customFormat="1" ht="16.5" thickBot="1" x14ac:dyDescent="0.45">
      <c r="A59" s="332" t="str">
        <f>'DETAILS (sorted)'!A83</f>
        <v>ILS24-F00082</v>
      </c>
      <c r="B59" s="134" t="str">
        <f>'DETAILS (sorted)'!B83</f>
        <v xml:space="preserve">Edson Pascal Rwechungura </v>
      </c>
      <c r="C59" s="145">
        <f>'DETAILS (sorted)'!DS83</f>
        <v>8207708.8568918901</v>
      </c>
      <c r="D59" s="134">
        <v>200000</v>
      </c>
      <c r="E59" s="134">
        <v>1000000</v>
      </c>
      <c r="F59" s="172">
        <v>100000</v>
      </c>
      <c r="G59" s="172">
        <v>100000</v>
      </c>
      <c r="H59" s="172">
        <v>100000</v>
      </c>
      <c r="I59" s="576">
        <v>100000</v>
      </c>
      <c r="J59" s="576">
        <v>100000</v>
      </c>
      <c r="K59" s="172">
        <v>100000</v>
      </c>
      <c r="L59" s="172">
        <v>100000</v>
      </c>
      <c r="M59" s="172">
        <v>100000</v>
      </c>
      <c r="N59" s="172">
        <v>100000</v>
      </c>
      <c r="O59" s="172">
        <v>100000</v>
      </c>
      <c r="P59" s="172">
        <v>100000</v>
      </c>
      <c r="Q59" s="172">
        <v>100000</v>
      </c>
      <c r="R59" s="172">
        <v>100000</v>
      </c>
      <c r="S59" s="172">
        <v>100000</v>
      </c>
      <c r="T59" s="172">
        <v>100000</v>
      </c>
      <c r="U59" s="172">
        <v>100000</v>
      </c>
      <c r="V59" s="172">
        <v>100000</v>
      </c>
      <c r="W59" s="172">
        <v>100000</v>
      </c>
      <c r="X59" s="172">
        <v>100000</v>
      </c>
      <c r="Y59" s="172">
        <v>100000</v>
      </c>
      <c r="Z59" s="172">
        <v>100000</v>
      </c>
      <c r="AA59" s="172">
        <v>100000</v>
      </c>
      <c r="AB59" s="327">
        <v>100000</v>
      </c>
      <c r="AC59" s="172"/>
      <c r="AD59" s="173">
        <f>SUM(D59:AC59)</f>
        <v>3500000</v>
      </c>
      <c r="AE59" s="174">
        <f>C59-AD59</f>
        <v>4707708.8568918901</v>
      </c>
      <c r="AF59" s="310" t="str">
        <f t="shared" si="1"/>
        <v>YES</v>
      </c>
      <c r="AG59" s="333">
        <v>57</v>
      </c>
      <c r="AI59" s="438"/>
      <c r="AJ59" s="438"/>
      <c r="AK59" s="438"/>
      <c r="AL59" s="438"/>
    </row>
    <row r="60" spans="1:41" s="60" customFormat="1" ht="16.5" thickBot="1" x14ac:dyDescent="0.45">
      <c r="A60" s="332" t="str">
        <f>'DETAILS (sorted)'!A141</f>
        <v>ILS24-F00140</v>
      </c>
      <c r="B60" s="134" t="str">
        <f>'DETAILS (sorted)'!B141</f>
        <v>Mwombeki Florian Fabian</v>
      </c>
      <c r="C60" s="145">
        <f>'DETAILS (sorted)'!DS141</f>
        <v>7989323.3927934663</v>
      </c>
      <c r="D60" s="134">
        <v>200000</v>
      </c>
      <c r="E60" s="134">
        <v>1000000</v>
      </c>
      <c r="F60" s="172">
        <v>100000</v>
      </c>
      <c r="G60" s="172">
        <v>100000</v>
      </c>
      <c r="H60" s="172">
        <v>100000</v>
      </c>
      <c r="I60" s="576">
        <v>100000</v>
      </c>
      <c r="J60" s="576">
        <v>100000</v>
      </c>
      <c r="K60" s="172">
        <v>100000</v>
      </c>
      <c r="L60" s="172">
        <v>100000</v>
      </c>
      <c r="M60" s="172">
        <v>100000</v>
      </c>
      <c r="N60" s="172">
        <v>100000</v>
      </c>
      <c r="O60" s="172">
        <v>100000</v>
      </c>
      <c r="P60" s="172">
        <v>100000</v>
      </c>
      <c r="Q60" s="172">
        <v>100000</v>
      </c>
      <c r="R60" s="172">
        <v>100000</v>
      </c>
      <c r="S60" s="172">
        <v>100000</v>
      </c>
      <c r="T60" s="172">
        <v>100000</v>
      </c>
      <c r="U60" s="172">
        <v>100000</v>
      </c>
      <c r="V60" s="172">
        <v>100000</v>
      </c>
      <c r="W60" s="172">
        <v>100000</v>
      </c>
      <c r="X60" s="172">
        <v>100000</v>
      </c>
      <c r="Y60" s="172">
        <v>100000</v>
      </c>
      <c r="Z60" s="172">
        <v>100000</v>
      </c>
      <c r="AA60" s="172">
        <v>100000</v>
      </c>
      <c r="AB60" s="327">
        <v>100000</v>
      </c>
      <c r="AC60" s="172"/>
      <c r="AD60" s="173">
        <f>SUM(D60:AC60)</f>
        <v>3500000</v>
      </c>
      <c r="AE60" s="174">
        <f>C60-AD60</f>
        <v>4489323.3927934663</v>
      </c>
      <c r="AF60" s="310" t="str">
        <f t="shared" si="1"/>
        <v>YES</v>
      </c>
      <c r="AG60" s="333">
        <v>58</v>
      </c>
      <c r="AI60" s="438"/>
      <c r="AJ60" s="438"/>
      <c r="AK60" s="438"/>
      <c r="AL60" s="438"/>
    </row>
    <row r="61" spans="1:41" s="157" customFormat="1" ht="16.5" thickBot="1" x14ac:dyDescent="0.45">
      <c r="A61" s="332" t="str">
        <f>'DETAILS (sorted)'!A93</f>
        <v>ILS24-F00092</v>
      </c>
      <c r="B61" s="134" t="str">
        <f>'DETAILS (sorted)'!B93</f>
        <v xml:space="preserve">Kaanaeli Gabriel Nko </v>
      </c>
      <c r="C61" s="145">
        <f>'DETAILS (sorted)'!DS93</f>
        <v>7686857.7598770559</v>
      </c>
      <c r="D61" s="134">
        <v>200000</v>
      </c>
      <c r="E61" s="134">
        <v>1000000</v>
      </c>
      <c r="F61" s="172">
        <v>100000</v>
      </c>
      <c r="G61" s="172">
        <v>100000</v>
      </c>
      <c r="H61" s="172">
        <v>100000</v>
      </c>
      <c r="I61" s="576">
        <v>100000</v>
      </c>
      <c r="J61" s="576">
        <v>100000</v>
      </c>
      <c r="K61" s="172">
        <v>100000</v>
      </c>
      <c r="L61" s="172">
        <v>100000</v>
      </c>
      <c r="M61" s="172">
        <v>100000</v>
      </c>
      <c r="N61" s="172">
        <v>100000</v>
      </c>
      <c r="O61" s="172">
        <v>100000</v>
      </c>
      <c r="P61" s="172">
        <v>100000</v>
      </c>
      <c r="Q61" s="172">
        <v>100000</v>
      </c>
      <c r="R61" s="172">
        <v>100000</v>
      </c>
      <c r="S61" s="172">
        <v>100000</v>
      </c>
      <c r="T61" s="172">
        <v>100000</v>
      </c>
      <c r="U61" s="172">
        <v>100000</v>
      </c>
      <c r="V61" s="172">
        <v>100000</v>
      </c>
      <c r="W61" s="172">
        <v>100000</v>
      </c>
      <c r="X61" s="172">
        <v>100000</v>
      </c>
      <c r="Y61" s="172">
        <v>100000</v>
      </c>
      <c r="Z61" s="172">
        <v>100000</v>
      </c>
      <c r="AA61" s="172">
        <v>100000</v>
      </c>
      <c r="AB61" s="327">
        <v>100000</v>
      </c>
      <c r="AC61" s="172"/>
      <c r="AD61" s="173">
        <f>SUM(D61:AC61)</f>
        <v>3500000</v>
      </c>
      <c r="AE61" s="174">
        <f>C61-AD61</f>
        <v>4186857.7598770559</v>
      </c>
      <c r="AF61" s="310" t="str">
        <f t="shared" si="1"/>
        <v>YES</v>
      </c>
      <c r="AG61" s="333">
        <v>59</v>
      </c>
    </row>
    <row r="62" spans="1:41" s="157" customFormat="1" ht="16.5" thickBot="1" x14ac:dyDescent="0.45">
      <c r="A62" s="332" t="str">
        <f>'DETAILS (sorted)'!A98</f>
        <v>ILS24-F00097</v>
      </c>
      <c r="B62" s="134" t="str">
        <f>'DETAILS (sorted)'!B98</f>
        <v>Jackson N. Mmary</v>
      </c>
      <c r="C62" s="145">
        <f>'DETAILS (sorted)'!DS98</f>
        <v>6928164.7533267001</v>
      </c>
      <c r="D62" s="134">
        <v>200000</v>
      </c>
      <c r="E62" s="134">
        <v>1000000</v>
      </c>
      <c r="F62" s="172">
        <v>100000</v>
      </c>
      <c r="G62" s="172">
        <v>100000</v>
      </c>
      <c r="H62" s="172">
        <v>100000</v>
      </c>
      <c r="I62" s="576">
        <v>100000</v>
      </c>
      <c r="J62" s="576">
        <v>100000</v>
      </c>
      <c r="K62" s="172">
        <v>100000</v>
      </c>
      <c r="L62" s="172">
        <v>100000</v>
      </c>
      <c r="M62" s="172">
        <v>100000</v>
      </c>
      <c r="N62" s="172">
        <v>100000</v>
      </c>
      <c r="O62" s="172">
        <v>100000</v>
      </c>
      <c r="P62" s="172">
        <v>100000</v>
      </c>
      <c r="Q62" s="172">
        <v>100000</v>
      </c>
      <c r="R62" s="172">
        <v>100000</v>
      </c>
      <c r="S62" s="172">
        <v>100000</v>
      </c>
      <c r="T62" s="172">
        <v>100000</v>
      </c>
      <c r="U62" s="172">
        <v>100000</v>
      </c>
      <c r="V62" s="172">
        <v>100000</v>
      </c>
      <c r="W62" s="172">
        <v>100000</v>
      </c>
      <c r="X62" s="172">
        <v>100000</v>
      </c>
      <c r="Y62" s="172">
        <v>100000</v>
      </c>
      <c r="Z62" s="172">
        <v>100000</v>
      </c>
      <c r="AA62" s="172">
        <v>100000</v>
      </c>
      <c r="AB62" s="327">
        <v>100000</v>
      </c>
      <c r="AC62" s="172"/>
      <c r="AD62" s="173">
        <f>SUM(D62:AC62)</f>
        <v>3500000</v>
      </c>
      <c r="AE62" s="174">
        <f>C62-AD62</f>
        <v>3428164.7533267001</v>
      </c>
      <c r="AF62" s="338" t="str">
        <f t="shared" si="1"/>
        <v>YES</v>
      </c>
      <c r="AG62" s="470">
        <v>60</v>
      </c>
      <c r="AI62" s="437"/>
      <c r="AJ62" s="437"/>
      <c r="AK62" s="437"/>
      <c r="AL62" s="437"/>
    </row>
    <row r="63" spans="1:41" s="157" customFormat="1" ht="16.5" thickBot="1" x14ac:dyDescent="0.45">
      <c r="A63" s="332" t="str">
        <f>'DETAILS (sorted)'!A116</f>
        <v>ILS24-F00115</v>
      </c>
      <c r="B63" s="134" t="str">
        <f>'DETAILS (sorted)'!B116</f>
        <v>Calvin Francis Masao</v>
      </c>
      <c r="C63" s="145">
        <f>'DETAILS (sorted)'!DS116</f>
        <v>6421600.8477580156</v>
      </c>
      <c r="D63" s="134">
        <v>200000</v>
      </c>
      <c r="E63" s="134">
        <v>1000000</v>
      </c>
      <c r="F63" s="172">
        <v>100000</v>
      </c>
      <c r="G63" s="172">
        <v>100000</v>
      </c>
      <c r="H63" s="172">
        <v>100000</v>
      </c>
      <c r="I63" s="576">
        <v>100000</v>
      </c>
      <c r="J63" s="576">
        <v>100000</v>
      </c>
      <c r="K63" s="172">
        <v>100000</v>
      </c>
      <c r="L63" s="172">
        <v>100000</v>
      </c>
      <c r="M63" s="172">
        <v>100000</v>
      </c>
      <c r="N63" s="172">
        <v>100000</v>
      </c>
      <c r="O63" s="172">
        <v>100000</v>
      </c>
      <c r="P63" s="172">
        <v>100000</v>
      </c>
      <c r="Q63" s="172">
        <v>100000</v>
      </c>
      <c r="R63" s="172">
        <v>100000</v>
      </c>
      <c r="S63" s="172">
        <v>100000</v>
      </c>
      <c r="T63" s="172">
        <v>100000</v>
      </c>
      <c r="U63" s="172">
        <v>100000</v>
      </c>
      <c r="V63" s="172">
        <v>100000</v>
      </c>
      <c r="W63" s="172">
        <v>100000</v>
      </c>
      <c r="X63" s="172">
        <v>100000</v>
      </c>
      <c r="Y63" s="172">
        <v>100000</v>
      </c>
      <c r="Z63" s="172">
        <v>100000</v>
      </c>
      <c r="AA63" s="172">
        <v>100000</v>
      </c>
      <c r="AB63" s="327">
        <v>100000</v>
      </c>
      <c r="AC63" s="172"/>
      <c r="AD63" s="173">
        <f>SUM(D63:AC63)</f>
        <v>3500000</v>
      </c>
      <c r="AE63" s="174">
        <f>C63-AD63</f>
        <v>2921600.8477580156</v>
      </c>
      <c r="AF63" s="310" t="str">
        <f t="shared" si="1"/>
        <v>YES</v>
      </c>
      <c r="AG63" s="333">
        <v>61</v>
      </c>
      <c r="AI63" s="437"/>
      <c r="AJ63" s="437"/>
      <c r="AK63" s="437"/>
      <c r="AL63" s="437"/>
    </row>
    <row r="64" spans="1:41" s="157" customFormat="1" ht="16.5" thickBot="1" x14ac:dyDescent="0.45">
      <c r="A64" s="332" t="str">
        <f>'DETAILS (sorted)'!A5</f>
        <v>ILS24-F00004</v>
      </c>
      <c r="B64" s="134" t="str">
        <f>'DETAILS (sorted)'!B5</f>
        <v xml:space="preserve">Everest Exavery Francisco </v>
      </c>
      <c r="C64" s="145">
        <f>'DETAILS (sorted)'!DS5</f>
        <v>6320470.7539567789</v>
      </c>
      <c r="D64" s="134">
        <v>200000</v>
      </c>
      <c r="E64" s="134">
        <v>1000000</v>
      </c>
      <c r="F64" s="172">
        <v>100000</v>
      </c>
      <c r="G64" s="172">
        <v>100000</v>
      </c>
      <c r="H64" s="172">
        <v>100000</v>
      </c>
      <c r="I64" s="576">
        <v>100000</v>
      </c>
      <c r="J64" s="576">
        <v>100000</v>
      </c>
      <c r="K64" s="172">
        <v>100000</v>
      </c>
      <c r="L64" s="172">
        <v>100000</v>
      </c>
      <c r="M64" s="172">
        <v>100000</v>
      </c>
      <c r="N64" s="172">
        <v>100000</v>
      </c>
      <c r="O64" s="172">
        <v>100000</v>
      </c>
      <c r="P64" s="172">
        <v>100000</v>
      </c>
      <c r="Q64" s="172">
        <v>100000</v>
      </c>
      <c r="R64" s="172">
        <v>100000</v>
      </c>
      <c r="S64" s="172">
        <v>100000</v>
      </c>
      <c r="T64" s="172">
        <v>100000</v>
      </c>
      <c r="U64" s="172">
        <v>100000</v>
      </c>
      <c r="V64" s="172">
        <v>100000</v>
      </c>
      <c r="W64" s="172">
        <v>100000</v>
      </c>
      <c r="X64" s="172">
        <v>100000</v>
      </c>
      <c r="Y64" s="172">
        <v>100000</v>
      </c>
      <c r="Z64" s="172">
        <v>100000</v>
      </c>
      <c r="AA64" s="172">
        <v>100000</v>
      </c>
      <c r="AB64" s="327">
        <v>100000</v>
      </c>
      <c r="AC64" s="172"/>
      <c r="AD64" s="173">
        <f>SUM(D64:AC64)</f>
        <v>3500000</v>
      </c>
      <c r="AE64" s="174">
        <f>C64-AD64</f>
        <v>2820470.7539567789</v>
      </c>
      <c r="AF64" s="338" t="str">
        <f t="shared" si="1"/>
        <v>YES</v>
      </c>
      <c r="AG64" s="470">
        <v>62</v>
      </c>
      <c r="AI64" s="437"/>
      <c r="AJ64" s="437"/>
      <c r="AK64" s="437"/>
      <c r="AL64" s="437"/>
    </row>
    <row r="65" spans="1:38" s="157" customFormat="1" ht="16.5" thickBot="1" x14ac:dyDescent="0.45">
      <c r="A65" s="332" t="str">
        <f>'DETAILS (sorted)'!A61</f>
        <v>ILS24-F00060</v>
      </c>
      <c r="B65" s="134" t="str">
        <f>'DETAILS (sorted)'!B61</f>
        <v>Beatus Adrian Rwegalulira</v>
      </c>
      <c r="C65" s="145">
        <f>'DETAILS (sorted)'!DS61</f>
        <v>6193496.9316000231</v>
      </c>
      <c r="D65" s="134">
        <v>200000</v>
      </c>
      <c r="E65" s="134">
        <v>1000000</v>
      </c>
      <c r="F65" s="435">
        <v>100000</v>
      </c>
      <c r="G65" s="435">
        <v>100000</v>
      </c>
      <c r="H65" s="435">
        <v>100000</v>
      </c>
      <c r="I65" s="578">
        <v>100000</v>
      </c>
      <c r="J65" s="578">
        <v>100000</v>
      </c>
      <c r="K65" s="435">
        <v>100000</v>
      </c>
      <c r="L65" s="435">
        <v>100000</v>
      </c>
      <c r="M65" s="435">
        <v>100000</v>
      </c>
      <c r="N65" s="435">
        <v>100000</v>
      </c>
      <c r="O65" s="435">
        <v>100000</v>
      </c>
      <c r="P65" s="435">
        <v>100000</v>
      </c>
      <c r="Q65" s="435">
        <v>100000</v>
      </c>
      <c r="R65" s="435">
        <v>100000</v>
      </c>
      <c r="S65" s="435">
        <v>100000</v>
      </c>
      <c r="T65" s="435">
        <v>100000</v>
      </c>
      <c r="U65" s="435">
        <v>100000</v>
      </c>
      <c r="V65" s="435">
        <v>100000</v>
      </c>
      <c r="W65" s="435">
        <v>100000</v>
      </c>
      <c r="X65" s="435">
        <v>100000</v>
      </c>
      <c r="Y65" s="435">
        <v>100000</v>
      </c>
      <c r="Z65" s="172">
        <v>100000</v>
      </c>
      <c r="AA65" s="172">
        <v>100000</v>
      </c>
      <c r="AB65" s="327">
        <v>100000</v>
      </c>
      <c r="AC65" s="435"/>
      <c r="AD65" s="436">
        <f>SUM(D65:AC65)</f>
        <v>3500000</v>
      </c>
      <c r="AE65" s="174">
        <f>C65-AD65</f>
        <v>2693496.9316000231</v>
      </c>
      <c r="AF65" s="310" t="str">
        <f t="shared" si="1"/>
        <v>YES</v>
      </c>
      <c r="AG65" s="333">
        <v>63</v>
      </c>
      <c r="AI65" s="437"/>
      <c r="AJ65" s="437"/>
      <c r="AK65" s="437"/>
      <c r="AL65" s="437"/>
    </row>
    <row r="66" spans="1:38" s="157" customFormat="1" ht="16.5" thickBot="1" x14ac:dyDescent="0.45">
      <c r="A66" s="332" t="str">
        <f>'DETAILS (sorted)'!A72</f>
        <v>ILS24-F00071</v>
      </c>
      <c r="B66" s="134" t="str">
        <f>'DETAILS (sorted)'!B72</f>
        <v>Eliud Hezron Massaga</v>
      </c>
      <c r="C66" s="145">
        <f>'DETAILS (sorted)'!DS72</f>
        <v>6150365.3254044717</v>
      </c>
      <c r="D66" s="134">
        <v>200000</v>
      </c>
      <c r="E66" s="134">
        <v>1000000</v>
      </c>
      <c r="F66" s="172">
        <v>100000</v>
      </c>
      <c r="G66" s="172">
        <v>100000</v>
      </c>
      <c r="H66" s="172">
        <v>100000</v>
      </c>
      <c r="I66" s="576">
        <v>100000</v>
      </c>
      <c r="J66" s="576">
        <v>100000</v>
      </c>
      <c r="K66" s="172">
        <v>100000</v>
      </c>
      <c r="L66" s="172">
        <v>100000</v>
      </c>
      <c r="M66" s="172">
        <v>100000</v>
      </c>
      <c r="N66" s="172">
        <v>100000</v>
      </c>
      <c r="O66" s="172">
        <v>100000</v>
      </c>
      <c r="P66" s="172">
        <v>100000</v>
      </c>
      <c r="Q66" s="172">
        <v>100000</v>
      </c>
      <c r="R66" s="172">
        <v>100000</v>
      </c>
      <c r="S66" s="172">
        <v>100000</v>
      </c>
      <c r="T66" s="172">
        <v>100000</v>
      </c>
      <c r="U66" s="172">
        <v>100000</v>
      </c>
      <c r="V66" s="172">
        <v>100000</v>
      </c>
      <c r="W66" s="172">
        <v>100000</v>
      </c>
      <c r="X66" s="172">
        <v>100000</v>
      </c>
      <c r="Y66" s="172">
        <v>100000</v>
      </c>
      <c r="Z66" s="172">
        <v>100000</v>
      </c>
      <c r="AA66" s="172">
        <v>100000</v>
      </c>
      <c r="AB66" s="327">
        <v>100000</v>
      </c>
      <c r="AC66" s="172"/>
      <c r="AD66" s="173">
        <f>SUM(D66:AC66)</f>
        <v>3500000</v>
      </c>
      <c r="AE66" s="174">
        <f>C66-AD66</f>
        <v>2650365.3254044717</v>
      </c>
      <c r="AF66" s="310" t="str">
        <f t="shared" si="1"/>
        <v>YES</v>
      </c>
      <c r="AG66" s="333">
        <v>64</v>
      </c>
      <c r="AI66" s="437"/>
      <c r="AJ66" s="437"/>
      <c r="AK66" s="437"/>
      <c r="AL66" s="437"/>
    </row>
    <row r="67" spans="1:38" s="60" customFormat="1" ht="16.5" thickBot="1" x14ac:dyDescent="0.45">
      <c r="A67" s="332" t="str">
        <f>'DETAILS (sorted)'!A107</f>
        <v>ILS24-F00106</v>
      </c>
      <c r="B67" s="134" t="str">
        <f>'DETAILS (sorted)'!B107</f>
        <v xml:space="preserve">Alex Gerald Heruka </v>
      </c>
      <c r="C67" s="145">
        <f>'DETAILS (sorted)'!DS107</f>
        <v>6129449.0612630416</v>
      </c>
      <c r="D67" s="134">
        <v>200000</v>
      </c>
      <c r="E67" s="134">
        <v>1000000</v>
      </c>
      <c r="F67" s="172">
        <v>100000</v>
      </c>
      <c r="G67" s="172">
        <v>100000</v>
      </c>
      <c r="H67" s="172">
        <v>100000</v>
      </c>
      <c r="I67" s="576">
        <v>100000</v>
      </c>
      <c r="J67" s="576">
        <v>100000</v>
      </c>
      <c r="K67" s="172">
        <v>100000</v>
      </c>
      <c r="L67" s="172">
        <v>100000</v>
      </c>
      <c r="M67" s="172">
        <v>100000</v>
      </c>
      <c r="N67" s="172">
        <v>100000</v>
      </c>
      <c r="O67" s="172">
        <v>100000</v>
      </c>
      <c r="P67" s="172">
        <v>100000</v>
      </c>
      <c r="Q67" s="172">
        <v>100000</v>
      </c>
      <c r="R67" s="172">
        <v>100000</v>
      </c>
      <c r="S67" s="172">
        <v>100000</v>
      </c>
      <c r="T67" s="172">
        <v>100000</v>
      </c>
      <c r="U67" s="172">
        <v>100000</v>
      </c>
      <c r="V67" s="172">
        <v>100000</v>
      </c>
      <c r="W67" s="172">
        <v>100000</v>
      </c>
      <c r="X67" s="172">
        <v>100000</v>
      </c>
      <c r="Y67" s="172">
        <v>100000</v>
      </c>
      <c r="Z67" s="172">
        <v>100000</v>
      </c>
      <c r="AA67" s="172">
        <v>100000</v>
      </c>
      <c r="AB67" s="327">
        <v>100000</v>
      </c>
      <c r="AC67" s="172"/>
      <c r="AD67" s="173">
        <f>SUM(D67:AC67)</f>
        <v>3500000</v>
      </c>
      <c r="AE67" s="174">
        <f>C67-AD67</f>
        <v>2629449.0612630416</v>
      </c>
      <c r="AF67" s="310" t="str">
        <f t="shared" ref="AF67:AF130" si="2">IF(C67&gt;=700000,"YES","NO")</f>
        <v>YES</v>
      </c>
      <c r="AG67" s="333">
        <v>65</v>
      </c>
      <c r="AI67" s="438"/>
      <c r="AJ67" s="438"/>
      <c r="AK67" s="438"/>
      <c r="AL67" s="438"/>
    </row>
    <row r="68" spans="1:38" s="157" customFormat="1" ht="16.5" thickBot="1" x14ac:dyDescent="0.45">
      <c r="A68" s="332" t="str">
        <f>'DETAILS (sorted)'!A103</f>
        <v>ILS24-F00102</v>
      </c>
      <c r="B68" s="134" t="str">
        <f>'DETAILS (sorted)'!B103</f>
        <v>James Ignas Koola</v>
      </c>
      <c r="C68" s="145">
        <f>'DETAILS (sorted)'!DS103</f>
        <v>6125913.09420917</v>
      </c>
      <c r="D68" s="134">
        <v>200000</v>
      </c>
      <c r="E68" s="134">
        <v>1000000</v>
      </c>
      <c r="F68" s="172">
        <v>100000</v>
      </c>
      <c r="G68" s="172">
        <v>100000</v>
      </c>
      <c r="H68" s="172">
        <v>100000</v>
      </c>
      <c r="I68" s="576">
        <v>100000</v>
      </c>
      <c r="J68" s="576">
        <v>100000</v>
      </c>
      <c r="K68" s="172">
        <v>100000</v>
      </c>
      <c r="L68" s="172">
        <v>100000</v>
      </c>
      <c r="M68" s="172">
        <v>100000</v>
      </c>
      <c r="N68" s="172">
        <v>100000</v>
      </c>
      <c r="O68" s="172">
        <v>100000</v>
      </c>
      <c r="P68" s="172">
        <v>100000</v>
      </c>
      <c r="Q68" s="172">
        <v>100000</v>
      </c>
      <c r="R68" s="172">
        <v>100000</v>
      </c>
      <c r="S68" s="172">
        <v>100000</v>
      </c>
      <c r="T68" s="172">
        <v>100000</v>
      </c>
      <c r="U68" s="172">
        <v>100000</v>
      </c>
      <c r="V68" s="172">
        <v>100000</v>
      </c>
      <c r="W68" s="172">
        <v>100000</v>
      </c>
      <c r="X68" s="172">
        <v>100000</v>
      </c>
      <c r="Y68" s="172">
        <v>100000</v>
      </c>
      <c r="Z68" s="172">
        <v>100000</v>
      </c>
      <c r="AA68" s="172">
        <v>100000</v>
      </c>
      <c r="AB68" s="327">
        <v>100000</v>
      </c>
      <c r="AC68" s="172"/>
      <c r="AD68" s="173">
        <f>SUM(D68:AC68)</f>
        <v>3500000</v>
      </c>
      <c r="AE68" s="174">
        <f>C68-AD68</f>
        <v>2625913.09420917</v>
      </c>
      <c r="AF68" s="310" t="str">
        <f t="shared" si="2"/>
        <v>YES</v>
      </c>
      <c r="AG68" s="333">
        <v>66</v>
      </c>
      <c r="AI68" s="437"/>
      <c r="AJ68" s="437"/>
      <c r="AK68" s="437"/>
      <c r="AL68" s="437"/>
    </row>
    <row r="69" spans="1:38" s="157" customFormat="1" ht="16.5" thickBot="1" x14ac:dyDescent="0.45">
      <c r="A69" s="332" t="str">
        <f>'DETAILS (sorted)'!A149</f>
        <v>ILS24-F00148</v>
      </c>
      <c r="B69" s="134" t="str">
        <f>'DETAILS (sorted)'!B149</f>
        <v xml:space="preserve">Lameck Kasana </v>
      </c>
      <c r="C69" s="145">
        <f>'DETAILS (sorted)'!DS149</f>
        <v>6078766.8668242218</v>
      </c>
      <c r="D69" s="134">
        <v>200000</v>
      </c>
      <c r="E69" s="134">
        <v>1000000</v>
      </c>
      <c r="F69" s="172">
        <v>100000</v>
      </c>
      <c r="G69" s="172">
        <v>100000</v>
      </c>
      <c r="H69" s="172">
        <v>100000</v>
      </c>
      <c r="I69" s="576">
        <v>100000</v>
      </c>
      <c r="J69" s="576">
        <v>100000</v>
      </c>
      <c r="K69" s="172">
        <v>100000</v>
      </c>
      <c r="L69" s="172">
        <v>100000</v>
      </c>
      <c r="M69" s="172">
        <v>100000</v>
      </c>
      <c r="N69" s="172">
        <v>100000</v>
      </c>
      <c r="O69" s="172">
        <v>100000</v>
      </c>
      <c r="P69" s="172">
        <v>100000</v>
      </c>
      <c r="Q69" s="172">
        <v>100000</v>
      </c>
      <c r="R69" s="172">
        <v>100000</v>
      </c>
      <c r="S69" s="172">
        <v>100000</v>
      </c>
      <c r="T69" s="172">
        <v>100000</v>
      </c>
      <c r="U69" s="172">
        <v>100000</v>
      </c>
      <c r="V69" s="172">
        <v>100000</v>
      </c>
      <c r="W69" s="172">
        <v>100000</v>
      </c>
      <c r="X69" s="172">
        <v>100000</v>
      </c>
      <c r="Y69" s="172">
        <v>100000</v>
      </c>
      <c r="Z69" s="172">
        <v>100000</v>
      </c>
      <c r="AA69" s="172">
        <v>100000</v>
      </c>
      <c r="AB69" s="327">
        <v>100000</v>
      </c>
      <c r="AC69" s="172"/>
      <c r="AD69" s="173">
        <f>SUM(D69:AC69)</f>
        <v>3500000</v>
      </c>
      <c r="AE69" s="174">
        <f>C69-AD69</f>
        <v>2578766.8668242218</v>
      </c>
      <c r="AF69" s="310" t="str">
        <f t="shared" si="2"/>
        <v>YES</v>
      </c>
      <c r="AG69" s="333">
        <v>67</v>
      </c>
      <c r="AI69" s="437"/>
      <c r="AJ69" s="437"/>
      <c r="AK69" s="437"/>
      <c r="AL69" s="437"/>
    </row>
    <row r="70" spans="1:38" s="157" customFormat="1" ht="16.5" thickBot="1" x14ac:dyDescent="0.45">
      <c r="A70" s="332" t="str">
        <f>'DETAILS (sorted)'!A16</f>
        <v>ILS24-F00015</v>
      </c>
      <c r="B70" s="134" t="str">
        <f>'DETAILS (sorted)'!B16</f>
        <v>Mohamed Khalfan Mohamed</v>
      </c>
      <c r="C70" s="145">
        <f>'DETAILS (sorted)'!DS16</f>
        <v>5729062.3909924934</v>
      </c>
      <c r="D70" s="134">
        <v>200000</v>
      </c>
      <c r="E70" s="134">
        <v>1000000</v>
      </c>
      <c r="F70" s="172">
        <v>100000</v>
      </c>
      <c r="G70" s="172">
        <v>100000</v>
      </c>
      <c r="H70" s="172">
        <v>100000</v>
      </c>
      <c r="I70" s="576">
        <v>100000</v>
      </c>
      <c r="J70" s="576">
        <v>100000</v>
      </c>
      <c r="K70" s="172">
        <v>100000</v>
      </c>
      <c r="L70" s="172">
        <v>100000</v>
      </c>
      <c r="M70" s="172">
        <v>100000</v>
      </c>
      <c r="N70" s="172">
        <v>100000</v>
      </c>
      <c r="O70" s="172">
        <v>100000</v>
      </c>
      <c r="P70" s="172">
        <v>100000</v>
      </c>
      <c r="Q70" s="172">
        <v>100000</v>
      </c>
      <c r="R70" s="172">
        <v>100000</v>
      </c>
      <c r="S70" s="172">
        <v>100000</v>
      </c>
      <c r="T70" s="172">
        <v>100000</v>
      </c>
      <c r="U70" s="172">
        <v>100000</v>
      </c>
      <c r="V70" s="172">
        <v>100000</v>
      </c>
      <c r="W70" s="172">
        <v>100000</v>
      </c>
      <c r="X70" s="172">
        <v>100000</v>
      </c>
      <c r="Y70" s="172">
        <v>100000</v>
      </c>
      <c r="Z70" s="172">
        <v>100000</v>
      </c>
      <c r="AA70" s="172">
        <v>100000</v>
      </c>
      <c r="AB70" s="327">
        <v>100000</v>
      </c>
      <c r="AC70" s="172"/>
      <c r="AD70" s="173">
        <f>SUM(D70:AC70)</f>
        <v>3500000</v>
      </c>
      <c r="AE70" s="174">
        <f>C70-AD70</f>
        <v>2229062.3909924934</v>
      </c>
      <c r="AF70" s="338" t="str">
        <f t="shared" si="2"/>
        <v>YES</v>
      </c>
      <c r="AG70" s="470">
        <v>68</v>
      </c>
      <c r="AI70" s="437"/>
      <c r="AJ70" s="437"/>
      <c r="AK70" s="437"/>
      <c r="AL70" s="437"/>
    </row>
    <row r="71" spans="1:38" s="157" customFormat="1" ht="16.5" thickBot="1" x14ac:dyDescent="0.45">
      <c r="A71" s="332" t="str">
        <f>'DETAILS (sorted)'!A50</f>
        <v>ILS24-F00049</v>
      </c>
      <c r="B71" s="134" t="str">
        <f>'DETAILS (sorted)'!B50</f>
        <v xml:space="preserve">Liggyle Vumilia </v>
      </c>
      <c r="C71" s="145">
        <f>'DETAILS (sorted)'!DS50</f>
        <v>5682442.5703993607</v>
      </c>
      <c r="D71" s="134">
        <v>200000</v>
      </c>
      <c r="E71" s="134">
        <v>1000000</v>
      </c>
      <c r="F71" s="172">
        <v>100000</v>
      </c>
      <c r="G71" s="172">
        <v>100000</v>
      </c>
      <c r="H71" s="172">
        <v>100000</v>
      </c>
      <c r="I71" s="576">
        <v>100000</v>
      </c>
      <c r="J71" s="576">
        <v>100000</v>
      </c>
      <c r="K71" s="172">
        <v>100000</v>
      </c>
      <c r="L71" s="172">
        <v>100000</v>
      </c>
      <c r="M71" s="172">
        <v>100000</v>
      </c>
      <c r="N71" s="172">
        <v>100000</v>
      </c>
      <c r="O71" s="172">
        <v>100000</v>
      </c>
      <c r="P71" s="172">
        <v>100000</v>
      </c>
      <c r="Q71" s="172">
        <v>100000</v>
      </c>
      <c r="R71" s="172">
        <v>100000</v>
      </c>
      <c r="S71" s="172">
        <v>100000</v>
      </c>
      <c r="T71" s="172">
        <v>100000</v>
      </c>
      <c r="U71" s="172">
        <v>100000</v>
      </c>
      <c r="V71" s="172">
        <v>100000</v>
      </c>
      <c r="W71" s="172">
        <v>100000</v>
      </c>
      <c r="X71" s="172">
        <v>100000</v>
      </c>
      <c r="Y71" s="172">
        <v>100000</v>
      </c>
      <c r="Z71" s="172">
        <v>100000</v>
      </c>
      <c r="AA71" s="172">
        <v>100000</v>
      </c>
      <c r="AB71" s="327">
        <v>100000</v>
      </c>
      <c r="AC71" s="172"/>
      <c r="AD71" s="173">
        <f>SUM(D71:AC71)</f>
        <v>3500000</v>
      </c>
      <c r="AE71" s="174">
        <f>C71-AD71</f>
        <v>2182442.5703993607</v>
      </c>
      <c r="AF71" s="310" t="str">
        <f t="shared" si="2"/>
        <v>YES</v>
      </c>
      <c r="AG71" s="333">
        <v>69</v>
      </c>
      <c r="AI71" s="437"/>
      <c r="AJ71" s="437"/>
      <c r="AK71" s="437"/>
      <c r="AL71" s="437"/>
    </row>
    <row r="72" spans="1:38" s="157" customFormat="1" ht="16.5" thickBot="1" x14ac:dyDescent="0.45">
      <c r="A72" s="332" t="str">
        <f>'DETAILS (sorted)'!A128</f>
        <v>ILS24-F00127</v>
      </c>
      <c r="B72" s="134" t="str">
        <f>'DETAILS (sorted)'!B128</f>
        <v>Ignas Nicodemus Chilewa</v>
      </c>
      <c r="C72" s="145">
        <f>'DETAILS (sorted)'!DS128</f>
        <v>5615808.0886918893</v>
      </c>
      <c r="D72" s="134">
        <v>200000</v>
      </c>
      <c r="E72" s="134">
        <v>1000000</v>
      </c>
      <c r="F72" s="172">
        <v>100000</v>
      </c>
      <c r="G72" s="172">
        <v>100000</v>
      </c>
      <c r="H72" s="172">
        <v>100000</v>
      </c>
      <c r="I72" s="576">
        <v>100000</v>
      </c>
      <c r="J72" s="576">
        <v>100000</v>
      </c>
      <c r="K72" s="172">
        <v>100000</v>
      </c>
      <c r="L72" s="172">
        <v>100000</v>
      </c>
      <c r="M72" s="172">
        <v>100000</v>
      </c>
      <c r="N72" s="172">
        <v>100000</v>
      </c>
      <c r="O72" s="172">
        <v>100000</v>
      </c>
      <c r="P72" s="172">
        <v>100000</v>
      </c>
      <c r="Q72" s="172">
        <v>100000</v>
      </c>
      <c r="R72" s="172">
        <v>100000</v>
      </c>
      <c r="S72" s="172">
        <v>100000</v>
      </c>
      <c r="T72" s="172">
        <v>100000</v>
      </c>
      <c r="U72" s="172">
        <v>100000</v>
      </c>
      <c r="V72" s="172">
        <v>100000</v>
      </c>
      <c r="W72" s="172">
        <v>100000</v>
      </c>
      <c r="X72" s="172">
        <v>100000</v>
      </c>
      <c r="Y72" s="172">
        <v>100000</v>
      </c>
      <c r="Z72" s="172">
        <v>100000</v>
      </c>
      <c r="AA72" s="172">
        <v>100000</v>
      </c>
      <c r="AB72" s="327">
        <v>100000</v>
      </c>
      <c r="AC72" s="172"/>
      <c r="AD72" s="173">
        <f>SUM(D72:AC72)</f>
        <v>3500000</v>
      </c>
      <c r="AE72" s="174">
        <f>C72-AD72</f>
        <v>2115808.0886918893</v>
      </c>
      <c r="AF72" s="310" t="str">
        <f t="shared" si="2"/>
        <v>YES</v>
      </c>
      <c r="AG72" s="333">
        <v>70</v>
      </c>
      <c r="AI72" s="437"/>
      <c r="AJ72" s="437"/>
      <c r="AK72" s="437"/>
      <c r="AL72" s="437"/>
    </row>
    <row r="73" spans="1:38" s="157" customFormat="1" ht="16.5" thickBot="1" x14ac:dyDescent="0.45">
      <c r="A73" s="332" t="str">
        <f>'DETAILS (sorted)'!A56</f>
        <v>ILS24-F00055</v>
      </c>
      <c r="B73" s="134" t="str">
        <f>'DETAILS (sorted)'!B56</f>
        <v>Sifuni Ernest Mchome</v>
      </c>
      <c r="C73" s="145">
        <f>'DETAILS (sorted)'!DS56</f>
        <v>5523203.1013964452</v>
      </c>
      <c r="D73" s="134">
        <v>200000</v>
      </c>
      <c r="E73" s="134">
        <v>1000000</v>
      </c>
      <c r="F73" s="172">
        <v>100000</v>
      </c>
      <c r="G73" s="172">
        <v>100000</v>
      </c>
      <c r="H73" s="172">
        <v>100000</v>
      </c>
      <c r="I73" s="576">
        <v>100000</v>
      </c>
      <c r="J73" s="576">
        <v>100000</v>
      </c>
      <c r="K73" s="172">
        <v>100000</v>
      </c>
      <c r="L73" s="172">
        <v>100000</v>
      </c>
      <c r="M73" s="172">
        <v>100000</v>
      </c>
      <c r="N73" s="172">
        <v>100000</v>
      </c>
      <c r="O73" s="172">
        <v>100000</v>
      </c>
      <c r="P73" s="172">
        <v>100000</v>
      </c>
      <c r="Q73" s="172">
        <v>100000</v>
      </c>
      <c r="R73" s="172">
        <v>100000</v>
      </c>
      <c r="S73" s="172">
        <v>100000</v>
      </c>
      <c r="T73" s="172">
        <v>100000</v>
      </c>
      <c r="U73" s="172">
        <v>100000</v>
      </c>
      <c r="V73" s="172">
        <v>100000</v>
      </c>
      <c r="W73" s="172">
        <v>100000</v>
      </c>
      <c r="X73" s="172">
        <v>100000</v>
      </c>
      <c r="Y73" s="172">
        <v>100000</v>
      </c>
      <c r="Z73" s="172">
        <v>100000</v>
      </c>
      <c r="AA73" s="172">
        <v>100000</v>
      </c>
      <c r="AB73" s="327">
        <v>100000</v>
      </c>
      <c r="AC73" s="172"/>
      <c r="AD73" s="173">
        <f>SUM(D73:AC73)</f>
        <v>3500000</v>
      </c>
      <c r="AE73" s="174">
        <f>C73-AD73</f>
        <v>2023203.1013964452</v>
      </c>
      <c r="AF73" s="310" t="str">
        <f t="shared" si="2"/>
        <v>YES</v>
      </c>
      <c r="AG73" s="333">
        <v>71</v>
      </c>
      <c r="AI73" s="437"/>
      <c r="AJ73" s="437"/>
      <c r="AK73" s="437"/>
      <c r="AL73" s="437"/>
    </row>
    <row r="74" spans="1:38" s="60" customFormat="1" ht="16.5" thickBot="1" x14ac:dyDescent="0.45">
      <c r="A74" s="332" t="str">
        <f>'DETAILS (sorted)'!A123</f>
        <v>ILS24-F00122</v>
      </c>
      <c r="B74" s="134" t="str">
        <f>'DETAILS (sorted)'!B123</f>
        <v xml:space="preserve">Dismas Prosper Batiri </v>
      </c>
      <c r="C74" s="145">
        <f>'DETAILS (sorted)'!DS123</f>
        <v>5510964.4734190051</v>
      </c>
      <c r="D74" s="134">
        <v>200000</v>
      </c>
      <c r="E74" s="134">
        <v>1000000</v>
      </c>
      <c r="F74" s="172">
        <v>100000</v>
      </c>
      <c r="G74" s="172">
        <v>100000</v>
      </c>
      <c r="H74" s="172">
        <v>100000</v>
      </c>
      <c r="I74" s="576">
        <v>100000</v>
      </c>
      <c r="J74" s="576">
        <v>100000</v>
      </c>
      <c r="K74" s="172">
        <v>100000</v>
      </c>
      <c r="L74" s="172">
        <v>100000</v>
      </c>
      <c r="M74" s="172">
        <v>100000</v>
      </c>
      <c r="N74" s="172">
        <v>100000</v>
      </c>
      <c r="O74" s="172">
        <v>100000</v>
      </c>
      <c r="P74" s="172">
        <v>100000</v>
      </c>
      <c r="Q74" s="172">
        <v>100000</v>
      </c>
      <c r="R74" s="172">
        <v>100000</v>
      </c>
      <c r="S74" s="172">
        <v>100000</v>
      </c>
      <c r="T74" s="172">
        <v>100000</v>
      </c>
      <c r="U74" s="172">
        <v>100000</v>
      </c>
      <c r="V74" s="172">
        <v>100000</v>
      </c>
      <c r="W74" s="172">
        <v>100000</v>
      </c>
      <c r="X74" s="172">
        <v>100000</v>
      </c>
      <c r="Y74" s="172">
        <v>100000</v>
      </c>
      <c r="Z74" s="172">
        <v>100000</v>
      </c>
      <c r="AA74" s="172">
        <v>100000</v>
      </c>
      <c r="AB74" s="327">
        <v>100000</v>
      </c>
      <c r="AC74" s="172"/>
      <c r="AD74" s="173">
        <f>SUM(D74:AC74)</f>
        <v>3500000</v>
      </c>
      <c r="AE74" s="174">
        <f>C74-AD74</f>
        <v>2010964.4734190051</v>
      </c>
      <c r="AF74" s="310" t="str">
        <f t="shared" si="2"/>
        <v>YES</v>
      </c>
      <c r="AG74" s="333">
        <v>72</v>
      </c>
      <c r="AI74" s="438"/>
      <c r="AJ74" s="438"/>
      <c r="AK74" s="438"/>
      <c r="AL74" s="438"/>
    </row>
    <row r="75" spans="1:38" s="157" customFormat="1" ht="16.5" thickBot="1" x14ac:dyDescent="0.45">
      <c r="A75" s="332" t="str">
        <f>'DETAILS (sorted)'!A79</f>
        <v>ILS24-F00078</v>
      </c>
      <c r="B75" s="134" t="str">
        <f>'DETAILS (sorted)'!B79</f>
        <v xml:space="preserve">Alcard Mumwi </v>
      </c>
      <c r="C75" s="145">
        <f>'DETAILS (sorted)'!DS79</f>
        <v>5469238.7882350823</v>
      </c>
      <c r="D75" s="134">
        <v>200000</v>
      </c>
      <c r="E75" s="134">
        <v>1000000</v>
      </c>
      <c r="F75" s="172">
        <v>100000</v>
      </c>
      <c r="G75" s="172">
        <v>100000</v>
      </c>
      <c r="H75" s="172">
        <v>100000</v>
      </c>
      <c r="I75" s="576">
        <v>100000</v>
      </c>
      <c r="J75" s="576">
        <v>100000</v>
      </c>
      <c r="K75" s="172">
        <v>100000</v>
      </c>
      <c r="L75" s="172">
        <v>100000</v>
      </c>
      <c r="M75" s="172">
        <v>100000</v>
      </c>
      <c r="N75" s="172">
        <v>100000</v>
      </c>
      <c r="O75" s="172">
        <v>100000</v>
      </c>
      <c r="P75" s="172">
        <v>100000</v>
      </c>
      <c r="Q75" s="172">
        <v>100000</v>
      </c>
      <c r="R75" s="172">
        <v>100000</v>
      </c>
      <c r="S75" s="172">
        <v>100000</v>
      </c>
      <c r="T75" s="172">
        <v>100000</v>
      </c>
      <c r="U75" s="172">
        <v>100000</v>
      </c>
      <c r="V75" s="172">
        <v>100000</v>
      </c>
      <c r="W75" s="172">
        <v>100000</v>
      </c>
      <c r="X75" s="172">
        <v>100000</v>
      </c>
      <c r="Y75" s="172">
        <v>100000</v>
      </c>
      <c r="Z75" s="172">
        <v>100000</v>
      </c>
      <c r="AA75" s="172">
        <v>100000</v>
      </c>
      <c r="AB75" s="327">
        <v>100000</v>
      </c>
      <c r="AC75" s="172"/>
      <c r="AD75" s="173">
        <f>SUM(D75:AC75)</f>
        <v>3500000</v>
      </c>
      <c r="AE75" s="174">
        <f>C75-AD75</f>
        <v>1969238.7882350823</v>
      </c>
      <c r="AF75" s="310" t="str">
        <f t="shared" si="2"/>
        <v>YES</v>
      </c>
      <c r="AG75" s="333">
        <v>73</v>
      </c>
      <c r="AH75" s="60"/>
    </row>
    <row r="76" spans="1:38" s="157" customFormat="1" ht="16.5" thickBot="1" x14ac:dyDescent="0.45">
      <c r="A76" s="332" t="str">
        <f>'DETAILS (sorted)'!A54</f>
        <v>ILS24-F00053</v>
      </c>
      <c r="B76" s="134" t="str">
        <f>'DETAILS (sorted)'!B54</f>
        <v xml:space="preserve">Robert Masegese </v>
      </c>
      <c r="C76" s="145">
        <f>'DETAILS (sorted)'!DS54</f>
        <v>5453472.1384301092</v>
      </c>
      <c r="D76" s="134">
        <v>200000</v>
      </c>
      <c r="E76" s="134">
        <v>1000000</v>
      </c>
      <c r="F76" s="172">
        <v>100000</v>
      </c>
      <c r="G76" s="172">
        <v>100000</v>
      </c>
      <c r="H76" s="172">
        <v>100000</v>
      </c>
      <c r="I76" s="576">
        <v>100000</v>
      </c>
      <c r="J76" s="576">
        <v>100000</v>
      </c>
      <c r="K76" s="172">
        <v>100000</v>
      </c>
      <c r="L76" s="172">
        <v>100000</v>
      </c>
      <c r="M76" s="172">
        <v>100000</v>
      </c>
      <c r="N76" s="172">
        <v>100000</v>
      </c>
      <c r="O76" s="172">
        <v>100000</v>
      </c>
      <c r="P76" s="172">
        <v>100000</v>
      </c>
      <c r="Q76" s="172">
        <v>100000</v>
      </c>
      <c r="R76" s="172">
        <v>100000</v>
      </c>
      <c r="S76" s="172">
        <v>100000</v>
      </c>
      <c r="T76" s="172">
        <v>100000</v>
      </c>
      <c r="U76" s="172">
        <v>100000</v>
      </c>
      <c r="V76" s="172">
        <v>100000</v>
      </c>
      <c r="W76" s="172">
        <v>100000</v>
      </c>
      <c r="X76" s="172">
        <v>100000</v>
      </c>
      <c r="Y76" s="172">
        <v>100000</v>
      </c>
      <c r="Z76" s="172">
        <v>100000</v>
      </c>
      <c r="AA76" s="172">
        <v>100000</v>
      </c>
      <c r="AB76" s="327">
        <v>100000</v>
      </c>
      <c r="AC76" s="172"/>
      <c r="AD76" s="173">
        <f>SUM(D76:AC76)</f>
        <v>3500000</v>
      </c>
      <c r="AE76" s="174">
        <f>C76-AD76</f>
        <v>1953472.1384301092</v>
      </c>
      <c r="AF76" s="310" t="str">
        <f t="shared" si="2"/>
        <v>YES</v>
      </c>
      <c r="AG76" s="333">
        <v>74</v>
      </c>
      <c r="AH76" s="60"/>
    </row>
    <row r="77" spans="1:38" s="157" customFormat="1" ht="16.5" thickBot="1" x14ac:dyDescent="0.45">
      <c r="A77" s="332" t="str">
        <f>'DETAILS (sorted)'!A91</f>
        <v>ILS24-F00090</v>
      </c>
      <c r="B77" s="134" t="str">
        <f>'DETAILS (sorted)'!B91</f>
        <v>Adam Lyson Mwaipungu</v>
      </c>
      <c r="C77" s="145">
        <f>'DETAILS (sorted)'!DS91</f>
        <v>5440072.5924482588</v>
      </c>
      <c r="D77" s="134">
        <v>200000</v>
      </c>
      <c r="E77" s="134">
        <v>1000000</v>
      </c>
      <c r="F77" s="172">
        <v>100000</v>
      </c>
      <c r="G77" s="172">
        <v>100000</v>
      </c>
      <c r="H77" s="172">
        <v>100000</v>
      </c>
      <c r="I77" s="576">
        <v>100000</v>
      </c>
      <c r="J77" s="576">
        <v>100000</v>
      </c>
      <c r="K77" s="172">
        <v>100000</v>
      </c>
      <c r="L77" s="172">
        <v>100000</v>
      </c>
      <c r="M77" s="172">
        <v>100000</v>
      </c>
      <c r="N77" s="172">
        <v>100000</v>
      </c>
      <c r="O77" s="172">
        <v>100000</v>
      </c>
      <c r="P77" s="172">
        <v>100000</v>
      </c>
      <c r="Q77" s="172">
        <v>100000</v>
      </c>
      <c r="R77" s="172">
        <v>100000</v>
      </c>
      <c r="S77" s="172">
        <v>100000</v>
      </c>
      <c r="T77" s="172">
        <v>100000</v>
      </c>
      <c r="U77" s="172">
        <v>100000</v>
      </c>
      <c r="V77" s="172">
        <v>100000</v>
      </c>
      <c r="W77" s="172">
        <v>100000</v>
      </c>
      <c r="X77" s="172">
        <v>100000</v>
      </c>
      <c r="Y77" s="172">
        <v>100000</v>
      </c>
      <c r="Z77" s="172">
        <v>100000</v>
      </c>
      <c r="AA77" s="172">
        <v>100000</v>
      </c>
      <c r="AB77" s="327">
        <v>100000</v>
      </c>
      <c r="AC77" s="172"/>
      <c r="AD77" s="173">
        <f>SUM(D77:AC77)</f>
        <v>3500000</v>
      </c>
      <c r="AE77" s="337">
        <f>C77-AD77</f>
        <v>1940072.5924482588</v>
      </c>
      <c r="AF77" s="310" t="str">
        <f t="shared" si="2"/>
        <v>YES</v>
      </c>
      <c r="AG77" s="333">
        <v>75</v>
      </c>
      <c r="AH77" s="60"/>
      <c r="AI77" s="437"/>
      <c r="AJ77" s="437"/>
      <c r="AK77" s="437"/>
    </row>
    <row r="78" spans="1:38" s="157" customFormat="1" ht="16.5" thickBot="1" x14ac:dyDescent="0.45">
      <c r="A78" s="332" t="str">
        <f>'DETAILS (sorted)'!A81</f>
        <v>ILS24-F00080</v>
      </c>
      <c r="B78" s="134" t="str">
        <f>'DETAILS (sorted)'!B81</f>
        <v xml:space="preserve">Aisha Babu </v>
      </c>
      <c r="C78" s="145">
        <f>'DETAILS (sorted)'!DS81</f>
        <v>5434476.6504329043</v>
      </c>
      <c r="D78" s="134">
        <v>200000</v>
      </c>
      <c r="E78" s="134">
        <v>1000000</v>
      </c>
      <c r="F78" s="172">
        <v>100000</v>
      </c>
      <c r="G78" s="172">
        <v>100000</v>
      </c>
      <c r="H78" s="172">
        <v>100000</v>
      </c>
      <c r="I78" s="576">
        <v>100000</v>
      </c>
      <c r="J78" s="576">
        <v>100000</v>
      </c>
      <c r="K78" s="172">
        <v>100000</v>
      </c>
      <c r="L78" s="172">
        <v>100000</v>
      </c>
      <c r="M78" s="172">
        <v>100000</v>
      </c>
      <c r="N78" s="172">
        <v>100000</v>
      </c>
      <c r="O78" s="172">
        <v>100000</v>
      </c>
      <c r="P78" s="172">
        <v>100000</v>
      </c>
      <c r="Q78" s="172">
        <v>100000</v>
      </c>
      <c r="R78" s="172">
        <v>100000</v>
      </c>
      <c r="S78" s="172">
        <v>100000</v>
      </c>
      <c r="T78" s="172">
        <v>100000</v>
      </c>
      <c r="U78" s="172">
        <v>100000</v>
      </c>
      <c r="V78" s="172">
        <v>100000</v>
      </c>
      <c r="W78" s="172">
        <v>100000</v>
      </c>
      <c r="X78" s="172">
        <v>100000</v>
      </c>
      <c r="Y78" s="172">
        <v>100000</v>
      </c>
      <c r="Z78" s="172">
        <v>100000</v>
      </c>
      <c r="AA78" s="172">
        <v>100000</v>
      </c>
      <c r="AB78" s="327">
        <v>100000</v>
      </c>
      <c r="AC78" s="172"/>
      <c r="AD78" s="173">
        <f>SUM(D78:AC78)</f>
        <v>3500000</v>
      </c>
      <c r="AE78" s="174">
        <f>C78-AD78</f>
        <v>1934476.6504329043</v>
      </c>
      <c r="AF78" s="376" t="str">
        <f t="shared" si="2"/>
        <v>YES</v>
      </c>
      <c r="AG78" s="471">
        <v>76</v>
      </c>
      <c r="AH78" s="60"/>
      <c r="AK78" s="437"/>
    </row>
    <row r="79" spans="1:38" s="157" customFormat="1" ht="16.5" thickBot="1" x14ac:dyDescent="0.45">
      <c r="A79" s="332" t="str">
        <f>'DETAILS (sorted)'!A142</f>
        <v>ILS24-F00141</v>
      </c>
      <c r="B79" s="134" t="str">
        <f>'DETAILS (sorted)'!B142</f>
        <v>Patrick Mbossa</v>
      </c>
      <c r="C79" s="145">
        <f>'DETAILS (sorted)'!DS142</f>
        <v>5408473.0366206458</v>
      </c>
      <c r="D79" s="134">
        <v>200000</v>
      </c>
      <c r="E79" s="134">
        <v>1000000</v>
      </c>
      <c r="F79" s="172">
        <v>100000</v>
      </c>
      <c r="G79" s="172">
        <v>100000</v>
      </c>
      <c r="H79" s="172">
        <v>100000</v>
      </c>
      <c r="I79" s="576">
        <v>100000</v>
      </c>
      <c r="J79" s="576">
        <v>100000</v>
      </c>
      <c r="K79" s="172">
        <v>100000</v>
      </c>
      <c r="L79" s="172">
        <v>100000</v>
      </c>
      <c r="M79" s="172">
        <v>100000</v>
      </c>
      <c r="N79" s="172">
        <v>100000</v>
      </c>
      <c r="O79" s="172">
        <v>100000</v>
      </c>
      <c r="P79" s="172">
        <v>100000</v>
      </c>
      <c r="Q79" s="172">
        <v>100000</v>
      </c>
      <c r="R79" s="172">
        <v>100000</v>
      </c>
      <c r="S79" s="172">
        <v>100000</v>
      </c>
      <c r="T79" s="172">
        <v>100000</v>
      </c>
      <c r="U79" s="172">
        <v>100000</v>
      </c>
      <c r="V79" s="172">
        <v>100000</v>
      </c>
      <c r="W79" s="172">
        <v>100000</v>
      </c>
      <c r="X79" s="172">
        <v>100000</v>
      </c>
      <c r="Y79" s="172">
        <v>100000</v>
      </c>
      <c r="Z79" s="172">
        <v>100000</v>
      </c>
      <c r="AA79" s="172">
        <v>100000</v>
      </c>
      <c r="AB79" s="327">
        <v>100000</v>
      </c>
      <c r="AC79" s="172"/>
      <c r="AD79" s="173">
        <f>SUM(D79:AC79)</f>
        <v>3500000</v>
      </c>
      <c r="AE79" s="174">
        <f>C79-AD79</f>
        <v>1908473.0366206458</v>
      </c>
      <c r="AF79" s="310" t="str">
        <f t="shared" si="2"/>
        <v>YES</v>
      </c>
      <c r="AG79" s="333">
        <v>77</v>
      </c>
      <c r="AH79" s="60"/>
      <c r="AI79" s="437"/>
      <c r="AJ79" s="437"/>
      <c r="AK79" s="437"/>
      <c r="AL79" s="437"/>
    </row>
    <row r="80" spans="1:38" s="157" customFormat="1" ht="16.5" thickBot="1" x14ac:dyDescent="0.45">
      <c r="A80" s="332" t="str">
        <f>'DETAILS (sorted)'!A131</f>
        <v>ILS24-F00130</v>
      </c>
      <c r="B80" s="134" t="str">
        <f>'DETAILS (sorted)'!B131</f>
        <v>Bavo Emanuel Mzee</v>
      </c>
      <c r="C80" s="145">
        <f>'DETAILS (sorted)'!DS131</f>
        <v>5395345.225483275</v>
      </c>
      <c r="D80" s="134">
        <v>200000</v>
      </c>
      <c r="E80" s="134">
        <v>1000000</v>
      </c>
      <c r="F80" s="172">
        <v>100000</v>
      </c>
      <c r="G80" s="172">
        <v>100000</v>
      </c>
      <c r="H80" s="172">
        <v>100000</v>
      </c>
      <c r="I80" s="576">
        <v>100000</v>
      </c>
      <c r="J80" s="576">
        <v>100000</v>
      </c>
      <c r="K80" s="172">
        <v>100000</v>
      </c>
      <c r="L80" s="172">
        <v>100000</v>
      </c>
      <c r="M80" s="172">
        <v>100000</v>
      </c>
      <c r="N80" s="172">
        <v>100000</v>
      </c>
      <c r="O80" s="172">
        <v>100000</v>
      </c>
      <c r="P80" s="172">
        <v>100000</v>
      </c>
      <c r="Q80" s="172">
        <v>100000</v>
      </c>
      <c r="R80" s="172">
        <v>100000</v>
      </c>
      <c r="S80" s="172">
        <v>100000</v>
      </c>
      <c r="T80" s="172">
        <v>100000</v>
      </c>
      <c r="U80" s="172">
        <v>100000</v>
      </c>
      <c r="V80" s="172">
        <v>100000</v>
      </c>
      <c r="W80" s="172">
        <v>100000</v>
      </c>
      <c r="X80" s="172">
        <v>100000</v>
      </c>
      <c r="Y80" s="172">
        <v>100000</v>
      </c>
      <c r="Z80" s="172">
        <v>100000</v>
      </c>
      <c r="AA80" s="172">
        <v>100000</v>
      </c>
      <c r="AB80" s="327">
        <v>100000</v>
      </c>
      <c r="AC80" s="172"/>
      <c r="AD80" s="173">
        <f>SUM(D80:AC80)</f>
        <v>3500000</v>
      </c>
      <c r="AE80" s="174">
        <f>C80-AD80</f>
        <v>1895345.225483275</v>
      </c>
      <c r="AF80" s="310" t="str">
        <f t="shared" si="2"/>
        <v>YES</v>
      </c>
      <c r="AG80" s="333">
        <v>78</v>
      </c>
      <c r="AH80" s="60"/>
    </row>
    <row r="81" spans="1:38" s="157" customFormat="1" ht="16.5" thickBot="1" x14ac:dyDescent="0.45">
      <c r="A81" s="332" t="str">
        <f>'DETAILS (sorted)'!A77</f>
        <v>ILS24-F00076</v>
      </c>
      <c r="B81" s="134" t="str">
        <f>'DETAILS (sorted)'!B77</f>
        <v xml:space="preserve">Daniel Michael Kisaka </v>
      </c>
      <c r="C81" s="145">
        <f>'DETAILS (sorted)'!DS77</f>
        <v>5359596.3143870281</v>
      </c>
      <c r="D81" s="134">
        <v>200000</v>
      </c>
      <c r="E81" s="134">
        <v>1000000</v>
      </c>
      <c r="F81" s="172">
        <v>100000</v>
      </c>
      <c r="G81" s="172">
        <v>100000</v>
      </c>
      <c r="H81" s="172">
        <v>100000</v>
      </c>
      <c r="I81" s="576">
        <v>100000</v>
      </c>
      <c r="J81" s="576">
        <v>100000</v>
      </c>
      <c r="K81" s="172">
        <v>100000</v>
      </c>
      <c r="L81" s="172">
        <v>100000</v>
      </c>
      <c r="M81" s="172">
        <v>100000</v>
      </c>
      <c r="N81" s="172">
        <v>100000</v>
      </c>
      <c r="O81" s="172">
        <v>100000</v>
      </c>
      <c r="P81" s="172">
        <v>100000</v>
      </c>
      <c r="Q81" s="172">
        <v>100000</v>
      </c>
      <c r="R81" s="172">
        <v>100000</v>
      </c>
      <c r="S81" s="172">
        <v>100000</v>
      </c>
      <c r="T81" s="172">
        <v>100000</v>
      </c>
      <c r="U81" s="172">
        <v>100000</v>
      </c>
      <c r="V81" s="172">
        <v>100000</v>
      </c>
      <c r="W81" s="172">
        <v>100000</v>
      </c>
      <c r="X81" s="172">
        <v>100000</v>
      </c>
      <c r="Y81" s="172">
        <v>100000</v>
      </c>
      <c r="Z81" s="172">
        <v>100000</v>
      </c>
      <c r="AA81" s="172">
        <v>100000</v>
      </c>
      <c r="AB81" s="327">
        <v>100000</v>
      </c>
      <c r="AC81" s="172"/>
      <c r="AD81" s="173">
        <f>SUM(D81:AC81)</f>
        <v>3500000</v>
      </c>
      <c r="AE81" s="174">
        <f>C81-AD81</f>
        <v>1859596.3143870281</v>
      </c>
      <c r="AF81" s="310" t="str">
        <f t="shared" si="2"/>
        <v>YES</v>
      </c>
      <c r="AG81" s="333">
        <v>79</v>
      </c>
      <c r="AH81" s="60"/>
      <c r="AI81" s="437"/>
      <c r="AJ81" s="437"/>
      <c r="AK81" s="437"/>
    </row>
    <row r="82" spans="1:38" s="157" customFormat="1" ht="16.5" thickBot="1" x14ac:dyDescent="0.45">
      <c r="A82" s="332" t="str">
        <f>'DETAILS (sorted)'!A23</f>
        <v>ILS24-F00022</v>
      </c>
      <c r="B82" s="134" t="str">
        <f>'DETAILS (sorted)'!B23</f>
        <v>Innocent Mosha</v>
      </c>
      <c r="C82" s="145">
        <f>'DETAILS (sorted)'!DS23</f>
        <v>5236902.6001982624</v>
      </c>
      <c r="D82" s="134">
        <v>200000</v>
      </c>
      <c r="E82" s="134">
        <v>1000000</v>
      </c>
      <c r="F82" s="172">
        <v>100000</v>
      </c>
      <c r="G82" s="172">
        <v>100000</v>
      </c>
      <c r="H82" s="172">
        <v>100000</v>
      </c>
      <c r="I82" s="576">
        <v>100000</v>
      </c>
      <c r="J82" s="576">
        <v>100000</v>
      </c>
      <c r="K82" s="172">
        <v>100000</v>
      </c>
      <c r="L82" s="172">
        <v>100000</v>
      </c>
      <c r="M82" s="172">
        <v>100000</v>
      </c>
      <c r="N82" s="172">
        <v>100000</v>
      </c>
      <c r="O82" s="172">
        <v>100000</v>
      </c>
      <c r="P82" s="172">
        <v>100000</v>
      </c>
      <c r="Q82" s="172">
        <v>100000</v>
      </c>
      <c r="R82" s="172">
        <v>100000</v>
      </c>
      <c r="S82" s="172">
        <v>100000</v>
      </c>
      <c r="T82" s="172">
        <v>100000</v>
      </c>
      <c r="U82" s="172">
        <v>100000</v>
      </c>
      <c r="V82" s="172">
        <v>100000</v>
      </c>
      <c r="W82" s="172">
        <v>100000</v>
      </c>
      <c r="X82" s="172">
        <v>100000</v>
      </c>
      <c r="Y82" s="172">
        <v>100000</v>
      </c>
      <c r="Z82" s="172">
        <v>100000</v>
      </c>
      <c r="AA82" s="172">
        <v>100000</v>
      </c>
      <c r="AB82" s="327">
        <v>100000</v>
      </c>
      <c r="AC82" s="172"/>
      <c r="AD82" s="173">
        <f>SUM(D82:AC82)</f>
        <v>3500000</v>
      </c>
      <c r="AE82" s="174">
        <f>C82-AD82</f>
        <v>1736902.6001982624</v>
      </c>
      <c r="AF82" s="310" t="str">
        <f t="shared" si="2"/>
        <v>YES</v>
      </c>
      <c r="AG82" s="333">
        <v>80</v>
      </c>
      <c r="AH82" s="60"/>
      <c r="AI82" s="437"/>
      <c r="AJ82" s="437"/>
      <c r="AK82" s="437"/>
      <c r="AL82" s="437"/>
    </row>
    <row r="83" spans="1:38" ht="16.5" thickBot="1" x14ac:dyDescent="0.45">
      <c r="A83" s="332" t="str">
        <f>'DETAILS (sorted)'!A63</f>
        <v>ILS24-F00062</v>
      </c>
      <c r="B83" s="134" t="str">
        <f>'DETAILS (sorted)'!B63</f>
        <v xml:space="preserve">Africa Silayo </v>
      </c>
      <c r="C83" s="145">
        <f>'DETAILS (sorted)'!DS63</f>
        <v>5224156.1706417687</v>
      </c>
      <c r="D83" s="134">
        <v>200000</v>
      </c>
      <c r="E83" s="134">
        <v>1000000</v>
      </c>
      <c r="F83" s="435">
        <v>100000</v>
      </c>
      <c r="G83" s="435">
        <v>100000</v>
      </c>
      <c r="H83" s="435">
        <v>100000</v>
      </c>
      <c r="I83" s="578">
        <v>100000</v>
      </c>
      <c r="J83" s="578">
        <v>100000</v>
      </c>
      <c r="K83" s="435">
        <v>100000</v>
      </c>
      <c r="L83" s="435">
        <v>100000</v>
      </c>
      <c r="M83" s="435">
        <v>100000</v>
      </c>
      <c r="N83" s="435">
        <v>100000</v>
      </c>
      <c r="O83" s="435">
        <v>100000</v>
      </c>
      <c r="P83" s="435">
        <v>100000</v>
      </c>
      <c r="Q83" s="435">
        <v>100000</v>
      </c>
      <c r="R83" s="435">
        <v>100000</v>
      </c>
      <c r="S83" s="435">
        <v>100000</v>
      </c>
      <c r="T83" s="435">
        <v>100000</v>
      </c>
      <c r="U83" s="435">
        <v>100000</v>
      </c>
      <c r="V83" s="435">
        <v>100000</v>
      </c>
      <c r="W83" s="435">
        <v>100000</v>
      </c>
      <c r="X83" s="435">
        <v>100000</v>
      </c>
      <c r="Y83" s="435">
        <v>100000</v>
      </c>
      <c r="Z83" s="172">
        <v>100000</v>
      </c>
      <c r="AA83" s="172">
        <v>100000</v>
      </c>
      <c r="AB83" s="327">
        <v>100000</v>
      </c>
      <c r="AC83" s="435"/>
      <c r="AD83" s="436">
        <f>SUM(D83:AC83)</f>
        <v>3500000</v>
      </c>
      <c r="AE83" s="174">
        <f>C83-AD83</f>
        <v>1724156.1706417687</v>
      </c>
      <c r="AF83" s="310" t="str">
        <f t="shared" si="2"/>
        <v>YES</v>
      </c>
      <c r="AG83" s="333">
        <v>81</v>
      </c>
      <c r="AH83" s="60"/>
    </row>
    <row r="84" spans="1:38" ht="16.5" thickBot="1" x14ac:dyDescent="0.45">
      <c r="A84" s="332" t="str">
        <f>'DETAILS (sorted)'!A119</f>
        <v>ILS24-F00118</v>
      </c>
      <c r="B84" s="134" t="str">
        <f>'DETAILS (sorted)'!B119</f>
        <v>Vicent Athumani Tango</v>
      </c>
      <c r="C84" s="145">
        <f>'DETAILS (sorted)'!DS119</f>
        <v>5124571.8399180379</v>
      </c>
      <c r="D84" s="134">
        <v>200000</v>
      </c>
      <c r="E84" s="134">
        <v>1000000</v>
      </c>
      <c r="F84" s="172">
        <v>100000</v>
      </c>
      <c r="G84" s="172">
        <v>100000</v>
      </c>
      <c r="H84" s="172">
        <v>100000</v>
      </c>
      <c r="I84" s="576">
        <v>100000</v>
      </c>
      <c r="J84" s="576">
        <v>100000</v>
      </c>
      <c r="K84" s="172">
        <v>100000</v>
      </c>
      <c r="L84" s="172">
        <v>100000</v>
      </c>
      <c r="M84" s="172">
        <v>100000</v>
      </c>
      <c r="N84" s="172">
        <v>100000</v>
      </c>
      <c r="O84" s="172">
        <v>100000</v>
      </c>
      <c r="P84" s="172">
        <v>100000</v>
      </c>
      <c r="Q84" s="172">
        <v>100000</v>
      </c>
      <c r="R84" s="172">
        <v>100000</v>
      </c>
      <c r="S84" s="172">
        <v>100000</v>
      </c>
      <c r="T84" s="172">
        <v>100000</v>
      </c>
      <c r="U84" s="172">
        <v>100000</v>
      </c>
      <c r="V84" s="172">
        <v>100000</v>
      </c>
      <c r="W84" s="172">
        <v>100000</v>
      </c>
      <c r="X84" s="172">
        <v>100000</v>
      </c>
      <c r="Y84" s="172">
        <v>100000</v>
      </c>
      <c r="Z84" s="172">
        <v>100000</v>
      </c>
      <c r="AA84" s="172">
        <v>100000</v>
      </c>
      <c r="AB84" s="327">
        <v>100000</v>
      </c>
      <c r="AC84" s="172"/>
      <c r="AD84" s="173">
        <f>SUM(D84:AC84)</f>
        <v>3500000</v>
      </c>
      <c r="AE84" s="174">
        <f>C84-AD84</f>
        <v>1624571.8399180379</v>
      </c>
      <c r="AF84" s="310" t="str">
        <f t="shared" si="2"/>
        <v>YES</v>
      </c>
      <c r="AG84" s="333">
        <v>82</v>
      </c>
      <c r="AH84" s="60"/>
    </row>
    <row r="85" spans="1:38" ht="16.5" thickBot="1" x14ac:dyDescent="0.45">
      <c r="A85" s="332" t="str">
        <f>'DETAILS (sorted)'!A144</f>
        <v>ILS24-F00143</v>
      </c>
      <c r="B85" s="134" t="str">
        <f>'DETAILS (sorted)'!B144</f>
        <v xml:space="preserve">Honest Tesha </v>
      </c>
      <c r="C85" s="145">
        <f>'DETAILS (sorted)'!DS144</f>
        <v>5104534.693279434</v>
      </c>
      <c r="D85" s="134">
        <v>200000</v>
      </c>
      <c r="E85" s="134">
        <v>1000000</v>
      </c>
      <c r="F85" s="172">
        <v>100000</v>
      </c>
      <c r="G85" s="172">
        <v>100000</v>
      </c>
      <c r="H85" s="172">
        <v>100000</v>
      </c>
      <c r="I85" s="576">
        <v>100000</v>
      </c>
      <c r="J85" s="576">
        <v>100000</v>
      </c>
      <c r="K85" s="172">
        <v>100000</v>
      </c>
      <c r="L85" s="172">
        <v>100000</v>
      </c>
      <c r="M85" s="172">
        <v>100000</v>
      </c>
      <c r="N85" s="172">
        <v>100000</v>
      </c>
      <c r="O85" s="172">
        <v>100000</v>
      </c>
      <c r="P85" s="172">
        <v>100000</v>
      </c>
      <c r="Q85" s="172">
        <v>100000</v>
      </c>
      <c r="R85" s="172">
        <v>100000</v>
      </c>
      <c r="S85" s="172">
        <v>100000</v>
      </c>
      <c r="T85" s="172">
        <v>100000</v>
      </c>
      <c r="U85" s="172">
        <v>100000</v>
      </c>
      <c r="V85" s="172">
        <v>100000</v>
      </c>
      <c r="W85" s="172">
        <v>100000</v>
      </c>
      <c r="X85" s="172">
        <v>100000</v>
      </c>
      <c r="Y85" s="172">
        <v>100000</v>
      </c>
      <c r="Z85" s="172">
        <v>100000</v>
      </c>
      <c r="AA85" s="172">
        <v>100000</v>
      </c>
      <c r="AB85" s="327">
        <v>100000</v>
      </c>
      <c r="AC85" s="172"/>
      <c r="AD85" s="173">
        <f>SUM(D85:AC85)</f>
        <v>3500000</v>
      </c>
      <c r="AE85" s="174">
        <f>C85-AD85</f>
        <v>1604534.693279434</v>
      </c>
      <c r="AF85" s="310" t="str">
        <f t="shared" si="2"/>
        <v>YES</v>
      </c>
      <c r="AG85" s="333">
        <v>83</v>
      </c>
      <c r="AH85" s="60"/>
    </row>
    <row r="86" spans="1:38" s="60" customFormat="1" ht="16.5" thickBot="1" x14ac:dyDescent="0.45">
      <c r="A86" s="332" t="str">
        <f>'DETAILS (sorted)'!A151</f>
        <v>ILS24-F00150</v>
      </c>
      <c r="B86" s="134" t="str">
        <f>'DETAILS (sorted)'!B151</f>
        <v>Paulsen Patrick Aron</v>
      </c>
      <c r="C86" s="145">
        <f>'DETAILS (sorted)'!DS151</f>
        <v>5065639.055686851</v>
      </c>
      <c r="D86" s="134">
        <v>200000</v>
      </c>
      <c r="E86" s="134">
        <v>1000000</v>
      </c>
      <c r="F86" s="172">
        <v>100000</v>
      </c>
      <c r="G86" s="172">
        <v>100000</v>
      </c>
      <c r="H86" s="172">
        <v>100000</v>
      </c>
      <c r="I86" s="576">
        <v>100000</v>
      </c>
      <c r="J86" s="576">
        <v>100000</v>
      </c>
      <c r="K86" s="172">
        <v>100000</v>
      </c>
      <c r="L86" s="172">
        <v>100000</v>
      </c>
      <c r="M86" s="172">
        <v>100000</v>
      </c>
      <c r="N86" s="172">
        <v>100000</v>
      </c>
      <c r="O86" s="172">
        <v>100000</v>
      </c>
      <c r="P86" s="172">
        <v>100000</v>
      </c>
      <c r="Q86" s="172">
        <v>100000</v>
      </c>
      <c r="R86" s="172">
        <v>100000</v>
      </c>
      <c r="S86" s="172">
        <v>100000</v>
      </c>
      <c r="T86" s="172">
        <v>100000</v>
      </c>
      <c r="U86" s="172">
        <v>100000</v>
      </c>
      <c r="V86" s="172">
        <v>100000</v>
      </c>
      <c r="W86" s="172">
        <v>100000</v>
      </c>
      <c r="X86" s="172">
        <v>100000</v>
      </c>
      <c r="Y86" s="172">
        <v>100000</v>
      </c>
      <c r="Z86" s="172">
        <v>100000</v>
      </c>
      <c r="AA86" s="172">
        <v>100000</v>
      </c>
      <c r="AB86" s="327">
        <v>100000</v>
      </c>
      <c r="AC86" s="172"/>
      <c r="AD86" s="173">
        <f>SUM(D86:AC86)</f>
        <v>3500000</v>
      </c>
      <c r="AE86" s="174">
        <f>C86-AD86</f>
        <v>1565639.055686851</v>
      </c>
      <c r="AF86" s="310" t="str">
        <f t="shared" si="2"/>
        <v>YES</v>
      </c>
      <c r="AG86" s="333">
        <v>84</v>
      </c>
      <c r="AK86" s="438"/>
    </row>
    <row r="87" spans="1:38" ht="16.5" thickBot="1" x14ac:dyDescent="0.45">
      <c r="A87" s="332" t="str">
        <f>'DETAILS (sorted)'!A105</f>
        <v>ILS24-F00104</v>
      </c>
      <c r="B87" s="134" t="str">
        <f>'DETAILS (sorted)'!B105</f>
        <v>Fulgence Thomas Massawe</v>
      </c>
      <c r="C87" s="145">
        <f>'DETAILS (sorted)'!DS105</f>
        <v>5003221.9121656977</v>
      </c>
      <c r="D87" s="134">
        <v>200000</v>
      </c>
      <c r="E87" s="134">
        <v>1000000</v>
      </c>
      <c r="F87" s="172">
        <v>100000</v>
      </c>
      <c r="G87" s="172">
        <v>100000</v>
      </c>
      <c r="H87" s="172">
        <v>100000</v>
      </c>
      <c r="I87" s="576">
        <v>100000</v>
      </c>
      <c r="J87" s="576">
        <v>100000</v>
      </c>
      <c r="K87" s="172">
        <v>100000</v>
      </c>
      <c r="L87" s="172">
        <v>100000</v>
      </c>
      <c r="M87" s="172">
        <v>100000</v>
      </c>
      <c r="N87" s="172">
        <v>100000</v>
      </c>
      <c r="O87" s="172">
        <v>100000</v>
      </c>
      <c r="P87" s="172">
        <v>100000</v>
      </c>
      <c r="Q87" s="172">
        <v>100000</v>
      </c>
      <c r="R87" s="172">
        <v>100000</v>
      </c>
      <c r="S87" s="172">
        <v>100000</v>
      </c>
      <c r="T87" s="172">
        <v>100000</v>
      </c>
      <c r="U87" s="172">
        <v>100000</v>
      </c>
      <c r="V87" s="172">
        <v>100000</v>
      </c>
      <c r="W87" s="172">
        <v>100000</v>
      </c>
      <c r="X87" s="172">
        <v>100000</v>
      </c>
      <c r="Y87" s="172">
        <v>100000</v>
      </c>
      <c r="Z87" s="172">
        <v>100000</v>
      </c>
      <c r="AA87" s="172">
        <v>100000</v>
      </c>
      <c r="AB87" s="327">
        <v>100000</v>
      </c>
      <c r="AC87" s="172"/>
      <c r="AD87" s="173">
        <f>SUM(D87:AC87)</f>
        <v>3500000</v>
      </c>
      <c r="AE87" s="174">
        <f>C87-AD87</f>
        <v>1503221.9121656977</v>
      </c>
      <c r="AF87" s="310" t="str">
        <f t="shared" si="2"/>
        <v>YES</v>
      </c>
      <c r="AG87" s="333">
        <v>85</v>
      </c>
      <c r="AH87" s="60"/>
    </row>
    <row r="88" spans="1:38" ht="16.5" thickBot="1" x14ac:dyDescent="0.45">
      <c r="A88" s="332" t="str">
        <f>'DETAILS (sorted)'!A87</f>
        <v>ILS24-F00086</v>
      </c>
      <c r="B88" s="134" t="str">
        <f>'DETAILS (sorted)'!B87</f>
        <v>Joseph Placid Njuu</v>
      </c>
      <c r="C88" s="145">
        <f>'DETAILS (sorted)'!DS87</f>
        <v>4633842.7795032235</v>
      </c>
      <c r="D88" s="134">
        <v>200000</v>
      </c>
      <c r="E88" s="134">
        <v>1000000</v>
      </c>
      <c r="F88" s="172">
        <v>100000</v>
      </c>
      <c r="G88" s="172">
        <v>100000</v>
      </c>
      <c r="H88" s="172">
        <v>100000</v>
      </c>
      <c r="I88" s="576">
        <v>100000</v>
      </c>
      <c r="J88" s="576">
        <v>100000</v>
      </c>
      <c r="K88" s="172">
        <v>100000</v>
      </c>
      <c r="L88" s="172">
        <v>100000</v>
      </c>
      <c r="M88" s="172">
        <v>100000</v>
      </c>
      <c r="N88" s="172">
        <v>100000</v>
      </c>
      <c r="O88" s="172">
        <v>100000</v>
      </c>
      <c r="P88" s="172">
        <v>100000</v>
      </c>
      <c r="Q88" s="172">
        <v>100000</v>
      </c>
      <c r="R88" s="172">
        <v>100000</v>
      </c>
      <c r="S88" s="172">
        <v>100000</v>
      </c>
      <c r="T88" s="172">
        <v>100000</v>
      </c>
      <c r="U88" s="172">
        <v>100000</v>
      </c>
      <c r="V88" s="172">
        <v>100000</v>
      </c>
      <c r="W88" s="172">
        <v>100000</v>
      </c>
      <c r="X88" s="172">
        <v>100000</v>
      </c>
      <c r="Y88" s="172">
        <v>100000</v>
      </c>
      <c r="Z88" s="172">
        <v>100000</v>
      </c>
      <c r="AA88" s="172">
        <v>100000</v>
      </c>
      <c r="AB88" s="327">
        <v>100000</v>
      </c>
      <c r="AC88" s="172"/>
      <c r="AD88" s="173">
        <f>SUM(D88:AC88)</f>
        <v>3500000</v>
      </c>
      <c r="AE88" s="411">
        <f>C88-AD88</f>
        <v>1133842.7795032235</v>
      </c>
      <c r="AF88" s="310" t="str">
        <f t="shared" si="2"/>
        <v>YES</v>
      </c>
      <c r="AG88" s="333">
        <v>86</v>
      </c>
      <c r="AH88" s="60"/>
    </row>
    <row r="89" spans="1:38" ht="16.5" thickBot="1" x14ac:dyDescent="0.45">
      <c r="A89" s="332" t="str">
        <f>'DETAILS (sorted)'!A95</f>
        <v>ILS24-F00094</v>
      </c>
      <c r="B89" s="134" t="str">
        <f>'DETAILS (sorted)'!B95</f>
        <v>Edwin Banyenza Mwombeki</v>
      </c>
      <c r="C89" s="145">
        <f>'DETAILS (sorted)'!DS95</f>
        <v>4612114.6559262332</v>
      </c>
      <c r="D89" s="134">
        <v>200000</v>
      </c>
      <c r="E89" s="134">
        <v>1000000</v>
      </c>
      <c r="F89" s="172">
        <v>100000</v>
      </c>
      <c r="G89" s="172">
        <v>100000</v>
      </c>
      <c r="H89" s="172">
        <v>100000</v>
      </c>
      <c r="I89" s="576">
        <v>100000</v>
      </c>
      <c r="J89" s="576">
        <v>100000</v>
      </c>
      <c r="K89" s="172">
        <v>100000</v>
      </c>
      <c r="L89" s="172">
        <v>100000</v>
      </c>
      <c r="M89" s="172">
        <v>100000</v>
      </c>
      <c r="N89" s="172">
        <v>100000</v>
      </c>
      <c r="O89" s="172">
        <v>100000</v>
      </c>
      <c r="P89" s="172">
        <v>100000</v>
      </c>
      <c r="Q89" s="172">
        <v>100000</v>
      </c>
      <c r="R89" s="172">
        <v>100000</v>
      </c>
      <c r="S89" s="172">
        <v>100000</v>
      </c>
      <c r="T89" s="172">
        <v>100000</v>
      </c>
      <c r="U89" s="172">
        <v>100000</v>
      </c>
      <c r="V89" s="172">
        <v>100000</v>
      </c>
      <c r="W89" s="172">
        <v>100000</v>
      </c>
      <c r="X89" s="172">
        <v>100000</v>
      </c>
      <c r="Y89" s="172">
        <v>100000</v>
      </c>
      <c r="Z89" s="172">
        <v>100000</v>
      </c>
      <c r="AA89" s="172">
        <v>100000</v>
      </c>
      <c r="AB89" s="327">
        <v>100000</v>
      </c>
      <c r="AC89" s="172"/>
      <c r="AD89" s="173">
        <f>SUM(D89:AC89)</f>
        <v>3500000</v>
      </c>
      <c r="AE89" s="174">
        <f>C89-AD89</f>
        <v>1112114.6559262332</v>
      </c>
      <c r="AF89" s="310" t="str">
        <f t="shared" si="2"/>
        <v>YES</v>
      </c>
      <c r="AG89" s="333">
        <v>87</v>
      </c>
      <c r="AH89" s="60"/>
    </row>
    <row r="90" spans="1:38" ht="16.5" thickBot="1" x14ac:dyDescent="0.45">
      <c r="A90" s="332" t="str">
        <f>'DETAILS (sorted)'!A134</f>
        <v>ILS24-F00133</v>
      </c>
      <c r="B90" s="134" t="str">
        <f>'DETAILS (sorted)'!B134</f>
        <v>Martin Nasuzwa Kidili</v>
      </c>
      <c r="C90" s="145">
        <f>'DETAILS (sorted)'!DS134</f>
        <v>4600328.0990799963</v>
      </c>
      <c r="D90" s="134">
        <v>200000</v>
      </c>
      <c r="E90" s="134">
        <v>1000000</v>
      </c>
      <c r="F90" s="172">
        <v>100000</v>
      </c>
      <c r="G90" s="172">
        <v>100000</v>
      </c>
      <c r="H90" s="172">
        <v>100000</v>
      </c>
      <c r="I90" s="576">
        <v>100000</v>
      </c>
      <c r="J90" s="576">
        <v>100000</v>
      </c>
      <c r="K90" s="172">
        <v>100000</v>
      </c>
      <c r="L90" s="172">
        <v>100000</v>
      </c>
      <c r="M90" s="172">
        <v>100000</v>
      </c>
      <c r="N90" s="172">
        <v>100000</v>
      </c>
      <c r="O90" s="172">
        <v>100000</v>
      </c>
      <c r="P90" s="172">
        <v>100000</v>
      </c>
      <c r="Q90" s="172">
        <v>100000</v>
      </c>
      <c r="R90" s="172">
        <v>100000</v>
      </c>
      <c r="S90" s="172">
        <v>100000</v>
      </c>
      <c r="T90" s="172">
        <v>100000</v>
      </c>
      <c r="U90" s="172">
        <v>100000</v>
      </c>
      <c r="V90" s="172">
        <v>100000</v>
      </c>
      <c r="W90" s="172">
        <v>100000</v>
      </c>
      <c r="X90" s="172">
        <v>100000</v>
      </c>
      <c r="Y90" s="172">
        <v>100000</v>
      </c>
      <c r="Z90" s="172">
        <v>100000</v>
      </c>
      <c r="AA90" s="172">
        <v>100000</v>
      </c>
      <c r="AB90" s="327">
        <v>100000</v>
      </c>
      <c r="AC90" s="172"/>
      <c r="AD90" s="173">
        <f>SUM(D90:AC90)</f>
        <v>3500000</v>
      </c>
      <c r="AE90" s="174">
        <f>C90-AD90</f>
        <v>1100328.0990799963</v>
      </c>
      <c r="AF90" s="310" t="str">
        <f t="shared" si="2"/>
        <v>YES</v>
      </c>
      <c r="AG90" s="333">
        <v>88</v>
      </c>
      <c r="AH90" s="60"/>
    </row>
    <row r="91" spans="1:38" ht="16.5" thickBot="1" x14ac:dyDescent="0.45">
      <c r="A91" s="332" t="str">
        <f>'DETAILS (sorted)'!A133</f>
        <v>ILS24-F00132</v>
      </c>
      <c r="B91" s="134" t="str">
        <f>'DETAILS (sorted)'!B133</f>
        <v xml:space="preserve">Alfred Stephen Kishe </v>
      </c>
      <c r="C91" s="145">
        <f>'DETAILS (sorted)'!DS133</f>
        <v>4597970.7877107486</v>
      </c>
      <c r="D91" s="134">
        <v>200000</v>
      </c>
      <c r="E91" s="134">
        <v>1000000</v>
      </c>
      <c r="F91" s="172">
        <v>100000</v>
      </c>
      <c r="G91" s="172">
        <v>100000</v>
      </c>
      <c r="H91" s="172">
        <v>100000</v>
      </c>
      <c r="I91" s="576">
        <v>100000</v>
      </c>
      <c r="J91" s="576">
        <v>100000</v>
      </c>
      <c r="K91" s="172">
        <v>100000</v>
      </c>
      <c r="L91" s="172">
        <v>100000</v>
      </c>
      <c r="M91" s="172">
        <v>100000</v>
      </c>
      <c r="N91" s="172">
        <v>100000</v>
      </c>
      <c r="O91" s="172">
        <v>100000</v>
      </c>
      <c r="P91" s="172">
        <v>100000</v>
      </c>
      <c r="Q91" s="172">
        <v>100000</v>
      </c>
      <c r="R91" s="172">
        <v>100000</v>
      </c>
      <c r="S91" s="172">
        <v>100000</v>
      </c>
      <c r="T91" s="172">
        <v>100000</v>
      </c>
      <c r="U91" s="172">
        <v>100000</v>
      </c>
      <c r="V91" s="172">
        <v>100000</v>
      </c>
      <c r="W91" s="172">
        <v>100000</v>
      </c>
      <c r="X91" s="172">
        <v>100000</v>
      </c>
      <c r="Y91" s="172">
        <v>100000</v>
      </c>
      <c r="Z91" s="172">
        <v>100000</v>
      </c>
      <c r="AA91" s="172">
        <v>100000</v>
      </c>
      <c r="AB91" s="327">
        <v>100000</v>
      </c>
      <c r="AC91" s="172"/>
      <c r="AD91" s="173">
        <f>SUM(D91:AC91)</f>
        <v>3500000</v>
      </c>
      <c r="AE91" s="174">
        <f>C91-AD91</f>
        <v>1097970.7877107486</v>
      </c>
      <c r="AF91" s="310" t="str">
        <f t="shared" si="2"/>
        <v>YES</v>
      </c>
      <c r="AG91" s="333">
        <v>89</v>
      </c>
      <c r="AH91" s="60"/>
    </row>
    <row r="92" spans="1:38" ht="16.5" thickBot="1" x14ac:dyDescent="0.45">
      <c r="A92" s="332" t="str">
        <f>'DETAILS (sorted)'!A92</f>
        <v>ILS24-F00091</v>
      </c>
      <c r="B92" s="134" t="str">
        <f>'DETAILS (sorted)'!B92</f>
        <v>Everest Thadei Sikilo</v>
      </c>
      <c r="C92" s="145">
        <f>'DETAILS (sorted)'!DS92</f>
        <v>4541295.963706024</v>
      </c>
      <c r="D92" s="134">
        <v>200000</v>
      </c>
      <c r="E92" s="134">
        <v>1000000</v>
      </c>
      <c r="F92" s="172">
        <v>100000</v>
      </c>
      <c r="G92" s="172">
        <v>100000</v>
      </c>
      <c r="H92" s="172">
        <v>100000</v>
      </c>
      <c r="I92" s="576">
        <v>100000</v>
      </c>
      <c r="J92" s="576">
        <v>100000</v>
      </c>
      <c r="K92" s="172">
        <v>100000</v>
      </c>
      <c r="L92" s="172">
        <v>100000</v>
      </c>
      <c r="M92" s="172">
        <v>100000</v>
      </c>
      <c r="N92" s="172">
        <v>100000</v>
      </c>
      <c r="O92" s="172">
        <v>100000</v>
      </c>
      <c r="P92" s="172">
        <v>100000</v>
      </c>
      <c r="Q92" s="172">
        <v>100000</v>
      </c>
      <c r="R92" s="172">
        <v>100000</v>
      </c>
      <c r="S92" s="172">
        <v>100000</v>
      </c>
      <c r="T92" s="172">
        <v>100000</v>
      </c>
      <c r="U92" s="172">
        <v>100000</v>
      </c>
      <c r="V92" s="172">
        <v>100000</v>
      </c>
      <c r="W92" s="172">
        <v>100000</v>
      </c>
      <c r="X92" s="172">
        <v>100000</v>
      </c>
      <c r="Y92" s="172">
        <v>100000</v>
      </c>
      <c r="Z92" s="172">
        <v>100000</v>
      </c>
      <c r="AA92" s="172">
        <v>100000</v>
      </c>
      <c r="AB92" s="327">
        <v>100000</v>
      </c>
      <c r="AC92" s="172"/>
      <c r="AD92" s="173">
        <f>SUM(D92:AC92)</f>
        <v>3500000</v>
      </c>
      <c r="AE92" s="337">
        <f>C92-AD92</f>
        <v>1041295.963706024</v>
      </c>
      <c r="AF92" s="310" t="str">
        <f t="shared" si="2"/>
        <v>YES</v>
      </c>
      <c r="AG92" s="333">
        <v>90</v>
      </c>
      <c r="AH92" s="60"/>
    </row>
    <row r="93" spans="1:38" ht="16.5" thickBot="1" x14ac:dyDescent="0.45">
      <c r="A93" s="332" t="str">
        <f>'DETAILS (sorted)'!A53</f>
        <v>ILS24-F00052</v>
      </c>
      <c r="B93" s="134" t="str">
        <f>'DETAILS (sorted)'!B53</f>
        <v xml:space="preserve">Omary Mwasema </v>
      </c>
      <c r="C93" s="145">
        <f>'DETAILS (sorted)'!DS53</f>
        <v>4408352.007749619</v>
      </c>
      <c r="D93" s="134">
        <v>200000</v>
      </c>
      <c r="E93" s="134">
        <v>1000000</v>
      </c>
      <c r="F93" s="172">
        <v>100000</v>
      </c>
      <c r="G93" s="172">
        <v>100000</v>
      </c>
      <c r="H93" s="172">
        <v>100000</v>
      </c>
      <c r="I93" s="576">
        <v>100000</v>
      </c>
      <c r="J93" s="576">
        <v>100000</v>
      </c>
      <c r="K93" s="172">
        <v>100000</v>
      </c>
      <c r="L93" s="172">
        <v>100000</v>
      </c>
      <c r="M93" s="172">
        <v>100000</v>
      </c>
      <c r="N93" s="172">
        <v>100000</v>
      </c>
      <c r="O93" s="172">
        <v>100000</v>
      </c>
      <c r="P93" s="172">
        <v>100000</v>
      </c>
      <c r="Q93" s="172">
        <v>100000</v>
      </c>
      <c r="R93" s="172">
        <v>100000</v>
      </c>
      <c r="S93" s="172">
        <v>100000</v>
      </c>
      <c r="T93" s="172">
        <v>100000</v>
      </c>
      <c r="U93" s="172">
        <v>100000</v>
      </c>
      <c r="V93" s="172">
        <v>100000</v>
      </c>
      <c r="W93" s="172">
        <v>100000</v>
      </c>
      <c r="X93" s="172">
        <v>100000</v>
      </c>
      <c r="Y93" s="172">
        <v>100000</v>
      </c>
      <c r="Z93" s="172">
        <v>100000</v>
      </c>
      <c r="AA93" s="172">
        <v>100000</v>
      </c>
      <c r="AB93" s="327">
        <v>100000</v>
      </c>
      <c r="AC93" s="172"/>
      <c r="AD93" s="173">
        <f>SUM(D93:AC93)</f>
        <v>3500000</v>
      </c>
      <c r="AE93" s="174">
        <f>C93-AD93</f>
        <v>908352.00774961896</v>
      </c>
      <c r="AF93" s="310" t="str">
        <f t="shared" si="2"/>
        <v>YES</v>
      </c>
      <c r="AG93" s="333">
        <v>91</v>
      </c>
      <c r="AH93" s="60"/>
    </row>
    <row r="94" spans="1:38" ht="16.5" thickBot="1" x14ac:dyDescent="0.45">
      <c r="A94" s="332" t="str">
        <f>'DETAILS (sorted)'!A111</f>
        <v>ILS24-F00110</v>
      </c>
      <c r="B94" s="134" t="str">
        <f>'DETAILS (sorted)'!B111</f>
        <v>William Baraka Tigahwa</v>
      </c>
      <c r="C94" s="145">
        <f>'DETAILS (sorted)'!DS111</f>
        <v>4407131.7823295118</v>
      </c>
      <c r="D94" s="134">
        <v>200000</v>
      </c>
      <c r="E94" s="134">
        <v>1000000</v>
      </c>
      <c r="F94" s="172">
        <v>100000</v>
      </c>
      <c r="G94" s="172">
        <v>100000</v>
      </c>
      <c r="H94" s="172">
        <v>100000</v>
      </c>
      <c r="I94" s="576">
        <v>100000</v>
      </c>
      <c r="J94" s="576">
        <v>100000</v>
      </c>
      <c r="K94" s="172">
        <v>100000</v>
      </c>
      <c r="L94" s="172">
        <v>100000</v>
      </c>
      <c r="M94" s="172">
        <v>100000</v>
      </c>
      <c r="N94" s="172">
        <v>100000</v>
      </c>
      <c r="O94" s="172">
        <v>100000</v>
      </c>
      <c r="P94" s="172">
        <v>100000</v>
      </c>
      <c r="Q94" s="172">
        <v>100000</v>
      </c>
      <c r="R94" s="172">
        <v>100000</v>
      </c>
      <c r="S94" s="172">
        <v>100000</v>
      </c>
      <c r="T94" s="172">
        <v>100000</v>
      </c>
      <c r="U94" s="172">
        <v>100000</v>
      </c>
      <c r="V94" s="172">
        <v>100000</v>
      </c>
      <c r="W94" s="172">
        <v>100000</v>
      </c>
      <c r="X94" s="172">
        <v>100000</v>
      </c>
      <c r="Y94" s="172">
        <v>100000</v>
      </c>
      <c r="Z94" s="172">
        <v>100000</v>
      </c>
      <c r="AA94" s="172">
        <v>100000</v>
      </c>
      <c r="AB94" s="327">
        <v>100000</v>
      </c>
      <c r="AC94" s="172"/>
      <c r="AD94" s="173">
        <f>SUM(D94:AC94)</f>
        <v>3500000</v>
      </c>
      <c r="AE94" s="174">
        <f>C94-AD94</f>
        <v>907131.78232951183</v>
      </c>
      <c r="AF94" s="310" t="str">
        <f t="shared" si="2"/>
        <v>YES</v>
      </c>
      <c r="AG94" s="333">
        <v>92</v>
      </c>
      <c r="AH94" s="60"/>
    </row>
    <row r="95" spans="1:38" ht="16.5" thickBot="1" x14ac:dyDescent="0.45">
      <c r="A95" s="332" t="str">
        <f>'DETAILS (sorted)'!A136</f>
        <v>ILS24-F00135</v>
      </c>
      <c r="B95" s="134" t="str">
        <f>'DETAILS (sorted)'!B136</f>
        <v>Novat Adam Moshi</v>
      </c>
      <c r="C95" s="145">
        <f>'DETAILS (sorted)'!DS136</f>
        <v>4395345.225483275</v>
      </c>
      <c r="D95" s="134">
        <v>200000</v>
      </c>
      <c r="E95" s="134">
        <v>1000000</v>
      </c>
      <c r="F95" s="172">
        <v>100000</v>
      </c>
      <c r="G95" s="172">
        <v>100000</v>
      </c>
      <c r="H95" s="172">
        <v>100000</v>
      </c>
      <c r="I95" s="576">
        <v>100000</v>
      </c>
      <c r="J95" s="576">
        <v>100000</v>
      </c>
      <c r="K95" s="172">
        <v>100000</v>
      </c>
      <c r="L95" s="172">
        <v>100000</v>
      </c>
      <c r="M95" s="172">
        <v>100000</v>
      </c>
      <c r="N95" s="172">
        <v>100000</v>
      </c>
      <c r="O95" s="172">
        <v>100000</v>
      </c>
      <c r="P95" s="172">
        <v>100000</v>
      </c>
      <c r="Q95" s="172">
        <v>100000</v>
      </c>
      <c r="R95" s="172">
        <v>100000</v>
      </c>
      <c r="S95" s="172">
        <v>100000</v>
      </c>
      <c r="T95" s="172">
        <v>100000</v>
      </c>
      <c r="U95" s="172">
        <v>100000</v>
      </c>
      <c r="V95" s="172">
        <v>100000</v>
      </c>
      <c r="W95" s="172">
        <v>100000</v>
      </c>
      <c r="X95" s="172">
        <v>100000</v>
      </c>
      <c r="Y95" s="172">
        <v>100000</v>
      </c>
      <c r="Z95" s="172">
        <v>100000</v>
      </c>
      <c r="AA95" s="172">
        <v>100000</v>
      </c>
      <c r="AB95" s="327">
        <v>100000</v>
      </c>
      <c r="AC95" s="172"/>
      <c r="AD95" s="173">
        <f>SUM(D95:AC95)</f>
        <v>3500000</v>
      </c>
      <c r="AE95" s="174">
        <f>C95-AD95</f>
        <v>895345.22548327502</v>
      </c>
      <c r="AF95" s="310" t="str">
        <f t="shared" si="2"/>
        <v>YES</v>
      </c>
      <c r="AG95" s="333">
        <v>93</v>
      </c>
      <c r="AH95" s="60"/>
    </row>
    <row r="96" spans="1:38" ht="16.5" thickBot="1" x14ac:dyDescent="0.45">
      <c r="A96" s="332" t="str">
        <f>'DETAILS (sorted)'!A73</f>
        <v>ILS24-F00072</v>
      </c>
      <c r="B96" s="134" t="str">
        <f>'DETAILS (sorted)'!B73</f>
        <v xml:space="preserve">Ludovic Jacob Swai </v>
      </c>
      <c r="C96" s="145">
        <f>'DETAILS (sorted)'!DS73</f>
        <v>4378782.4559366107</v>
      </c>
      <c r="D96" s="134">
        <v>200000</v>
      </c>
      <c r="E96" s="134">
        <v>1000000</v>
      </c>
      <c r="F96" s="172">
        <v>100000</v>
      </c>
      <c r="G96" s="172">
        <v>100000</v>
      </c>
      <c r="H96" s="172">
        <v>100000</v>
      </c>
      <c r="I96" s="576">
        <v>100000</v>
      </c>
      <c r="J96" s="576">
        <v>100000</v>
      </c>
      <c r="K96" s="172">
        <v>100000</v>
      </c>
      <c r="L96" s="172">
        <v>100000</v>
      </c>
      <c r="M96" s="172">
        <v>100000</v>
      </c>
      <c r="N96" s="172">
        <v>100000</v>
      </c>
      <c r="O96" s="172">
        <v>100000</v>
      </c>
      <c r="P96" s="172">
        <v>100000</v>
      </c>
      <c r="Q96" s="172">
        <v>100000</v>
      </c>
      <c r="R96" s="172">
        <v>100000</v>
      </c>
      <c r="S96" s="172">
        <v>100000</v>
      </c>
      <c r="T96" s="172">
        <v>100000</v>
      </c>
      <c r="U96" s="172">
        <v>100000</v>
      </c>
      <c r="V96" s="172">
        <v>100000</v>
      </c>
      <c r="W96" s="172">
        <v>100000</v>
      </c>
      <c r="X96" s="172">
        <v>100000</v>
      </c>
      <c r="Y96" s="172">
        <v>100000</v>
      </c>
      <c r="Z96" s="172">
        <v>100000</v>
      </c>
      <c r="AA96" s="172">
        <v>100000</v>
      </c>
      <c r="AB96" s="327">
        <v>100000</v>
      </c>
      <c r="AC96" s="172"/>
      <c r="AD96" s="173">
        <f>SUM(D96:AC96)</f>
        <v>3500000</v>
      </c>
      <c r="AE96" s="174">
        <f>C96-AD96</f>
        <v>878782.4559366107</v>
      </c>
      <c r="AF96" s="310" t="str">
        <f t="shared" si="2"/>
        <v>YES</v>
      </c>
      <c r="AG96" s="333">
        <v>94</v>
      </c>
      <c r="AH96" s="60"/>
    </row>
    <row r="97" spans="1:34" ht="16.5" thickBot="1" x14ac:dyDescent="0.45">
      <c r="A97" s="332" t="str">
        <f>'DETAILS (sorted)'!A68</f>
        <v>ILS24-F00067</v>
      </c>
      <c r="B97" s="134" t="str">
        <f>'DETAILS (sorted)'!B68</f>
        <v>Philemon Barabojick</v>
      </c>
      <c r="C97" s="145">
        <f>'DETAILS (sorted)'!DS68</f>
        <v>4376877.2526204214</v>
      </c>
      <c r="D97" s="134">
        <v>200000</v>
      </c>
      <c r="E97" s="134">
        <v>1000000</v>
      </c>
      <c r="F97" s="172">
        <v>100000</v>
      </c>
      <c r="G97" s="172">
        <v>100000</v>
      </c>
      <c r="H97" s="172">
        <v>100000</v>
      </c>
      <c r="I97" s="576">
        <v>100000</v>
      </c>
      <c r="J97" s="576">
        <v>100000</v>
      </c>
      <c r="K97" s="172">
        <v>100000</v>
      </c>
      <c r="L97" s="172">
        <v>100000</v>
      </c>
      <c r="M97" s="172">
        <v>100000</v>
      </c>
      <c r="N97" s="172">
        <v>100000</v>
      </c>
      <c r="O97" s="172">
        <v>100000</v>
      </c>
      <c r="P97" s="172">
        <v>100000</v>
      </c>
      <c r="Q97" s="172">
        <v>100000</v>
      </c>
      <c r="R97" s="172">
        <v>100000</v>
      </c>
      <c r="S97" s="172">
        <v>100000</v>
      </c>
      <c r="T97" s="172">
        <v>100000</v>
      </c>
      <c r="U97" s="172">
        <v>100000</v>
      </c>
      <c r="V97" s="172">
        <v>100000</v>
      </c>
      <c r="W97" s="172">
        <v>100000</v>
      </c>
      <c r="X97" s="172">
        <v>100000</v>
      </c>
      <c r="Y97" s="172">
        <v>100000</v>
      </c>
      <c r="Z97" s="172">
        <v>100000</v>
      </c>
      <c r="AA97" s="172">
        <v>100000</v>
      </c>
      <c r="AB97" s="327">
        <v>100000</v>
      </c>
      <c r="AC97" s="172"/>
      <c r="AD97" s="173">
        <f>SUM(D97:AC97)</f>
        <v>3500000</v>
      </c>
      <c r="AE97" s="174">
        <f>C97-AD97</f>
        <v>876877.25262042135</v>
      </c>
      <c r="AF97" s="310" t="str">
        <f t="shared" si="2"/>
        <v>YES</v>
      </c>
      <c r="AG97" s="333">
        <v>95</v>
      </c>
      <c r="AH97" s="60"/>
    </row>
    <row r="98" spans="1:34" ht="16.5" thickBot="1" x14ac:dyDescent="0.45">
      <c r="A98" s="332" t="str">
        <f>'DETAILS (sorted)'!A32</f>
        <v>ILS24-F00031</v>
      </c>
      <c r="B98" s="134" t="str">
        <f>'DETAILS (sorted)'!B32</f>
        <v>Stephen Nkurlu</v>
      </c>
      <c r="C98" s="145">
        <f>'DETAILS (sorted)'!DS32</f>
        <v>4349969.7794422125</v>
      </c>
      <c r="D98" s="134">
        <v>200000</v>
      </c>
      <c r="E98" s="134">
        <v>1000000</v>
      </c>
      <c r="F98" s="172">
        <v>100000</v>
      </c>
      <c r="G98" s="172">
        <v>100000</v>
      </c>
      <c r="H98" s="172">
        <v>100000</v>
      </c>
      <c r="I98" s="576">
        <v>100000</v>
      </c>
      <c r="J98" s="576">
        <v>100000</v>
      </c>
      <c r="K98" s="172">
        <v>100000</v>
      </c>
      <c r="L98" s="172">
        <v>100000</v>
      </c>
      <c r="M98" s="172">
        <v>100000</v>
      </c>
      <c r="N98" s="172">
        <v>100000</v>
      </c>
      <c r="O98" s="172">
        <v>100000</v>
      </c>
      <c r="P98" s="172">
        <v>100000</v>
      </c>
      <c r="Q98" s="172">
        <v>100000</v>
      </c>
      <c r="R98" s="172">
        <v>100000</v>
      </c>
      <c r="S98" s="172">
        <v>100000</v>
      </c>
      <c r="T98" s="172">
        <v>100000</v>
      </c>
      <c r="U98" s="172">
        <v>100000</v>
      </c>
      <c r="V98" s="172">
        <v>100000</v>
      </c>
      <c r="W98" s="172">
        <v>100000</v>
      </c>
      <c r="X98" s="172">
        <v>100000</v>
      </c>
      <c r="Y98" s="172">
        <v>100000</v>
      </c>
      <c r="Z98" s="172">
        <v>100000</v>
      </c>
      <c r="AA98" s="172">
        <v>100000</v>
      </c>
      <c r="AB98" s="327">
        <v>100000</v>
      </c>
      <c r="AC98" s="172"/>
      <c r="AD98" s="173">
        <f>SUM(D98:AC98)</f>
        <v>3500000</v>
      </c>
      <c r="AE98" s="174">
        <f>C98-AD98</f>
        <v>849969.77944221254</v>
      </c>
      <c r="AF98" s="310" t="str">
        <f t="shared" si="2"/>
        <v>YES</v>
      </c>
      <c r="AG98" s="333">
        <v>96</v>
      </c>
      <c r="AH98" s="60"/>
    </row>
    <row r="99" spans="1:34" ht="16.5" thickBot="1" x14ac:dyDescent="0.45">
      <c r="A99" s="332" t="str">
        <f>'DETAILS (sorted)'!A88</f>
        <v>ILS24-F00087</v>
      </c>
      <c r="B99" s="134" t="str">
        <f>'DETAILS (sorted)'!B88</f>
        <v>Stephano Migire Lolloo</v>
      </c>
      <c r="C99" s="145">
        <f>'DETAILS (sorted)'!DS88</f>
        <v>4335282.3390609594</v>
      </c>
      <c r="D99" s="134">
        <v>200000</v>
      </c>
      <c r="E99" s="134">
        <v>1000000</v>
      </c>
      <c r="F99" s="172">
        <v>100000</v>
      </c>
      <c r="G99" s="172">
        <v>100000</v>
      </c>
      <c r="H99" s="172">
        <v>100000</v>
      </c>
      <c r="I99" s="576">
        <v>100000</v>
      </c>
      <c r="J99" s="576">
        <v>100000</v>
      </c>
      <c r="K99" s="172">
        <v>100000</v>
      </c>
      <c r="L99" s="172">
        <v>100000</v>
      </c>
      <c r="M99" s="172">
        <v>100000</v>
      </c>
      <c r="N99" s="172">
        <v>100000</v>
      </c>
      <c r="O99" s="172">
        <v>100000</v>
      </c>
      <c r="P99" s="172">
        <v>100000</v>
      </c>
      <c r="Q99" s="172">
        <v>100000</v>
      </c>
      <c r="R99" s="172">
        <v>100000</v>
      </c>
      <c r="S99" s="172">
        <v>100000</v>
      </c>
      <c r="T99" s="172">
        <v>100000</v>
      </c>
      <c r="U99" s="172">
        <v>100000</v>
      </c>
      <c r="V99" s="172">
        <v>100000</v>
      </c>
      <c r="W99" s="172">
        <v>100000</v>
      </c>
      <c r="X99" s="172">
        <v>100000</v>
      </c>
      <c r="Y99" s="172">
        <v>100000</v>
      </c>
      <c r="Z99" s="172">
        <v>100000</v>
      </c>
      <c r="AA99" s="172">
        <v>100000</v>
      </c>
      <c r="AB99" s="327">
        <v>100000</v>
      </c>
      <c r="AC99" s="172"/>
      <c r="AD99" s="173">
        <f>SUM(D99:AC99)</f>
        <v>3500000</v>
      </c>
      <c r="AE99" s="337">
        <f>C99-AD99</f>
        <v>835282.33906095941</v>
      </c>
      <c r="AF99" s="310" t="str">
        <f t="shared" si="2"/>
        <v>YES</v>
      </c>
      <c r="AG99" s="333">
        <v>97</v>
      </c>
      <c r="AH99" s="60"/>
    </row>
    <row r="100" spans="1:34" ht="16.5" thickBot="1" x14ac:dyDescent="0.45">
      <c r="A100" s="332" t="str">
        <f>'DETAILS (sorted)'!A34</f>
        <v>ILS24-F00033</v>
      </c>
      <c r="B100" s="134" t="str">
        <f>'DETAILS (sorted)'!B34</f>
        <v xml:space="preserve">Frederick Peter Ndossi </v>
      </c>
      <c r="C100" s="145">
        <f>'DETAILS (sorted)'!DS34</f>
        <v>4314260.1119704396</v>
      </c>
      <c r="D100" s="134">
        <v>200000</v>
      </c>
      <c r="E100" s="134">
        <v>1000000</v>
      </c>
      <c r="F100" s="172">
        <v>100000</v>
      </c>
      <c r="G100" s="172">
        <v>100000</v>
      </c>
      <c r="H100" s="172">
        <v>100000</v>
      </c>
      <c r="I100" s="576">
        <v>100000</v>
      </c>
      <c r="J100" s="576">
        <v>100000</v>
      </c>
      <c r="K100" s="172">
        <v>100000</v>
      </c>
      <c r="L100" s="172">
        <v>100000</v>
      </c>
      <c r="M100" s="172">
        <v>100000</v>
      </c>
      <c r="N100" s="172">
        <v>100000</v>
      </c>
      <c r="O100" s="172">
        <v>100000</v>
      </c>
      <c r="P100" s="172">
        <v>100000</v>
      </c>
      <c r="Q100" s="172">
        <v>100000</v>
      </c>
      <c r="R100" s="172">
        <v>100000</v>
      </c>
      <c r="S100" s="172">
        <v>100000</v>
      </c>
      <c r="T100" s="172">
        <v>100000</v>
      </c>
      <c r="U100" s="172">
        <v>100000</v>
      </c>
      <c r="V100" s="172">
        <v>100000</v>
      </c>
      <c r="W100" s="172">
        <v>100000</v>
      </c>
      <c r="X100" s="172">
        <v>100000</v>
      </c>
      <c r="Y100" s="172">
        <v>100000</v>
      </c>
      <c r="Z100" s="172">
        <v>100000</v>
      </c>
      <c r="AA100" s="172">
        <v>100000</v>
      </c>
      <c r="AB100" s="327">
        <v>100000</v>
      </c>
      <c r="AC100" s="172"/>
      <c r="AD100" s="173">
        <f>SUM(D100:AC100)</f>
        <v>3500000</v>
      </c>
      <c r="AE100" s="174">
        <f>C100-AD100</f>
        <v>814260.11197043955</v>
      </c>
      <c r="AF100" s="310" t="str">
        <f t="shared" si="2"/>
        <v>YES</v>
      </c>
      <c r="AG100" s="333">
        <v>98</v>
      </c>
      <c r="AH100" s="60"/>
    </row>
    <row r="101" spans="1:34" ht="16.5" thickBot="1" x14ac:dyDescent="0.45">
      <c r="A101" s="332" t="str">
        <f>'DETAILS (sorted)'!A28</f>
        <v>ILS24-F00027</v>
      </c>
      <c r="B101" s="134" t="str">
        <f>'DETAILS (sorted)'!B28</f>
        <v>Saidi Ramadhani Mdee</v>
      </c>
      <c r="C101" s="145">
        <f>'DETAILS (sorted)'!DS28</f>
        <v>4305795.8357307743</v>
      </c>
      <c r="D101" s="134">
        <v>200000</v>
      </c>
      <c r="E101" s="134">
        <v>1000000</v>
      </c>
      <c r="F101" s="172">
        <v>100000</v>
      </c>
      <c r="G101" s="172">
        <v>100000</v>
      </c>
      <c r="H101" s="172">
        <v>100000</v>
      </c>
      <c r="I101" s="576">
        <v>100000</v>
      </c>
      <c r="J101" s="576">
        <v>100000</v>
      </c>
      <c r="K101" s="172">
        <v>100000</v>
      </c>
      <c r="L101" s="172">
        <v>100000</v>
      </c>
      <c r="M101" s="172">
        <v>100000</v>
      </c>
      <c r="N101" s="172">
        <v>100000</v>
      </c>
      <c r="O101" s="172">
        <v>100000</v>
      </c>
      <c r="P101" s="172">
        <v>100000</v>
      </c>
      <c r="Q101" s="172">
        <v>100000</v>
      </c>
      <c r="R101" s="172">
        <v>100000</v>
      </c>
      <c r="S101" s="172">
        <v>100000</v>
      </c>
      <c r="T101" s="172">
        <v>100000</v>
      </c>
      <c r="U101" s="172">
        <v>100000</v>
      </c>
      <c r="V101" s="172">
        <v>100000</v>
      </c>
      <c r="W101" s="172">
        <v>100000</v>
      </c>
      <c r="X101" s="172">
        <v>100000</v>
      </c>
      <c r="Y101" s="172">
        <v>100000</v>
      </c>
      <c r="Z101" s="172">
        <v>100000</v>
      </c>
      <c r="AA101" s="172">
        <v>100000</v>
      </c>
      <c r="AB101" s="327">
        <v>100000</v>
      </c>
      <c r="AC101" s="172"/>
      <c r="AD101" s="173">
        <f>SUM(D101:AC101)</f>
        <v>3500000</v>
      </c>
      <c r="AE101" s="174">
        <f>C101-AD101</f>
        <v>805795.83573077433</v>
      </c>
      <c r="AF101" s="310" t="str">
        <f t="shared" si="2"/>
        <v>YES</v>
      </c>
      <c r="AG101" s="333">
        <v>99</v>
      </c>
      <c r="AH101" s="60"/>
    </row>
    <row r="102" spans="1:34" ht="16.5" thickBot="1" x14ac:dyDescent="0.45">
      <c r="A102" s="332" t="str">
        <f>'DETAILS (sorted)'!A99</f>
        <v>ILS24-F00098</v>
      </c>
      <c r="B102" s="134" t="str">
        <f>'DETAILS (sorted)'!B99</f>
        <v xml:space="preserve">Daniel Mdachi </v>
      </c>
      <c r="C102" s="145">
        <f>'DETAILS (sorted)'!DS99</f>
        <v>4296979.0835810974</v>
      </c>
      <c r="D102" s="134">
        <v>200000</v>
      </c>
      <c r="E102" s="134">
        <v>1000000</v>
      </c>
      <c r="F102" s="172">
        <v>100000</v>
      </c>
      <c r="G102" s="172">
        <v>100000</v>
      </c>
      <c r="H102" s="172">
        <v>100000</v>
      </c>
      <c r="I102" s="576">
        <v>100000</v>
      </c>
      <c r="J102" s="576">
        <v>100000</v>
      </c>
      <c r="K102" s="172">
        <v>100000</v>
      </c>
      <c r="L102" s="172">
        <v>100000</v>
      </c>
      <c r="M102" s="172">
        <v>100000</v>
      </c>
      <c r="N102" s="172">
        <v>100000</v>
      </c>
      <c r="O102" s="172">
        <v>100000</v>
      </c>
      <c r="P102" s="172">
        <v>100000</v>
      </c>
      <c r="Q102" s="172">
        <v>100000</v>
      </c>
      <c r="R102" s="172">
        <v>100000</v>
      </c>
      <c r="S102" s="172">
        <v>100000</v>
      </c>
      <c r="T102" s="172">
        <v>100000</v>
      </c>
      <c r="U102" s="172">
        <v>100000</v>
      </c>
      <c r="V102" s="172">
        <v>100000</v>
      </c>
      <c r="W102" s="172">
        <v>100000</v>
      </c>
      <c r="X102" s="172">
        <v>100000</v>
      </c>
      <c r="Y102" s="172">
        <v>100000</v>
      </c>
      <c r="Z102" s="172">
        <v>100000</v>
      </c>
      <c r="AA102" s="172">
        <v>100000</v>
      </c>
      <c r="AB102" s="327">
        <v>100000</v>
      </c>
      <c r="AC102" s="172"/>
      <c r="AD102" s="173">
        <f>SUM(D102:AC102)</f>
        <v>3500000</v>
      </c>
      <c r="AE102" s="174">
        <f>C102-AD102</f>
        <v>796979.08358109742</v>
      </c>
      <c r="AF102" s="310" t="str">
        <f t="shared" si="2"/>
        <v>YES</v>
      </c>
      <c r="AG102" s="333">
        <v>100</v>
      </c>
      <c r="AH102" s="60"/>
    </row>
    <row r="103" spans="1:34" ht="16.5" thickBot="1" x14ac:dyDescent="0.45">
      <c r="A103" s="332" t="str">
        <f>'DETAILS (sorted)'!A75</f>
        <v>ILS24-F00074</v>
      </c>
      <c r="B103" s="134" t="str">
        <f>'DETAILS (sorted)'!B75</f>
        <v xml:space="preserve">Boniface Joseph </v>
      </c>
      <c r="C103" s="145">
        <f>'DETAILS (sorted)'!DS75</f>
        <v>4155857.8265486066</v>
      </c>
      <c r="D103" s="134">
        <v>200000</v>
      </c>
      <c r="E103" s="134">
        <v>1000000</v>
      </c>
      <c r="F103" s="172">
        <v>100000</v>
      </c>
      <c r="G103" s="172">
        <v>100000</v>
      </c>
      <c r="H103" s="172">
        <v>100000</v>
      </c>
      <c r="I103" s="576">
        <v>100000</v>
      </c>
      <c r="J103" s="576">
        <v>100000</v>
      </c>
      <c r="K103" s="172">
        <v>100000</v>
      </c>
      <c r="L103" s="172">
        <v>100000</v>
      </c>
      <c r="M103" s="172">
        <v>100000</v>
      </c>
      <c r="N103" s="172">
        <v>100000</v>
      </c>
      <c r="O103" s="172">
        <v>100000</v>
      </c>
      <c r="P103" s="172">
        <v>100000</v>
      </c>
      <c r="Q103" s="172">
        <v>100000</v>
      </c>
      <c r="R103" s="172">
        <v>100000</v>
      </c>
      <c r="S103" s="172">
        <v>100000</v>
      </c>
      <c r="T103" s="172">
        <v>100000</v>
      </c>
      <c r="U103" s="172">
        <v>100000</v>
      </c>
      <c r="V103" s="172">
        <v>100000</v>
      </c>
      <c r="W103" s="172">
        <v>100000</v>
      </c>
      <c r="X103" s="172">
        <v>100000</v>
      </c>
      <c r="Y103" s="172">
        <v>100000</v>
      </c>
      <c r="Z103" s="172">
        <v>100000</v>
      </c>
      <c r="AA103" s="172">
        <v>100000</v>
      </c>
      <c r="AB103" s="327">
        <v>100000</v>
      </c>
      <c r="AC103" s="172"/>
      <c r="AD103" s="173">
        <f>SUM(D103:AC103)</f>
        <v>3500000</v>
      </c>
      <c r="AE103" s="174">
        <f>C103-AD103</f>
        <v>655857.82654860662</v>
      </c>
      <c r="AF103" s="310" t="str">
        <f t="shared" si="2"/>
        <v>YES</v>
      </c>
      <c r="AG103" s="333">
        <v>101</v>
      </c>
      <c r="AH103" s="60"/>
    </row>
    <row r="104" spans="1:34" ht="16.5" thickBot="1" x14ac:dyDescent="0.45">
      <c r="A104" s="332" t="str">
        <f>'DETAILS (sorted)'!A60</f>
        <v>ILS24-F00059</v>
      </c>
      <c r="B104" s="134" t="str">
        <f>'DETAILS (sorted)'!B60</f>
        <v>David Koillah</v>
      </c>
      <c r="C104" s="145">
        <f>'DETAILS (sorted)'!DS60</f>
        <v>4134406.0530199073</v>
      </c>
      <c r="D104" s="134">
        <v>200000</v>
      </c>
      <c r="E104" s="134">
        <v>1000000</v>
      </c>
      <c r="F104" s="172">
        <v>100000</v>
      </c>
      <c r="G104" s="172">
        <v>100000</v>
      </c>
      <c r="H104" s="172">
        <v>100000</v>
      </c>
      <c r="I104" s="576">
        <v>100000</v>
      </c>
      <c r="J104" s="576">
        <v>100000</v>
      </c>
      <c r="K104" s="172">
        <v>100000</v>
      </c>
      <c r="L104" s="172">
        <v>100000</v>
      </c>
      <c r="M104" s="172">
        <v>100000</v>
      </c>
      <c r="N104" s="172">
        <v>100000</v>
      </c>
      <c r="O104" s="172">
        <v>100000</v>
      </c>
      <c r="P104" s="172">
        <v>100000</v>
      </c>
      <c r="Q104" s="172">
        <v>100000</v>
      </c>
      <c r="R104" s="172">
        <v>100000</v>
      </c>
      <c r="S104" s="172">
        <v>100000</v>
      </c>
      <c r="T104" s="172">
        <v>100000</v>
      </c>
      <c r="U104" s="172">
        <v>100000</v>
      </c>
      <c r="V104" s="172">
        <v>100000</v>
      </c>
      <c r="W104" s="172">
        <v>100000</v>
      </c>
      <c r="X104" s="172">
        <v>100000</v>
      </c>
      <c r="Y104" s="172">
        <v>100000</v>
      </c>
      <c r="Z104" s="172">
        <v>100000</v>
      </c>
      <c r="AA104" s="172">
        <v>100000</v>
      </c>
      <c r="AB104" s="327">
        <v>100000</v>
      </c>
      <c r="AC104" s="172"/>
      <c r="AD104" s="173">
        <f>SUM(D104:AC104)</f>
        <v>3500000</v>
      </c>
      <c r="AE104" s="174">
        <f>C104-AD104</f>
        <v>634406.05301990733</v>
      </c>
      <c r="AF104" s="310" t="str">
        <f t="shared" si="2"/>
        <v>YES</v>
      </c>
      <c r="AG104" s="333">
        <v>102</v>
      </c>
      <c r="AH104" s="60"/>
    </row>
    <row r="105" spans="1:34" ht="16.5" thickBot="1" x14ac:dyDescent="0.45">
      <c r="A105" s="332" t="str">
        <f>'DETAILS (sorted)'!A15</f>
        <v>ILS24-F00014</v>
      </c>
      <c r="B105" s="134" t="str">
        <f>'DETAILS (sorted)'!B15</f>
        <v xml:space="preserve">Kanuti Simba </v>
      </c>
      <c r="C105" s="145">
        <f>'DETAILS (sorted)'!DS15</f>
        <v>4124201.3224371308</v>
      </c>
      <c r="D105" s="134">
        <v>200000</v>
      </c>
      <c r="E105" s="134">
        <v>1000000</v>
      </c>
      <c r="F105" s="172">
        <v>100000</v>
      </c>
      <c r="G105" s="172">
        <v>100000</v>
      </c>
      <c r="H105" s="172">
        <v>100000</v>
      </c>
      <c r="I105" s="576">
        <v>100000</v>
      </c>
      <c r="J105" s="576">
        <v>100000</v>
      </c>
      <c r="K105" s="172">
        <v>100000</v>
      </c>
      <c r="L105" s="172">
        <v>100000</v>
      </c>
      <c r="M105" s="172">
        <v>100000</v>
      </c>
      <c r="N105" s="172">
        <v>100000</v>
      </c>
      <c r="O105" s="172">
        <v>100000</v>
      </c>
      <c r="P105" s="172">
        <v>100000</v>
      </c>
      <c r="Q105" s="172">
        <v>100000</v>
      </c>
      <c r="R105" s="172">
        <v>100000</v>
      </c>
      <c r="S105" s="172">
        <v>100000</v>
      </c>
      <c r="T105" s="172">
        <v>100000</v>
      </c>
      <c r="U105" s="172">
        <v>100000</v>
      </c>
      <c r="V105" s="172">
        <v>100000</v>
      </c>
      <c r="W105" s="172">
        <v>100000</v>
      </c>
      <c r="X105" s="172">
        <v>100000</v>
      </c>
      <c r="Y105" s="172">
        <v>100000</v>
      </c>
      <c r="Z105" s="172">
        <v>100000</v>
      </c>
      <c r="AA105" s="172">
        <v>100000</v>
      </c>
      <c r="AB105" s="327">
        <v>100000</v>
      </c>
      <c r="AC105" s="172"/>
      <c r="AD105" s="173">
        <f>SUM(D105:AC105)</f>
        <v>3500000</v>
      </c>
      <c r="AE105" s="174">
        <f>C105-AD105</f>
        <v>624201.32243713085</v>
      </c>
      <c r="AF105" s="310" t="str">
        <f t="shared" si="2"/>
        <v>YES</v>
      </c>
      <c r="AG105" s="333">
        <v>103</v>
      </c>
      <c r="AH105" s="60"/>
    </row>
    <row r="106" spans="1:34" ht="16.5" thickBot="1" x14ac:dyDescent="0.45">
      <c r="A106" s="332" t="str">
        <f>'DETAILS (sorted)'!A94</f>
        <v>ILS24-F00093</v>
      </c>
      <c r="B106" s="134" t="str">
        <f>'DETAILS (sorted)'!B94</f>
        <v xml:space="preserve">Jonas Mgundulwa Mwano </v>
      </c>
      <c r="C106" s="145">
        <f>'DETAILS (sorted)'!DS94</f>
        <v>4092585.5378266871</v>
      </c>
      <c r="D106" s="134">
        <v>200000</v>
      </c>
      <c r="E106" s="134">
        <v>1000000</v>
      </c>
      <c r="F106" s="172">
        <v>100000</v>
      </c>
      <c r="G106" s="172">
        <v>100000</v>
      </c>
      <c r="H106" s="172">
        <v>100000</v>
      </c>
      <c r="I106" s="576">
        <v>100000</v>
      </c>
      <c r="J106" s="576">
        <v>100000</v>
      </c>
      <c r="K106" s="172">
        <v>100000</v>
      </c>
      <c r="L106" s="172">
        <v>100000</v>
      </c>
      <c r="M106" s="172">
        <v>100000</v>
      </c>
      <c r="N106" s="172">
        <v>100000</v>
      </c>
      <c r="O106" s="172">
        <v>100000</v>
      </c>
      <c r="P106" s="172">
        <v>100000</v>
      </c>
      <c r="Q106" s="172">
        <v>100000</v>
      </c>
      <c r="R106" s="172">
        <v>100000</v>
      </c>
      <c r="S106" s="172">
        <v>100000</v>
      </c>
      <c r="T106" s="172">
        <v>100000</v>
      </c>
      <c r="U106" s="172">
        <v>100000</v>
      </c>
      <c r="V106" s="172">
        <v>100000</v>
      </c>
      <c r="W106" s="172">
        <v>100000</v>
      </c>
      <c r="X106" s="172">
        <v>100000</v>
      </c>
      <c r="Y106" s="172">
        <v>100000</v>
      </c>
      <c r="Z106" s="172">
        <v>100000</v>
      </c>
      <c r="AA106" s="172">
        <v>100000</v>
      </c>
      <c r="AB106" s="327">
        <v>100000</v>
      </c>
      <c r="AC106" s="172"/>
      <c r="AD106" s="173">
        <f>SUM(D106:AC106)</f>
        <v>3500000</v>
      </c>
      <c r="AE106" s="174">
        <f>C106-AD106</f>
        <v>592585.5378266871</v>
      </c>
      <c r="AF106" s="310" t="str">
        <f t="shared" si="2"/>
        <v>YES</v>
      </c>
      <c r="AG106" s="333">
        <v>104</v>
      </c>
      <c r="AH106" s="60"/>
    </row>
    <row r="107" spans="1:34" ht="16.5" thickBot="1" x14ac:dyDescent="0.45">
      <c r="A107" s="332" t="str">
        <f>'DETAILS (sorted)'!A138</f>
        <v>ILS24-F00137</v>
      </c>
      <c r="B107" s="134" t="str">
        <f>'DETAILS (sorted)'!B138</f>
        <v xml:space="preserve">Marcel John Kisoka </v>
      </c>
      <c r="C107" s="145">
        <f>'DETAILS (sorted)'!DS138</f>
        <v>4091406.8821420642</v>
      </c>
      <c r="D107" s="134">
        <v>200000</v>
      </c>
      <c r="E107" s="134">
        <v>1000000</v>
      </c>
      <c r="F107" s="172">
        <v>100000</v>
      </c>
      <c r="G107" s="172">
        <v>100000</v>
      </c>
      <c r="H107" s="172">
        <v>100000</v>
      </c>
      <c r="I107" s="576">
        <v>100000</v>
      </c>
      <c r="J107" s="576">
        <v>100000</v>
      </c>
      <c r="K107" s="172">
        <v>100000</v>
      </c>
      <c r="L107" s="172">
        <v>100000</v>
      </c>
      <c r="M107" s="172">
        <v>100000</v>
      </c>
      <c r="N107" s="172">
        <v>100000</v>
      </c>
      <c r="O107" s="172">
        <v>100000</v>
      </c>
      <c r="P107" s="172">
        <v>100000</v>
      </c>
      <c r="Q107" s="172">
        <v>100000</v>
      </c>
      <c r="R107" s="172">
        <v>100000</v>
      </c>
      <c r="S107" s="172">
        <v>100000</v>
      </c>
      <c r="T107" s="172">
        <v>100000</v>
      </c>
      <c r="U107" s="172">
        <v>100000</v>
      </c>
      <c r="V107" s="172">
        <v>100000</v>
      </c>
      <c r="W107" s="172">
        <v>100000</v>
      </c>
      <c r="X107" s="172">
        <v>100000</v>
      </c>
      <c r="Y107" s="172">
        <v>100000</v>
      </c>
      <c r="Z107" s="172">
        <v>100000</v>
      </c>
      <c r="AA107" s="172">
        <v>100000</v>
      </c>
      <c r="AB107" s="327">
        <v>100000</v>
      </c>
      <c r="AC107" s="172"/>
      <c r="AD107" s="173">
        <f>SUM(D107:AC107)</f>
        <v>3500000</v>
      </c>
      <c r="AE107" s="174">
        <f>C107-AD107</f>
        <v>591406.88214206416</v>
      </c>
      <c r="AF107" s="310" t="str">
        <f t="shared" si="2"/>
        <v>YES</v>
      </c>
      <c r="AG107" s="333">
        <v>105</v>
      </c>
      <c r="AH107" s="60"/>
    </row>
    <row r="108" spans="1:34" ht="16.5" thickBot="1" x14ac:dyDescent="0.45">
      <c r="A108" s="332" t="str">
        <f>'DETAILS (sorted)'!A117</f>
        <v>ILS24-F00116</v>
      </c>
      <c r="B108" s="134" t="str">
        <f>'DETAILS (sorted)'!B117</f>
        <v>Nyirabu Zablon Musira</v>
      </c>
      <c r="C108" s="145">
        <f>'DETAILS (sorted)'!DS117</f>
        <v>3990094.1010283269</v>
      </c>
      <c r="D108" s="134">
        <v>200000</v>
      </c>
      <c r="E108" s="134">
        <v>1000000</v>
      </c>
      <c r="F108" s="172">
        <v>100000</v>
      </c>
      <c r="G108" s="172">
        <v>100000</v>
      </c>
      <c r="H108" s="172">
        <v>100000</v>
      </c>
      <c r="I108" s="576">
        <v>100000</v>
      </c>
      <c r="J108" s="576">
        <v>100000</v>
      </c>
      <c r="K108" s="172">
        <v>100000</v>
      </c>
      <c r="L108" s="172">
        <v>100000</v>
      </c>
      <c r="M108" s="172">
        <v>100000</v>
      </c>
      <c r="N108" s="172">
        <v>100000</v>
      </c>
      <c r="O108" s="172">
        <v>100000</v>
      </c>
      <c r="P108" s="172">
        <v>100000</v>
      </c>
      <c r="Q108" s="172">
        <v>100000</v>
      </c>
      <c r="R108" s="172">
        <v>100000</v>
      </c>
      <c r="S108" s="172">
        <v>100000</v>
      </c>
      <c r="T108" s="172">
        <v>100000</v>
      </c>
      <c r="U108" s="172">
        <v>100000</v>
      </c>
      <c r="V108" s="172">
        <v>100000</v>
      </c>
      <c r="W108" s="172">
        <v>100000</v>
      </c>
      <c r="X108" s="172">
        <v>100000</v>
      </c>
      <c r="Y108" s="172">
        <v>100000</v>
      </c>
      <c r="Z108" s="172">
        <v>100000</v>
      </c>
      <c r="AA108" s="172">
        <v>100000</v>
      </c>
      <c r="AB108" s="327">
        <v>100000</v>
      </c>
      <c r="AC108" s="172"/>
      <c r="AD108" s="173">
        <f>SUM(D108:AC108)</f>
        <v>3500000</v>
      </c>
      <c r="AE108" s="174">
        <f>C108-AD108</f>
        <v>490094.1010283269</v>
      </c>
      <c r="AF108" s="310" t="str">
        <f t="shared" si="2"/>
        <v>YES</v>
      </c>
      <c r="AG108" s="333">
        <v>106</v>
      </c>
      <c r="AH108" s="60"/>
    </row>
    <row r="109" spans="1:34" ht="16.5" thickBot="1" x14ac:dyDescent="0.45">
      <c r="A109" s="332" t="str">
        <f>'DETAILS (sorted)'!A18</f>
        <v>ILS24-F00017</v>
      </c>
      <c r="B109" s="134" t="str">
        <f>'DETAILS (sorted)'!B18</f>
        <v>Emmanuel Mmari</v>
      </c>
      <c r="C109" s="145">
        <f>'DETAILS (sorted)'!DS18</f>
        <v>3932621.3949663029</v>
      </c>
      <c r="D109" s="134">
        <v>200000</v>
      </c>
      <c r="E109" s="134">
        <v>1000000</v>
      </c>
      <c r="F109" s="172">
        <v>100000</v>
      </c>
      <c r="G109" s="172">
        <v>100000</v>
      </c>
      <c r="H109" s="172">
        <v>100000</v>
      </c>
      <c r="I109" s="576">
        <v>100000</v>
      </c>
      <c r="J109" s="576">
        <v>100000</v>
      </c>
      <c r="K109" s="172">
        <v>100000</v>
      </c>
      <c r="L109" s="172">
        <v>100000</v>
      </c>
      <c r="M109" s="172">
        <v>100000</v>
      </c>
      <c r="N109" s="172">
        <v>100000</v>
      </c>
      <c r="O109" s="172">
        <v>100000</v>
      </c>
      <c r="P109" s="172">
        <v>100000</v>
      </c>
      <c r="Q109" s="172">
        <v>100000</v>
      </c>
      <c r="R109" s="172">
        <v>100000</v>
      </c>
      <c r="S109" s="172">
        <v>100000</v>
      </c>
      <c r="T109" s="172">
        <v>100000</v>
      </c>
      <c r="U109" s="172">
        <v>100000</v>
      </c>
      <c r="V109" s="172">
        <v>100000</v>
      </c>
      <c r="W109" s="172">
        <v>100000</v>
      </c>
      <c r="X109" s="172">
        <v>100000</v>
      </c>
      <c r="Y109" s="172">
        <v>100000</v>
      </c>
      <c r="Z109" s="172">
        <v>100000</v>
      </c>
      <c r="AA109" s="172">
        <v>100000</v>
      </c>
      <c r="AB109" s="327">
        <v>100000</v>
      </c>
      <c r="AC109" s="172"/>
      <c r="AD109" s="173">
        <f>SUM(D109:AC109)</f>
        <v>3500000</v>
      </c>
      <c r="AE109" s="174">
        <f>C109-AD109</f>
        <v>432621.39496630291</v>
      </c>
      <c r="AF109" s="310" t="str">
        <f t="shared" si="2"/>
        <v>YES</v>
      </c>
      <c r="AG109" s="333">
        <v>107</v>
      </c>
      <c r="AH109" s="60"/>
    </row>
    <row r="110" spans="1:34" ht="16.5" thickBot="1" x14ac:dyDescent="0.45">
      <c r="A110" s="332" t="str">
        <f>'DETAILS (sorted)'!A124</f>
        <v>ILS24-F00123</v>
      </c>
      <c r="B110" s="134" t="str">
        <f>'DETAILS (sorted)'!B124</f>
        <v>Limbu Malongo Limbu</v>
      </c>
      <c r="C110" s="145">
        <f>'DETAILS (sorted)'!DS124</f>
        <v>3888781.3199145901</v>
      </c>
      <c r="D110" s="134">
        <v>200000</v>
      </c>
      <c r="E110" s="134">
        <v>1000000</v>
      </c>
      <c r="F110" s="172">
        <v>100000</v>
      </c>
      <c r="G110" s="172">
        <v>100000</v>
      </c>
      <c r="H110" s="172">
        <v>100000</v>
      </c>
      <c r="I110" s="576">
        <v>100000</v>
      </c>
      <c r="J110" s="576">
        <v>100000</v>
      </c>
      <c r="K110" s="172">
        <v>100000</v>
      </c>
      <c r="L110" s="172">
        <v>100000</v>
      </c>
      <c r="M110" s="172">
        <v>100000</v>
      </c>
      <c r="N110" s="172">
        <v>100000</v>
      </c>
      <c r="O110" s="172">
        <v>100000</v>
      </c>
      <c r="P110" s="172">
        <v>100000</v>
      </c>
      <c r="Q110" s="172">
        <v>100000</v>
      </c>
      <c r="R110" s="172">
        <v>100000</v>
      </c>
      <c r="S110" s="172">
        <v>100000</v>
      </c>
      <c r="T110" s="172">
        <v>100000</v>
      </c>
      <c r="U110" s="172">
        <v>100000</v>
      </c>
      <c r="V110" s="172">
        <v>100000</v>
      </c>
      <c r="W110" s="172">
        <v>100000</v>
      </c>
      <c r="X110" s="172">
        <v>100000</v>
      </c>
      <c r="Y110" s="172">
        <v>100000</v>
      </c>
      <c r="Z110" s="172">
        <v>100000</v>
      </c>
      <c r="AA110" s="172">
        <v>100000</v>
      </c>
      <c r="AB110" s="327">
        <v>100000</v>
      </c>
      <c r="AC110" s="172"/>
      <c r="AD110" s="173">
        <f>SUM(D110:AC110)</f>
        <v>3500000</v>
      </c>
      <c r="AE110" s="174">
        <f>C110-AD110</f>
        <v>388781.3199145901</v>
      </c>
      <c r="AF110" s="310" t="str">
        <f t="shared" si="2"/>
        <v>YES</v>
      </c>
      <c r="AG110" s="333">
        <v>108</v>
      </c>
      <c r="AH110" s="60"/>
    </row>
    <row r="111" spans="1:34" ht="16.5" thickBot="1" x14ac:dyDescent="0.45">
      <c r="A111" s="332" t="str">
        <f>'DETAILS (sorted)'!A140</f>
        <v>ILS24-F00139</v>
      </c>
      <c r="B111" s="134" t="str">
        <f>'DETAILS (sorted)'!B140</f>
        <v xml:space="preserve">Claverfred Mhidze </v>
      </c>
      <c r="C111" s="145">
        <f>'DETAILS (sorted)'!DS140</f>
        <v>3888781.3199145901</v>
      </c>
      <c r="D111" s="134">
        <v>200000</v>
      </c>
      <c r="E111" s="134">
        <v>1000000</v>
      </c>
      <c r="F111" s="172">
        <v>100000</v>
      </c>
      <c r="G111" s="172">
        <v>100000</v>
      </c>
      <c r="H111" s="172">
        <v>100000</v>
      </c>
      <c r="I111" s="576">
        <v>100000</v>
      </c>
      <c r="J111" s="576">
        <v>100000</v>
      </c>
      <c r="K111" s="172">
        <v>100000</v>
      </c>
      <c r="L111" s="172">
        <v>100000</v>
      </c>
      <c r="M111" s="172">
        <v>100000</v>
      </c>
      <c r="N111" s="172">
        <v>100000</v>
      </c>
      <c r="O111" s="172">
        <v>100000</v>
      </c>
      <c r="P111" s="172">
        <v>100000</v>
      </c>
      <c r="Q111" s="172">
        <v>100000</v>
      </c>
      <c r="R111" s="172">
        <v>100000</v>
      </c>
      <c r="S111" s="172">
        <v>100000</v>
      </c>
      <c r="T111" s="172">
        <v>100000</v>
      </c>
      <c r="U111" s="172">
        <v>100000</v>
      </c>
      <c r="V111" s="172">
        <v>100000</v>
      </c>
      <c r="W111" s="172">
        <v>100000</v>
      </c>
      <c r="X111" s="172">
        <v>100000</v>
      </c>
      <c r="Y111" s="172">
        <v>100000</v>
      </c>
      <c r="Z111" s="172">
        <v>100000</v>
      </c>
      <c r="AA111" s="172">
        <v>100000</v>
      </c>
      <c r="AB111" s="327">
        <v>100000</v>
      </c>
      <c r="AC111" s="172"/>
      <c r="AD111" s="173">
        <f>SUM(D111:AC111)</f>
        <v>3500000</v>
      </c>
      <c r="AE111" s="174">
        <f>C111-AD111</f>
        <v>388781.3199145901</v>
      </c>
      <c r="AF111" s="310" t="str">
        <f t="shared" si="2"/>
        <v>YES</v>
      </c>
      <c r="AG111" s="333">
        <v>109</v>
      </c>
      <c r="AH111" s="60"/>
    </row>
    <row r="112" spans="1:34" ht="16.5" thickBot="1" x14ac:dyDescent="0.45">
      <c r="A112" s="332" t="str">
        <f>'DETAILS (sorted)'!A143</f>
        <v>ILS24-F00142</v>
      </c>
      <c r="B112" s="134" t="str">
        <f>'DETAILS (sorted)'!B143</f>
        <v>Selemani Pongolani Ahmadi</v>
      </c>
      <c r="C112" s="145">
        <f>'DETAILS (sorted)'!DS143</f>
        <v>3888781.3199145901</v>
      </c>
      <c r="D112" s="134">
        <v>200000</v>
      </c>
      <c r="E112" s="134">
        <v>1000000</v>
      </c>
      <c r="F112" s="172">
        <v>100000</v>
      </c>
      <c r="G112" s="172">
        <v>100000</v>
      </c>
      <c r="H112" s="172">
        <v>100000</v>
      </c>
      <c r="I112" s="576">
        <v>100000</v>
      </c>
      <c r="J112" s="576">
        <v>100000</v>
      </c>
      <c r="K112" s="172">
        <v>100000</v>
      </c>
      <c r="L112" s="172">
        <v>100000</v>
      </c>
      <c r="M112" s="172">
        <v>100000</v>
      </c>
      <c r="N112" s="172">
        <v>100000</v>
      </c>
      <c r="O112" s="172">
        <v>100000</v>
      </c>
      <c r="P112" s="172">
        <v>100000</v>
      </c>
      <c r="Q112" s="172">
        <v>100000</v>
      </c>
      <c r="R112" s="172">
        <v>100000</v>
      </c>
      <c r="S112" s="172">
        <v>100000</v>
      </c>
      <c r="T112" s="172">
        <v>100000</v>
      </c>
      <c r="U112" s="172">
        <v>100000</v>
      </c>
      <c r="V112" s="172">
        <v>100000</v>
      </c>
      <c r="W112" s="172">
        <v>100000</v>
      </c>
      <c r="X112" s="172">
        <v>100000</v>
      </c>
      <c r="Y112" s="172">
        <v>100000</v>
      </c>
      <c r="Z112" s="172">
        <v>100000</v>
      </c>
      <c r="AA112" s="172">
        <v>100000</v>
      </c>
      <c r="AB112" s="327">
        <v>100000</v>
      </c>
      <c r="AC112" s="172"/>
      <c r="AD112" s="173">
        <f>SUM(D112:AC112)</f>
        <v>3500000</v>
      </c>
      <c r="AE112" s="174">
        <f>C112-AD112</f>
        <v>388781.3199145901</v>
      </c>
      <c r="AF112" s="310" t="str">
        <f t="shared" si="2"/>
        <v>YES</v>
      </c>
      <c r="AG112" s="333">
        <v>110</v>
      </c>
      <c r="AH112" s="60"/>
    </row>
    <row r="113" spans="1:34" ht="16.5" thickBot="1" x14ac:dyDescent="0.45">
      <c r="A113" s="332" t="str">
        <f>'DETAILS (sorted)'!A70</f>
        <v>ILS24-F00069</v>
      </c>
      <c r="B113" s="134" t="str">
        <f>'DETAILS (sorted)'!B70</f>
        <v>Judica William Nassary</v>
      </c>
      <c r="C113" s="145">
        <f>'DETAILS (sorted)'!DS70</f>
        <v>3869131.4631617516</v>
      </c>
      <c r="D113" s="134">
        <v>200000</v>
      </c>
      <c r="E113" s="134">
        <v>1000000</v>
      </c>
      <c r="F113" s="172">
        <v>100000</v>
      </c>
      <c r="G113" s="172">
        <v>100000</v>
      </c>
      <c r="H113" s="172">
        <v>100000</v>
      </c>
      <c r="I113" s="576">
        <v>100000</v>
      </c>
      <c r="J113" s="576">
        <v>100000</v>
      </c>
      <c r="K113" s="172">
        <v>100000</v>
      </c>
      <c r="L113" s="172">
        <v>100000</v>
      </c>
      <c r="M113" s="172">
        <v>100000</v>
      </c>
      <c r="N113" s="172">
        <v>100000</v>
      </c>
      <c r="O113" s="172">
        <v>100000</v>
      </c>
      <c r="P113" s="172">
        <v>100000</v>
      </c>
      <c r="Q113" s="172">
        <v>100000</v>
      </c>
      <c r="R113" s="172">
        <v>100000</v>
      </c>
      <c r="S113" s="172">
        <v>100000</v>
      </c>
      <c r="T113" s="172">
        <v>100000</v>
      </c>
      <c r="U113" s="172">
        <v>100000</v>
      </c>
      <c r="V113" s="172">
        <v>100000</v>
      </c>
      <c r="W113" s="172">
        <v>100000</v>
      </c>
      <c r="X113" s="172">
        <v>100000</v>
      </c>
      <c r="Y113" s="172">
        <v>100000</v>
      </c>
      <c r="Z113" s="172">
        <v>100000</v>
      </c>
      <c r="AA113" s="172">
        <v>100000</v>
      </c>
      <c r="AB113" s="327">
        <v>100000</v>
      </c>
      <c r="AC113" s="172"/>
      <c r="AD113" s="173">
        <f>SUM(D113:AC113)</f>
        <v>3500000</v>
      </c>
      <c r="AE113" s="174">
        <f>C113-AD113</f>
        <v>369131.46316175163</v>
      </c>
      <c r="AF113" s="310" t="str">
        <f t="shared" si="2"/>
        <v>YES</v>
      </c>
      <c r="AG113" s="333">
        <v>111</v>
      </c>
      <c r="AH113" s="60"/>
    </row>
    <row r="114" spans="1:34" ht="16.5" thickBot="1" x14ac:dyDescent="0.45">
      <c r="A114" s="332" t="str">
        <f>'DETAILS (sorted)'!A44</f>
        <v>ILS24-F00043</v>
      </c>
      <c r="B114" s="134" t="str">
        <f>'DETAILS (sorted)'!B44</f>
        <v xml:space="preserve">Innocent R. Kasigwa </v>
      </c>
      <c r="C114" s="145">
        <f>'DETAILS (sorted)'!DS44</f>
        <v>3801212.8311871896</v>
      </c>
      <c r="D114" s="134">
        <v>200000</v>
      </c>
      <c r="E114" s="134">
        <v>1000000</v>
      </c>
      <c r="F114" s="172">
        <v>100000</v>
      </c>
      <c r="G114" s="172">
        <v>100000</v>
      </c>
      <c r="H114" s="172">
        <v>100000</v>
      </c>
      <c r="I114" s="576">
        <v>100000</v>
      </c>
      <c r="J114" s="576">
        <v>100000</v>
      </c>
      <c r="K114" s="172">
        <v>100000</v>
      </c>
      <c r="L114" s="172">
        <v>100000</v>
      </c>
      <c r="M114" s="172">
        <v>100000</v>
      </c>
      <c r="N114" s="172">
        <v>100000</v>
      </c>
      <c r="O114" s="172">
        <v>100000</v>
      </c>
      <c r="P114" s="172">
        <v>100000</v>
      </c>
      <c r="Q114" s="172">
        <v>100000</v>
      </c>
      <c r="R114" s="172">
        <v>100000</v>
      </c>
      <c r="S114" s="172">
        <v>100000</v>
      </c>
      <c r="T114" s="172">
        <v>100000</v>
      </c>
      <c r="U114" s="172">
        <v>100000</v>
      </c>
      <c r="V114" s="172">
        <v>100000</v>
      </c>
      <c r="W114" s="172">
        <v>100000</v>
      </c>
      <c r="X114" s="172">
        <v>100000</v>
      </c>
      <c r="Y114" s="172">
        <v>100000</v>
      </c>
      <c r="Z114" s="172">
        <v>100000</v>
      </c>
      <c r="AA114" s="172">
        <v>100000</v>
      </c>
      <c r="AB114" s="327">
        <v>100000</v>
      </c>
      <c r="AC114" s="172"/>
      <c r="AD114" s="173">
        <f>SUM(D114:AC114)</f>
        <v>3500000</v>
      </c>
      <c r="AE114" s="174">
        <f>C114-AD114</f>
        <v>301212.83118718956</v>
      </c>
      <c r="AF114" s="310" t="str">
        <f t="shared" si="2"/>
        <v>YES</v>
      </c>
      <c r="AG114" s="333">
        <v>112</v>
      </c>
      <c r="AH114" s="60"/>
    </row>
    <row r="115" spans="1:34" ht="16.5" thickBot="1" x14ac:dyDescent="0.45">
      <c r="A115" s="332" t="str">
        <f>'DETAILS (sorted)'!A100</f>
        <v>ILS24-F00099</v>
      </c>
      <c r="B115" s="134" t="str">
        <f>'DETAILS (sorted)'!B100</f>
        <v xml:space="preserve">Salum Miraji Mwegero </v>
      </c>
      <c r="C115" s="145">
        <f>'DETAILS (sorted)'!DS100</f>
        <v>3789825.8501701001</v>
      </c>
      <c r="D115" s="134">
        <v>200000</v>
      </c>
      <c r="E115" s="134">
        <v>1000000</v>
      </c>
      <c r="F115" s="172">
        <v>100000</v>
      </c>
      <c r="G115" s="172">
        <v>100000</v>
      </c>
      <c r="H115" s="172">
        <v>100000</v>
      </c>
      <c r="I115" s="576">
        <v>100000</v>
      </c>
      <c r="J115" s="576">
        <v>100000</v>
      </c>
      <c r="K115" s="172">
        <v>100000</v>
      </c>
      <c r="L115" s="172">
        <v>100000</v>
      </c>
      <c r="M115" s="172">
        <v>100000</v>
      </c>
      <c r="N115" s="172">
        <v>100000</v>
      </c>
      <c r="O115" s="172">
        <v>100000</v>
      </c>
      <c r="P115" s="172">
        <v>100000</v>
      </c>
      <c r="Q115" s="172">
        <v>100000</v>
      </c>
      <c r="R115" s="172">
        <v>100000</v>
      </c>
      <c r="S115" s="172">
        <v>100000</v>
      </c>
      <c r="T115" s="172">
        <v>100000</v>
      </c>
      <c r="U115" s="172">
        <v>100000</v>
      </c>
      <c r="V115" s="172">
        <v>100000</v>
      </c>
      <c r="W115" s="172">
        <v>100000</v>
      </c>
      <c r="X115" s="172">
        <v>100000</v>
      </c>
      <c r="Y115" s="172">
        <v>100000</v>
      </c>
      <c r="Z115" s="172">
        <v>100000</v>
      </c>
      <c r="AA115" s="172">
        <v>100000</v>
      </c>
      <c r="AB115" s="327">
        <v>100000</v>
      </c>
      <c r="AC115" s="172"/>
      <c r="AD115" s="173">
        <f>SUM(D115:AC115)</f>
        <v>3500000</v>
      </c>
      <c r="AE115" s="174">
        <f>C115-AD115</f>
        <v>289825.85017010011</v>
      </c>
      <c r="AF115" s="310" t="str">
        <f t="shared" si="2"/>
        <v>YES</v>
      </c>
      <c r="AG115" s="333">
        <v>113</v>
      </c>
      <c r="AH115" s="60"/>
    </row>
    <row r="116" spans="1:34" ht="16.5" thickBot="1" x14ac:dyDescent="0.45">
      <c r="A116" s="332" t="str">
        <f>'DETAILS (sorted)'!A37</f>
        <v>ILS24-F00036</v>
      </c>
      <c r="B116" s="134" t="str">
        <f>'DETAILS (sorted)'!B37</f>
        <v xml:space="preserve">Bakari Mchila Hemedi </v>
      </c>
      <c r="C116" s="145">
        <f>'DETAILS (sorted)'!DS37</f>
        <v>3755433.5468211006</v>
      </c>
      <c r="D116" s="134">
        <v>200000</v>
      </c>
      <c r="E116" s="134">
        <v>1000000</v>
      </c>
      <c r="F116" s="172">
        <v>100000</v>
      </c>
      <c r="G116" s="172">
        <v>100000</v>
      </c>
      <c r="H116" s="172">
        <v>100000</v>
      </c>
      <c r="I116" s="576">
        <v>100000</v>
      </c>
      <c r="J116" s="576">
        <v>100000</v>
      </c>
      <c r="K116" s="172">
        <v>100000</v>
      </c>
      <c r="L116" s="172">
        <v>100000</v>
      </c>
      <c r="M116" s="172">
        <v>100000</v>
      </c>
      <c r="N116" s="172">
        <v>100000</v>
      </c>
      <c r="O116" s="172">
        <v>100000</v>
      </c>
      <c r="P116" s="172">
        <v>100000</v>
      </c>
      <c r="Q116" s="172">
        <v>100000</v>
      </c>
      <c r="R116" s="172">
        <v>100000</v>
      </c>
      <c r="S116" s="172">
        <v>100000</v>
      </c>
      <c r="T116" s="172">
        <v>100000</v>
      </c>
      <c r="U116" s="172">
        <v>100000</v>
      </c>
      <c r="V116" s="172">
        <v>100000</v>
      </c>
      <c r="W116" s="172">
        <v>100000</v>
      </c>
      <c r="X116" s="172">
        <v>100000</v>
      </c>
      <c r="Y116" s="172">
        <v>100000</v>
      </c>
      <c r="Z116" s="172">
        <v>100000</v>
      </c>
      <c r="AA116" s="172">
        <v>100000</v>
      </c>
      <c r="AB116" s="327">
        <v>100000</v>
      </c>
      <c r="AC116" s="172"/>
      <c r="AD116" s="173">
        <f>SUM(D116:AC116)</f>
        <v>3500000</v>
      </c>
      <c r="AE116" s="174">
        <f>C116-AD116</f>
        <v>255433.54682110064</v>
      </c>
      <c r="AF116" s="310" t="str">
        <f t="shared" si="2"/>
        <v>YES</v>
      </c>
      <c r="AG116" s="470">
        <v>114</v>
      </c>
      <c r="AH116" s="60"/>
    </row>
    <row r="117" spans="1:34" ht="16.5" thickBot="1" x14ac:dyDescent="0.45">
      <c r="A117" s="332" t="str">
        <f>'DETAILS (sorted)'!A121</f>
        <v>ILS24-F00120</v>
      </c>
      <c r="B117" s="134" t="str">
        <f>'DETAILS (sorted)'!B121</f>
        <v xml:space="preserve">Goodwil D. Nambaya </v>
      </c>
      <c r="C117" s="145">
        <f>'DETAILS (sorted)'!DS121</f>
        <v>3691717.9803632614</v>
      </c>
      <c r="D117" s="134">
        <v>200000</v>
      </c>
      <c r="E117" s="134">
        <v>1000000</v>
      </c>
      <c r="F117" s="172">
        <v>100000</v>
      </c>
      <c r="G117" s="172">
        <v>100000</v>
      </c>
      <c r="H117" s="172">
        <v>100000</v>
      </c>
      <c r="I117" s="576">
        <v>100000</v>
      </c>
      <c r="J117" s="576">
        <v>100000</v>
      </c>
      <c r="K117" s="172">
        <v>100000</v>
      </c>
      <c r="L117" s="172">
        <v>100000</v>
      </c>
      <c r="M117" s="172">
        <v>100000</v>
      </c>
      <c r="N117" s="172">
        <v>100000</v>
      </c>
      <c r="O117" s="172">
        <v>100000</v>
      </c>
      <c r="P117" s="172">
        <v>100000</v>
      </c>
      <c r="Q117" s="172">
        <v>100000</v>
      </c>
      <c r="R117" s="172">
        <v>100000</v>
      </c>
      <c r="S117" s="172">
        <v>100000</v>
      </c>
      <c r="T117" s="172">
        <v>100000</v>
      </c>
      <c r="U117" s="172">
        <v>100000</v>
      </c>
      <c r="V117" s="172">
        <v>100000</v>
      </c>
      <c r="W117" s="172">
        <v>100000</v>
      </c>
      <c r="X117" s="172">
        <v>100000</v>
      </c>
      <c r="Y117" s="172">
        <v>100000</v>
      </c>
      <c r="Z117" s="172">
        <v>100000</v>
      </c>
      <c r="AA117" s="172">
        <v>100000</v>
      </c>
      <c r="AB117" s="327">
        <v>100000</v>
      </c>
      <c r="AC117" s="172"/>
      <c r="AD117" s="173">
        <f>SUM(D117:AC117)</f>
        <v>3500000</v>
      </c>
      <c r="AE117" s="174">
        <f>C117-AD117</f>
        <v>191717.98036326142</v>
      </c>
      <c r="AF117" s="310" t="str">
        <f t="shared" si="2"/>
        <v>YES</v>
      </c>
      <c r="AG117" s="333">
        <v>115</v>
      </c>
      <c r="AH117" s="60"/>
    </row>
    <row r="118" spans="1:34" ht="16.5" thickBot="1" x14ac:dyDescent="0.45">
      <c r="A118" s="332" t="str">
        <f>'DETAILS (sorted)'!A112</f>
        <v>ILS24-F00111</v>
      </c>
      <c r="B118" s="134" t="str">
        <f>'DETAILS (sorted)'!B112</f>
        <v xml:space="preserve">Joseph Albin Swai </v>
      </c>
      <c r="C118" s="145">
        <f>'DETAILS (sorted)'!DS112</f>
        <v>3689691.7247409872</v>
      </c>
      <c r="D118" s="134">
        <v>200000</v>
      </c>
      <c r="E118" s="134">
        <v>1000000</v>
      </c>
      <c r="F118" s="172">
        <v>100000</v>
      </c>
      <c r="G118" s="172">
        <v>100000</v>
      </c>
      <c r="H118" s="172">
        <v>100000</v>
      </c>
      <c r="I118" s="576">
        <v>100000</v>
      </c>
      <c r="J118" s="576">
        <v>100000</v>
      </c>
      <c r="K118" s="172">
        <v>100000</v>
      </c>
      <c r="L118" s="172">
        <v>100000</v>
      </c>
      <c r="M118" s="172">
        <v>100000</v>
      </c>
      <c r="N118" s="172">
        <v>100000</v>
      </c>
      <c r="O118" s="172">
        <v>100000</v>
      </c>
      <c r="P118" s="172">
        <v>100000</v>
      </c>
      <c r="Q118" s="172">
        <v>100000</v>
      </c>
      <c r="R118" s="172">
        <v>100000</v>
      </c>
      <c r="S118" s="172">
        <v>100000</v>
      </c>
      <c r="T118" s="172">
        <v>100000</v>
      </c>
      <c r="U118" s="172">
        <v>100000</v>
      </c>
      <c r="V118" s="172">
        <v>100000</v>
      </c>
      <c r="W118" s="172">
        <v>100000</v>
      </c>
      <c r="X118" s="172">
        <v>100000</v>
      </c>
      <c r="Y118" s="172">
        <v>100000</v>
      </c>
      <c r="Z118" s="172">
        <v>100000</v>
      </c>
      <c r="AA118" s="172">
        <v>100000</v>
      </c>
      <c r="AB118" s="327">
        <v>100000</v>
      </c>
      <c r="AC118" s="172"/>
      <c r="AD118" s="173">
        <f>SUM(D118:AC118)</f>
        <v>3500000</v>
      </c>
      <c r="AE118" s="174">
        <f>C118-AD118</f>
        <v>189691.72474098718</v>
      </c>
      <c r="AF118" s="310" t="str">
        <f t="shared" si="2"/>
        <v>YES</v>
      </c>
      <c r="AG118" s="333">
        <v>116</v>
      </c>
      <c r="AH118" s="60"/>
    </row>
    <row r="119" spans="1:34" ht="16.5" thickBot="1" x14ac:dyDescent="0.45">
      <c r="A119" s="332" t="str">
        <f>'DETAILS (sorted)'!A135</f>
        <v>ILS24-F00134</v>
      </c>
      <c r="B119" s="134" t="str">
        <f>'DETAILS (sorted)'!B135</f>
        <v>Tumwesige David Mujwauzi</v>
      </c>
      <c r="C119" s="145">
        <f>'DETAILS (sorted)'!DS135</f>
        <v>3689691.7247409872</v>
      </c>
      <c r="D119" s="134">
        <v>200000</v>
      </c>
      <c r="E119" s="134">
        <v>1000000</v>
      </c>
      <c r="F119" s="172">
        <v>100000</v>
      </c>
      <c r="G119" s="172">
        <v>100000</v>
      </c>
      <c r="H119" s="172">
        <v>100000</v>
      </c>
      <c r="I119" s="576">
        <v>100000</v>
      </c>
      <c r="J119" s="576">
        <v>100000</v>
      </c>
      <c r="K119" s="172">
        <v>100000</v>
      </c>
      <c r="L119" s="172">
        <v>100000</v>
      </c>
      <c r="M119" s="172">
        <v>100000</v>
      </c>
      <c r="N119" s="172">
        <v>100000</v>
      </c>
      <c r="O119" s="172">
        <v>100000</v>
      </c>
      <c r="P119" s="172">
        <v>100000</v>
      </c>
      <c r="Q119" s="172">
        <v>100000</v>
      </c>
      <c r="R119" s="172">
        <v>100000</v>
      </c>
      <c r="S119" s="172">
        <v>100000</v>
      </c>
      <c r="T119" s="172">
        <v>100000</v>
      </c>
      <c r="U119" s="172">
        <v>100000</v>
      </c>
      <c r="V119" s="172">
        <v>100000</v>
      </c>
      <c r="W119" s="172">
        <v>100000</v>
      </c>
      <c r="X119" s="172">
        <v>100000</v>
      </c>
      <c r="Y119" s="172">
        <v>100000</v>
      </c>
      <c r="Z119" s="172">
        <v>100000</v>
      </c>
      <c r="AA119" s="172">
        <v>100000</v>
      </c>
      <c r="AB119" s="327">
        <v>100000</v>
      </c>
      <c r="AC119" s="172"/>
      <c r="AD119" s="173">
        <f>SUM(D119:AC119)</f>
        <v>3500000</v>
      </c>
      <c r="AE119" s="174">
        <f>C119-AD119</f>
        <v>189691.72474098718</v>
      </c>
      <c r="AF119" s="310" t="str">
        <f t="shared" si="2"/>
        <v>YES</v>
      </c>
      <c r="AG119" s="333">
        <v>117</v>
      </c>
      <c r="AH119" s="60"/>
    </row>
    <row r="120" spans="1:34" ht="16.5" thickBot="1" x14ac:dyDescent="0.45">
      <c r="A120" s="332" t="str">
        <f>'DETAILS (sorted)'!A55</f>
        <v>ILS24-F00054</v>
      </c>
      <c r="B120" s="134" t="str">
        <f>'DETAILS (sorted)'!B55</f>
        <v>Stanslaus Senani Nyembea</v>
      </c>
      <c r="C120" s="145">
        <f>'DETAILS (sorted)'!DS55</f>
        <v>3686768.0513019888</v>
      </c>
      <c r="D120" s="134">
        <v>200000</v>
      </c>
      <c r="E120" s="134">
        <v>1000000</v>
      </c>
      <c r="F120" s="172">
        <v>100000</v>
      </c>
      <c r="G120" s="172">
        <v>100000</v>
      </c>
      <c r="H120" s="172">
        <v>100000</v>
      </c>
      <c r="I120" s="576">
        <v>100000</v>
      </c>
      <c r="J120" s="576">
        <v>100000</v>
      </c>
      <c r="K120" s="172">
        <v>100000</v>
      </c>
      <c r="L120" s="172">
        <v>100000</v>
      </c>
      <c r="M120" s="172">
        <v>100000</v>
      </c>
      <c r="N120" s="172">
        <v>100000</v>
      </c>
      <c r="O120" s="172">
        <v>100000</v>
      </c>
      <c r="P120" s="172">
        <v>100000</v>
      </c>
      <c r="Q120" s="172">
        <v>100000</v>
      </c>
      <c r="R120" s="172">
        <v>100000</v>
      </c>
      <c r="S120" s="172">
        <v>100000</v>
      </c>
      <c r="T120" s="172">
        <v>100000</v>
      </c>
      <c r="U120" s="172">
        <v>100000</v>
      </c>
      <c r="V120" s="172">
        <v>100000</v>
      </c>
      <c r="W120" s="172">
        <v>100000</v>
      </c>
      <c r="X120" s="172">
        <v>100000</v>
      </c>
      <c r="Y120" s="172">
        <v>100000</v>
      </c>
      <c r="Z120" s="172">
        <v>100000</v>
      </c>
      <c r="AA120" s="172">
        <v>100000</v>
      </c>
      <c r="AB120" s="327">
        <v>100000</v>
      </c>
      <c r="AC120" s="172"/>
      <c r="AD120" s="173">
        <f>SUM(D120:AC120)</f>
        <v>3500000</v>
      </c>
      <c r="AE120" s="174">
        <f>C120-AD120</f>
        <v>186768.05130198877</v>
      </c>
      <c r="AF120" s="310" t="str">
        <f t="shared" si="2"/>
        <v>YES</v>
      </c>
      <c r="AG120" s="333">
        <v>118</v>
      </c>
      <c r="AH120" s="60"/>
    </row>
    <row r="121" spans="1:34" ht="16.5" thickBot="1" x14ac:dyDescent="0.45">
      <c r="A121" s="332" t="str">
        <f>'DETAILS (sorted)'!A114</f>
        <v>ILS24-F00113</v>
      </c>
      <c r="B121" s="134" t="str">
        <f>'DETAILS (sorted)'!B114</f>
        <v xml:space="preserve">Nicholaus Abdon Killinga </v>
      </c>
      <c r="C121" s="145">
        <f>'DETAILS (sorted)'!DS114</f>
        <v>3686155.757687116</v>
      </c>
      <c r="D121" s="134">
        <v>200000</v>
      </c>
      <c r="E121" s="134">
        <v>1000000</v>
      </c>
      <c r="F121" s="172">
        <v>100000</v>
      </c>
      <c r="G121" s="172">
        <v>100000</v>
      </c>
      <c r="H121" s="172">
        <v>100000</v>
      </c>
      <c r="I121" s="576">
        <v>100000</v>
      </c>
      <c r="J121" s="576">
        <v>100000</v>
      </c>
      <c r="K121" s="172">
        <v>100000</v>
      </c>
      <c r="L121" s="172">
        <v>100000</v>
      </c>
      <c r="M121" s="172">
        <v>100000</v>
      </c>
      <c r="N121" s="172">
        <v>100000</v>
      </c>
      <c r="O121" s="172">
        <v>100000</v>
      </c>
      <c r="P121" s="172">
        <v>100000</v>
      </c>
      <c r="Q121" s="172">
        <v>100000</v>
      </c>
      <c r="R121" s="172">
        <v>100000</v>
      </c>
      <c r="S121" s="172">
        <v>100000</v>
      </c>
      <c r="T121" s="172">
        <v>100000</v>
      </c>
      <c r="U121" s="172">
        <v>100000</v>
      </c>
      <c r="V121" s="172">
        <v>100000</v>
      </c>
      <c r="W121" s="172">
        <v>100000</v>
      </c>
      <c r="X121" s="172">
        <v>100000</v>
      </c>
      <c r="Y121" s="172">
        <v>100000</v>
      </c>
      <c r="Z121" s="172">
        <v>100000</v>
      </c>
      <c r="AA121" s="172">
        <v>100000</v>
      </c>
      <c r="AB121" s="327">
        <v>100000</v>
      </c>
      <c r="AC121" s="172"/>
      <c r="AD121" s="173">
        <f>SUM(D121:AC121)</f>
        <v>3500000</v>
      </c>
      <c r="AE121" s="174">
        <f>C121-AD121</f>
        <v>186155.75768711604</v>
      </c>
      <c r="AF121" s="310" t="str">
        <f t="shared" si="2"/>
        <v>YES</v>
      </c>
      <c r="AG121" s="333">
        <v>119</v>
      </c>
      <c r="AH121" s="60"/>
    </row>
    <row r="122" spans="1:34" ht="16.5" thickBot="1" x14ac:dyDescent="0.45">
      <c r="A122" s="332" t="str">
        <f>'DETAILS (sorted)'!A57</f>
        <v>ILS24-F00056</v>
      </c>
      <c r="B122" s="134" t="str">
        <f>'DETAILS (sorted)'!B57</f>
        <v>Leo Richard Kilamile</v>
      </c>
      <c r="C122" s="145">
        <f>'DETAILS (sorted)'!DS57</f>
        <v>3660677.403756598</v>
      </c>
      <c r="D122" s="134">
        <v>200000</v>
      </c>
      <c r="E122" s="134">
        <v>1000000</v>
      </c>
      <c r="F122" s="172">
        <v>100000</v>
      </c>
      <c r="G122" s="172">
        <v>100000</v>
      </c>
      <c r="H122" s="172">
        <v>100000</v>
      </c>
      <c r="I122" s="576">
        <v>100000</v>
      </c>
      <c r="J122" s="576">
        <v>100000</v>
      </c>
      <c r="K122" s="172">
        <v>100000</v>
      </c>
      <c r="L122" s="172">
        <v>100000</v>
      </c>
      <c r="M122" s="172">
        <v>100000</v>
      </c>
      <c r="N122" s="172">
        <v>100000</v>
      </c>
      <c r="O122" s="172">
        <v>100000</v>
      </c>
      <c r="P122" s="172">
        <v>100000</v>
      </c>
      <c r="Q122" s="172">
        <v>100000</v>
      </c>
      <c r="R122" s="172">
        <v>100000</v>
      </c>
      <c r="S122" s="172">
        <v>100000</v>
      </c>
      <c r="T122" s="172">
        <v>100000</v>
      </c>
      <c r="U122" s="172">
        <v>100000</v>
      </c>
      <c r="V122" s="172">
        <v>100000</v>
      </c>
      <c r="W122" s="172">
        <v>100000</v>
      </c>
      <c r="X122" s="172">
        <v>100000</v>
      </c>
      <c r="Y122" s="172">
        <v>100000</v>
      </c>
      <c r="Z122" s="172">
        <v>100000</v>
      </c>
      <c r="AA122" s="172">
        <v>100000</v>
      </c>
      <c r="AB122" s="327">
        <v>100000</v>
      </c>
      <c r="AC122" s="172"/>
      <c r="AD122" s="173">
        <f>SUM(D122:AC122)</f>
        <v>3500000</v>
      </c>
      <c r="AE122" s="174">
        <f>C122-AD122</f>
        <v>160677.40375659801</v>
      </c>
      <c r="AF122" s="310" t="str">
        <f t="shared" si="2"/>
        <v>YES</v>
      </c>
      <c r="AG122" s="333">
        <v>120</v>
      </c>
      <c r="AH122" s="60"/>
    </row>
    <row r="123" spans="1:34" ht="16.5" thickBot="1" x14ac:dyDescent="0.45">
      <c r="A123" s="332" t="str">
        <f>'DETAILS (sorted)'!A48</f>
        <v>ILS24-F00047</v>
      </c>
      <c r="B123" s="134" t="str">
        <f>'DETAILS (sorted)'!B48</f>
        <v xml:space="preserve">Emmanuel Msaki </v>
      </c>
      <c r="C123" s="145">
        <f>'DETAILS (sorted)'!DS48</f>
        <v>3658462.9946216233</v>
      </c>
      <c r="D123" s="134">
        <v>200000</v>
      </c>
      <c r="E123" s="134">
        <v>1000000</v>
      </c>
      <c r="F123" s="172">
        <v>100000</v>
      </c>
      <c r="G123" s="172">
        <v>100000</v>
      </c>
      <c r="H123" s="172">
        <v>100000</v>
      </c>
      <c r="I123" s="576">
        <v>100000</v>
      </c>
      <c r="J123" s="576">
        <v>100000</v>
      </c>
      <c r="K123" s="172">
        <v>100000</v>
      </c>
      <c r="L123" s="172">
        <v>100000</v>
      </c>
      <c r="M123" s="172">
        <v>100000</v>
      </c>
      <c r="N123" s="172">
        <v>100000</v>
      </c>
      <c r="O123" s="172">
        <v>100000</v>
      </c>
      <c r="P123" s="172">
        <v>100000</v>
      </c>
      <c r="Q123" s="172">
        <v>100000</v>
      </c>
      <c r="R123" s="172">
        <v>100000</v>
      </c>
      <c r="S123" s="172">
        <v>100000</v>
      </c>
      <c r="T123" s="172">
        <v>100000</v>
      </c>
      <c r="U123" s="172">
        <v>100000</v>
      </c>
      <c r="V123" s="172">
        <v>100000</v>
      </c>
      <c r="W123" s="172">
        <v>100000</v>
      </c>
      <c r="X123" s="172">
        <v>100000</v>
      </c>
      <c r="Y123" s="172">
        <v>100000</v>
      </c>
      <c r="Z123" s="172">
        <v>100000</v>
      </c>
      <c r="AA123" s="172">
        <v>100000</v>
      </c>
      <c r="AB123" s="327">
        <v>100000</v>
      </c>
      <c r="AC123" s="172"/>
      <c r="AD123" s="173">
        <f>SUM(D123:AC123)</f>
        <v>3500000</v>
      </c>
      <c r="AE123" s="174">
        <f>C123-AD123</f>
        <v>158462.99462162331</v>
      </c>
      <c r="AF123" s="310" t="str">
        <f t="shared" si="2"/>
        <v>YES</v>
      </c>
      <c r="AG123" s="333">
        <v>121</v>
      </c>
      <c r="AH123" s="60"/>
    </row>
    <row r="124" spans="1:34" ht="16.5" thickBot="1" x14ac:dyDescent="0.45">
      <c r="A124" s="332" t="str">
        <f>'DETAILS (sorted)'!A26</f>
        <v>ILS24-F00025</v>
      </c>
      <c r="B124" s="134" t="str">
        <f>'DETAILS (sorted)'!B26</f>
        <v xml:space="preserve">Hassan Matata </v>
      </c>
      <c r="C124" s="145">
        <f>'DETAILS (sorted)'!DS26</f>
        <v>3658400.4184066346</v>
      </c>
      <c r="D124" s="134">
        <v>200000</v>
      </c>
      <c r="E124" s="134">
        <v>1000000</v>
      </c>
      <c r="F124" s="172">
        <v>100000</v>
      </c>
      <c r="G124" s="172">
        <v>100000</v>
      </c>
      <c r="H124" s="172">
        <v>100000</v>
      </c>
      <c r="I124" s="576">
        <v>100000</v>
      </c>
      <c r="J124" s="576">
        <v>100000</v>
      </c>
      <c r="K124" s="172">
        <v>100000</v>
      </c>
      <c r="L124" s="172">
        <v>100000</v>
      </c>
      <c r="M124" s="172">
        <v>100000</v>
      </c>
      <c r="N124" s="172">
        <v>100000</v>
      </c>
      <c r="O124" s="172">
        <v>100000</v>
      </c>
      <c r="P124" s="172">
        <v>100000</v>
      </c>
      <c r="Q124" s="172">
        <v>100000</v>
      </c>
      <c r="R124" s="172">
        <v>100000</v>
      </c>
      <c r="S124" s="172">
        <v>100000</v>
      </c>
      <c r="T124" s="172">
        <v>100000</v>
      </c>
      <c r="U124" s="172">
        <v>100000</v>
      </c>
      <c r="V124" s="172">
        <v>100000</v>
      </c>
      <c r="W124" s="172">
        <v>100000</v>
      </c>
      <c r="X124" s="172">
        <v>100000</v>
      </c>
      <c r="Y124" s="172">
        <v>100000</v>
      </c>
      <c r="Z124" s="172">
        <v>100000</v>
      </c>
      <c r="AA124" s="172">
        <v>100000</v>
      </c>
      <c r="AB124" s="327">
        <v>100000</v>
      </c>
      <c r="AC124" s="172"/>
      <c r="AD124" s="173">
        <f>SUM(D124:AC124)</f>
        <v>3500000</v>
      </c>
      <c r="AE124" s="174">
        <f>C124-AD124</f>
        <v>158400.41840663459</v>
      </c>
      <c r="AF124" s="310" t="str">
        <f t="shared" si="2"/>
        <v>YES</v>
      </c>
      <c r="AG124" s="333">
        <v>122</v>
      </c>
      <c r="AH124" s="60"/>
    </row>
    <row r="125" spans="1:34" ht="16.5" thickBot="1" x14ac:dyDescent="0.45">
      <c r="A125" s="332" t="str">
        <f>'DETAILS (sorted)'!A145</f>
        <v>ILS24-F00144</v>
      </c>
      <c r="B125" s="134" t="str">
        <f>'DETAILS (sorted)'!B145</f>
        <v xml:space="preserve">Steven Silvester Chihwallo </v>
      </c>
      <c r="C125" s="145">
        <f>'DETAILS (sorted)'!DS145</f>
        <v>3647260.1200945326</v>
      </c>
      <c r="D125" s="134">
        <v>200000</v>
      </c>
      <c r="E125" s="134">
        <v>1000000</v>
      </c>
      <c r="F125" s="172">
        <v>100000</v>
      </c>
      <c r="G125" s="172">
        <v>100000</v>
      </c>
      <c r="H125" s="172">
        <v>100000</v>
      </c>
      <c r="I125" s="576">
        <v>100000</v>
      </c>
      <c r="J125" s="576">
        <v>100000</v>
      </c>
      <c r="K125" s="172">
        <v>100000</v>
      </c>
      <c r="L125" s="172">
        <v>100000</v>
      </c>
      <c r="M125" s="172">
        <v>100000</v>
      </c>
      <c r="N125" s="172">
        <v>100000</v>
      </c>
      <c r="O125" s="172">
        <v>100000</v>
      </c>
      <c r="P125" s="172">
        <v>100000</v>
      </c>
      <c r="Q125" s="172">
        <v>100000</v>
      </c>
      <c r="R125" s="172">
        <v>100000</v>
      </c>
      <c r="S125" s="172">
        <v>100000</v>
      </c>
      <c r="T125" s="172">
        <v>100000</v>
      </c>
      <c r="U125" s="172">
        <v>100000</v>
      </c>
      <c r="V125" s="172">
        <v>100000</v>
      </c>
      <c r="W125" s="172">
        <v>100000</v>
      </c>
      <c r="X125" s="172">
        <v>100000</v>
      </c>
      <c r="Y125" s="172">
        <v>100000</v>
      </c>
      <c r="Z125" s="172">
        <v>100000</v>
      </c>
      <c r="AA125" s="172">
        <v>100000</v>
      </c>
      <c r="AB125" s="327">
        <v>100000</v>
      </c>
      <c r="AC125" s="172"/>
      <c r="AD125" s="173">
        <f>SUM(D125:AC125)</f>
        <v>3500000</v>
      </c>
      <c r="AE125" s="174">
        <f>C125-AD125</f>
        <v>147260.12009453261</v>
      </c>
      <c r="AF125" s="310" t="str">
        <f t="shared" si="2"/>
        <v>YES</v>
      </c>
      <c r="AG125" s="333">
        <v>123</v>
      </c>
      <c r="AH125" s="60"/>
    </row>
    <row r="126" spans="1:34" ht="16.5" thickBot="1" x14ac:dyDescent="0.45">
      <c r="A126" s="332" t="str">
        <f>'DETAILS (sorted)'!A35</f>
        <v>ILS24-F00034</v>
      </c>
      <c r="B126" s="134" t="str">
        <f>'DETAILS (sorted)'!B35</f>
        <v>Abraham Alex Assenga</v>
      </c>
      <c r="C126" s="145">
        <f>'DETAILS (sorted)'!DS35</f>
        <v>3631397.2721955236</v>
      </c>
      <c r="D126" s="134">
        <v>200000</v>
      </c>
      <c r="E126" s="134">
        <v>1000000</v>
      </c>
      <c r="F126" s="172">
        <v>100000</v>
      </c>
      <c r="G126" s="172">
        <v>100000</v>
      </c>
      <c r="H126" s="172">
        <v>100000</v>
      </c>
      <c r="I126" s="576">
        <v>100000</v>
      </c>
      <c r="J126" s="576">
        <v>100000</v>
      </c>
      <c r="K126" s="172">
        <v>100000</v>
      </c>
      <c r="L126" s="172">
        <v>100000</v>
      </c>
      <c r="M126" s="172">
        <v>100000</v>
      </c>
      <c r="N126" s="172">
        <v>100000</v>
      </c>
      <c r="O126" s="172">
        <v>100000</v>
      </c>
      <c r="P126" s="172">
        <v>100000</v>
      </c>
      <c r="Q126" s="172">
        <v>100000</v>
      </c>
      <c r="R126" s="172">
        <v>100000</v>
      </c>
      <c r="S126" s="172">
        <v>100000</v>
      </c>
      <c r="T126" s="172">
        <v>100000</v>
      </c>
      <c r="U126" s="172">
        <v>100000</v>
      </c>
      <c r="V126" s="172">
        <v>100000</v>
      </c>
      <c r="W126" s="172">
        <v>100000</v>
      </c>
      <c r="X126" s="172">
        <v>100000</v>
      </c>
      <c r="Y126" s="172">
        <v>100000</v>
      </c>
      <c r="Z126" s="172">
        <v>100000</v>
      </c>
      <c r="AA126" s="172">
        <v>100000</v>
      </c>
      <c r="AB126" s="327">
        <v>100000</v>
      </c>
      <c r="AC126" s="172"/>
      <c r="AD126" s="173">
        <f>SUM(D126:AC126)</f>
        <v>3500000</v>
      </c>
      <c r="AE126" s="375">
        <f>C126-AD126</f>
        <v>131397.2721955236</v>
      </c>
      <c r="AF126" s="310" t="str">
        <f t="shared" si="2"/>
        <v>YES</v>
      </c>
      <c r="AG126" s="333">
        <v>124</v>
      </c>
      <c r="AH126" s="60"/>
    </row>
    <row r="127" spans="1:34" ht="16.5" thickBot="1" x14ac:dyDescent="0.45">
      <c r="A127" s="332" t="str">
        <f>'DETAILS (sorted)'!A10</f>
        <v>ILS24-F00009</v>
      </c>
      <c r="B127" s="134" t="str">
        <f>'DETAILS (sorted)'!B10</f>
        <v>Gideon Gabriel</v>
      </c>
      <c r="C127" s="145">
        <f>'DETAILS (sorted)'!DS10</f>
        <v>3618618.4069837015</v>
      </c>
      <c r="D127" s="134">
        <v>200000</v>
      </c>
      <c r="E127" s="134">
        <v>1000000</v>
      </c>
      <c r="F127" s="172">
        <v>100000</v>
      </c>
      <c r="G127" s="172">
        <v>100000</v>
      </c>
      <c r="H127" s="172">
        <v>100000</v>
      </c>
      <c r="I127" s="576">
        <v>100000</v>
      </c>
      <c r="J127" s="576">
        <v>100000</v>
      </c>
      <c r="K127" s="172">
        <v>100000</v>
      </c>
      <c r="L127" s="172">
        <v>100000</v>
      </c>
      <c r="M127" s="172">
        <v>100000</v>
      </c>
      <c r="N127" s="172">
        <v>100000</v>
      </c>
      <c r="O127" s="172">
        <v>100000</v>
      </c>
      <c r="P127" s="172">
        <v>100000</v>
      </c>
      <c r="Q127" s="172">
        <v>100000</v>
      </c>
      <c r="R127" s="172">
        <v>100000</v>
      </c>
      <c r="S127" s="172">
        <v>100000</v>
      </c>
      <c r="T127" s="172">
        <v>100000</v>
      </c>
      <c r="U127" s="172">
        <v>100000</v>
      </c>
      <c r="V127" s="172">
        <v>100000</v>
      </c>
      <c r="W127" s="172">
        <v>100000</v>
      </c>
      <c r="X127" s="172">
        <v>100000</v>
      </c>
      <c r="Y127" s="172">
        <v>100000</v>
      </c>
      <c r="Z127" s="172">
        <v>100000</v>
      </c>
      <c r="AA127" s="172">
        <v>100000</v>
      </c>
      <c r="AB127" s="327">
        <v>100000</v>
      </c>
      <c r="AC127" s="172"/>
      <c r="AD127" s="173">
        <f>SUM(D127:AC127)</f>
        <v>3500000</v>
      </c>
      <c r="AE127" s="174">
        <f>C127-AD127</f>
        <v>118618.40698370151</v>
      </c>
      <c r="AF127" s="310" t="str">
        <f t="shared" si="2"/>
        <v>YES</v>
      </c>
      <c r="AG127" s="333">
        <v>125</v>
      </c>
      <c r="AH127" s="60"/>
    </row>
    <row r="128" spans="1:34" ht="16.5" thickBot="1" x14ac:dyDescent="0.45">
      <c r="A128" s="332" t="str">
        <f>'DETAILS (sorted)'!A40</f>
        <v>ILS24-F00039</v>
      </c>
      <c r="B128" s="134" t="str">
        <f>'DETAILS (sorted)'!B40</f>
        <v>Abdillahi Moshi</v>
      </c>
      <c r="C128" s="145">
        <f>'DETAILS (sorted)'!DS40</f>
        <v>3595200.6924693417</v>
      </c>
      <c r="D128" s="134">
        <v>200000</v>
      </c>
      <c r="E128" s="134">
        <v>1000000</v>
      </c>
      <c r="F128" s="172">
        <v>100000</v>
      </c>
      <c r="G128" s="172">
        <v>100000</v>
      </c>
      <c r="H128" s="172">
        <v>100000</v>
      </c>
      <c r="I128" s="576">
        <v>100000</v>
      </c>
      <c r="J128" s="576">
        <v>100000</v>
      </c>
      <c r="K128" s="172">
        <v>100000</v>
      </c>
      <c r="L128" s="172">
        <v>100000</v>
      </c>
      <c r="M128" s="172">
        <v>100000</v>
      </c>
      <c r="N128" s="172">
        <v>100000</v>
      </c>
      <c r="O128" s="172">
        <v>100000</v>
      </c>
      <c r="P128" s="172">
        <v>100000</v>
      </c>
      <c r="Q128" s="172">
        <v>100000</v>
      </c>
      <c r="R128" s="172">
        <v>100000</v>
      </c>
      <c r="S128" s="172">
        <v>100000</v>
      </c>
      <c r="T128" s="172">
        <v>100000</v>
      </c>
      <c r="U128" s="172">
        <v>100000</v>
      </c>
      <c r="V128" s="172">
        <v>100000</v>
      </c>
      <c r="W128" s="172">
        <v>100000</v>
      </c>
      <c r="X128" s="172">
        <v>100000</v>
      </c>
      <c r="Y128" s="172">
        <v>100000</v>
      </c>
      <c r="Z128" s="172">
        <v>100000</v>
      </c>
      <c r="AA128" s="172">
        <v>100000</v>
      </c>
      <c r="AB128" s="327">
        <v>100000</v>
      </c>
      <c r="AC128" s="172"/>
      <c r="AD128" s="173">
        <f>SUM(D128:AC128)</f>
        <v>3500000</v>
      </c>
      <c r="AE128" s="174">
        <f>C128-AD128</f>
        <v>95200.69246934168</v>
      </c>
      <c r="AF128" s="310" t="str">
        <f t="shared" si="2"/>
        <v>YES</v>
      </c>
      <c r="AG128" s="333">
        <v>126</v>
      </c>
      <c r="AH128" s="60"/>
    </row>
    <row r="129" spans="1:34" ht="16.5" thickBot="1" x14ac:dyDescent="0.45">
      <c r="A129" s="332" t="str">
        <f>'DETAILS (sorted)'!A130</f>
        <v>ILS24-F00129</v>
      </c>
      <c r="B129" s="134" t="str">
        <f>'DETAILS (sorted)'!B130</f>
        <v>Africa Jumanne Bwamkuu</v>
      </c>
      <c r="C129" s="145">
        <f>'DETAILS (sorted)'!DS130</f>
        <v>3587200.287942626</v>
      </c>
      <c r="D129" s="134">
        <v>200000</v>
      </c>
      <c r="E129" s="134">
        <v>1000000</v>
      </c>
      <c r="F129" s="172">
        <v>100000</v>
      </c>
      <c r="G129" s="172">
        <v>100000</v>
      </c>
      <c r="H129" s="172">
        <v>100000</v>
      </c>
      <c r="I129" s="576">
        <v>100000</v>
      </c>
      <c r="J129" s="576">
        <v>100000</v>
      </c>
      <c r="K129" s="172">
        <v>100000</v>
      </c>
      <c r="L129" s="172">
        <v>100000</v>
      </c>
      <c r="M129" s="172">
        <v>100000</v>
      </c>
      <c r="N129" s="172">
        <v>100000</v>
      </c>
      <c r="O129" s="172">
        <v>100000</v>
      </c>
      <c r="P129" s="172">
        <v>100000</v>
      </c>
      <c r="Q129" s="172">
        <v>100000</v>
      </c>
      <c r="R129" s="172">
        <v>100000</v>
      </c>
      <c r="S129" s="172">
        <v>100000</v>
      </c>
      <c r="T129" s="172">
        <v>100000</v>
      </c>
      <c r="U129" s="172">
        <v>100000</v>
      </c>
      <c r="V129" s="172">
        <v>100000</v>
      </c>
      <c r="W129" s="172">
        <v>100000</v>
      </c>
      <c r="X129" s="172">
        <v>100000</v>
      </c>
      <c r="Y129" s="172">
        <v>100000</v>
      </c>
      <c r="Z129" s="172">
        <v>100000</v>
      </c>
      <c r="AA129" s="172">
        <v>100000</v>
      </c>
      <c r="AB129" s="327">
        <v>100000</v>
      </c>
      <c r="AC129" s="172"/>
      <c r="AD129" s="173">
        <f>SUM(D129:AC129)</f>
        <v>3500000</v>
      </c>
      <c r="AE129" s="174">
        <f>C129-AD129</f>
        <v>87200.287942626048</v>
      </c>
      <c r="AF129" s="310" t="str">
        <f t="shared" si="2"/>
        <v>YES</v>
      </c>
      <c r="AG129" s="333">
        <v>127</v>
      </c>
      <c r="AH129" s="60"/>
    </row>
    <row r="130" spans="1:34" ht="16.5" thickBot="1" x14ac:dyDescent="0.45">
      <c r="A130" s="381" t="str">
        <f>'DETAILS (sorted)'!A139</f>
        <v>ILS24-F00138</v>
      </c>
      <c r="B130" s="382" t="str">
        <f>'DETAILS (sorted)'!B139</f>
        <v xml:space="preserve">Daniel Mchegere </v>
      </c>
      <c r="C130" s="383">
        <f>'DETAILS (sorted)'!DS139</f>
        <v>3587200.287942626</v>
      </c>
      <c r="D130" s="382">
        <v>200000</v>
      </c>
      <c r="E130" s="382">
        <v>1000000</v>
      </c>
      <c r="F130" s="384">
        <v>100000</v>
      </c>
      <c r="G130" s="384">
        <v>100000</v>
      </c>
      <c r="H130" s="384">
        <v>100000</v>
      </c>
      <c r="I130" s="579">
        <v>100000</v>
      </c>
      <c r="J130" s="579">
        <v>100000</v>
      </c>
      <c r="K130" s="384">
        <v>100000</v>
      </c>
      <c r="L130" s="384">
        <v>100000</v>
      </c>
      <c r="M130" s="384">
        <v>100000</v>
      </c>
      <c r="N130" s="384">
        <v>100000</v>
      </c>
      <c r="O130" s="384">
        <v>100000</v>
      </c>
      <c r="P130" s="384">
        <v>100000</v>
      </c>
      <c r="Q130" s="384">
        <v>100000</v>
      </c>
      <c r="R130" s="384">
        <v>100000</v>
      </c>
      <c r="S130" s="384">
        <v>100000</v>
      </c>
      <c r="T130" s="384">
        <v>100000</v>
      </c>
      <c r="U130" s="384">
        <v>100000</v>
      </c>
      <c r="V130" s="384">
        <v>100000</v>
      </c>
      <c r="W130" s="384">
        <v>100000</v>
      </c>
      <c r="X130" s="384">
        <v>100000</v>
      </c>
      <c r="Y130" s="384">
        <v>100000</v>
      </c>
      <c r="Z130" s="384">
        <v>100000</v>
      </c>
      <c r="AA130" s="384">
        <v>100000</v>
      </c>
      <c r="AB130" s="327">
        <v>100000</v>
      </c>
      <c r="AC130" s="384"/>
      <c r="AD130" s="385">
        <f>SUM(D130:AC130)</f>
        <v>3500000</v>
      </c>
      <c r="AE130" s="459">
        <f>C130-AD130</f>
        <v>87200.287942626048</v>
      </c>
      <c r="AF130" s="310" t="str">
        <f t="shared" si="2"/>
        <v>YES</v>
      </c>
      <c r="AG130" s="374">
        <v>128</v>
      </c>
      <c r="AH130" s="60"/>
    </row>
    <row r="131" spans="1:34" ht="16.5" thickBot="1" x14ac:dyDescent="0.45">
      <c r="A131" s="681" t="str">
        <f>'DETAILS (sorted)'!A96</f>
        <v>ILS24-F00095</v>
      </c>
      <c r="B131" s="161" t="str">
        <f>'DETAILS (sorted)'!B96</f>
        <v>Nuhu Manase Ngangaji</v>
      </c>
      <c r="C131" s="444">
        <f>'DETAILS (sorted)'!DS96</f>
        <v>3586021.6322580026</v>
      </c>
      <c r="D131" s="161">
        <v>200000</v>
      </c>
      <c r="E131" s="161">
        <v>1000000</v>
      </c>
      <c r="F131" s="445">
        <v>100000</v>
      </c>
      <c r="G131" s="445">
        <v>100000</v>
      </c>
      <c r="H131" s="445">
        <v>100000</v>
      </c>
      <c r="I131" s="580">
        <v>100000</v>
      </c>
      <c r="J131" s="580">
        <v>100000</v>
      </c>
      <c r="K131" s="445">
        <v>100000</v>
      </c>
      <c r="L131" s="445">
        <v>100000</v>
      </c>
      <c r="M131" s="445">
        <v>100000</v>
      </c>
      <c r="N131" s="445">
        <v>100000</v>
      </c>
      <c r="O131" s="445">
        <v>100000</v>
      </c>
      <c r="P131" s="445">
        <v>100000</v>
      </c>
      <c r="Q131" s="445">
        <v>100000</v>
      </c>
      <c r="R131" s="445">
        <v>100000</v>
      </c>
      <c r="S131" s="445">
        <v>100000</v>
      </c>
      <c r="T131" s="445">
        <v>100000</v>
      </c>
      <c r="U131" s="445">
        <v>100000</v>
      </c>
      <c r="V131" s="445">
        <v>100000</v>
      </c>
      <c r="W131" s="445">
        <v>100000</v>
      </c>
      <c r="X131" s="445">
        <v>100000</v>
      </c>
      <c r="Y131" s="445">
        <v>100000</v>
      </c>
      <c r="Z131" s="445">
        <v>100000</v>
      </c>
      <c r="AA131" s="445">
        <v>100000</v>
      </c>
      <c r="AB131" s="327">
        <v>100000</v>
      </c>
      <c r="AC131" s="445"/>
      <c r="AD131" s="446">
        <f>SUM(D131:AC131)</f>
        <v>3500000</v>
      </c>
      <c r="AE131" s="457">
        <f>C131-AD131</f>
        <v>86021.632258002646</v>
      </c>
      <c r="AF131" s="310" t="str">
        <f t="shared" ref="AF131:AF149" si="3">IF(C131&gt;=700000,"YES","NO")</f>
        <v>YES</v>
      </c>
      <c r="AG131" s="682">
        <v>129</v>
      </c>
      <c r="AH131" s="60"/>
    </row>
    <row r="132" spans="1:34" ht="16.5" thickBot="1" x14ac:dyDescent="0.45">
      <c r="A132" s="332" t="str">
        <f>'DETAILS (sorted)'!A49</f>
        <v>ILS24-F00048</v>
      </c>
      <c r="B132" s="134" t="str">
        <f>'DETAILS (sorted)'!B49</f>
        <v xml:space="preserve">Nixon Billiam Matowo </v>
      </c>
      <c r="C132" s="145">
        <f>'DETAILS (sorted)'!DS49</f>
        <v>3585090.2112321621</v>
      </c>
      <c r="D132" s="134">
        <v>200000</v>
      </c>
      <c r="E132" s="134">
        <v>1000000</v>
      </c>
      <c r="F132" s="172">
        <v>100000</v>
      </c>
      <c r="G132" s="172">
        <v>100000</v>
      </c>
      <c r="H132" s="172">
        <v>100000</v>
      </c>
      <c r="I132" s="576">
        <v>100000</v>
      </c>
      <c r="J132" s="576">
        <v>100000</v>
      </c>
      <c r="K132" s="172">
        <v>100000</v>
      </c>
      <c r="L132" s="172">
        <v>100000</v>
      </c>
      <c r="M132" s="172">
        <v>100000</v>
      </c>
      <c r="N132" s="172">
        <v>100000</v>
      </c>
      <c r="O132" s="172">
        <v>100000</v>
      </c>
      <c r="P132" s="172">
        <v>100000</v>
      </c>
      <c r="Q132" s="172">
        <v>100000</v>
      </c>
      <c r="R132" s="172">
        <v>100000</v>
      </c>
      <c r="S132" s="172">
        <v>100000</v>
      </c>
      <c r="T132" s="172">
        <v>100000</v>
      </c>
      <c r="U132" s="172">
        <v>100000</v>
      </c>
      <c r="V132" s="172">
        <v>100000</v>
      </c>
      <c r="W132" s="172">
        <v>100000</v>
      </c>
      <c r="X132" s="172">
        <v>100000</v>
      </c>
      <c r="Y132" s="172">
        <v>100000</v>
      </c>
      <c r="Z132" s="172">
        <v>100000</v>
      </c>
      <c r="AA132" s="172">
        <v>100000</v>
      </c>
      <c r="AB132" s="327">
        <v>100000</v>
      </c>
      <c r="AC132" s="172"/>
      <c r="AD132" s="173">
        <f>SUM(D132:AC132)</f>
        <v>3500000</v>
      </c>
      <c r="AE132" s="174">
        <f>C132-AD132</f>
        <v>85090.211232162081</v>
      </c>
      <c r="AF132" s="310" t="str">
        <f t="shared" si="3"/>
        <v>YES</v>
      </c>
      <c r="AG132" s="333">
        <v>130</v>
      </c>
      <c r="AH132" s="60"/>
    </row>
    <row r="133" spans="1:34" ht="16.5" thickBot="1" x14ac:dyDescent="0.45">
      <c r="A133" s="332" t="str">
        <f>'DETAILS (sorted)'!A58</f>
        <v>ILS24-F00057</v>
      </c>
      <c r="B133" s="134" t="str">
        <f>'DETAILS (sorted)'!B58</f>
        <v>Patiens Buberwa Rweyemamu</v>
      </c>
      <c r="C133" s="145">
        <f>'DETAILS (sorted)'!DS58</f>
        <v>3574853.3430419164</v>
      </c>
      <c r="D133" s="134">
        <v>200000</v>
      </c>
      <c r="E133" s="134">
        <v>1000000</v>
      </c>
      <c r="F133" s="172">
        <v>100000</v>
      </c>
      <c r="G133" s="172">
        <v>100000</v>
      </c>
      <c r="H133" s="172">
        <v>100000</v>
      </c>
      <c r="I133" s="576">
        <v>100000</v>
      </c>
      <c r="J133" s="576">
        <v>100000</v>
      </c>
      <c r="K133" s="172">
        <v>100000</v>
      </c>
      <c r="L133" s="172">
        <v>100000</v>
      </c>
      <c r="M133" s="172">
        <v>100000</v>
      </c>
      <c r="N133" s="172">
        <v>100000</v>
      </c>
      <c r="O133" s="172">
        <v>100000</v>
      </c>
      <c r="P133" s="172">
        <v>100000</v>
      </c>
      <c r="Q133" s="172">
        <v>100000</v>
      </c>
      <c r="R133" s="172">
        <v>100000</v>
      </c>
      <c r="S133" s="172">
        <v>100000</v>
      </c>
      <c r="T133" s="172">
        <v>100000</v>
      </c>
      <c r="U133" s="172">
        <v>100000</v>
      </c>
      <c r="V133" s="172">
        <v>100000</v>
      </c>
      <c r="W133" s="172">
        <v>100000</v>
      </c>
      <c r="X133" s="172">
        <v>100000</v>
      </c>
      <c r="Y133" s="172">
        <v>100000</v>
      </c>
      <c r="Z133" s="172">
        <v>100000</v>
      </c>
      <c r="AA133" s="172">
        <v>100000</v>
      </c>
      <c r="AB133" s="327">
        <v>100000</v>
      </c>
      <c r="AC133" s="172"/>
      <c r="AD133" s="173">
        <f>SUM(D133:AC133)</f>
        <v>3500000</v>
      </c>
      <c r="AE133" s="174">
        <f>C133-AD133</f>
        <v>74853.343041916378</v>
      </c>
      <c r="AF133" s="310" t="str">
        <f t="shared" si="3"/>
        <v>YES</v>
      </c>
      <c r="AG133" s="333">
        <v>131</v>
      </c>
      <c r="AH133" s="60"/>
    </row>
    <row r="134" spans="1:34" ht="16.5" thickBot="1" x14ac:dyDescent="0.45">
      <c r="A134" s="332" t="str">
        <f>'DETAILS (sorted)'!A148</f>
        <v>ILS24-F00147</v>
      </c>
      <c r="B134" s="134" t="str">
        <f>'DETAILS (sorted)'!B148</f>
        <v xml:space="preserve">Julius Chacha Mwita </v>
      </c>
      <c r="C134" s="145">
        <f>'DETAILS (sorted)'!DS148</f>
        <v>3567729.5869202493</v>
      </c>
      <c r="D134" s="134">
        <v>200000</v>
      </c>
      <c r="E134" s="134">
        <v>1000000</v>
      </c>
      <c r="F134" s="172">
        <v>100000</v>
      </c>
      <c r="G134" s="172">
        <v>100000</v>
      </c>
      <c r="H134" s="172">
        <v>100000</v>
      </c>
      <c r="I134" s="576">
        <v>100000</v>
      </c>
      <c r="J134" s="576">
        <v>100000</v>
      </c>
      <c r="K134" s="172">
        <v>100000</v>
      </c>
      <c r="L134" s="172">
        <v>100000</v>
      </c>
      <c r="M134" s="172">
        <v>100000</v>
      </c>
      <c r="N134" s="172">
        <v>100000</v>
      </c>
      <c r="O134" s="172">
        <v>100000</v>
      </c>
      <c r="P134" s="172">
        <v>100000</v>
      </c>
      <c r="Q134" s="172">
        <v>100000</v>
      </c>
      <c r="R134" s="172">
        <v>100000</v>
      </c>
      <c r="S134" s="172">
        <v>100000</v>
      </c>
      <c r="T134" s="172">
        <v>100000</v>
      </c>
      <c r="U134" s="172">
        <v>100000</v>
      </c>
      <c r="V134" s="172">
        <v>100000</v>
      </c>
      <c r="W134" s="172">
        <v>100000</v>
      </c>
      <c r="X134" s="172">
        <v>100000</v>
      </c>
      <c r="Y134" s="172">
        <v>100000</v>
      </c>
      <c r="Z134" s="172">
        <v>100000</v>
      </c>
      <c r="AA134" s="172">
        <v>100000</v>
      </c>
      <c r="AB134" s="327">
        <v>100000</v>
      </c>
      <c r="AC134" s="172"/>
      <c r="AD134" s="173">
        <f>SUM(D134:AC134)</f>
        <v>3500000</v>
      </c>
      <c r="AE134" s="174">
        <f>C134-AD134</f>
        <v>67729.586920249276</v>
      </c>
      <c r="AF134" s="310" t="str">
        <f t="shared" si="3"/>
        <v>YES</v>
      </c>
      <c r="AG134" s="333">
        <v>132</v>
      </c>
      <c r="AH134" s="60"/>
    </row>
    <row r="135" spans="1:34" ht="16.5" thickBot="1" x14ac:dyDescent="0.45">
      <c r="A135" s="332" t="str">
        <f>'DETAILS (sorted)'!A36</f>
        <v>ILS24-F00035</v>
      </c>
      <c r="B135" s="134" t="str">
        <f>'DETAILS (sorted)'!B36</f>
        <v xml:space="preserve">Best Magoma </v>
      </c>
      <c r="C135" s="145">
        <f>'DETAILS (sorted)'!DS36</f>
        <v>3564676.720775573</v>
      </c>
      <c r="D135" s="134">
        <v>200000</v>
      </c>
      <c r="E135" s="134">
        <v>1000000</v>
      </c>
      <c r="F135" s="172">
        <v>100000</v>
      </c>
      <c r="G135" s="172">
        <v>100000</v>
      </c>
      <c r="H135" s="172">
        <v>100000</v>
      </c>
      <c r="I135" s="576">
        <v>100000</v>
      </c>
      <c r="J135" s="576">
        <v>100000</v>
      </c>
      <c r="K135" s="172">
        <v>100000</v>
      </c>
      <c r="L135" s="172">
        <v>100000</v>
      </c>
      <c r="M135" s="172">
        <v>100000</v>
      </c>
      <c r="N135" s="172">
        <v>100000</v>
      </c>
      <c r="O135" s="172">
        <v>100000</v>
      </c>
      <c r="P135" s="172">
        <v>100000</v>
      </c>
      <c r="Q135" s="172">
        <v>100000</v>
      </c>
      <c r="R135" s="172">
        <v>100000</v>
      </c>
      <c r="S135" s="172">
        <v>100000</v>
      </c>
      <c r="T135" s="172">
        <v>100000</v>
      </c>
      <c r="U135" s="172">
        <v>100000</v>
      </c>
      <c r="V135" s="172">
        <v>100000</v>
      </c>
      <c r="W135" s="172">
        <v>100000</v>
      </c>
      <c r="X135" s="172">
        <v>100000</v>
      </c>
      <c r="Y135" s="172">
        <v>100000</v>
      </c>
      <c r="Z135" s="172">
        <v>100000</v>
      </c>
      <c r="AA135" s="172">
        <v>100000</v>
      </c>
      <c r="AB135" s="327">
        <v>100000</v>
      </c>
      <c r="AC135" s="172"/>
      <c r="AD135" s="173">
        <f>SUM(D135:AC135)</f>
        <v>3500000</v>
      </c>
      <c r="AE135" s="174">
        <f>C135-AD135</f>
        <v>64676.720775573049</v>
      </c>
      <c r="AF135" s="310" t="str">
        <f t="shared" si="3"/>
        <v>YES</v>
      </c>
      <c r="AG135" s="333">
        <v>133</v>
      </c>
      <c r="AH135" s="60"/>
    </row>
    <row r="136" spans="1:34" ht="16.5" thickBot="1" x14ac:dyDescent="0.45">
      <c r="A136" s="332" t="str">
        <f>'DETAILS (sorted)'!A33</f>
        <v>ILS24-F00032</v>
      </c>
      <c r="B136" s="134" t="str">
        <f>'DETAILS (sorted)'!B33</f>
        <v>Shabani Salim</v>
      </c>
      <c r="C136" s="145">
        <f>'DETAILS (sorted)'!DS33</f>
        <v>3549189.7583291377</v>
      </c>
      <c r="D136" s="134">
        <v>200000</v>
      </c>
      <c r="E136" s="134">
        <v>1000000</v>
      </c>
      <c r="F136" s="172">
        <v>100000</v>
      </c>
      <c r="G136" s="172">
        <v>100000</v>
      </c>
      <c r="H136" s="172">
        <v>100000</v>
      </c>
      <c r="I136" s="576">
        <v>100000</v>
      </c>
      <c r="J136" s="576">
        <v>100000</v>
      </c>
      <c r="K136" s="172">
        <v>100000</v>
      </c>
      <c r="L136" s="172">
        <v>100000</v>
      </c>
      <c r="M136" s="172">
        <v>100000</v>
      </c>
      <c r="N136" s="172">
        <v>100000</v>
      </c>
      <c r="O136" s="172">
        <v>100000</v>
      </c>
      <c r="P136" s="172">
        <v>100000</v>
      </c>
      <c r="Q136" s="172">
        <v>100000</v>
      </c>
      <c r="R136" s="172">
        <v>100000</v>
      </c>
      <c r="S136" s="172">
        <v>100000</v>
      </c>
      <c r="T136" s="172">
        <v>100000</v>
      </c>
      <c r="U136" s="172">
        <v>100000</v>
      </c>
      <c r="V136" s="172">
        <v>100000</v>
      </c>
      <c r="W136" s="172">
        <v>100000</v>
      </c>
      <c r="X136" s="172">
        <v>100000</v>
      </c>
      <c r="Y136" s="172">
        <v>100000</v>
      </c>
      <c r="Z136" s="172">
        <v>100000</v>
      </c>
      <c r="AA136" s="172">
        <v>100000</v>
      </c>
      <c r="AB136" s="327">
        <v>100000</v>
      </c>
      <c r="AC136" s="172"/>
      <c r="AD136" s="173">
        <f>SUM(D136:AC136)</f>
        <v>3500000</v>
      </c>
      <c r="AE136" s="174">
        <f>C136-AD136</f>
        <v>49189.758329137694</v>
      </c>
      <c r="AF136" s="310" t="str">
        <f t="shared" si="3"/>
        <v>YES</v>
      </c>
      <c r="AG136" s="333">
        <v>134</v>
      </c>
      <c r="AH136" s="60"/>
    </row>
    <row r="137" spans="1:34" ht="16.5" thickBot="1" x14ac:dyDescent="0.45">
      <c r="A137" s="332" t="str">
        <f>'DETAILS (sorted)'!A150</f>
        <v>ILS24-F00149</v>
      </c>
      <c r="B137" s="134" t="str">
        <f>'DETAILS (sorted)'!B150</f>
        <v xml:space="preserve">Mohamed Rashidi Gwae </v>
      </c>
      <c r="C137" s="145">
        <f>'DETAILS (sorted)'!DS150</f>
        <v>3545947.3389807958</v>
      </c>
      <c r="D137" s="134">
        <v>200000</v>
      </c>
      <c r="E137" s="134">
        <v>1000000</v>
      </c>
      <c r="F137" s="172">
        <v>100000</v>
      </c>
      <c r="G137" s="172">
        <v>100000</v>
      </c>
      <c r="H137" s="172">
        <v>100000</v>
      </c>
      <c r="I137" s="576">
        <v>100000</v>
      </c>
      <c r="J137" s="576">
        <v>100000</v>
      </c>
      <c r="K137" s="172">
        <v>100000</v>
      </c>
      <c r="L137" s="172">
        <v>100000</v>
      </c>
      <c r="M137" s="172">
        <v>100000</v>
      </c>
      <c r="N137" s="172">
        <v>100000</v>
      </c>
      <c r="O137" s="172">
        <v>100000</v>
      </c>
      <c r="P137" s="172">
        <v>100000</v>
      </c>
      <c r="Q137" s="172">
        <v>100000</v>
      </c>
      <c r="R137" s="172">
        <v>100000</v>
      </c>
      <c r="S137" s="172">
        <v>100000</v>
      </c>
      <c r="T137" s="172">
        <v>100000</v>
      </c>
      <c r="U137" s="172">
        <v>100000</v>
      </c>
      <c r="V137" s="172">
        <v>100000</v>
      </c>
      <c r="W137" s="172">
        <v>100000</v>
      </c>
      <c r="X137" s="172">
        <v>100000</v>
      </c>
      <c r="Y137" s="172">
        <v>100000</v>
      </c>
      <c r="Z137" s="172">
        <v>100000</v>
      </c>
      <c r="AA137" s="172">
        <v>100000</v>
      </c>
      <c r="AB137" s="327">
        <v>100000</v>
      </c>
      <c r="AC137" s="172"/>
      <c r="AD137" s="173">
        <f>SUM(D137:AC137)</f>
        <v>3500000</v>
      </c>
      <c r="AE137" s="174">
        <f>C137-AD137</f>
        <v>45947.338980795816</v>
      </c>
      <c r="AF137" s="310" t="str">
        <f t="shared" si="3"/>
        <v>YES</v>
      </c>
      <c r="AG137" s="333">
        <v>135</v>
      </c>
      <c r="AH137" s="60"/>
    </row>
    <row r="138" spans="1:34" ht="16.5" thickBot="1" x14ac:dyDescent="0.45">
      <c r="A138" s="332" t="str">
        <f>'DETAILS (sorted)'!A46</f>
        <v>ILS24-F00045</v>
      </c>
      <c r="B138" s="134" t="str">
        <f>'DETAILS (sorted)'!B46</f>
        <v xml:space="preserve">Ernest Phelician Shirima </v>
      </c>
      <c r="C138" s="145">
        <f>'DETAILS (sorted)'!DS46</f>
        <v>3518048.2008464723</v>
      </c>
      <c r="D138" s="134">
        <v>200000</v>
      </c>
      <c r="E138" s="134">
        <v>1000000</v>
      </c>
      <c r="F138" s="172">
        <v>100000</v>
      </c>
      <c r="G138" s="172">
        <v>100000</v>
      </c>
      <c r="H138" s="172">
        <v>100000</v>
      </c>
      <c r="I138" s="576">
        <v>100000</v>
      </c>
      <c r="J138" s="576">
        <v>100000</v>
      </c>
      <c r="K138" s="172">
        <v>100000</v>
      </c>
      <c r="L138" s="172">
        <v>100000</v>
      </c>
      <c r="M138" s="172">
        <v>100000</v>
      </c>
      <c r="N138" s="172">
        <v>100000</v>
      </c>
      <c r="O138" s="172">
        <v>100000</v>
      </c>
      <c r="P138" s="172">
        <v>100000</v>
      </c>
      <c r="Q138" s="172">
        <v>100000</v>
      </c>
      <c r="R138" s="172">
        <v>100000</v>
      </c>
      <c r="S138" s="172">
        <v>100000</v>
      </c>
      <c r="T138" s="172">
        <v>100000</v>
      </c>
      <c r="U138" s="172">
        <v>100000</v>
      </c>
      <c r="V138" s="172">
        <v>100000</v>
      </c>
      <c r="W138" s="172">
        <v>100000</v>
      </c>
      <c r="X138" s="172">
        <v>100000</v>
      </c>
      <c r="Y138" s="172">
        <v>100000</v>
      </c>
      <c r="Z138" s="172">
        <v>100000</v>
      </c>
      <c r="AA138" s="172">
        <v>100000</v>
      </c>
      <c r="AB138" s="327">
        <v>100000</v>
      </c>
      <c r="AC138" s="172"/>
      <c r="AD138" s="173">
        <f>SUM(D138:AC138)</f>
        <v>3500000</v>
      </c>
      <c r="AE138" s="174">
        <f>C138-AD138</f>
        <v>18048.200846472289</v>
      </c>
      <c r="AF138" s="310" t="str">
        <f t="shared" si="3"/>
        <v>YES</v>
      </c>
      <c r="AG138" s="333">
        <v>136</v>
      </c>
      <c r="AH138" s="60"/>
    </row>
    <row r="139" spans="1:34" ht="16.5" thickBot="1" x14ac:dyDescent="0.45">
      <c r="A139" s="332" t="str">
        <f>'DETAILS (sorted)'!A85</f>
        <v>ILS24-F00084</v>
      </c>
      <c r="B139" s="134" t="str">
        <f>'DETAILS (sorted)'!B85</f>
        <v>Wariael Samile Ayo</v>
      </c>
      <c r="C139" s="145">
        <f>'DETAILS (sorted)'!DS85</f>
        <v>3497157.1610157499</v>
      </c>
      <c r="D139" s="134">
        <v>200000</v>
      </c>
      <c r="E139" s="134">
        <v>1000000</v>
      </c>
      <c r="F139" s="172">
        <v>100000</v>
      </c>
      <c r="G139" s="172">
        <v>100000</v>
      </c>
      <c r="H139" s="172">
        <v>100000</v>
      </c>
      <c r="I139" s="576">
        <v>100000</v>
      </c>
      <c r="J139" s="576">
        <v>100000</v>
      </c>
      <c r="K139" s="172">
        <v>100000</v>
      </c>
      <c r="L139" s="172">
        <v>100000</v>
      </c>
      <c r="M139" s="172">
        <v>100000</v>
      </c>
      <c r="N139" s="172">
        <v>100000</v>
      </c>
      <c r="O139" s="172">
        <v>100000</v>
      </c>
      <c r="P139" s="172">
        <v>100000</v>
      </c>
      <c r="Q139" s="172">
        <v>100000</v>
      </c>
      <c r="R139" s="172">
        <v>100000</v>
      </c>
      <c r="S139" s="172">
        <v>100000</v>
      </c>
      <c r="T139" s="172">
        <v>100000</v>
      </c>
      <c r="U139" s="172">
        <v>100000</v>
      </c>
      <c r="V139" s="172">
        <v>100000</v>
      </c>
      <c r="W139" s="172">
        <v>100000</v>
      </c>
      <c r="X139" s="172">
        <v>100000</v>
      </c>
      <c r="Y139" s="172">
        <v>100000</v>
      </c>
      <c r="Z139" s="172">
        <v>100000</v>
      </c>
      <c r="AA139" s="172">
        <v>100000</v>
      </c>
      <c r="AB139" s="327">
        <v>100000</v>
      </c>
      <c r="AC139" s="172"/>
      <c r="AD139" s="173">
        <f>SUM(D139:AC139)</f>
        <v>3500000</v>
      </c>
      <c r="AE139" s="411">
        <f>C139-AD139</f>
        <v>-2842.838984250091</v>
      </c>
      <c r="AF139" s="310" t="str">
        <f t="shared" si="3"/>
        <v>YES</v>
      </c>
      <c r="AG139" s="333">
        <v>137</v>
      </c>
      <c r="AH139" s="60"/>
    </row>
    <row r="140" spans="1:34" ht="16.5" thickBot="1" x14ac:dyDescent="0.45">
      <c r="A140" s="332" t="str">
        <f>'DETAILS (sorted)'!A125</f>
        <v>ILS24-F00124</v>
      </c>
      <c r="B140" s="134" t="str">
        <f>'DETAILS (sorted)'!B125</f>
        <v>Hamad Habeeb Mansoor</v>
      </c>
      <c r="C140" s="145">
        <f>'DETAILS (sorted)'!DS125</f>
        <v>3484708.8511442649</v>
      </c>
      <c r="D140" s="134">
        <v>200000</v>
      </c>
      <c r="E140" s="134">
        <v>1000000</v>
      </c>
      <c r="F140" s="172">
        <v>100000</v>
      </c>
      <c r="G140" s="172">
        <v>100000</v>
      </c>
      <c r="H140" s="172">
        <v>100000</v>
      </c>
      <c r="I140" s="576">
        <v>100000</v>
      </c>
      <c r="J140" s="576">
        <v>100000</v>
      </c>
      <c r="K140" s="172">
        <v>100000</v>
      </c>
      <c r="L140" s="172">
        <v>100000</v>
      </c>
      <c r="M140" s="172">
        <v>100000</v>
      </c>
      <c r="N140" s="172">
        <v>100000</v>
      </c>
      <c r="O140" s="172">
        <v>100000</v>
      </c>
      <c r="P140" s="172">
        <v>100000</v>
      </c>
      <c r="Q140" s="172">
        <v>100000</v>
      </c>
      <c r="R140" s="172">
        <v>100000</v>
      </c>
      <c r="S140" s="172">
        <v>100000</v>
      </c>
      <c r="T140" s="172">
        <v>100000</v>
      </c>
      <c r="U140" s="172">
        <v>100000</v>
      </c>
      <c r="V140" s="172">
        <v>100000</v>
      </c>
      <c r="W140" s="172">
        <v>100000</v>
      </c>
      <c r="X140" s="172">
        <v>100000</v>
      </c>
      <c r="Y140" s="172">
        <v>100000</v>
      </c>
      <c r="Z140" s="172">
        <v>100000</v>
      </c>
      <c r="AA140" s="172">
        <v>100000</v>
      </c>
      <c r="AB140" s="327">
        <v>100000</v>
      </c>
      <c r="AC140" s="172"/>
      <c r="AD140" s="173">
        <f>SUM(D140:AC140)</f>
        <v>3500000</v>
      </c>
      <c r="AE140" s="174">
        <f>C140-AD140</f>
        <v>-15291.148855735082</v>
      </c>
      <c r="AF140" s="310" t="str">
        <f t="shared" si="3"/>
        <v>YES</v>
      </c>
      <c r="AG140" s="333">
        <v>138</v>
      </c>
      <c r="AH140" s="60"/>
    </row>
    <row r="141" spans="1:34" ht="16.5" thickBot="1" x14ac:dyDescent="0.45">
      <c r="A141" s="332" t="str">
        <f>'DETAILS (sorted)'!A129</f>
        <v>ILS24-F00128</v>
      </c>
      <c r="B141" s="134" t="str">
        <f>'DETAILS (sorted)'!B129</f>
        <v>Mohamed Abdallah Muanda</v>
      </c>
      <c r="C141" s="145">
        <f>'DETAILS (sorted)'!DS129</f>
        <v>3484708.8511442649</v>
      </c>
      <c r="D141" s="134">
        <v>200000</v>
      </c>
      <c r="E141" s="134">
        <v>1000000</v>
      </c>
      <c r="F141" s="172">
        <v>100000</v>
      </c>
      <c r="G141" s="172">
        <v>100000</v>
      </c>
      <c r="H141" s="172">
        <v>100000</v>
      </c>
      <c r="I141" s="576">
        <v>100000</v>
      </c>
      <c r="J141" s="576">
        <v>100000</v>
      </c>
      <c r="K141" s="172">
        <v>100000</v>
      </c>
      <c r="L141" s="172">
        <v>100000</v>
      </c>
      <c r="M141" s="172">
        <v>100000</v>
      </c>
      <c r="N141" s="172">
        <v>100000</v>
      </c>
      <c r="O141" s="172">
        <v>100000</v>
      </c>
      <c r="P141" s="172">
        <v>100000</v>
      </c>
      <c r="Q141" s="172">
        <v>100000</v>
      </c>
      <c r="R141" s="172">
        <v>100000</v>
      </c>
      <c r="S141" s="172">
        <v>100000</v>
      </c>
      <c r="T141" s="172">
        <v>100000</v>
      </c>
      <c r="U141" s="172">
        <v>100000</v>
      </c>
      <c r="V141" s="172">
        <v>100000</v>
      </c>
      <c r="W141" s="172">
        <v>100000</v>
      </c>
      <c r="X141" s="172">
        <v>100000</v>
      </c>
      <c r="Y141" s="172">
        <v>100000</v>
      </c>
      <c r="Z141" s="172">
        <v>100000</v>
      </c>
      <c r="AA141" s="172">
        <v>100000</v>
      </c>
      <c r="AB141" s="327">
        <v>100000</v>
      </c>
      <c r="AC141" s="172"/>
      <c r="AD141" s="173">
        <f>SUM(D141:AC141)</f>
        <v>3500000</v>
      </c>
      <c r="AE141" s="174">
        <f>C141-AD141</f>
        <v>-15291.148855735082</v>
      </c>
      <c r="AF141" s="310" t="str">
        <f t="shared" si="3"/>
        <v>YES</v>
      </c>
      <c r="AG141" s="333">
        <v>139</v>
      </c>
      <c r="AH141" s="60"/>
    </row>
    <row r="142" spans="1:34" ht="16.5" thickBot="1" x14ac:dyDescent="0.45">
      <c r="A142" s="332" t="str">
        <f>'DETAILS (sorted)'!A126</f>
        <v>ILS24-F00125</v>
      </c>
      <c r="B142" s="134" t="str">
        <f>'DETAILS (sorted)'!B126</f>
        <v>Shabani Juma Ndosi</v>
      </c>
      <c r="C142" s="145">
        <f>'DETAILS (sorted)'!DS126</f>
        <v>3482351.5397750176</v>
      </c>
      <c r="D142" s="134">
        <v>200000</v>
      </c>
      <c r="E142" s="134">
        <v>1000000</v>
      </c>
      <c r="F142" s="172">
        <v>100000</v>
      </c>
      <c r="G142" s="172">
        <v>100000</v>
      </c>
      <c r="H142" s="172">
        <v>100000</v>
      </c>
      <c r="I142" s="576">
        <v>100000</v>
      </c>
      <c r="J142" s="576">
        <v>100000</v>
      </c>
      <c r="K142" s="172">
        <v>100000</v>
      </c>
      <c r="L142" s="172">
        <v>100000</v>
      </c>
      <c r="M142" s="172">
        <v>100000</v>
      </c>
      <c r="N142" s="172">
        <v>100000</v>
      </c>
      <c r="O142" s="172">
        <v>100000</v>
      </c>
      <c r="P142" s="172">
        <v>100000</v>
      </c>
      <c r="Q142" s="172">
        <v>100000</v>
      </c>
      <c r="R142" s="172">
        <v>100000</v>
      </c>
      <c r="S142" s="172">
        <v>100000</v>
      </c>
      <c r="T142" s="172">
        <v>100000</v>
      </c>
      <c r="U142" s="172">
        <v>100000</v>
      </c>
      <c r="V142" s="172">
        <v>100000</v>
      </c>
      <c r="W142" s="172">
        <v>100000</v>
      </c>
      <c r="X142" s="172">
        <v>100000</v>
      </c>
      <c r="Y142" s="172">
        <v>100000</v>
      </c>
      <c r="Z142" s="172">
        <v>100000</v>
      </c>
      <c r="AA142" s="172">
        <v>100000</v>
      </c>
      <c r="AB142" s="327">
        <v>100000</v>
      </c>
      <c r="AC142" s="172"/>
      <c r="AD142" s="173">
        <f>SUM(D142:AC142)</f>
        <v>3500000</v>
      </c>
      <c r="AE142" s="174">
        <f>C142-AD142</f>
        <v>-17648.460224982351</v>
      </c>
      <c r="AF142" s="310" t="str">
        <f t="shared" si="3"/>
        <v>YES</v>
      </c>
      <c r="AG142" s="333">
        <v>140</v>
      </c>
      <c r="AH142" s="60"/>
    </row>
    <row r="143" spans="1:34" ht="16.5" thickBot="1" x14ac:dyDescent="0.45">
      <c r="A143" s="332" t="str">
        <f>'DETAILS (sorted)'!A146</f>
        <v>ILS24-F00145</v>
      </c>
      <c r="B143" s="134" t="str">
        <f>'DETAILS (sorted)'!B146</f>
        <v>Jaha Kamugisha Mvuha</v>
      </c>
      <c r="C143" s="145">
        <f>'DETAILS (sorted)'!DS146</f>
        <v>3444634.557867059</v>
      </c>
      <c r="D143" s="134">
        <v>200000</v>
      </c>
      <c r="E143" s="134">
        <v>1000000</v>
      </c>
      <c r="F143" s="172">
        <v>100000</v>
      </c>
      <c r="G143" s="172">
        <v>100000</v>
      </c>
      <c r="H143" s="172">
        <v>100000</v>
      </c>
      <c r="I143" s="576">
        <v>100000</v>
      </c>
      <c r="J143" s="576">
        <v>100000</v>
      </c>
      <c r="K143" s="172">
        <v>100000</v>
      </c>
      <c r="L143" s="172">
        <v>100000</v>
      </c>
      <c r="M143" s="172">
        <v>100000</v>
      </c>
      <c r="N143" s="172">
        <v>100000</v>
      </c>
      <c r="O143" s="172">
        <v>100000</v>
      </c>
      <c r="P143" s="172">
        <v>100000</v>
      </c>
      <c r="Q143" s="172">
        <v>100000</v>
      </c>
      <c r="R143" s="172">
        <v>100000</v>
      </c>
      <c r="S143" s="172">
        <v>100000</v>
      </c>
      <c r="T143" s="172">
        <v>100000</v>
      </c>
      <c r="U143" s="172">
        <v>100000</v>
      </c>
      <c r="V143" s="172">
        <v>100000</v>
      </c>
      <c r="W143" s="172">
        <v>100000</v>
      </c>
      <c r="X143" s="172">
        <v>100000</v>
      </c>
      <c r="Y143" s="172">
        <v>100000</v>
      </c>
      <c r="Z143" s="172">
        <v>100000</v>
      </c>
      <c r="AA143" s="172">
        <v>100000</v>
      </c>
      <c r="AB143" s="327">
        <v>100000</v>
      </c>
      <c r="AC143" s="172"/>
      <c r="AD143" s="173">
        <f>SUM(D143:AC143)</f>
        <v>3500000</v>
      </c>
      <c r="AE143" s="174">
        <f>C143-AD143</f>
        <v>-55365.442132940982</v>
      </c>
      <c r="AF143" s="310" t="str">
        <f t="shared" si="3"/>
        <v>YES</v>
      </c>
      <c r="AG143" s="333">
        <v>141</v>
      </c>
      <c r="AH143" s="60"/>
    </row>
    <row r="144" spans="1:34" ht="16.5" thickBot="1" x14ac:dyDescent="0.45">
      <c r="A144" s="332" t="str">
        <f>'DETAILS (sorted)'!A74</f>
        <v>ILS24-F00073</v>
      </c>
      <c r="B144" s="134" t="str">
        <f>'DETAILS (sorted)'!B74</f>
        <v xml:space="preserve">David Isack Mushi </v>
      </c>
      <c r="C144" s="145">
        <f>'DETAILS (sorted)'!DS74</f>
        <v>3432274.1410848722</v>
      </c>
      <c r="D144" s="134">
        <v>200000</v>
      </c>
      <c r="E144" s="134">
        <v>1000000</v>
      </c>
      <c r="F144" s="172">
        <v>100000</v>
      </c>
      <c r="G144" s="172">
        <v>100000</v>
      </c>
      <c r="H144" s="172">
        <v>100000</v>
      </c>
      <c r="I144" s="576">
        <v>100000</v>
      </c>
      <c r="J144" s="576">
        <v>100000</v>
      </c>
      <c r="K144" s="172">
        <v>100000</v>
      </c>
      <c r="L144" s="172">
        <v>100000</v>
      </c>
      <c r="M144" s="172">
        <v>100000</v>
      </c>
      <c r="N144" s="172">
        <v>100000</v>
      </c>
      <c r="O144" s="172">
        <v>100000</v>
      </c>
      <c r="P144" s="172">
        <v>100000</v>
      </c>
      <c r="Q144" s="172">
        <v>100000</v>
      </c>
      <c r="R144" s="172">
        <v>100000</v>
      </c>
      <c r="S144" s="172">
        <v>100000</v>
      </c>
      <c r="T144" s="172">
        <v>100000</v>
      </c>
      <c r="U144" s="172">
        <v>100000</v>
      </c>
      <c r="V144" s="172">
        <v>100000</v>
      </c>
      <c r="W144" s="172">
        <v>100000</v>
      </c>
      <c r="X144" s="172">
        <v>100000</v>
      </c>
      <c r="Y144" s="172">
        <v>100000</v>
      </c>
      <c r="Z144" s="172">
        <v>100000</v>
      </c>
      <c r="AA144" s="172">
        <v>100000</v>
      </c>
      <c r="AB144" s="327">
        <v>100000</v>
      </c>
      <c r="AC144" s="172"/>
      <c r="AD144" s="173">
        <f>SUM(D144:AC144)</f>
        <v>3500000</v>
      </c>
      <c r="AE144" s="174">
        <f>C144-AD144</f>
        <v>-67725.858915127814</v>
      </c>
      <c r="AF144" s="310" t="str">
        <f t="shared" si="3"/>
        <v>YES</v>
      </c>
      <c r="AG144" s="333">
        <v>142</v>
      </c>
      <c r="AH144" s="60"/>
    </row>
    <row r="145" spans="1:34" ht="16.5" thickBot="1" x14ac:dyDescent="0.45">
      <c r="A145" s="381" t="str">
        <f>'DETAILS (sorted)'!A52</f>
        <v>ILS24-F00051</v>
      </c>
      <c r="B145" s="382" t="str">
        <f>'DETAILS (sorted)'!B52</f>
        <v xml:space="preserve">Nalogwa Kiula </v>
      </c>
      <c r="C145" s="383">
        <f>'DETAILS (sorted)'!DS52</f>
        <v>3418616.3167021372</v>
      </c>
      <c r="D145" s="382">
        <v>200000</v>
      </c>
      <c r="E145" s="382">
        <v>1000000</v>
      </c>
      <c r="F145" s="384">
        <v>100000</v>
      </c>
      <c r="G145" s="384">
        <v>100000</v>
      </c>
      <c r="H145" s="384">
        <v>100000</v>
      </c>
      <c r="I145" s="579">
        <v>100000</v>
      </c>
      <c r="J145" s="579">
        <v>100000</v>
      </c>
      <c r="K145" s="384">
        <v>100000</v>
      </c>
      <c r="L145" s="384">
        <v>100000</v>
      </c>
      <c r="M145" s="384">
        <v>100000</v>
      </c>
      <c r="N145" s="384">
        <v>100000</v>
      </c>
      <c r="O145" s="384">
        <v>100000</v>
      </c>
      <c r="P145" s="384">
        <v>100000</v>
      </c>
      <c r="Q145" s="384">
        <v>100000</v>
      </c>
      <c r="R145" s="384">
        <v>100000</v>
      </c>
      <c r="S145" s="384">
        <v>100000</v>
      </c>
      <c r="T145" s="384">
        <v>100000</v>
      </c>
      <c r="U145" s="384">
        <v>100000</v>
      </c>
      <c r="V145" s="384">
        <v>100000</v>
      </c>
      <c r="W145" s="384">
        <v>100000</v>
      </c>
      <c r="X145" s="384">
        <v>100000</v>
      </c>
      <c r="Y145" s="384">
        <v>100000</v>
      </c>
      <c r="Z145" s="384">
        <v>100000</v>
      </c>
      <c r="AA145" s="384">
        <v>100000</v>
      </c>
      <c r="AB145" s="327">
        <v>100000</v>
      </c>
      <c r="AC145" s="384"/>
      <c r="AD145" s="385">
        <f>SUM(D145:AC145)</f>
        <v>3500000</v>
      </c>
      <c r="AE145" s="459">
        <f>C145-AD145</f>
        <v>-81383.683297862764</v>
      </c>
      <c r="AF145" s="310" t="str">
        <f t="shared" si="3"/>
        <v>YES</v>
      </c>
      <c r="AG145" s="374">
        <v>143</v>
      </c>
      <c r="AH145" s="60"/>
    </row>
    <row r="146" spans="1:34" ht="16.5" thickBot="1" x14ac:dyDescent="0.45">
      <c r="A146" s="161" t="str">
        <f>'DETAILS (sorted)'!A86</f>
        <v>ILS24-F00085</v>
      </c>
      <c r="B146" s="161" t="str">
        <f>'DETAILS (sorted)'!B86</f>
        <v xml:space="preserve">Shukuru Willson Ndosi </v>
      </c>
      <c r="C146" s="444">
        <f>'DETAILS (sorted)'!DS86</f>
        <v>3387005.2258349373</v>
      </c>
      <c r="D146" s="161">
        <v>200000</v>
      </c>
      <c r="E146" s="161">
        <v>1000000</v>
      </c>
      <c r="F146" s="445">
        <v>100000</v>
      </c>
      <c r="G146" s="445">
        <v>100000</v>
      </c>
      <c r="H146" s="445">
        <v>100000</v>
      </c>
      <c r="I146" s="580">
        <v>100000</v>
      </c>
      <c r="J146" s="580">
        <v>100000</v>
      </c>
      <c r="K146" s="445">
        <v>100000</v>
      </c>
      <c r="L146" s="445">
        <v>100000</v>
      </c>
      <c r="M146" s="445">
        <v>100000</v>
      </c>
      <c r="N146" s="445">
        <v>100000</v>
      </c>
      <c r="O146" s="445">
        <v>100000</v>
      </c>
      <c r="P146" s="445">
        <v>100000</v>
      </c>
      <c r="Q146" s="445">
        <v>100000</v>
      </c>
      <c r="R146" s="445">
        <v>100000</v>
      </c>
      <c r="S146" s="445">
        <v>100000</v>
      </c>
      <c r="T146" s="445">
        <v>100000</v>
      </c>
      <c r="U146" s="445">
        <v>100000</v>
      </c>
      <c r="V146" s="445">
        <v>100000</v>
      </c>
      <c r="W146" s="445">
        <v>100000</v>
      </c>
      <c r="X146" s="445">
        <v>100000</v>
      </c>
      <c r="Y146" s="445">
        <v>100000</v>
      </c>
      <c r="Z146" s="445">
        <v>100000</v>
      </c>
      <c r="AA146" s="445">
        <v>100000</v>
      </c>
      <c r="AB146" s="327">
        <v>100000</v>
      </c>
      <c r="AC146" s="445"/>
      <c r="AD146" s="446">
        <f>SUM(D146:AC146)</f>
        <v>3500000</v>
      </c>
      <c r="AE146" s="771">
        <f>C146-AD146</f>
        <v>-112994.7741650627</v>
      </c>
      <c r="AF146" s="310" t="str">
        <f t="shared" si="3"/>
        <v>YES</v>
      </c>
      <c r="AG146" s="469">
        <v>144</v>
      </c>
      <c r="AH146" s="60"/>
    </row>
    <row r="147" spans="1:34" ht="16.5" thickBot="1" x14ac:dyDescent="0.45">
      <c r="A147" s="134" t="str">
        <f>'DETAILS (sorted)'!A104</f>
        <v>ILS24-F00103</v>
      </c>
      <c r="B147" s="134" t="str">
        <f>'DETAILS (sorted)'!B104</f>
        <v xml:space="preserve">Fredrick Mjema </v>
      </c>
      <c r="C147" s="145">
        <f>'DETAILS (sorted)'!DS104</f>
        <v>3382217.4143459047</v>
      </c>
      <c r="D147" s="134">
        <v>200000</v>
      </c>
      <c r="E147" s="134">
        <v>1000000</v>
      </c>
      <c r="F147" s="172">
        <v>100000</v>
      </c>
      <c r="G147" s="172">
        <v>100000</v>
      </c>
      <c r="H147" s="172">
        <v>100000</v>
      </c>
      <c r="I147" s="576">
        <v>100000</v>
      </c>
      <c r="J147" s="576">
        <v>100000</v>
      </c>
      <c r="K147" s="172">
        <v>100000</v>
      </c>
      <c r="L147" s="172">
        <v>100000</v>
      </c>
      <c r="M147" s="172">
        <v>100000</v>
      </c>
      <c r="N147" s="172">
        <v>100000</v>
      </c>
      <c r="O147" s="172">
        <v>100000</v>
      </c>
      <c r="P147" s="172">
        <v>100000</v>
      </c>
      <c r="Q147" s="172">
        <v>100000</v>
      </c>
      <c r="R147" s="172">
        <v>100000</v>
      </c>
      <c r="S147" s="172">
        <v>100000</v>
      </c>
      <c r="T147" s="172">
        <v>100000</v>
      </c>
      <c r="U147" s="172">
        <v>100000</v>
      </c>
      <c r="V147" s="172">
        <v>100000</v>
      </c>
      <c r="W147" s="172">
        <v>100000</v>
      </c>
      <c r="X147" s="172">
        <v>100000</v>
      </c>
      <c r="Y147" s="172">
        <v>100000</v>
      </c>
      <c r="Z147" s="172">
        <v>100000</v>
      </c>
      <c r="AA147" s="327">
        <v>100000</v>
      </c>
      <c r="AB147" s="327">
        <v>100000</v>
      </c>
      <c r="AC147" s="172"/>
      <c r="AD147" s="173">
        <f>SUM(D147:AC147)</f>
        <v>3500000</v>
      </c>
      <c r="AE147" s="174">
        <f>C147-AD147</f>
        <v>-117782.58565409528</v>
      </c>
      <c r="AF147" s="310" t="str">
        <f t="shared" si="3"/>
        <v>YES</v>
      </c>
      <c r="AG147" s="443">
        <v>145</v>
      </c>
      <c r="AH147" s="60"/>
    </row>
    <row r="148" spans="1:34" ht="16.5" thickBot="1" x14ac:dyDescent="0.45">
      <c r="A148" s="134" t="str">
        <f>'DETAILS (sorted)'!A109</f>
        <v>ILS24-F00108</v>
      </c>
      <c r="B148" s="134" t="str">
        <f>'DETAILS (sorted)'!B109</f>
        <v>David J. Msechu</v>
      </c>
      <c r="C148" s="145">
        <f>'DETAILS (sorted)'!DS109</f>
        <v>3382217.4143459047</v>
      </c>
      <c r="D148" s="134">
        <v>200000</v>
      </c>
      <c r="E148" s="134">
        <v>1000000</v>
      </c>
      <c r="F148" s="172">
        <v>100000</v>
      </c>
      <c r="G148" s="172">
        <v>100000</v>
      </c>
      <c r="H148" s="172">
        <v>100000</v>
      </c>
      <c r="I148" s="576">
        <v>100000</v>
      </c>
      <c r="J148" s="576">
        <v>100000</v>
      </c>
      <c r="K148" s="172">
        <v>100000</v>
      </c>
      <c r="L148" s="172">
        <v>100000</v>
      </c>
      <c r="M148" s="172">
        <v>100000</v>
      </c>
      <c r="N148" s="172">
        <v>100000</v>
      </c>
      <c r="O148" s="172">
        <v>100000</v>
      </c>
      <c r="P148" s="172">
        <v>100000</v>
      </c>
      <c r="Q148" s="172">
        <v>100000</v>
      </c>
      <c r="R148" s="172">
        <v>100000</v>
      </c>
      <c r="S148" s="172">
        <v>100000</v>
      </c>
      <c r="T148" s="172">
        <v>100000</v>
      </c>
      <c r="U148" s="172">
        <v>100000</v>
      </c>
      <c r="V148" s="172">
        <v>100000</v>
      </c>
      <c r="W148" s="172">
        <v>100000</v>
      </c>
      <c r="X148" s="172">
        <v>100000</v>
      </c>
      <c r="Y148" s="172">
        <v>100000</v>
      </c>
      <c r="Z148" s="172">
        <v>100000</v>
      </c>
      <c r="AA148" s="327">
        <v>100000</v>
      </c>
      <c r="AB148" s="327">
        <v>100000</v>
      </c>
      <c r="AC148" s="172"/>
      <c r="AD148" s="173">
        <f>SUM(D148:AC148)</f>
        <v>3500000</v>
      </c>
      <c r="AE148" s="174">
        <f>C148-AD148</f>
        <v>-117782.58565409528</v>
      </c>
      <c r="AF148" s="310" t="str">
        <f t="shared" si="3"/>
        <v>YES</v>
      </c>
      <c r="AG148" s="443">
        <v>146</v>
      </c>
      <c r="AH148" s="60"/>
    </row>
    <row r="149" spans="1:34" ht="16.5" thickBot="1" x14ac:dyDescent="0.45">
      <c r="A149" s="134" t="str">
        <f>'DETAILS (sorted)'!A115</f>
        <v>ILS24-F00114</v>
      </c>
      <c r="B149" s="134" t="str">
        <f>'DETAILS (sorted)'!B115</f>
        <v>Edwin Francis Kordun</v>
      </c>
      <c r="C149" s="145">
        <f>'DETAILS (sorted)'!DS115</f>
        <v>3382217.4143459047</v>
      </c>
      <c r="D149" s="134">
        <v>200000</v>
      </c>
      <c r="E149" s="134">
        <v>1000000</v>
      </c>
      <c r="F149" s="172">
        <v>100000</v>
      </c>
      <c r="G149" s="172">
        <v>100000</v>
      </c>
      <c r="H149" s="172">
        <v>100000</v>
      </c>
      <c r="I149" s="576">
        <v>100000</v>
      </c>
      <c r="J149" s="576">
        <v>100000</v>
      </c>
      <c r="K149" s="172">
        <v>100000</v>
      </c>
      <c r="L149" s="172">
        <v>100000</v>
      </c>
      <c r="M149" s="172">
        <v>100000</v>
      </c>
      <c r="N149" s="172">
        <v>100000</v>
      </c>
      <c r="O149" s="172">
        <v>100000</v>
      </c>
      <c r="P149" s="172">
        <v>100000</v>
      </c>
      <c r="Q149" s="172">
        <v>100000</v>
      </c>
      <c r="R149" s="172">
        <v>100000</v>
      </c>
      <c r="S149" s="172">
        <v>100000</v>
      </c>
      <c r="T149" s="172">
        <v>100000</v>
      </c>
      <c r="U149" s="172">
        <v>100000</v>
      </c>
      <c r="V149" s="172">
        <v>100000</v>
      </c>
      <c r="W149" s="172">
        <v>100000</v>
      </c>
      <c r="X149" s="172">
        <v>100000</v>
      </c>
      <c r="Y149" s="172">
        <v>100000</v>
      </c>
      <c r="Z149" s="172">
        <v>100000</v>
      </c>
      <c r="AA149" s="327">
        <v>100000</v>
      </c>
      <c r="AB149" s="327">
        <v>100000</v>
      </c>
      <c r="AC149" s="172"/>
      <c r="AD149" s="173">
        <f>SUM(D149:AC149)</f>
        <v>3500000</v>
      </c>
      <c r="AE149" s="174">
        <f>C149-AD149</f>
        <v>-117782.58565409528</v>
      </c>
      <c r="AF149" s="310" t="str">
        <f t="shared" si="3"/>
        <v>YES</v>
      </c>
      <c r="AG149" s="443">
        <v>147</v>
      </c>
      <c r="AH149" s="60"/>
    </row>
    <row r="150" spans="1:34" ht="16.5" thickBot="1" x14ac:dyDescent="0.45">
      <c r="A150" s="134" t="str">
        <f>'DETAILS (sorted)'!A132</f>
        <v>ILS24-F00131</v>
      </c>
      <c r="B150" s="134" t="str">
        <f>'DETAILS (sorted)'!B132</f>
        <v>Titus Moses Safari</v>
      </c>
      <c r="C150" s="145">
        <f>'DETAILS (sorted)'!DS132</f>
        <v>3382217.4143459047</v>
      </c>
      <c r="D150" s="134">
        <v>200000</v>
      </c>
      <c r="E150" s="134">
        <v>1000000</v>
      </c>
      <c r="F150" s="172">
        <v>100000</v>
      </c>
      <c r="G150" s="172">
        <v>100000</v>
      </c>
      <c r="H150" s="172">
        <v>100000</v>
      </c>
      <c r="I150" s="576">
        <v>100000</v>
      </c>
      <c r="J150" s="576">
        <v>100000</v>
      </c>
      <c r="K150" s="172">
        <v>100000</v>
      </c>
      <c r="L150" s="172">
        <v>100000</v>
      </c>
      <c r="M150" s="172">
        <v>100000</v>
      </c>
      <c r="N150" s="172">
        <v>100000</v>
      </c>
      <c r="O150" s="172">
        <v>100000</v>
      </c>
      <c r="P150" s="172">
        <v>100000</v>
      </c>
      <c r="Q150" s="172">
        <v>100000</v>
      </c>
      <c r="R150" s="172">
        <v>100000</v>
      </c>
      <c r="S150" s="172">
        <v>100000</v>
      </c>
      <c r="T150" s="172">
        <v>100000</v>
      </c>
      <c r="U150" s="172">
        <v>100000</v>
      </c>
      <c r="V150" s="172">
        <v>100000</v>
      </c>
      <c r="W150" s="172">
        <v>100000</v>
      </c>
      <c r="X150" s="172">
        <v>100000</v>
      </c>
      <c r="Y150" s="172">
        <v>100000</v>
      </c>
      <c r="Z150" s="172">
        <v>100000</v>
      </c>
      <c r="AA150" s="327">
        <v>100000</v>
      </c>
      <c r="AB150" s="327">
        <v>100000</v>
      </c>
      <c r="AC150" s="172"/>
      <c r="AD150" s="173">
        <f>SUM(D150:AC150)</f>
        <v>3500000</v>
      </c>
      <c r="AE150" s="174">
        <f>C150-AD150</f>
        <v>-117782.58565409528</v>
      </c>
      <c r="AF150" s="310" t="str">
        <f t="shared" ref="AF150:AF152" si="4">IF(C150&gt;=700000,"YES","NO")</f>
        <v>YES</v>
      </c>
      <c r="AG150" s="443">
        <v>148</v>
      </c>
      <c r="AH150" s="60"/>
    </row>
    <row r="151" spans="1:34" ht="16.5" thickBot="1" x14ac:dyDescent="0.45">
      <c r="A151" s="134" t="str">
        <f>'DETAILS (sorted)'!A137</f>
        <v>ILS24-F00136</v>
      </c>
      <c r="B151" s="134" t="str">
        <f>'DETAILS (sorted)'!B137</f>
        <v xml:space="preserve">Fortunatus Mhambe </v>
      </c>
      <c r="C151" s="145">
        <f>'DETAILS (sorted)'!DS137</f>
        <v>3382217.4143459047</v>
      </c>
      <c r="D151" s="134">
        <v>200000</v>
      </c>
      <c r="E151" s="134">
        <v>1000000</v>
      </c>
      <c r="F151" s="172">
        <v>100000</v>
      </c>
      <c r="G151" s="172">
        <v>100000</v>
      </c>
      <c r="H151" s="172">
        <v>100000</v>
      </c>
      <c r="I151" s="576">
        <v>100000</v>
      </c>
      <c r="J151" s="576">
        <v>100000</v>
      </c>
      <c r="K151" s="172">
        <v>100000</v>
      </c>
      <c r="L151" s="172">
        <v>100000</v>
      </c>
      <c r="M151" s="172">
        <v>100000</v>
      </c>
      <c r="N151" s="172">
        <v>100000</v>
      </c>
      <c r="O151" s="172">
        <v>100000</v>
      </c>
      <c r="P151" s="172">
        <v>100000</v>
      </c>
      <c r="Q151" s="172">
        <v>100000</v>
      </c>
      <c r="R151" s="172">
        <v>100000</v>
      </c>
      <c r="S151" s="172">
        <v>100000</v>
      </c>
      <c r="T151" s="172">
        <v>100000</v>
      </c>
      <c r="U151" s="172">
        <v>100000</v>
      </c>
      <c r="V151" s="172">
        <v>100000</v>
      </c>
      <c r="W151" s="172">
        <v>100000</v>
      </c>
      <c r="X151" s="172">
        <v>100000</v>
      </c>
      <c r="Y151" s="172">
        <v>100000</v>
      </c>
      <c r="Z151" s="172">
        <v>100000</v>
      </c>
      <c r="AA151" s="327">
        <v>100000</v>
      </c>
      <c r="AB151" s="327">
        <v>100000</v>
      </c>
      <c r="AC151" s="172"/>
      <c r="AD151" s="173">
        <f>SUM(D151:AC151)</f>
        <v>3500000</v>
      </c>
      <c r="AE151" s="174">
        <f>C151-AD151</f>
        <v>-117782.58565409528</v>
      </c>
      <c r="AF151" s="310" t="str">
        <f t="shared" si="4"/>
        <v>YES</v>
      </c>
      <c r="AG151" s="443">
        <v>149</v>
      </c>
      <c r="AH151" s="60"/>
    </row>
    <row r="152" spans="1:34" x14ac:dyDescent="0.4">
      <c r="A152" s="134" t="str">
        <f>'DETAILS (sorted)'!A9</f>
        <v>ILS24-F00008</v>
      </c>
      <c r="B152" s="134" t="str">
        <f>'DETAILS (sorted)'!B9</f>
        <v>Felix Daniel Kinabo</v>
      </c>
      <c r="C152" s="145">
        <f>'DETAILS (sorted)'!DS9</f>
        <v>3381314.2850115635</v>
      </c>
      <c r="D152" s="134">
        <v>200000</v>
      </c>
      <c r="E152" s="134">
        <v>1000000</v>
      </c>
      <c r="F152" s="172">
        <v>100000</v>
      </c>
      <c r="G152" s="172">
        <v>100000</v>
      </c>
      <c r="H152" s="172">
        <v>100000</v>
      </c>
      <c r="I152" s="576">
        <v>100000</v>
      </c>
      <c r="J152" s="576">
        <v>100000</v>
      </c>
      <c r="K152" s="172">
        <v>100000</v>
      </c>
      <c r="L152" s="172">
        <v>100000</v>
      </c>
      <c r="M152" s="172">
        <v>100000</v>
      </c>
      <c r="N152" s="172">
        <v>100000</v>
      </c>
      <c r="O152" s="172">
        <v>100000</v>
      </c>
      <c r="P152" s="172">
        <v>100000</v>
      </c>
      <c r="Q152" s="172">
        <v>100000</v>
      </c>
      <c r="R152" s="172">
        <v>100000</v>
      </c>
      <c r="S152" s="172">
        <v>100000</v>
      </c>
      <c r="T152" s="172">
        <v>100000</v>
      </c>
      <c r="U152" s="172">
        <v>100000</v>
      </c>
      <c r="V152" s="172">
        <v>100000</v>
      </c>
      <c r="W152" s="172">
        <v>100000</v>
      </c>
      <c r="X152" s="172">
        <v>100000</v>
      </c>
      <c r="Y152" s="172">
        <v>100000</v>
      </c>
      <c r="Z152" s="172">
        <v>100000</v>
      </c>
      <c r="AA152" s="327">
        <v>100000</v>
      </c>
      <c r="AB152" s="327">
        <v>100000</v>
      </c>
      <c r="AC152" s="172"/>
      <c r="AD152" s="173">
        <f>SUM(D152:AC152)</f>
        <v>3500000</v>
      </c>
      <c r="AE152" s="337">
        <f>C152-AD152</f>
        <v>-118685.71498843655</v>
      </c>
      <c r="AF152" s="310" t="str">
        <f t="shared" si="4"/>
        <v>YES</v>
      </c>
      <c r="AG152" s="443">
        <v>150</v>
      </c>
      <c r="AH152" s="60"/>
    </row>
    <row r="153" spans="1:34" x14ac:dyDescent="0.4">
      <c r="A153" s="517"/>
      <c r="B153" s="517"/>
      <c r="C153" s="518"/>
      <c r="D153" s="517"/>
      <c r="E153" s="517"/>
      <c r="F153" s="519"/>
      <c r="G153" s="519"/>
      <c r="H153" s="519"/>
      <c r="I153" s="581"/>
      <c r="J153" s="581"/>
      <c r="K153" s="519"/>
      <c r="L153" s="519"/>
      <c r="M153" s="519"/>
      <c r="N153" s="519"/>
      <c r="O153" s="519"/>
      <c r="P153" s="519"/>
      <c r="Q153" s="519"/>
      <c r="R153" s="519"/>
      <c r="S153" s="519"/>
      <c r="T153" s="519"/>
      <c r="U153" s="519"/>
      <c r="V153" s="519"/>
      <c r="W153" s="519"/>
      <c r="X153" s="519"/>
      <c r="Y153" s="519"/>
      <c r="Z153" s="519"/>
      <c r="AA153" s="519"/>
      <c r="AB153" s="519"/>
      <c r="AC153" s="519"/>
      <c r="AD153" s="520"/>
      <c r="AE153" s="521"/>
      <c r="AF153" s="515"/>
      <c r="AG153" s="516"/>
      <c r="AH153" s="60"/>
    </row>
    <row r="154" spans="1:34" x14ac:dyDescent="0.4">
      <c r="A154" s="517"/>
      <c r="B154" s="517"/>
      <c r="C154" s="518"/>
      <c r="D154" s="517"/>
      <c r="E154" s="517"/>
      <c r="F154" s="519"/>
      <c r="G154" s="519"/>
      <c r="H154" s="519"/>
      <c r="I154" s="581"/>
      <c r="J154" s="581"/>
      <c r="K154" s="519"/>
      <c r="L154" s="519"/>
      <c r="M154" s="519"/>
      <c r="N154" s="519"/>
      <c r="O154" s="519"/>
      <c r="P154" s="519"/>
      <c r="Q154" s="519"/>
      <c r="R154" s="519"/>
      <c r="S154" s="519"/>
      <c r="T154" s="519"/>
      <c r="U154" s="519"/>
      <c r="V154" s="519"/>
      <c r="W154" s="519"/>
      <c r="X154" s="519"/>
      <c r="Y154" s="519"/>
      <c r="Z154" s="519"/>
      <c r="AA154" s="519"/>
      <c r="AB154" s="519"/>
      <c r="AC154" s="519"/>
      <c r="AD154" s="520"/>
      <c r="AE154" s="521"/>
      <c r="AF154" s="515"/>
      <c r="AG154" s="516"/>
      <c r="AH154" s="60"/>
    </row>
    <row r="155" spans="1:34" x14ac:dyDescent="0.4">
      <c r="A155" s="336" t="s">
        <v>165</v>
      </c>
      <c r="B155" s="336"/>
      <c r="C155" s="391">
        <f>'DETAILS (sorted)'!DS155</f>
        <v>0</v>
      </c>
      <c r="D155" s="2"/>
      <c r="E155" s="2"/>
      <c r="F155" s="2"/>
      <c r="G155" s="2"/>
      <c r="H155" s="2"/>
      <c r="I155" s="484"/>
      <c r="J155" s="484"/>
      <c r="K155" s="2"/>
      <c r="L155" s="2"/>
      <c r="M155" s="2"/>
      <c r="N155" s="2"/>
      <c r="O155" s="2"/>
      <c r="P155" s="2"/>
      <c r="Q155" s="2"/>
      <c r="R155" s="2"/>
      <c r="S155" s="2"/>
      <c r="T155" s="2"/>
      <c r="U155" s="2"/>
      <c r="V155" s="2"/>
      <c r="W155" s="2"/>
      <c r="X155" s="2"/>
      <c r="Y155" s="2"/>
      <c r="Z155" s="2"/>
      <c r="AA155" s="2"/>
      <c r="AB155" s="2"/>
      <c r="AC155" s="2"/>
      <c r="AD155" s="340" t="s">
        <v>528</v>
      </c>
      <c r="AE155" s="358"/>
      <c r="AF155" s="180"/>
    </row>
    <row r="156" spans="1:34" x14ac:dyDescent="0.4">
      <c r="A156" s="757" t="s">
        <v>189</v>
      </c>
      <c r="B156" s="757"/>
      <c r="C156" s="392">
        <f>'DETAILS (sorted)'!DS156</f>
        <v>63633670</v>
      </c>
      <c r="D156" s="2"/>
      <c r="E156" s="2"/>
      <c r="F156" s="2"/>
      <c r="G156" s="2"/>
      <c r="H156" s="2"/>
      <c r="I156" s="484"/>
      <c r="J156" s="484"/>
      <c r="K156" s="2"/>
      <c r="L156" s="2"/>
      <c r="M156" s="2"/>
      <c r="N156" s="2"/>
      <c r="O156" s="2"/>
      <c r="P156" s="2"/>
      <c r="Q156" s="2"/>
      <c r="R156" s="2"/>
      <c r="S156" s="2"/>
      <c r="T156" s="2"/>
      <c r="U156" s="2"/>
      <c r="V156" s="2"/>
      <c r="W156" s="2"/>
      <c r="X156" s="2"/>
      <c r="Y156" s="2"/>
      <c r="Z156" s="2"/>
      <c r="AA156" s="2"/>
      <c r="AB156" s="2"/>
      <c r="AC156" s="2"/>
      <c r="AD156" s="178"/>
      <c r="AE156" s="296"/>
    </row>
    <row r="157" spans="1:34" x14ac:dyDescent="0.4">
      <c r="A157" s="743" t="s">
        <v>400</v>
      </c>
      <c r="B157" s="743"/>
      <c r="C157" s="393">
        <f>'DETAILS (sorted)'!BM157</f>
        <v>50500000</v>
      </c>
      <c r="D157" s="359"/>
      <c r="E157" s="2"/>
      <c r="F157" s="2"/>
      <c r="G157" s="2"/>
      <c r="H157" s="2"/>
      <c r="I157" s="484"/>
      <c r="J157" s="484"/>
      <c r="K157" s="2"/>
      <c r="L157" s="2"/>
      <c r="M157" s="2"/>
      <c r="N157" s="2"/>
      <c r="O157" s="2"/>
      <c r="P157" s="2"/>
      <c r="Q157" s="2"/>
      <c r="R157" s="2"/>
      <c r="S157" s="2"/>
      <c r="T157" s="2"/>
      <c r="U157" s="2"/>
      <c r="V157" s="2"/>
      <c r="W157" s="2"/>
      <c r="X157" s="2"/>
      <c r="Y157" s="2"/>
      <c r="Z157" s="2"/>
      <c r="AA157" s="2"/>
      <c r="AB157" s="2"/>
      <c r="AC157" s="2"/>
      <c r="AD157" s="2"/>
      <c r="AE157" s="97"/>
    </row>
    <row r="158" spans="1:34" x14ac:dyDescent="0.4">
      <c r="A158" s="743" t="s">
        <v>401</v>
      </c>
      <c r="B158" s="743"/>
      <c r="C158" s="393">
        <f>'DETAILS (sorted)'!BM158</f>
        <v>12700000</v>
      </c>
      <c r="D158" s="360"/>
      <c r="E158" s="2"/>
      <c r="F158" s="2"/>
      <c r="G158" s="2"/>
      <c r="H158" s="2"/>
      <c r="I158" s="484"/>
      <c r="J158" s="484"/>
      <c r="K158" s="2"/>
      <c r="L158" s="2"/>
      <c r="M158" s="2"/>
      <c r="N158" s="2"/>
      <c r="O158" s="2"/>
      <c r="P158" s="2"/>
      <c r="Q158" s="2"/>
      <c r="R158" s="2"/>
      <c r="S158" s="2"/>
      <c r="T158" s="2"/>
      <c r="U158" s="2"/>
      <c r="V158" s="2"/>
      <c r="W158" s="2"/>
      <c r="X158" s="2"/>
      <c r="Y158" s="2"/>
      <c r="Z158" s="2"/>
      <c r="AA158" s="2"/>
      <c r="AB158" s="2"/>
      <c r="AC158" s="2"/>
      <c r="AD158" s="2"/>
      <c r="AE158" s="97"/>
    </row>
    <row r="159" spans="1:34" x14ac:dyDescent="0.4">
      <c r="A159" s="743" t="s">
        <v>402</v>
      </c>
      <c r="B159" s="743"/>
      <c r="C159" s="393">
        <f>'DETAILS (sorted)'!BM159</f>
        <v>5500000</v>
      </c>
      <c r="D159" s="360"/>
      <c r="E159" s="2"/>
      <c r="F159" s="2"/>
      <c r="G159" s="2"/>
      <c r="H159" s="2"/>
      <c r="I159" s="484"/>
      <c r="J159" s="484"/>
      <c r="K159" s="2"/>
      <c r="L159" s="2"/>
      <c r="M159" s="2"/>
      <c r="N159" s="2"/>
      <c r="O159" s="2"/>
      <c r="P159" s="2"/>
      <c r="Q159" s="2"/>
      <c r="R159" s="2"/>
      <c r="S159" s="2"/>
      <c r="T159" s="2"/>
      <c r="U159" s="2"/>
      <c r="V159" s="2"/>
      <c r="W159" s="2"/>
      <c r="X159" s="2"/>
      <c r="Y159" s="2"/>
      <c r="Z159" s="2"/>
      <c r="AA159" s="2"/>
      <c r="AB159" s="2"/>
      <c r="AC159" s="2"/>
      <c r="AD159" s="2"/>
      <c r="AE159" s="97"/>
    </row>
    <row r="160" spans="1:34" x14ac:dyDescent="0.4">
      <c r="A160" s="743" t="s">
        <v>403</v>
      </c>
      <c r="B160" s="743"/>
      <c r="C160" s="393">
        <v>13500000</v>
      </c>
      <c r="D160" s="360"/>
      <c r="E160" s="2"/>
      <c r="F160" s="2"/>
      <c r="G160" s="2"/>
      <c r="H160" s="2"/>
      <c r="I160" s="484"/>
      <c r="J160" s="484"/>
      <c r="K160" s="2"/>
      <c r="L160" s="2"/>
      <c r="M160" s="2"/>
      <c r="N160" s="2"/>
      <c r="O160" s="2"/>
      <c r="P160" s="2"/>
      <c r="Q160" s="2"/>
      <c r="R160" s="2"/>
      <c r="S160" s="2"/>
      <c r="T160" s="2"/>
      <c r="U160" s="2"/>
      <c r="V160" s="2"/>
      <c r="W160" s="2"/>
      <c r="X160" s="2"/>
      <c r="Y160" s="2"/>
      <c r="Z160" s="2"/>
      <c r="AA160" s="2"/>
      <c r="AB160" s="2"/>
      <c r="AC160" s="2"/>
      <c r="AD160" s="2"/>
      <c r="AE160" s="97"/>
    </row>
    <row r="161" spans="1:37" x14ac:dyDescent="0.4">
      <c r="A161" s="743" t="s">
        <v>404</v>
      </c>
      <c r="B161" s="743"/>
      <c r="C161" s="393">
        <v>16700000</v>
      </c>
      <c r="D161" s="2"/>
      <c r="E161" s="2"/>
      <c r="F161" s="2"/>
      <c r="G161" s="2"/>
      <c r="H161" s="2"/>
      <c r="I161" s="484"/>
      <c r="J161" s="484"/>
      <c r="K161" s="2"/>
      <c r="L161" s="2"/>
      <c r="M161" s="2"/>
      <c r="N161" s="2"/>
      <c r="O161" s="2"/>
      <c r="P161" s="2"/>
      <c r="Q161" s="2"/>
      <c r="R161" s="2"/>
      <c r="S161" s="2"/>
      <c r="T161" s="2"/>
      <c r="U161" s="2"/>
      <c r="V161" s="2"/>
      <c r="W161" s="2"/>
      <c r="X161" s="2"/>
      <c r="Y161" s="2"/>
      <c r="Z161" s="2"/>
      <c r="AA161" s="2"/>
      <c r="AB161" s="2"/>
      <c r="AC161" s="2"/>
      <c r="AD161" s="82"/>
      <c r="AE161" s="2"/>
    </row>
    <row r="162" spans="1:37" x14ac:dyDescent="0.4">
      <c r="A162" s="743" t="s">
        <v>405</v>
      </c>
      <c r="B162" s="743"/>
      <c r="C162" s="393">
        <v>6000000</v>
      </c>
      <c r="D162" s="2"/>
      <c r="E162" s="2"/>
      <c r="F162" s="2"/>
      <c r="G162" s="2"/>
      <c r="H162" s="2"/>
      <c r="I162" s="484"/>
      <c r="J162" s="484"/>
      <c r="K162" s="2"/>
      <c r="L162" s="2"/>
      <c r="M162" s="2"/>
      <c r="N162" s="2"/>
      <c r="O162" s="2"/>
      <c r="P162" s="2"/>
      <c r="Q162" s="2"/>
      <c r="R162" s="2"/>
      <c r="S162" s="2"/>
      <c r="T162" s="2"/>
      <c r="U162" s="2"/>
      <c r="V162" s="2"/>
      <c r="W162" s="2"/>
      <c r="X162" s="2"/>
      <c r="Y162" s="2"/>
      <c r="Z162" s="2"/>
      <c r="AA162" s="2"/>
      <c r="AB162" s="2"/>
      <c r="AC162" s="2"/>
      <c r="AD162" s="82"/>
      <c r="AE162" s="2"/>
      <c r="AH162" s="28"/>
    </row>
    <row r="163" spans="1:37" x14ac:dyDescent="0.4">
      <c r="A163" s="743" t="s">
        <v>406</v>
      </c>
      <c r="B163" s="743"/>
      <c r="C163" s="393">
        <v>21600000</v>
      </c>
      <c r="D163" s="2"/>
      <c r="E163" s="2"/>
      <c r="F163" s="2"/>
      <c r="G163" s="2"/>
      <c r="H163" s="2"/>
      <c r="I163" s="484"/>
      <c r="J163" s="484"/>
      <c r="K163" s="2"/>
      <c r="L163" s="2"/>
      <c r="M163" s="2"/>
      <c r="N163" s="2"/>
      <c r="O163" s="2"/>
      <c r="P163" s="2"/>
      <c r="Q163" s="2"/>
      <c r="R163" s="2"/>
      <c r="S163" s="2"/>
      <c r="T163" s="2"/>
      <c r="U163" s="2"/>
      <c r="V163" s="2"/>
      <c r="W163" s="2"/>
      <c r="X163" s="2"/>
      <c r="Y163" s="2"/>
      <c r="Z163" s="2"/>
      <c r="AA163" s="2"/>
      <c r="AB163" s="2"/>
      <c r="AC163" s="2"/>
      <c r="AD163" s="82"/>
      <c r="AE163" s="2"/>
    </row>
    <row r="164" spans="1:37" x14ac:dyDescent="0.4">
      <c r="A164" s="743" t="s">
        <v>407</v>
      </c>
      <c r="B164" s="743"/>
      <c r="C164" s="393">
        <v>80235000</v>
      </c>
      <c r="D164" s="2"/>
      <c r="E164" s="2"/>
      <c r="F164" s="2"/>
      <c r="G164" s="2"/>
      <c r="H164" s="2"/>
      <c r="I164" s="484"/>
      <c r="J164" s="484"/>
      <c r="K164" s="2"/>
      <c r="L164" s="2"/>
      <c r="M164" s="2"/>
      <c r="N164" s="2"/>
      <c r="O164" s="2"/>
      <c r="P164" s="2"/>
      <c r="Q164" s="2"/>
      <c r="R164" s="2"/>
      <c r="S164" s="2"/>
      <c r="T164" s="2"/>
      <c r="U164" s="2"/>
      <c r="V164" s="2"/>
      <c r="W164" s="2"/>
      <c r="X164" s="2"/>
      <c r="Y164" s="2"/>
      <c r="Z164" s="2"/>
      <c r="AA164" s="2"/>
      <c r="AB164" s="2"/>
      <c r="AC164" s="2"/>
      <c r="AD164" s="82"/>
      <c r="AE164" s="2"/>
    </row>
    <row r="165" spans="1:37" x14ac:dyDescent="0.4">
      <c r="A165" s="743" t="s">
        <v>408</v>
      </c>
      <c r="B165" s="743"/>
      <c r="C165" s="393">
        <v>15000000</v>
      </c>
      <c r="D165" s="2"/>
      <c r="E165" s="2"/>
      <c r="F165" s="2"/>
      <c r="G165" s="2"/>
      <c r="H165" s="2"/>
      <c r="I165" s="484"/>
      <c r="J165" s="484"/>
      <c r="K165" s="2"/>
      <c r="L165" s="2"/>
      <c r="M165" s="2"/>
      <c r="N165" s="2"/>
      <c r="O165" s="2"/>
      <c r="P165" s="2"/>
      <c r="Q165" s="2"/>
      <c r="R165" s="2"/>
      <c r="S165" s="2"/>
      <c r="T165" s="2"/>
      <c r="U165" s="2"/>
      <c r="V165" s="2"/>
      <c r="W165" s="2"/>
      <c r="X165" s="2"/>
      <c r="Y165" s="2"/>
      <c r="Z165" s="2"/>
      <c r="AA165" s="2"/>
      <c r="AB165" s="2"/>
      <c r="AC165" s="2"/>
      <c r="AD165" s="82"/>
      <c r="AE165" s="2"/>
      <c r="AF165" s="28"/>
      <c r="AG165" s="324"/>
    </row>
    <row r="166" spans="1:37" x14ac:dyDescent="0.4">
      <c r="A166" s="743" t="s">
        <v>409</v>
      </c>
      <c r="B166" s="743"/>
      <c r="C166" s="393">
        <v>20060000</v>
      </c>
      <c r="D166" s="2"/>
      <c r="E166" s="2"/>
      <c r="F166" s="2"/>
      <c r="G166" s="2"/>
      <c r="H166" s="2"/>
      <c r="I166" s="484"/>
      <c r="J166" s="484"/>
      <c r="K166" s="2"/>
      <c r="L166" s="2"/>
      <c r="M166" s="2"/>
      <c r="N166" s="2"/>
      <c r="O166" s="2"/>
      <c r="P166" s="2"/>
      <c r="Q166" s="2"/>
      <c r="R166" s="2"/>
      <c r="S166" s="2"/>
      <c r="T166" s="2"/>
      <c r="U166" s="2"/>
      <c r="V166" s="2"/>
      <c r="W166" s="2"/>
      <c r="X166" s="2"/>
      <c r="Y166" s="2"/>
      <c r="Z166" s="2"/>
      <c r="AA166" s="2"/>
      <c r="AB166" s="2"/>
      <c r="AC166" s="2"/>
      <c r="AD166" s="82"/>
      <c r="AE166" s="2"/>
      <c r="AF166" s="28"/>
      <c r="AG166" s="324"/>
    </row>
    <row r="167" spans="1:37" x14ac:dyDescent="0.4">
      <c r="A167" s="743" t="s">
        <v>529</v>
      </c>
      <c r="B167" s="743"/>
      <c r="C167" s="393">
        <v>42565551.899999999</v>
      </c>
      <c r="D167" s="2"/>
      <c r="E167" s="2"/>
      <c r="F167" s="2"/>
      <c r="G167" s="2"/>
      <c r="H167" s="2"/>
      <c r="I167" s="484"/>
      <c r="J167" s="484"/>
      <c r="K167" s="2"/>
      <c r="L167" s="2"/>
      <c r="M167" s="2"/>
      <c r="N167" s="2"/>
      <c r="O167" s="2"/>
      <c r="P167" s="2"/>
      <c r="Q167" s="2"/>
      <c r="R167" s="2"/>
      <c r="S167" s="2"/>
      <c r="T167" s="2"/>
      <c r="U167" s="2"/>
      <c r="V167" s="2"/>
      <c r="W167" s="2"/>
      <c r="X167" s="2"/>
      <c r="Y167" s="2"/>
      <c r="Z167" s="2"/>
      <c r="AA167" s="2"/>
      <c r="AB167" s="2"/>
      <c r="AC167" s="2"/>
      <c r="AD167" s="82"/>
      <c r="AE167" s="2"/>
      <c r="AF167" s="28"/>
      <c r="AG167" s="324"/>
    </row>
    <row r="168" spans="1:37" x14ac:dyDescent="0.4">
      <c r="A168" s="743" t="s">
        <v>530</v>
      </c>
      <c r="B168" s="743"/>
      <c r="C168" s="393">
        <v>50860000</v>
      </c>
      <c r="D168" s="2"/>
      <c r="E168" s="2"/>
      <c r="F168" s="2"/>
      <c r="G168" s="2"/>
      <c r="H168" s="2"/>
      <c r="I168" s="484"/>
      <c r="J168" s="484"/>
      <c r="K168" s="2"/>
      <c r="L168" s="2"/>
      <c r="M168" s="2"/>
      <c r="N168" s="2"/>
      <c r="O168" s="2"/>
      <c r="P168" s="2"/>
      <c r="Q168" s="2"/>
      <c r="R168" s="2"/>
      <c r="S168" s="2"/>
      <c r="T168" s="2"/>
      <c r="U168" s="2"/>
      <c r="V168" s="2"/>
      <c r="W168" s="2"/>
      <c r="X168" s="2"/>
      <c r="Y168" s="2"/>
      <c r="Z168" s="2"/>
      <c r="AA168" s="2"/>
      <c r="AB168" s="2"/>
      <c r="AC168" s="2"/>
      <c r="AD168" s="82"/>
      <c r="AE168" s="2"/>
      <c r="AF168" s="28"/>
      <c r="AG168" s="324"/>
      <c r="AJ168" s="3" t="s">
        <v>410</v>
      </c>
      <c r="AK168" s="288">
        <f>C175</f>
        <v>822292446.89999998</v>
      </c>
    </row>
    <row r="169" spans="1:37" x14ac:dyDescent="0.4">
      <c r="A169" s="743" t="s">
        <v>624</v>
      </c>
      <c r="B169" s="743"/>
      <c r="C169" s="393">
        <v>57677806</v>
      </c>
      <c r="D169" s="2"/>
      <c r="E169" s="2"/>
      <c r="F169" s="2"/>
      <c r="G169" s="2"/>
      <c r="H169" s="2"/>
      <c r="I169" s="484"/>
      <c r="J169" s="484"/>
      <c r="K169" s="2"/>
      <c r="L169" s="2"/>
      <c r="M169" s="2"/>
      <c r="N169" s="2"/>
      <c r="O169" s="2"/>
      <c r="P169" s="2"/>
      <c r="Q169" s="2"/>
      <c r="R169" s="2"/>
      <c r="S169" s="2"/>
      <c r="T169" s="2"/>
      <c r="U169" s="2"/>
      <c r="V169" s="2"/>
      <c r="W169" s="2"/>
      <c r="X169" s="2"/>
      <c r="Y169" s="2"/>
      <c r="Z169" s="2"/>
      <c r="AA169" s="2"/>
      <c r="AB169" s="2"/>
      <c r="AC169" s="2"/>
      <c r="AD169" s="82"/>
      <c r="AE169" s="2"/>
      <c r="AF169" s="28"/>
      <c r="AG169" s="324"/>
      <c r="AJ169" s="3"/>
      <c r="AK169" s="288"/>
    </row>
    <row r="170" spans="1:37" x14ac:dyDescent="0.4">
      <c r="A170" s="743" t="s">
        <v>632</v>
      </c>
      <c r="B170" s="743"/>
      <c r="C170" s="393">
        <v>15200000</v>
      </c>
      <c r="D170" s="2"/>
      <c r="E170" s="2"/>
      <c r="F170" s="2"/>
      <c r="G170" s="2"/>
      <c r="H170" s="2"/>
      <c r="I170" s="484"/>
      <c r="J170" s="484"/>
      <c r="K170" s="2"/>
      <c r="L170" s="2"/>
      <c r="M170" s="2"/>
      <c r="N170" s="2"/>
      <c r="O170" s="2"/>
      <c r="P170" s="2"/>
      <c r="Q170" s="2"/>
      <c r="R170" s="2"/>
      <c r="S170" s="2"/>
      <c r="T170" s="2"/>
      <c r="U170" s="2"/>
      <c r="V170" s="2"/>
      <c r="W170" s="2"/>
      <c r="X170" s="2"/>
      <c r="Y170" s="2"/>
      <c r="Z170" s="2"/>
      <c r="AA170" s="2"/>
      <c r="AB170" s="2"/>
      <c r="AC170" s="2"/>
      <c r="AD170" s="82"/>
      <c r="AE170" s="2"/>
      <c r="AF170" s="28"/>
      <c r="AG170" s="324"/>
      <c r="AJ170" s="3"/>
      <c r="AK170" s="288"/>
    </row>
    <row r="171" spans="1:37" x14ac:dyDescent="0.4">
      <c r="A171" s="743" t="s">
        <v>747</v>
      </c>
      <c r="B171" s="743"/>
      <c r="C171" s="393">
        <v>155000000</v>
      </c>
      <c r="D171" s="2"/>
      <c r="E171" s="2"/>
      <c r="F171" s="2"/>
      <c r="G171" s="2"/>
      <c r="H171" s="2"/>
      <c r="I171" s="484"/>
      <c r="J171" s="484"/>
      <c r="K171" s="2"/>
      <c r="L171" s="2"/>
      <c r="M171" s="2"/>
      <c r="N171" s="2"/>
      <c r="O171" s="2"/>
      <c r="P171" s="2"/>
      <c r="Q171" s="2"/>
      <c r="R171" s="2"/>
      <c r="S171" s="2"/>
      <c r="T171" s="2"/>
      <c r="U171" s="2"/>
      <c r="V171" s="2"/>
      <c r="W171" s="2"/>
      <c r="X171" s="2"/>
      <c r="Y171" s="2"/>
      <c r="Z171" s="2"/>
      <c r="AA171" s="2"/>
      <c r="AB171" s="2"/>
      <c r="AC171" s="2"/>
      <c r="AD171" s="82"/>
      <c r="AE171" s="2"/>
      <c r="AF171" s="28"/>
      <c r="AG171" s="324"/>
      <c r="AJ171" s="3"/>
      <c r="AK171" s="288"/>
    </row>
    <row r="172" spans="1:37" x14ac:dyDescent="0.4">
      <c r="A172" s="743" t="s">
        <v>876</v>
      </c>
      <c r="B172" s="743"/>
      <c r="C172" s="393">
        <v>61000000</v>
      </c>
      <c r="D172" s="2"/>
      <c r="E172" s="2"/>
      <c r="F172" s="2"/>
      <c r="G172" s="2"/>
      <c r="H172" s="2"/>
      <c r="I172" s="484"/>
      <c r="J172" s="484"/>
      <c r="K172" s="2"/>
      <c r="L172" s="2"/>
      <c r="M172" s="2"/>
      <c r="N172" s="2"/>
      <c r="O172" s="2"/>
      <c r="P172" s="2"/>
      <c r="Q172" s="2"/>
      <c r="R172" s="2"/>
      <c r="S172" s="2"/>
      <c r="T172" s="2"/>
      <c r="U172" s="2"/>
      <c r="V172" s="2"/>
      <c r="W172" s="2"/>
      <c r="X172" s="2"/>
      <c r="Y172" s="2"/>
      <c r="Z172" s="2"/>
      <c r="AA172" s="2"/>
      <c r="AB172" s="2"/>
      <c r="AC172" s="2"/>
      <c r="AD172" s="82"/>
      <c r="AE172" s="2"/>
      <c r="AF172" s="28"/>
      <c r="AG172" s="324"/>
      <c r="AJ172" s="3"/>
      <c r="AK172" s="288"/>
    </row>
    <row r="173" spans="1:37" x14ac:dyDescent="0.4">
      <c r="A173" s="743" t="s">
        <v>1012</v>
      </c>
      <c r="B173" s="743"/>
      <c r="C173" s="393">
        <v>130816979</v>
      </c>
      <c r="D173" s="2"/>
      <c r="E173" s="2"/>
      <c r="F173" s="2"/>
      <c r="G173" s="2"/>
      <c r="H173" s="2"/>
      <c r="I173" s="484"/>
      <c r="J173" s="484"/>
      <c r="K173" s="2"/>
      <c r="L173" s="2"/>
      <c r="M173" s="2"/>
      <c r="N173" s="2"/>
      <c r="O173" s="2"/>
      <c r="P173" s="2"/>
      <c r="Q173" s="2"/>
      <c r="R173" s="2"/>
      <c r="S173" s="2"/>
      <c r="T173" s="2"/>
      <c r="U173" s="2"/>
      <c r="V173" s="2"/>
      <c r="W173" s="2"/>
      <c r="X173" s="2"/>
      <c r="Y173" s="2"/>
      <c r="Z173" s="2"/>
      <c r="AA173" s="2"/>
      <c r="AB173" s="2"/>
      <c r="AC173" s="2"/>
      <c r="AD173" s="82"/>
      <c r="AE173" s="2"/>
      <c r="AF173" s="28"/>
      <c r="AG173" s="324"/>
      <c r="AJ173" s="3"/>
      <c r="AK173" s="288"/>
    </row>
    <row r="174" spans="1:37" x14ac:dyDescent="0.4">
      <c r="A174" s="743" t="s">
        <v>1072</v>
      </c>
      <c r="B174" s="743"/>
      <c r="C174" s="393">
        <v>67377110</v>
      </c>
      <c r="D174" s="2"/>
      <c r="E174" s="2"/>
      <c r="F174" s="2"/>
      <c r="G174" s="2"/>
      <c r="H174" s="2"/>
      <c r="I174" s="484"/>
      <c r="J174" s="484"/>
      <c r="K174" s="2"/>
      <c r="L174" s="2"/>
      <c r="M174" s="2"/>
      <c r="N174" s="2"/>
      <c r="O174" s="2"/>
      <c r="P174" s="2"/>
      <c r="Q174" s="2"/>
      <c r="R174" s="2"/>
      <c r="S174" s="2"/>
      <c r="T174" s="2"/>
      <c r="U174" s="2"/>
      <c r="V174" s="2"/>
      <c r="W174" s="2"/>
      <c r="X174" s="2"/>
      <c r="Y174" s="2"/>
      <c r="Z174" s="2"/>
      <c r="AA174" s="2"/>
      <c r="AB174" s="2"/>
      <c r="AC174" s="2"/>
      <c r="AD174" s="82"/>
      <c r="AE174" s="2"/>
      <c r="AF174" s="28"/>
      <c r="AG174" s="324"/>
      <c r="AJ174" s="3"/>
      <c r="AK174" s="288"/>
    </row>
    <row r="175" spans="1:37" x14ac:dyDescent="0.4">
      <c r="A175" s="755" t="s">
        <v>411</v>
      </c>
      <c r="B175" s="756"/>
      <c r="C175" s="394">
        <f>SUM(C157:C174)</f>
        <v>822292446.89999998</v>
      </c>
      <c r="D175" s="361">
        <f>C175+C156+C216+C218+C219+C221+C223</f>
        <v>1228749284.1700001</v>
      </c>
      <c r="E175" s="2"/>
      <c r="F175" s="2"/>
      <c r="G175" s="2"/>
      <c r="H175" s="2"/>
      <c r="I175" s="484"/>
      <c r="J175" s="484"/>
      <c r="K175" s="2"/>
      <c r="L175" s="2"/>
      <c r="M175" s="2"/>
      <c r="N175" s="2"/>
      <c r="O175" s="2"/>
      <c r="P175" s="2"/>
      <c r="Q175" s="2"/>
      <c r="R175" s="2"/>
      <c r="S175" s="2"/>
      <c r="T175" s="2"/>
      <c r="U175" s="2"/>
      <c r="V175" s="2"/>
      <c r="W175" s="2"/>
      <c r="X175" s="2"/>
      <c r="Y175" s="2"/>
      <c r="Z175" s="2"/>
      <c r="AA175" s="2"/>
      <c r="AB175" s="2"/>
      <c r="AC175" s="2"/>
      <c r="AD175" s="10"/>
      <c r="AE175" s="97"/>
      <c r="AF175" s="28"/>
      <c r="AG175" s="324"/>
      <c r="AH175" s="28">
        <f>AE175-AF175</f>
        <v>0</v>
      </c>
      <c r="AJ175" s="3" t="s">
        <v>412</v>
      </c>
      <c r="AK175" s="289">
        <f>AD175</f>
        <v>0</v>
      </c>
    </row>
    <row r="176" spans="1:37" x14ac:dyDescent="0.4">
      <c r="A176" s="694" t="s">
        <v>1310</v>
      </c>
      <c r="B176" s="695"/>
      <c r="C176" s="696"/>
      <c r="D176" s="361"/>
      <c r="E176" s="2"/>
      <c r="F176" s="2"/>
      <c r="G176" s="2"/>
      <c r="H176" s="2"/>
      <c r="I176" s="484"/>
      <c r="J176" s="484"/>
      <c r="K176" s="2"/>
      <c r="L176" s="2"/>
      <c r="M176" s="2"/>
      <c r="N176" s="2"/>
      <c r="O176" s="2"/>
      <c r="P176" s="2"/>
      <c r="Q176" s="2"/>
      <c r="R176" s="2"/>
      <c r="S176" s="2"/>
      <c r="T176" s="2"/>
      <c r="U176" s="2"/>
      <c r="V176" s="2"/>
      <c r="W176" s="2"/>
      <c r="X176" s="2"/>
      <c r="Y176" s="2"/>
      <c r="Z176" s="2"/>
      <c r="AA176" s="2"/>
      <c r="AB176" s="2"/>
      <c r="AC176" s="2"/>
      <c r="AD176" s="11"/>
      <c r="AE176" s="296"/>
      <c r="AF176" s="28"/>
      <c r="AG176" s="324"/>
      <c r="AH176" s="28"/>
      <c r="AJ176" s="7"/>
      <c r="AK176" s="97"/>
    </row>
    <row r="177" spans="1:37" x14ac:dyDescent="0.4">
      <c r="A177" s="692" t="s">
        <v>1311</v>
      </c>
      <c r="B177" s="693"/>
      <c r="C177" s="128">
        <v>200000000</v>
      </c>
      <c r="D177" s="361"/>
      <c r="E177" s="2"/>
      <c r="F177" s="2"/>
      <c r="G177" s="2"/>
      <c r="H177" s="2"/>
      <c r="I177" s="484"/>
      <c r="J177" s="484"/>
      <c r="K177" s="2"/>
      <c r="L177" s="2"/>
      <c r="M177" s="2"/>
      <c r="N177" s="2"/>
      <c r="O177" s="2"/>
      <c r="P177" s="2"/>
      <c r="Q177" s="2"/>
      <c r="R177" s="2"/>
      <c r="S177" s="2"/>
      <c r="T177" s="2"/>
      <c r="U177" s="2"/>
      <c r="V177" s="2"/>
      <c r="W177" s="2"/>
      <c r="X177" s="2"/>
      <c r="Y177" s="2"/>
      <c r="Z177" s="2"/>
      <c r="AA177" s="2"/>
      <c r="AB177" s="2"/>
      <c r="AC177" s="2"/>
      <c r="AD177" s="11"/>
      <c r="AE177" s="296"/>
      <c r="AF177" s="28"/>
      <c r="AG177" s="324"/>
      <c r="AH177" s="28"/>
      <c r="AJ177" s="7"/>
      <c r="AK177" s="97"/>
    </row>
    <row r="178" spans="1:37" x14ac:dyDescent="0.4">
      <c r="A178" s="692" t="s">
        <v>1332</v>
      </c>
      <c r="B178" s="693"/>
      <c r="C178" s="128">
        <v>138912000</v>
      </c>
      <c r="D178" s="361"/>
      <c r="E178" s="2"/>
      <c r="F178" s="2"/>
      <c r="G178" s="2"/>
      <c r="H178" s="2"/>
      <c r="I178" s="484"/>
      <c r="J178" s="484"/>
      <c r="K178" s="2"/>
      <c r="L178" s="2"/>
      <c r="M178" s="2"/>
      <c r="N178" s="2"/>
      <c r="O178" s="2"/>
      <c r="P178" s="2"/>
      <c r="Q178" s="2"/>
      <c r="R178" s="2"/>
      <c r="S178" s="2"/>
      <c r="T178" s="2"/>
      <c r="U178" s="2"/>
      <c r="V178" s="2"/>
      <c r="W178" s="2"/>
      <c r="X178" s="2"/>
      <c r="Y178" s="2"/>
      <c r="Z178" s="2"/>
      <c r="AA178" s="2"/>
      <c r="AB178" s="2"/>
      <c r="AC178" s="2"/>
      <c r="AD178" s="11"/>
      <c r="AE178" s="296"/>
      <c r="AF178" s="28"/>
      <c r="AG178" s="324"/>
      <c r="AH178" s="28"/>
      <c r="AJ178" s="7"/>
      <c r="AK178" s="97"/>
    </row>
    <row r="179" spans="1:37" x14ac:dyDescent="0.4">
      <c r="A179" s="692" t="s">
        <v>1412</v>
      </c>
      <c r="B179" s="693"/>
      <c r="C179" s="128">
        <v>4912200</v>
      </c>
      <c r="D179" s="361"/>
      <c r="E179" s="2"/>
      <c r="F179" s="2"/>
      <c r="G179" s="2"/>
      <c r="H179" s="2"/>
      <c r="I179" s="484"/>
      <c r="J179" s="484"/>
      <c r="K179" s="2"/>
      <c r="L179" s="2"/>
      <c r="M179" s="2"/>
      <c r="N179" s="2"/>
      <c r="O179" s="2"/>
      <c r="P179" s="2"/>
      <c r="Q179" s="2"/>
      <c r="R179" s="2"/>
      <c r="S179" s="2"/>
      <c r="T179" s="2"/>
      <c r="U179" s="2"/>
      <c r="V179" s="2"/>
      <c r="W179" s="2"/>
      <c r="X179" s="2"/>
      <c r="Y179" s="2"/>
      <c r="Z179" s="2"/>
      <c r="AA179" s="2"/>
      <c r="AB179" s="2"/>
      <c r="AC179" s="2"/>
      <c r="AD179" s="11"/>
      <c r="AE179" s="296"/>
      <c r="AF179" s="28"/>
      <c r="AG179" s="324"/>
      <c r="AH179" s="28"/>
      <c r="AJ179" s="7"/>
      <c r="AK179" s="97"/>
    </row>
    <row r="180" spans="1:37" x14ac:dyDescent="0.4">
      <c r="A180" s="692"/>
      <c r="B180" s="693"/>
      <c r="C180" s="128"/>
      <c r="D180" s="361"/>
      <c r="E180" s="2"/>
      <c r="F180" s="2"/>
      <c r="G180" s="2"/>
      <c r="H180" s="2"/>
      <c r="I180" s="484"/>
      <c r="J180" s="484"/>
      <c r="K180" s="2"/>
      <c r="L180" s="2"/>
      <c r="M180" s="2"/>
      <c r="N180" s="2"/>
      <c r="O180" s="2"/>
      <c r="P180" s="2"/>
      <c r="Q180" s="2"/>
      <c r="R180" s="2"/>
      <c r="S180" s="2"/>
      <c r="T180" s="2"/>
      <c r="U180" s="2"/>
      <c r="V180" s="2"/>
      <c r="W180" s="2"/>
      <c r="X180" s="2"/>
      <c r="Y180" s="2"/>
      <c r="Z180" s="2"/>
      <c r="AA180" s="2"/>
      <c r="AB180" s="2"/>
      <c r="AC180" s="2"/>
      <c r="AD180" s="11"/>
      <c r="AE180" s="296"/>
      <c r="AF180" s="28"/>
      <c r="AG180" s="324"/>
      <c r="AH180" s="28"/>
      <c r="AJ180" s="7"/>
      <c r="AK180" s="97"/>
    </row>
    <row r="181" spans="1:37" x14ac:dyDescent="0.4">
      <c r="A181" s="684" t="s">
        <v>1338</v>
      </c>
      <c r="B181" s="685"/>
      <c r="C181" s="394">
        <f>SUM(C177:C180)</f>
        <v>343824200</v>
      </c>
      <c r="D181" s="361"/>
      <c r="E181" s="2"/>
      <c r="F181" s="2"/>
      <c r="G181" s="2"/>
      <c r="H181" s="2"/>
      <c r="I181" s="484"/>
      <c r="J181" s="484"/>
      <c r="K181" s="2"/>
      <c r="L181" s="2"/>
      <c r="M181" s="2"/>
      <c r="N181" s="2"/>
      <c r="O181" s="2"/>
      <c r="P181" s="2"/>
      <c r="Q181" s="2"/>
      <c r="R181" s="2"/>
      <c r="S181" s="2"/>
      <c r="T181" s="2"/>
      <c r="U181" s="2"/>
      <c r="V181" s="2"/>
      <c r="W181" s="2"/>
      <c r="X181" s="2"/>
      <c r="Y181" s="2"/>
      <c r="Z181" s="2"/>
      <c r="AA181" s="2"/>
      <c r="AB181" s="2"/>
      <c r="AC181" s="2"/>
      <c r="AD181" s="11"/>
      <c r="AE181" s="296"/>
      <c r="AF181" s="28"/>
      <c r="AG181" s="324"/>
      <c r="AH181" s="28"/>
      <c r="AJ181" s="7"/>
      <c r="AK181" s="97"/>
    </row>
    <row r="182" spans="1:37" x14ac:dyDescent="0.4">
      <c r="A182" s="743" t="s">
        <v>413</v>
      </c>
      <c r="B182" s="743"/>
      <c r="C182" s="393"/>
      <c r="D182" s="360"/>
      <c r="E182" s="2"/>
      <c r="F182" s="2"/>
      <c r="G182" s="2"/>
      <c r="H182" s="2"/>
      <c r="I182" s="484"/>
      <c r="J182" s="484"/>
      <c r="K182" s="2"/>
      <c r="L182" s="2"/>
      <c r="M182" s="2"/>
      <c r="N182" s="2"/>
      <c r="O182" s="2"/>
      <c r="P182" s="2"/>
      <c r="Q182" s="2"/>
      <c r="R182" s="2"/>
      <c r="S182" s="2"/>
      <c r="T182" s="2"/>
      <c r="U182" s="2"/>
      <c r="V182" s="2"/>
      <c r="W182" s="2"/>
      <c r="X182" s="2"/>
      <c r="Y182" s="2"/>
      <c r="Z182" s="2"/>
      <c r="AA182" s="2"/>
      <c r="AB182" s="2"/>
      <c r="AC182" s="2"/>
      <c r="AD182" s="2"/>
      <c r="AE182" s="296"/>
      <c r="AJ182" s="3" t="s">
        <v>414</v>
      </c>
      <c r="AK182" s="290">
        <f>AK175-AK168</f>
        <v>-822292446.89999998</v>
      </c>
    </row>
    <row r="183" spans="1:37" x14ac:dyDescent="0.4">
      <c r="A183" s="743" t="s">
        <v>415</v>
      </c>
      <c r="B183" s="743"/>
      <c r="C183" s="393"/>
      <c r="D183" s="360"/>
      <c r="E183" s="2"/>
      <c r="F183" s="2"/>
      <c r="G183" s="2"/>
      <c r="H183" s="2"/>
      <c r="I183" s="484"/>
      <c r="J183" s="484"/>
      <c r="K183" s="2"/>
      <c r="L183" s="2"/>
      <c r="M183" s="2"/>
      <c r="N183" s="2"/>
      <c r="O183" s="2"/>
      <c r="P183" s="2"/>
      <c r="Q183" s="2"/>
      <c r="R183" s="2"/>
      <c r="S183" s="2"/>
      <c r="T183" s="2"/>
      <c r="U183" s="2"/>
      <c r="V183" s="2"/>
      <c r="W183" s="2"/>
      <c r="X183" s="2"/>
      <c r="Y183" s="2"/>
      <c r="Z183" s="2"/>
      <c r="AA183" s="2"/>
      <c r="AB183" s="2"/>
      <c r="AC183" s="2"/>
      <c r="AD183" s="2"/>
      <c r="AE183" s="296"/>
      <c r="AJ183" s="3" t="s">
        <v>416</v>
      </c>
      <c r="AK183" s="291">
        <f>AF175</f>
        <v>0</v>
      </c>
    </row>
    <row r="184" spans="1:37" x14ac:dyDescent="0.4">
      <c r="A184" s="743" t="s">
        <v>522</v>
      </c>
      <c r="B184" s="743"/>
      <c r="C184" s="393">
        <f>25000000+20700000+14300000-13000000+12930375</f>
        <v>59930375</v>
      </c>
      <c r="D184" s="360"/>
      <c r="E184" s="2"/>
      <c r="F184" s="2"/>
      <c r="G184" s="2"/>
      <c r="H184" s="2"/>
      <c r="I184" s="484"/>
      <c r="J184" s="484"/>
      <c r="K184" s="2"/>
      <c r="L184" s="2"/>
      <c r="M184" s="2"/>
      <c r="N184" s="2"/>
      <c r="O184" s="2"/>
      <c r="P184" s="2"/>
      <c r="Q184" s="2"/>
      <c r="R184" s="2"/>
      <c r="S184" s="2"/>
      <c r="T184" s="2"/>
      <c r="U184" s="2"/>
      <c r="V184" s="2"/>
      <c r="W184" s="2"/>
      <c r="X184" s="2"/>
      <c r="Y184" s="2"/>
      <c r="Z184" s="2"/>
      <c r="AA184" s="2"/>
      <c r="AB184" s="2"/>
      <c r="AC184" s="2"/>
      <c r="AD184" s="22"/>
      <c r="AE184" s="296"/>
      <c r="AJ184" s="3" t="s">
        <v>417</v>
      </c>
      <c r="AK184" s="292">
        <f>AK182-AK183</f>
        <v>-822292446.89999998</v>
      </c>
    </row>
    <row r="185" spans="1:37" x14ac:dyDescent="0.4">
      <c r="A185" s="743" t="s">
        <v>521</v>
      </c>
      <c r="B185" s="743"/>
      <c r="C185" s="393">
        <f>12000000-12000000</f>
        <v>0</v>
      </c>
      <c r="D185" s="360"/>
      <c r="E185" s="2"/>
      <c r="F185" s="2"/>
      <c r="G185" s="2"/>
      <c r="H185" s="2"/>
      <c r="I185" s="484"/>
      <c r="J185" s="484"/>
      <c r="K185" s="2"/>
      <c r="L185" s="2"/>
      <c r="M185" s="2"/>
      <c r="N185" s="2"/>
      <c r="O185" s="2"/>
      <c r="P185" s="2"/>
      <c r="Q185" s="2"/>
      <c r="R185" s="2"/>
      <c r="S185" s="2"/>
      <c r="T185" s="2"/>
      <c r="U185" s="2"/>
      <c r="V185" s="2"/>
      <c r="W185" s="2"/>
      <c r="X185" s="2"/>
      <c r="Y185" s="2"/>
      <c r="Z185" s="2"/>
      <c r="AA185" s="2"/>
      <c r="AB185" s="2"/>
      <c r="AC185" s="2"/>
      <c r="AD185" s="22"/>
      <c r="AE185" s="296"/>
    </row>
    <row r="186" spans="1:37" x14ac:dyDescent="0.4">
      <c r="A186" s="744" t="s">
        <v>520</v>
      </c>
      <c r="B186" s="744"/>
      <c r="C186" s="191"/>
      <c r="D186" s="360"/>
      <c r="E186" s="2"/>
      <c r="F186" s="2"/>
      <c r="G186" s="2"/>
      <c r="H186" s="2"/>
      <c r="I186" s="484"/>
      <c r="J186" s="484"/>
      <c r="K186" s="2"/>
      <c r="L186" s="2"/>
      <c r="M186" s="2"/>
      <c r="N186" s="2"/>
      <c r="O186" s="2"/>
      <c r="P186" s="2"/>
      <c r="Q186" s="2"/>
      <c r="R186" s="2"/>
      <c r="S186" s="2"/>
      <c r="T186" s="2"/>
      <c r="U186" s="2"/>
      <c r="V186" s="2"/>
      <c r="W186" s="2"/>
      <c r="X186" s="2"/>
      <c r="Y186" s="2"/>
      <c r="Z186" s="2"/>
      <c r="AA186" s="2"/>
      <c r="AB186" s="2"/>
      <c r="AC186" s="2"/>
      <c r="AD186" s="22"/>
      <c r="AE186" s="296"/>
    </row>
    <row r="187" spans="1:37" x14ac:dyDescent="0.4">
      <c r="A187" s="743" t="s">
        <v>519</v>
      </c>
      <c r="B187" s="743"/>
      <c r="C187" s="393">
        <f>10000000-3500000+500000+350000</f>
        <v>7350000</v>
      </c>
      <c r="D187" s="360"/>
      <c r="E187" s="2"/>
      <c r="F187" s="2"/>
      <c r="G187" s="2"/>
      <c r="H187" s="2"/>
      <c r="I187" s="484"/>
      <c r="J187" s="484"/>
      <c r="K187" s="2"/>
      <c r="L187" s="2"/>
      <c r="M187" s="2"/>
      <c r="N187" s="2"/>
      <c r="O187" s="2"/>
      <c r="P187" s="2"/>
      <c r="Q187" s="2"/>
      <c r="R187" s="2"/>
      <c r="S187" s="2"/>
      <c r="T187" s="2"/>
      <c r="U187" s="2"/>
      <c r="V187" s="2"/>
      <c r="W187" s="2"/>
      <c r="X187" s="2"/>
      <c r="Y187" s="2"/>
      <c r="Z187" s="2"/>
      <c r="AA187" s="2"/>
      <c r="AB187" s="2"/>
      <c r="AC187" s="2"/>
      <c r="AD187" s="22"/>
      <c r="AE187" s="296"/>
    </row>
    <row r="188" spans="1:37" x14ac:dyDescent="0.4">
      <c r="A188" s="743" t="s">
        <v>518</v>
      </c>
      <c r="B188" s="743"/>
      <c r="C188" s="393">
        <f>30000000-20000000+450000-6606750+156750</f>
        <v>4000000</v>
      </c>
      <c r="D188" s="360"/>
      <c r="E188" s="2"/>
      <c r="F188" s="2"/>
      <c r="G188" s="2"/>
      <c r="H188" s="2"/>
      <c r="I188" s="484"/>
      <c r="J188" s="484"/>
      <c r="K188" s="2"/>
      <c r="L188" s="2"/>
      <c r="M188" s="2"/>
      <c r="N188" s="2"/>
      <c r="O188" s="2"/>
      <c r="P188" s="2"/>
      <c r="Q188" s="2"/>
      <c r="R188" s="2"/>
      <c r="S188" s="2"/>
      <c r="T188" s="2"/>
      <c r="U188" s="2"/>
      <c r="V188" s="2"/>
      <c r="W188" s="2"/>
      <c r="X188" s="2"/>
      <c r="Y188" s="2"/>
      <c r="Z188" s="2"/>
      <c r="AA188" s="2"/>
      <c r="AB188" s="2"/>
      <c r="AC188" s="2"/>
      <c r="AD188" s="22"/>
      <c r="AE188" s="296"/>
    </row>
    <row r="189" spans="1:37" x14ac:dyDescent="0.4">
      <c r="A189" s="743" t="s">
        <v>516</v>
      </c>
      <c r="B189" s="743"/>
      <c r="C189" s="393">
        <f>15000000-453375+453375+15000000</f>
        <v>30000000</v>
      </c>
      <c r="D189" s="360"/>
      <c r="E189" s="2"/>
      <c r="F189" s="2"/>
      <c r="G189" s="2"/>
      <c r="H189" s="2"/>
      <c r="I189" s="484"/>
      <c r="J189" s="484"/>
      <c r="K189" s="2"/>
      <c r="L189" s="2"/>
      <c r="M189" s="2"/>
      <c r="N189" s="2"/>
      <c r="O189" s="2"/>
      <c r="P189" s="2"/>
      <c r="Q189" s="2"/>
      <c r="R189" s="2"/>
      <c r="S189" s="2"/>
      <c r="T189" s="2"/>
      <c r="U189" s="2"/>
      <c r="V189" s="2"/>
      <c r="W189" s="2"/>
      <c r="X189" s="2"/>
      <c r="Y189" s="2"/>
      <c r="Z189" s="2"/>
      <c r="AA189" s="2"/>
      <c r="AB189" s="2"/>
      <c r="AC189" s="2"/>
      <c r="AD189" s="22"/>
      <c r="AE189" s="296"/>
    </row>
    <row r="190" spans="1:37" x14ac:dyDescent="0.4">
      <c r="A190" s="743" t="s">
        <v>517</v>
      </c>
      <c r="B190" s="743"/>
      <c r="C190" s="393">
        <f>15000000-5000000+225000</f>
        <v>10225000</v>
      </c>
      <c r="D190" s="360"/>
      <c r="E190" s="2"/>
      <c r="F190" s="2"/>
      <c r="G190" s="2"/>
      <c r="H190" s="2"/>
      <c r="I190" s="484"/>
      <c r="J190" s="484"/>
      <c r="K190" s="2"/>
      <c r="L190" s="2"/>
      <c r="M190" s="2"/>
      <c r="N190" s="2"/>
      <c r="O190" s="2"/>
      <c r="P190" s="2"/>
      <c r="Q190" s="2"/>
      <c r="R190" s="2"/>
      <c r="S190" s="2"/>
      <c r="T190" s="2"/>
      <c r="U190" s="2"/>
      <c r="V190" s="2"/>
      <c r="W190" s="2"/>
      <c r="X190" s="2"/>
      <c r="Y190" s="2"/>
      <c r="Z190" s="2"/>
      <c r="AA190" s="2"/>
      <c r="AB190" s="2"/>
      <c r="AC190" s="2"/>
      <c r="AD190" s="2"/>
      <c r="AE190" s="296"/>
      <c r="AJ190" s="3" t="s">
        <v>538</v>
      </c>
      <c r="AK190" s="97">
        <v>344709245.10000002</v>
      </c>
    </row>
    <row r="191" spans="1:37" x14ac:dyDescent="0.4">
      <c r="A191" s="743" t="s">
        <v>775</v>
      </c>
      <c r="B191" s="743"/>
      <c r="C191" s="393">
        <v>1500000</v>
      </c>
      <c r="D191" s="360"/>
      <c r="E191" s="2"/>
      <c r="F191" s="2"/>
      <c r="G191" s="2"/>
      <c r="H191" s="2"/>
      <c r="I191" s="484"/>
      <c r="J191" s="484"/>
      <c r="K191" s="2"/>
      <c r="L191" s="2"/>
      <c r="M191" s="2"/>
      <c r="N191" s="2"/>
      <c r="O191" s="2"/>
      <c r="P191" s="2"/>
      <c r="Q191" s="2"/>
      <c r="R191" s="2"/>
      <c r="S191" s="2"/>
      <c r="T191" s="2"/>
      <c r="U191" s="2"/>
      <c r="V191" s="2"/>
      <c r="W191" s="2"/>
      <c r="X191" s="2"/>
      <c r="Y191" s="2"/>
      <c r="Z191" s="2"/>
      <c r="AA191" s="2"/>
      <c r="AB191" s="2"/>
      <c r="AC191" s="2"/>
      <c r="AD191" s="2"/>
      <c r="AE191" s="296"/>
      <c r="AJ191" s="3"/>
      <c r="AK191" s="97"/>
    </row>
    <row r="192" spans="1:37" x14ac:dyDescent="0.4">
      <c r="A192" s="743" t="s">
        <v>534</v>
      </c>
      <c r="B192" s="743"/>
      <c r="C192" s="393">
        <f>30000000-2450000+450000+15000000-4645000+645000-6585000+585000-3000000</f>
        <v>30000000</v>
      </c>
      <c r="D192" s="360"/>
      <c r="E192" s="2"/>
      <c r="F192" s="2"/>
      <c r="G192" s="2"/>
      <c r="H192" s="2"/>
      <c r="I192" s="484"/>
      <c r="J192" s="484"/>
      <c r="K192" s="2"/>
      <c r="L192" s="2"/>
      <c r="M192" s="2"/>
      <c r="N192" s="2"/>
      <c r="O192" s="2"/>
      <c r="P192" s="2"/>
      <c r="Q192" s="2"/>
      <c r="R192" s="2"/>
      <c r="S192" s="2"/>
      <c r="T192" s="2"/>
      <c r="U192" s="2"/>
      <c r="V192" s="2"/>
      <c r="W192" s="2"/>
      <c r="X192" s="2"/>
      <c r="Y192" s="2"/>
      <c r="Z192" s="2"/>
      <c r="AA192" s="2"/>
      <c r="AB192" s="2"/>
      <c r="AC192" s="2"/>
      <c r="AD192" s="2"/>
      <c r="AE192" s="296"/>
      <c r="AJ192" s="3"/>
      <c r="AK192" s="97"/>
    </row>
    <row r="193" spans="1:37" x14ac:dyDescent="0.4">
      <c r="A193" s="743" t="s">
        <v>619</v>
      </c>
      <c r="B193" s="743"/>
      <c r="C193" s="393">
        <f>3000000-560000+90000-560000+75900-560000+61377</f>
        <v>1547277</v>
      </c>
      <c r="D193" s="360"/>
      <c r="E193" s="2"/>
      <c r="F193" s="2"/>
      <c r="G193" s="2"/>
      <c r="H193" s="2"/>
      <c r="I193" s="484"/>
      <c r="J193" s="484"/>
      <c r="K193" s="2"/>
      <c r="L193" s="2"/>
      <c r="M193" s="2"/>
      <c r="N193" s="2"/>
      <c r="O193" s="2"/>
      <c r="P193" s="2"/>
      <c r="Q193" s="2"/>
      <c r="R193" s="2"/>
      <c r="S193" s="2"/>
      <c r="T193" s="2"/>
      <c r="U193" s="2"/>
      <c r="V193" s="2"/>
      <c r="W193" s="2"/>
      <c r="X193" s="2"/>
      <c r="Y193" s="2"/>
      <c r="Z193" s="2"/>
      <c r="AA193" s="2"/>
      <c r="AB193" s="2"/>
      <c r="AC193" s="2"/>
      <c r="AD193" s="2"/>
      <c r="AE193" s="296"/>
      <c r="AJ193" s="3"/>
      <c r="AK193" s="97"/>
    </row>
    <row r="194" spans="1:37" x14ac:dyDescent="0.4">
      <c r="A194" s="744" t="s">
        <v>606</v>
      </c>
      <c r="B194" s="744"/>
      <c r="C194" s="286">
        <f>5000000-3000000+100000-1000000+42000-1142000</f>
        <v>0</v>
      </c>
      <c r="D194" s="360"/>
      <c r="E194" s="2"/>
      <c r="F194" s="2"/>
      <c r="G194" s="2"/>
      <c r="H194" s="2"/>
      <c r="I194" s="484"/>
      <c r="J194" s="484"/>
      <c r="K194" s="2"/>
      <c r="L194" s="2"/>
      <c r="M194" s="2"/>
      <c r="N194" s="2"/>
      <c r="O194" s="2"/>
      <c r="P194" s="2"/>
      <c r="Q194" s="2"/>
      <c r="R194" s="2"/>
      <c r="S194" s="2"/>
      <c r="T194" s="2"/>
      <c r="U194" s="2"/>
      <c r="V194" s="2"/>
      <c r="W194" s="2"/>
      <c r="X194" s="2"/>
      <c r="Y194" s="2"/>
      <c r="Z194" s="2"/>
      <c r="AA194" s="2"/>
      <c r="AB194" s="2"/>
      <c r="AC194" s="2"/>
      <c r="AD194" s="2"/>
      <c r="AE194" s="296"/>
      <c r="AJ194" s="3"/>
      <c r="AK194" s="97"/>
    </row>
    <row r="195" spans="1:37" x14ac:dyDescent="0.4">
      <c r="A195" s="743" t="s">
        <v>1083</v>
      </c>
      <c r="B195" s="743"/>
      <c r="C195" s="393">
        <v>9000000</v>
      </c>
      <c r="D195" s="360"/>
      <c r="E195" s="2"/>
      <c r="F195" s="2"/>
      <c r="G195" s="2"/>
      <c r="H195" s="2"/>
      <c r="I195" s="484"/>
      <c r="J195" s="484"/>
      <c r="K195" s="2"/>
      <c r="L195" s="2"/>
      <c r="M195" s="2"/>
      <c r="N195" s="2"/>
      <c r="O195" s="2"/>
      <c r="P195" s="2"/>
      <c r="Q195" s="2"/>
      <c r="R195" s="2"/>
      <c r="S195" s="2"/>
      <c r="T195" s="2"/>
      <c r="U195" s="2"/>
      <c r="V195" s="2"/>
      <c r="W195" s="2"/>
      <c r="X195" s="2"/>
      <c r="Y195" s="2"/>
      <c r="Z195" s="2"/>
      <c r="AA195" s="2"/>
      <c r="AB195" s="2"/>
      <c r="AC195" s="2"/>
      <c r="AD195" s="2"/>
      <c r="AE195" s="296"/>
      <c r="AJ195" s="3" t="s">
        <v>539</v>
      </c>
      <c r="AK195" s="97">
        <v>335220551.89999998</v>
      </c>
    </row>
    <row r="196" spans="1:37" x14ac:dyDescent="0.4">
      <c r="A196" s="743" t="s">
        <v>683</v>
      </c>
      <c r="B196" s="743"/>
      <c r="C196" s="393">
        <f>30000000-5450000+450000</f>
        <v>25000000</v>
      </c>
      <c r="D196" s="360"/>
      <c r="E196" s="2"/>
      <c r="F196" s="2"/>
      <c r="G196" s="2"/>
      <c r="H196" s="2"/>
      <c r="I196" s="484"/>
      <c r="J196" s="484"/>
      <c r="K196" s="2"/>
      <c r="L196" s="2"/>
      <c r="M196" s="2"/>
      <c r="N196" s="2"/>
      <c r="O196" s="2"/>
      <c r="P196" s="2"/>
      <c r="Q196" s="2"/>
      <c r="R196" s="2"/>
      <c r="S196" s="2"/>
      <c r="T196" s="2"/>
      <c r="U196" s="2"/>
      <c r="V196" s="2"/>
      <c r="W196" s="2"/>
      <c r="X196" s="2"/>
      <c r="Y196" s="2"/>
      <c r="Z196" s="2"/>
      <c r="AA196" s="2"/>
      <c r="AB196" s="2"/>
      <c r="AC196" s="2"/>
      <c r="AD196" s="2"/>
      <c r="AE196" s="296"/>
      <c r="AJ196" s="3"/>
      <c r="AK196" s="97"/>
    </row>
    <row r="197" spans="1:37" x14ac:dyDescent="0.4">
      <c r="A197" s="441" t="s">
        <v>705</v>
      </c>
      <c r="B197" s="442"/>
      <c r="C197" s="393">
        <v>8000000</v>
      </c>
      <c r="D197" s="360"/>
      <c r="E197" s="2"/>
      <c r="F197" s="2"/>
      <c r="G197" s="2"/>
      <c r="H197" s="2"/>
      <c r="I197" s="484"/>
      <c r="J197" s="484"/>
      <c r="K197" s="2"/>
      <c r="L197" s="2"/>
      <c r="M197" s="2"/>
      <c r="N197" s="2"/>
      <c r="O197" s="2"/>
      <c r="P197" s="2"/>
      <c r="Q197" s="2"/>
      <c r="R197" s="2"/>
      <c r="S197" s="2"/>
      <c r="T197" s="2"/>
      <c r="U197" s="2"/>
      <c r="V197" s="2"/>
      <c r="W197" s="2"/>
      <c r="X197" s="2"/>
      <c r="Y197" s="2"/>
      <c r="Z197" s="2"/>
      <c r="AA197" s="2"/>
      <c r="AB197" s="2"/>
      <c r="AC197" s="2"/>
      <c r="AD197" s="2"/>
      <c r="AE197" s="296"/>
      <c r="AJ197" s="3"/>
      <c r="AK197" s="97"/>
    </row>
    <row r="198" spans="1:37" x14ac:dyDescent="0.4">
      <c r="A198" s="441" t="s">
        <v>708</v>
      </c>
      <c r="B198" s="442"/>
      <c r="C198" s="393">
        <f>6000000-1072000+120000-1072000+100960</f>
        <v>4076960</v>
      </c>
      <c r="D198" s="360"/>
      <c r="E198" s="2"/>
      <c r="F198" s="2"/>
      <c r="G198" s="2"/>
      <c r="H198" s="2"/>
      <c r="I198" s="484"/>
      <c r="J198" s="484"/>
      <c r="K198" s="2"/>
      <c r="L198" s="2"/>
      <c r="M198" s="2"/>
      <c r="N198" s="2"/>
      <c r="O198" s="2"/>
      <c r="P198" s="2"/>
      <c r="Q198" s="2"/>
      <c r="R198" s="2"/>
      <c r="S198" s="2"/>
      <c r="T198" s="2"/>
      <c r="U198" s="2"/>
      <c r="V198" s="2"/>
      <c r="W198" s="2"/>
      <c r="X198" s="2"/>
      <c r="Y198" s="2"/>
      <c r="Z198" s="2"/>
      <c r="AA198" s="2"/>
      <c r="AB198" s="2"/>
      <c r="AC198" s="2"/>
      <c r="AD198" s="2"/>
      <c r="AE198" s="296"/>
      <c r="AJ198" s="3"/>
      <c r="AK198" s="97"/>
    </row>
    <row r="199" spans="1:37" x14ac:dyDescent="0.4">
      <c r="A199" s="441" t="s">
        <v>774</v>
      </c>
      <c r="B199" s="442"/>
      <c r="C199" s="393">
        <v>10000000</v>
      </c>
      <c r="D199" s="360"/>
      <c r="E199" s="2"/>
      <c r="F199" s="2"/>
      <c r="G199" s="2"/>
      <c r="H199" s="2"/>
      <c r="I199" s="484"/>
      <c r="J199" s="484"/>
      <c r="K199" s="2"/>
      <c r="L199" s="2"/>
      <c r="M199" s="2"/>
      <c r="N199" s="2"/>
      <c r="O199" s="2"/>
      <c r="P199" s="2"/>
      <c r="Q199" s="2"/>
      <c r="R199" s="2"/>
      <c r="S199" s="2"/>
      <c r="T199" s="2"/>
      <c r="U199" s="2"/>
      <c r="V199" s="2"/>
      <c r="W199" s="2"/>
      <c r="X199" s="2"/>
      <c r="Y199" s="2"/>
      <c r="Z199" s="2"/>
      <c r="AA199" s="2"/>
      <c r="AB199" s="2"/>
      <c r="AC199" s="2"/>
      <c r="AD199" s="2"/>
      <c r="AE199" s="296"/>
      <c r="AJ199" s="3"/>
      <c r="AK199" s="97"/>
    </row>
    <row r="200" spans="1:37" x14ac:dyDescent="0.4">
      <c r="A200" s="441" t="s">
        <v>867</v>
      </c>
      <c r="B200" s="442"/>
      <c r="C200" s="393">
        <v>15000000</v>
      </c>
      <c r="D200" s="360"/>
      <c r="E200" s="2"/>
      <c r="F200" s="2"/>
      <c r="G200" s="2"/>
      <c r="H200" s="2"/>
      <c r="I200" s="484"/>
      <c r="J200" s="484"/>
      <c r="K200" s="2"/>
      <c r="L200" s="2"/>
      <c r="M200" s="2"/>
      <c r="N200" s="2"/>
      <c r="O200" s="2"/>
      <c r="P200" s="2"/>
      <c r="Q200" s="2"/>
      <c r="R200" s="2"/>
      <c r="S200" s="2"/>
      <c r="T200" s="2"/>
      <c r="U200" s="2"/>
      <c r="V200" s="2"/>
      <c r="W200" s="2"/>
      <c r="X200" s="2"/>
      <c r="Y200" s="2"/>
      <c r="Z200" s="2"/>
      <c r="AA200" s="2"/>
      <c r="AB200" s="2"/>
      <c r="AC200" s="2"/>
      <c r="AD200" s="2"/>
      <c r="AE200" s="296"/>
      <c r="AJ200" s="3"/>
      <c r="AK200" s="97"/>
    </row>
    <row r="201" spans="1:37" x14ac:dyDescent="0.4">
      <c r="A201" s="441" t="s">
        <v>909</v>
      </c>
      <c r="B201" s="442"/>
      <c r="C201" s="393">
        <f>30000000-2900000-150000+450000+15000000</f>
        <v>42400000</v>
      </c>
      <c r="D201" s="360"/>
      <c r="E201" s="2"/>
      <c r="F201" s="2"/>
      <c r="G201" s="2"/>
      <c r="H201" s="2"/>
      <c r="I201" s="484"/>
      <c r="J201" s="484"/>
      <c r="K201" s="2"/>
      <c r="L201" s="2"/>
      <c r="M201" s="2"/>
      <c r="N201" s="2"/>
      <c r="O201" s="2"/>
      <c r="P201" s="2"/>
      <c r="Q201" s="2"/>
      <c r="R201" s="2"/>
      <c r="S201" s="2"/>
      <c r="T201" s="2"/>
      <c r="U201" s="2"/>
      <c r="V201" s="2"/>
      <c r="W201" s="2"/>
      <c r="X201" s="2"/>
      <c r="Y201" s="2"/>
      <c r="Z201" s="2"/>
      <c r="AA201" s="2"/>
      <c r="AB201" s="2"/>
      <c r="AC201" s="2"/>
      <c r="AD201" s="2"/>
      <c r="AE201" s="296"/>
      <c r="AJ201" s="3"/>
      <c r="AK201" s="97"/>
    </row>
    <row r="202" spans="1:37" x14ac:dyDescent="0.4">
      <c r="A202" s="441" t="s">
        <v>943</v>
      </c>
      <c r="B202" s="442"/>
      <c r="C202" s="393">
        <v>3000000</v>
      </c>
      <c r="D202" s="360"/>
      <c r="E202" s="2"/>
      <c r="F202" s="2"/>
      <c r="G202" s="2"/>
      <c r="H202" s="2"/>
      <c r="I202" s="484"/>
      <c r="J202" s="484"/>
      <c r="K202" s="2"/>
      <c r="L202" s="2"/>
      <c r="M202" s="2"/>
      <c r="N202" s="2"/>
      <c r="O202" s="2"/>
      <c r="P202" s="2"/>
      <c r="Q202" s="2"/>
      <c r="R202" s="2"/>
      <c r="S202" s="2"/>
      <c r="T202" s="2"/>
      <c r="U202" s="2"/>
      <c r="V202" s="2"/>
      <c r="W202" s="2"/>
      <c r="X202" s="2"/>
      <c r="Y202" s="2"/>
      <c r="Z202" s="2"/>
      <c r="AA202" s="2"/>
      <c r="AB202" s="2"/>
      <c r="AC202" s="2"/>
      <c r="AD202" s="2"/>
      <c r="AE202" s="296"/>
      <c r="AJ202" s="3"/>
      <c r="AK202" s="97"/>
    </row>
    <row r="203" spans="1:37" x14ac:dyDescent="0.4">
      <c r="A203" s="441" t="s">
        <v>947</v>
      </c>
      <c r="B203" s="442"/>
      <c r="C203" s="393">
        <f>3000000-500000+90000-500000+77000</f>
        <v>2167000</v>
      </c>
      <c r="D203" s="360"/>
      <c r="E203" s="2"/>
      <c r="F203" s="2"/>
      <c r="G203" s="2"/>
      <c r="H203" s="2"/>
      <c r="I203" s="484"/>
      <c r="J203" s="484"/>
      <c r="K203" s="2"/>
      <c r="L203" s="2"/>
      <c r="M203" s="2"/>
      <c r="N203" s="2"/>
      <c r="O203" s="2"/>
      <c r="P203" s="2"/>
      <c r="Q203" s="2"/>
      <c r="R203" s="2"/>
      <c r="S203" s="2"/>
      <c r="T203" s="2"/>
      <c r="U203" s="2"/>
      <c r="V203" s="2"/>
      <c r="W203" s="2"/>
      <c r="X203" s="2"/>
      <c r="Y203" s="2"/>
      <c r="Z203" s="2"/>
      <c r="AA203" s="2"/>
      <c r="AB203" s="2"/>
      <c r="AC203" s="2"/>
      <c r="AD203" s="2"/>
      <c r="AE203" s="296"/>
      <c r="AJ203" s="3"/>
      <c r="AK203" s="97"/>
    </row>
    <row r="204" spans="1:37" x14ac:dyDescent="0.4">
      <c r="A204" s="441" t="s">
        <v>984</v>
      </c>
      <c r="B204" s="442"/>
      <c r="C204" s="393">
        <f>30000000-450000+450000</f>
        <v>30000000</v>
      </c>
      <c r="D204" s="360"/>
      <c r="E204" s="2"/>
      <c r="F204" s="2"/>
      <c r="G204" s="2"/>
      <c r="H204" s="2"/>
      <c r="I204" s="484"/>
      <c r="J204" s="484"/>
      <c r="K204" s="2"/>
      <c r="L204" s="2"/>
      <c r="M204" s="2"/>
      <c r="N204" s="2"/>
      <c r="O204" s="2"/>
      <c r="P204" s="2"/>
      <c r="Q204" s="2"/>
      <c r="R204" s="2"/>
      <c r="S204" s="2"/>
      <c r="T204" s="2"/>
      <c r="U204" s="2"/>
      <c r="V204" s="2"/>
      <c r="W204" s="2"/>
      <c r="X204" s="2"/>
      <c r="Y204" s="2"/>
      <c r="Z204" s="2"/>
      <c r="AA204" s="2"/>
      <c r="AB204" s="2"/>
      <c r="AC204" s="2"/>
      <c r="AD204" s="2"/>
      <c r="AE204" s="296"/>
      <c r="AJ204" s="3"/>
      <c r="AK204" s="97"/>
    </row>
    <row r="205" spans="1:37" x14ac:dyDescent="0.4">
      <c r="A205" s="441" t="s">
        <v>1017</v>
      </c>
      <c r="B205" s="442"/>
      <c r="C205" s="393">
        <v>2000000</v>
      </c>
      <c r="D205" s="360"/>
      <c r="E205" s="2"/>
      <c r="F205" s="2"/>
      <c r="G205" s="2"/>
      <c r="H205" s="2"/>
      <c r="I205" s="484"/>
      <c r="J205" s="484"/>
      <c r="K205" s="2"/>
      <c r="L205" s="2"/>
      <c r="M205" s="2"/>
      <c r="N205" s="2"/>
      <c r="O205" s="2"/>
      <c r="P205" s="2"/>
      <c r="Q205" s="2"/>
      <c r="R205" s="2"/>
      <c r="S205" s="2"/>
      <c r="T205" s="2"/>
      <c r="U205" s="2"/>
      <c r="V205" s="2"/>
      <c r="W205" s="2"/>
      <c r="X205" s="2"/>
      <c r="Y205" s="2"/>
      <c r="Z205" s="2"/>
      <c r="AA205" s="2"/>
      <c r="AB205" s="2"/>
      <c r="AC205" s="2"/>
      <c r="AD205" s="2"/>
      <c r="AE205" s="296"/>
      <c r="AJ205" s="3"/>
      <c r="AK205" s="97"/>
    </row>
    <row r="206" spans="1:37" x14ac:dyDescent="0.4">
      <c r="A206" s="441" t="s">
        <v>1022</v>
      </c>
      <c r="B206" s="442"/>
      <c r="C206" s="393">
        <f>1000000-1000000+30000</f>
        <v>30000</v>
      </c>
      <c r="D206" s="360"/>
      <c r="E206" s="2"/>
      <c r="F206" s="2"/>
      <c r="G206" s="2"/>
      <c r="H206" s="2"/>
      <c r="I206" s="484"/>
      <c r="J206" s="484"/>
      <c r="K206" s="2"/>
      <c r="L206" s="2"/>
      <c r="M206" s="2"/>
      <c r="N206" s="2"/>
      <c r="O206" s="2"/>
      <c r="P206" s="2"/>
      <c r="Q206" s="2"/>
      <c r="R206" s="2"/>
      <c r="S206" s="2"/>
      <c r="T206" s="2"/>
      <c r="U206" s="2"/>
      <c r="V206" s="2"/>
      <c r="W206" s="2"/>
      <c r="X206" s="2"/>
      <c r="Y206" s="2"/>
      <c r="Z206" s="2"/>
      <c r="AA206" s="2"/>
      <c r="AB206" s="2"/>
      <c r="AC206" s="2"/>
      <c r="AD206" s="2"/>
      <c r="AE206" s="296"/>
      <c r="AJ206" s="3"/>
      <c r="AK206" s="97"/>
    </row>
    <row r="207" spans="1:37" x14ac:dyDescent="0.4">
      <c r="A207" s="441" t="s">
        <v>1021</v>
      </c>
      <c r="B207" s="442"/>
      <c r="C207" s="393">
        <f>1800000-1100000+54000</f>
        <v>754000</v>
      </c>
      <c r="D207" s="360"/>
      <c r="E207" s="2"/>
      <c r="F207" s="2"/>
      <c r="G207" s="2"/>
      <c r="H207" s="2"/>
      <c r="I207" s="484"/>
      <c r="J207" s="484"/>
      <c r="K207" s="2"/>
      <c r="L207" s="2"/>
      <c r="M207" s="2"/>
      <c r="N207" s="2"/>
      <c r="O207" s="2"/>
      <c r="P207" s="2"/>
      <c r="Q207" s="2"/>
      <c r="R207" s="2"/>
      <c r="S207" s="2"/>
      <c r="T207" s="2"/>
      <c r="U207" s="2"/>
      <c r="V207" s="2"/>
      <c r="W207" s="2"/>
      <c r="X207" s="2"/>
      <c r="Y207" s="2"/>
      <c r="Z207" s="2"/>
      <c r="AA207" s="2"/>
      <c r="AB207" s="2"/>
      <c r="AC207" s="2"/>
      <c r="AD207" s="2"/>
      <c r="AE207" s="296"/>
      <c r="AJ207" s="3"/>
      <c r="AK207" s="97"/>
    </row>
    <row r="208" spans="1:37" x14ac:dyDescent="0.4">
      <c r="A208" s="441" t="s">
        <v>1023</v>
      </c>
      <c r="B208" s="442"/>
      <c r="C208" s="393">
        <f>10000000-1866667+150000</f>
        <v>8283333</v>
      </c>
      <c r="D208" s="360"/>
      <c r="E208" s="2"/>
      <c r="F208" s="2"/>
      <c r="G208" s="2"/>
      <c r="H208" s="2"/>
      <c r="I208" s="484"/>
      <c r="J208" s="484"/>
      <c r="K208" s="2"/>
      <c r="L208" s="2"/>
      <c r="M208" s="2"/>
      <c r="N208" s="2"/>
      <c r="O208" s="2"/>
      <c r="P208" s="2"/>
      <c r="Q208" s="2"/>
      <c r="R208" s="2"/>
      <c r="S208" s="2"/>
      <c r="T208" s="2"/>
      <c r="U208" s="2"/>
      <c r="V208" s="2"/>
      <c r="W208" s="2"/>
      <c r="X208" s="2"/>
      <c r="Y208" s="2"/>
      <c r="Z208" s="2"/>
      <c r="AA208" s="2"/>
      <c r="AB208" s="2"/>
      <c r="AC208" s="2"/>
      <c r="AD208" s="2"/>
      <c r="AE208" s="296"/>
      <c r="AJ208" s="3"/>
      <c r="AK208" s="97"/>
    </row>
    <row r="209" spans="1:37" x14ac:dyDescent="0.4">
      <c r="A209" s="441" t="s">
        <v>1033</v>
      </c>
      <c r="B209" s="442"/>
      <c r="C209" s="393">
        <f>2600000-2600000</f>
        <v>0</v>
      </c>
      <c r="D209" s="360"/>
      <c r="E209" s="2"/>
      <c r="F209" s="2"/>
      <c r="G209" s="2"/>
      <c r="H209" s="2"/>
      <c r="I209" s="484"/>
      <c r="J209" s="484"/>
      <c r="K209" s="2"/>
      <c r="L209" s="2"/>
      <c r="M209" s="2"/>
      <c r="N209" s="2"/>
      <c r="O209" s="2"/>
      <c r="P209" s="2"/>
      <c r="Q209" s="2"/>
      <c r="R209" s="2"/>
      <c r="S209" s="2"/>
      <c r="T209" s="2"/>
      <c r="U209" s="2"/>
      <c r="V209" s="2"/>
      <c r="W209" s="2"/>
      <c r="X209" s="2"/>
      <c r="Y209" s="2"/>
      <c r="Z209" s="2"/>
      <c r="AA209" s="2"/>
      <c r="AB209" s="2"/>
      <c r="AC209" s="2"/>
      <c r="AD209" s="2"/>
      <c r="AE209" s="296"/>
      <c r="AJ209" s="3"/>
      <c r="AK209" s="97"/>
    </row>
    <row r="210" spans="1:37" x14ac:dyDescent="0.4">
      <c r="A210" s="441" t="s">
        <v>1043</v>
      </c>
      <c r="B210" s="442"/>
      <c r="C210" s="393">
        <v>3500000</v>
      </c>
      <c r="D210" s="360"/>
      <c r="E210" s="2"/>
      <c r="F210" s="2"/>
      <c r="G210" s="2"/>
      <c r="H210" s="2"/>
      <c r="I210" s="484"/>
      <c r="J210" s="484"/>
      <c r="K210" s="2"/>
      <c r="L210" s="2"/>
      <c r="M210" s="2"/>
      <c r="N210" s="2"/>
      <c r="O210" s="2"/>
      <c r="P210" s="2"/>
      <c r="Q210" s="2"/>
      <c r="R210" s="2"/>
      <c r="S210" s="2"/>
      <c r="T210" s="2"/>
      <c r="U210" s="2"/>
      <c r="V210" s="2"/>
      <c r="W210" s="2"/>
      <c r="X210" s="2"/>
      <c r="Y210" s="2"/>
      <c r="Z210" s="2"/>
      <c r="AA210" s="2"/>
      <c r="AB210" s="2"/>
      <c r="AC210" s="2"/>
      <c r="AD210" s="2"/>
      <c r="AE210" s="296"/>
      <c r="AJ210" s="3"/>
      <c r="AK210" s="97"/>
    </row>
    <row r="211" spans="1:37" x14ac:dyDescent="0.4">
      <c r="A211" s="441" t="s">
        <v>1058</v>
      </c>
      <c r="B211" s="442"/>
      <c r="C211" s="393">
        <v>12000000</v>
      </c>
      <c r="D211" s="360"/>
      <c r="E211" s="2"/>
      <c r="F211" s="2"/>
      <c r="G211" s="2"/>
      <c r="H211" s="2"/>
      <c r="I211" s="484"/>
      <c r="J211" s="484"/>
      <c r="K211" s="2"/>
      <c r="L211" s="2"/>
      <c r="M211" s="2"/>
      <c r="N211" s="2"/>
      <c r="O211" s="2"/>
      <c r="P211" s="2"/>
      <c r="Q211" s="2"/>
      <c r="R211" s="2"/>
      <c r="S211" s="2"/>
      <c r="T211" s="2"/>
      <c r="U211" s="2"/>
      <c r="V211" s="2"/>
      <c r="W211" s="2"/>
      <c r="X211" s="2"/>
      <c r="Y211" s="2"/>
      <c r="Z211" s="2"/>
      <c r="AA211" s="2"/>
      <c r="AB211" s="2"/>
      <c r="AC211" s="2"/>
      <c r="AD211" s="2"/>
      <c r="AE211" s="296"/>
      <c r="AJ211" s="3"/>
      <c r="AK211" s="97"/>
    </row>
    <row r="212" spans="1:37" x14ac:dyDescent="0.4">
      <c r="A212" s="441" t="s">
        <v>1082</v>
      </c>
      <c r="B212" s="442"/>
      <c r="C212" s="393">
        <v>6000000</v>
      </c>
      <c r="D212" s="360"/>
      <c r="E212" s="2"/>
      <c r="F212" s="2"/>
      <c r="G212" s="2"/>
      <c r="H212" s="2"/>
      <c r="I212" s="484"/>
      <c r="J212" s="484"/>
      <c r="K212" s="2"/>
      <c r="L212" s="2"/>
      <c r="M212" s="2"/>
      <c r="N212" s="2"/>
      <c r="O212" s="2"/>
      <c r="P212" s="2"/>
      <c r="Q212" s="2"/>
      <c r="R212" s="2"/>
      <c r="S212" s="2"/>
      <c r="T212" s="2"/>
      <c r="U212" s="2"/>
      <c r="V212" s="2"/>
      <c r="W212" s="2"/>
      <c r="X212" s="2"/>
      <c r="Y212" s="2"/>
      <c r="Z212" s="2"/>
      <c r="AA212" s="2"/>
      <c r="AB212" s="2"/>
      <c r="AC212" s="2"/>
      <c r="AD212" s="2"/>
      <c r="AE212" s="296"/>
      <c r="AJ212" s="3"/>
      <c r="AK212" s="97"/>
    </row>
    <row r="213" spans="1:37" x14ac:dyDescent="0.4">
      <c r="A213" s="441" t="s">
        <v>1081</v>
      </c>
      <c r="B213" s="442"/>
      <c r="C213" s="393">
        <v>5000000</v>
      </c>
      <c r="D213" s="360"/>
      <c r="E213" s="2"/>
      <c r="F213" s="2"/>
      <c r="G213" s="2"/>
      <c r="H213" s="2"/>
      <c r="I213" s="484"/>
      <c r="J213" s="484"/>
      <c r="K213" s="2"/>
      <c r="L213" s="2"/>
      <c r="M213" s="2"/>
      <c r="N213" s="2"/>
      <c r="O213" s="2"/>
      <c r="P213" s="2"/>
      <c r="Q213" s="2"/>
      <c r="R213" s="2"/>
      <c r="S213" s="2"/>
      <c r="T213" s="2"/>
      <c r="U213" s="2"/>
      <c r="V213" s="2"/>
      <c r="W213" s="2"/>
      <c r="X213" s="2"/>
      <c r="Y213" s="2"/>
      <c r="Z213" s="2"/>
      <c r="AA213" s="2"/>
      <c r="AB213" s="2"/>
      <c r="AC213" s="2"/>
      <c r="AD213" s="2"/>
      <c r="AE213" s="296"/>
      <c r="AJ213" s="3"/>
      <c r="AK213" s="97"/>
    </row>
    <row r="214" spans="1:37" x14ac:dyDescent="0.4">
      <c r="A214" s="441" t="s">
        <v>1292</v>
      </c>
      <c r="B214" s="442"/>
      <c r="C214" s="393">
        <v>2500000</v>
      </c>
      <c r="D214" s="360"/>
      <c r="E214" s="2"/>
      <c r="F214" s="2"/>
      <c r="G214" s="2"/>
      <c r="H214" s="2"/>
      <c r="I214" s="484"/>
      <c r="J214" s="484"/>
      <c r="K214" s="2"/>
      <c r="L214" s="2"/>
      <c r="M214" s="2"/>
      <c r="N214" s="2"/>
      <c r="O214" s="2"/>
      <c r="P214" s="2"/>
      <c r="Q214" s="2"/>
      <c r="R214" s="2"/>
      <c r="S214" s="2"/>
      <c r="T214" s="2"/>
      <c r="U214" s="2"/>
      <c r="V214" s="2"/>
      <c r="W214" s="2"/>
      <c r="X214" s="2"/>
      <c r="Y214" s="2"/>
      <c r="Z214" s="2"/>
      <c r="AA214" s="2"/>
      <c r="AB214" s="2"/>
      <c r="AC214" s="2"/>
      <c r="AD214" s="2"/>
      <c r="AE214" s="296"/>
      <c r="AJ214" s="3"/>
      <c r="AK214" s="97"/>
    </row>
    <row r="215" spans="1:37" x14ac:dyDescent="0.4">
      <c r="A215" s="441" t="s">
        <v>1301</v>
      </c>
      <c r="B215" s="442"/>
      <c r="C215" s="393">
        <v>2000000</v>
      </c>
      <c r="D215" s="360"/>
      <c r="E215" s="2"/>
      <c r="F215" s="2"/>
      <c r="G215" s="2"/>
      <c r="H215" s="2"/>
      <c r="I215" s="484"/>
      <c r="J215" s="484"/>
      <c r="K215" s="2"/>
      <c r="L215" s="2"/>
      <c r="M215" s="2"/>
      <c r="N215" s="2"/>
      <c r="O215" s="2"/>
      <c r="P215" s="2"/>
      <c r="Q215" s="2"/>
      <c r="R215" s="2"/>
      <c r="S215" s="2"/>
      <c r="T215" s="2"/>
      <c r="U215" s="2"/>
      <c r="V215" s="2"/>
      <c r="W215" s="2"/>
      <c r="X215" s="2"/>
      <c r="Y215" s="2"/>
      <c r="Z215" s="2"/>
      <c r="AA215" s="2"/>
      <c r="AB215" s="2"/>
      <c r="AC215" s="2"/>
      <c r="AD215" s="2"/>
      <c r="AE215" s="296"/>
      <c r="AJ215" s="3"/>
      <c r="AK215" s="97"/>
    </row>
    <row r="216" spans="1:37" x14ac:dyDescent="0.4">
      <c r="A216" s="746" t="s">
        <v>418</v>
      </c>
      <c r="B216" s="747"/>
      <c r="C216" s="395">
        <f>SUM(C182:C215)</f>
        <v>335263945</v>
      </c>
      <c r="D216" s="360"/>
      <c r="E216" s="2"/>
      <c r="F216" s="2"/>
      <c r="G216" s="2"/>
      <c r="H216" s="2"/>
      <c r="I216" s="484"/>
      <c r="J216" s="484"/>
      <c r="K216" s="2"/>
      <c r="L216" s="2"/>
      <c r="M216" s="2"/>
      <c r="N216" s="2"/>
      <c r="O216" s="2"/>
      <c r="P216" s="2"/>
      <c r="Q216" s="2"/>
      <c r="R216" s="2"/>
      <c r="S216" s="2"/>
      <c r="T216" s="2"/>
      <c r="U216" s="2"/>
      <c r="V216" s="2"/>
      <c r="W216" s="2"/>
      <c r="X216" s="2"/>
      <c r="Y216" s="2"/>
      <c r="Z216" s="2"/>
      <c r="AA216" s="2"/>
      <c r="AB216" s="2"/>
      <c r="AC216" s="2"/>
      <c r="AD216" s="2"/>
      <c r="AE216" s="296"/>
      <c r="AJ216" s="3" t="s">
        <v>540</v>
      </c>
      <c r="AK216" s="97">
        <v>9488693.2000000477</v>
      </c>
    </row>
    <row r="217" spans="1:37" x14ac:dyDescent="0.4">
      <c r="A217" s="362" t="s">
        <v>419</v>
      </c>
      <c r="B217" s="362" t="s">
        <v>496</v>
      </c>
      <c r="C217" s="258">
        <f>MIKOPO!F135</f>
        <v>33846563.519999996</v>
      </c>
      <c r="D217" s="360"/>
      <c r="E217" s="2"/>
      <c r="F217" s="2"/>
      <c r="G217" s="2"/>
      <c r="H217" s="2"/>
      <c r="I217" s="484"/>
      <c r="J217" s="484"/>
      <c r="K217" s="2"/>
      <c r="L217" s="2"/>
      <c r="M217" s="2"/>
      <c r="N217" s="2"/>
      <c r="O217" s="2"/>
      <c r="P217" s="2"/>
      <c r="Q217" s="2"/>
      <c r="R217" s="2"/>
      <c r="S217" s="2"/>
      <c r="T217" s="2"/>
      <c r="U217" s="2"/>
      <c r="V217" s="2"/>
      <c r="W217" s="2"/>
      <c r="X217" s="2"/>
      <c r="Y217" s="2"/>
      <c r="Z217" s="2"/>
      <c r="AA217" s="2"/>
      <c r="AB217" s="2"/>
      <c r="AC217" s="2"/>
      <c r="AD217" s="2"/>
      <c r="AE217" s="296"/>
      <c r="AJ217" s="3" t="s">
        <v>541</v>
      </c>
      <c r="AK217" s="97">
        <v>7559222.2700000405</v>
      </c>
    </row>
    <row r="218" spans="1:37" x14ac:dyDescent="0.4">
      <c r="A218" s="743" t="s">
        <v>1123</v>
      </c>
      <c r="B218" s="743"/>
      <c r="C218" s="393">
        <f>'DETAILS (sorted)'!BM166</f>
        <v>1069216.7900000066</v>
      </c>
      <c r="D218" s="360"/>
      <c r="E218" s="2"/>
      <c r="F218" s="2"/>
      <c r="G218" s="2"/>
      <c r="H218" s="2"/>
      <c r="I218" s="484"/>
      <c r="J218" s="484"/>
      <c r="K218" s="2"/>
      <c r="L218" s="2"/>
      <c r="M218" s="2"/>
      <c r="N218" s="2"/>
      <c r="O218" s="2"/>
      <c r="P218" s="2"/>
      <c r="Q218" s="2"/>
      <c r="R218" s="2"/>
      <c r="S218" s="2"/>
      <c r="T218" s="2"/>
      <c r="U218" s="2"/>
      <c r="V218" s="2"/>
      <c r="W218" s="2"/>
      <c r="X218" s="2"/>
      <c r="Y218" s="2"/>
      <c r="Z218" s="2"/>
      <c r="AA218" s="2"/>
      <c r="AB218" s="2"/>
      <c r="AC218" s="2"/>
      <c r="AD218" s="82"/>
      <c r="AE218" s="296"/>
      <c r="AJ218" s="191" t="s">
        <v>542</v>
      </c>
      <c r="AK218" s="130">
        <v>1929470.9300000072</v>
      </c>
    </row>
    <row r="219" spans="1:37" x14ac:dyDescent="0.4">
      <c r="A219" s="743" t="s">
        <v>1124</v>
      </c>
      <c r="B219" s="743"/>
      <c r="C219" s="393">
        <f>'DETAILS (sorted)'!DS172</f>
        <v>1311318.5099999905</v>
      </c>
      <c r="D219" s="360"/>
      <c r="E219" s="2"/>
      <c r="F219" s="2"/>
      <c r="G219" s="2"/>
      <c r="H219" s="2"/>
      <c r="I219" s="484"/>
      <c r="J219" s="484"/>
      <c r="K219" s="2"/>
      <c r="L219" s="2"/>
      <c r="M219" s="2"/>
      <c r="N219" s="2"/>
      <c r="O219" s="2"/>
      <c r="P219" s="2"/>
      <c r="Q219" s="2"/>
      <c r="R219" s="2"/>
      <c r="S219" s="2"/>
      <c r="T219" s="2"/>
      <c r="U219" s="2"/>
      <c r="V219" s="2"/>
      <c r="W219" s="2"/>
      <c r="X219" s="2"/>
      <c r="Y219" s="2"/>
      <c r="Z219" s="2"/>
      <c r="AA219" s="2"/>
      <c r="AB219" s="2"/>
      <c r="AC219" s="2"/>
      <c r="AD219" s="2"/>
      <c r="AE219" s="296"/>
    </row>
    <row r="220" spans="1:37" x14ac:dyDescent="0.4">
      <c r="A220" s="195" t="s">
        <v>1125</v>
      </c>
      <c r="B220" s="195"/>
      <c r="C220" s="393">
        <v>2000000</v>
      </c>
      <c r="D220" s="360"/>
      <c r="E220" s="2"/>
      <c r="F220" s="2"/>
      <c r="G220" s="2"/>
      <c r="H220" s="2"/>
      <c r="I220" s="484"/>
      <c r="J220" s="484"/>
      <c r="K220" s="2"/>
      <c r="L220" s="2"/>
      <c r="M220" s="2"/>
      <c r="N220" s="2"/>
      <c r="O220" s="2"/>
      <c r="P220" s="2"/>
      <c r="Q220" s="2"/>
      <c r="R220" s="2"/>
      <c r="S220" s="2"/>
      <c r="T220" s="2"/>
      <c r="U220" s="2"/>
      <c r="V220" s="2"/>
      <c r="W220" s="2"/>
      <c r="X220" s="2"/>
      <c r="Y220" s="2"/>
      <c r="Z220" s="2"/>
      <c r="AA220" s="2"/>
      <c r="AB220" s="2"/>
      <c r="AC220" s="2"/>
      <c r="AD220" s="2"/>
      <c r="AE220" s="296"/>
    </row>
    <row r="221" spans="1:37" x14ac:dyDescent="0.4">
      <c r="A221" s="195" t="s">
        <v>1126</v>
      </c>
      <c r="B221" s="195"/>
      <c r="C221" s="393">
        <v>2021245.700000003</v>
      </c>
      <c r="D221" s="360"/>
      <c r="E221" s="2"/>
      <c r="F221" s="2"/>
      <c r="G221" s="2"/>
      <c r="H221" s="2"/>
      <c r="I221" s="484"/>
      <c r="J221" s="484"/>
      <c r="K221" s="2"/>
      <c r="L221" s="2"/>
      <c r="M221" s="2"/>
      <c r="N221" s="2"/>
      <c r="O221" s="2"/>
      <c r="P221" s="2"/>
      <c r="Q221" s="2"/>
      <c r="R221" s="2"/>
      <c r="S221" s="2"/>
      <c r="T221" s="2"/>
      <c r="U221" s="2"/>
      <c r="V221" s="2"/>
      <c r="W221" s="2"/>
      <c r="X221" s="2"/>
      <c r="Y221" s="2"/>
      <c r="Z221" s="2"/>
      <c r="AA221" s="2"/>
      <c r="AB221" s="2"/>
      <c r="AC221" s="2"/>
      <c r="AD221" s="2"/>
      <c r="AE221" s="296"/>
    </row>
    <row r="222" spans="1:37" x14ac:dyDescent="0.4">
      <c r="A222" s="195" t="s">
        <v>1127</v>
      </c>
      <c r="B222" s="195"/>
      <c r="C222" s="393">
        <f>4500000+1000000</f>
        <v>5500000</v>
      </c>
      <c r="D222" s="360"/>
      <c r="E222" s="2"/>
      <c r="F222" s="2"/>
      <c r="G222" s="2"/>
      <c r="H222" s="2"/>
      <c r="I222" s="484"/>
      <c r="J222" s="484"/>
      <c r="K222" s="2"/>
      <c r="L222" s="2"/>
      <c r="M222" s="2"/>
      <c r="N222" s="2"/>
      <c r="O222" s="2"/>
      <c r="P222" s="2"/>
      <c r="Q222" s="2"/>
      <c r="R222" s="2"/>
      <c r="S222" s="2"/>
      <c r="T222" s="2"/>
      <c r="U222" s="2"/>
      <c r="V222" s="2"/>
      <c r="W222" s="2"/>
      <c r="X222" s="2"/>
      <c r="Y222" s="2"/>
      <c r="Z222" s="2"/>
      <c r="AA222" s="2"/>
      <c r="AB222" s="2"/>
      <c r="AC222" s="2"/>
      <c r="AD222" s="2"/>
      <c r="AE222" s="296"/>
    </row>
    <row r="223" spans="1:37" x14ac:dyDescent="0.4">
      <c r="A223" s="195" t="s">
        <v>1128</v>
      </c>
      <c r="B223" s="195"/>
      <c r="C223" s="393">
        <v>3157441.2700000405</v>
      </c>
      <c r="D223" s="360"/>
      <c r="E223" s="2"/>
      <c r="F223" s="2"/>
      <c r="G223" s="2"/>
      <c r="H223" s="2"/>
      <c r="I223" s="484"/>
      <c r="J223" s="484"/>
      <c r="K223" s="2"/>
      <c r="L223" s="2"/>
      <c r="M223" s="2"/>
      <c r="N223" s="2"/>
      <c r="O223" s="2"/>
      <c r="P223" s="2"/>
      <c r="Q223" s="2"/>
      <c r="R223" s="2"/>
      <c r="S223" s="2"/>
      <c r="T223" s="2"/>
      <c r="U223" s="2"/>
      <c r="V223" s="2"/>
      <c r="W223" s="2"/>
      <c r="X223" s="2"/>
      <c r="Y223" s="2"/>
      <c r="Z223" s="2"/>
      <c r="AA223" s="2"/>
      <c r="AB223" s="2"/>
      <c r="AC223" s="2"/>
      <c r="AD223" s="2"/>
      <c r="AE223" s="296"/>
    </row>
    <row r="224" spans="1:37" x14ac:dyDescent="0.4">
      <c r="A224" s="195" t="s">
        <v>1129</v>
      </c>
      <c r="B224" s="195"/>
      <c r="C224" s="393">
        <v>250000</v>
      </c>
      <c r="D224" s="360"/>
      <c r="E224" s="2"/>
      <c r="F224" s="2"/>
      <c r="G224" s="2"/>
      <c r="H224" s="2"/>
      <c r="I224" s="484"/>
      <c r="J224" s="484"/>
      <c r="K224" s="2"/>
      <c r="L224" s="2"/>
      <c r="M224" s="2"/>
      <c r="N224" s="2"/>
      <c r="O224" s="2"/>
      <c r="P224" s="2"/>
      <c r="Q224" s="2"/>
      <c r="R224" s="2"/>
      <c r="S224" s="2"/>
      <c r="T224" s="2"/>
      <c r="U224" s="2"/>
      <c r="V224" s="2"/>
      <c r="W224" s="2"/>
      <c r="X224" s="2"/>
      <c r="Y224" s="2"/>
      <c r="Z224" s="2"/>
      <c r="AA224" s="2"/>
      <c r="AB224" s="2"/>
      <c r="AC224" s="2"/>
      <c r="AD224" s="2"/>
      <c r="AE224" s="296"/>
      <c r="AJ224" s="213"/>
    </row>
    <row r="225" spans="1:42" x14ac:dyDescent="0.4">
      <c r="A225" s="195" t="s">
        <v>1130</v>
      </c>
      <c r="B225" s="195"/>
      <c r="C225" s="393">
        <v>500000</v>
      </c>
      <c r="D225" s="360"/>
      <c r="E225" s="2"/>
      <c r="F225" s="2"/>
      <c r="G225" s="2"/>
      <c r="H225" s="2"/>
      <c r="I225" s="484"/>
      <c r="J225" s="484"/>
      <c r="K225" s="2"/>
      <c r="L225" s="2"/>
      <c r="M225" s="2"/>
      <c r="N225" s="2"/>
      <c r="O225" s="2"/>
      <c r="P225" s="2"/>
      <c r="Q225" s="2"/>
      <c r="R225" s="2"/>
      <c r="S225" s="2"/>
      <c r="T225" s="2"/>
      <c r="U225" s="2"/>
      <c r="V225" s="2"/>
      <c r="W225" s="2"/>
      <c r="X225" s="2"/>
      <c r="Y225" s="2"/>
      <c r="Z225" s="2"/>
      <c r="AA225" s="2"/>
      <c r="AB225" s="2"/>
      <c r="AC225" s="2"/>
      <c r="AD225" s="2"/>
      <c r="AE225" s="296"/>
      <c r="AJ225" s="213"/>
    </row>
    <row r="226" spans="1:42" x14ac:dyDescent="0.4">
      <c r="A226" s="195" t="s">
        <v>1131</v>
      </c>
      <c r="B226" s="195"/>
      <c r="C226" s="393">
        <f>AK218</f>
        <v>1929470.9300000072</v>
      </c>
      <c r="D226" s="360"/>
      <c r="E226" s="2"/>
      <c r="F226" s="2"/>
      <c r="G226" s="2"/>
      <c r="H226" s="2"/>
      <c r="I226" s="484"/>
      <c r="J226" s="484"/>
      <c r="K226" s="2"/>
      <c r="L226" s="2"/>
      <c r="M226" s="2"/>
      <c r="N226" s="2"/>
      <c r="O226" s="2"/>
      <c r="P226" s="2"/>
      <c r="Q226" s="2"/>
      <c r="R226" s="2"/>
      <c r="S226" s="2"/>
      <c r="T226" s="2"/>
      <c r="U226" s="2"/>
      <c r="V226" s="2"/>
      <c r="W226" s="2"/>
      <c r="X226" s="2"/>
      <c r="Y226" s="2"/>
      <c r="Z226" s="2"/>
      <c r="AA226" s="2"/>
      <c r="AB226" s="2"/>
      <c r="AC226" s="2"/>
      <c r="AD226" s="2"/>
      <c r="AE226" s="296"/>
      <c r="AH226" s="125"/>
      <c r="AI226" s="125"/>
      <c r="AJ226" s="213"/>
      <c r="AK226" s="125"/>
      <c r="AL226" s="125"/>
      <c r="AN226" s="517"/>
      <c r="AO226" s="517"/>
      <c r="AP226" s="659"/>
    </row>
    <row r="227" spans="1:42" x14ac:dyDescent="0.4">
      <c r="A227" s="195" t="s">
        <v>1109</v>
      </c>
      <c r="B227" s="195"/>
      <c r="C227" s="393">
        <v>225000</v>
      </c>
      <c r="D227" s="360"/>
      <c r="E227" s="2"/>
      <c r="F227" s="2"/>
      <c r="G227" s="2"/>
      <c r="H227" s="2"/>
      <c r="I227" s="484"/>
      <c r="J227" s="484"/>
      <c r="K227" s="2"/>
      <c r="L227" s="2"/>
      <c r="M227" s="2"/>
      <c r="N227" s="2"/>
      <c r="O227" s="2"/>
      <c r="P227" s="2"/>
      <c r="Q227" s="2"/>
      <c r="R227" s="2"/>
      <c r="S227" s="2"/>
      <c r="T227" s="2"/>
      <c r="U227" s="2"/>
      <c r="V227" s="2"/>
      <c r="W227" s="2"/>
      <c r="X227" s="2"/>
      <c r="Y227" s="2"/>
      <c r="Z227" s="2"/>
      <c r="AA227" s="2"/>
      <c r="AB227" s="2"/>
      <c r="AC227" s="2"/>
      <c r="AD227" s="2"/>
      <c r="AE227" s="296"/>
      <c r="AH227" s="517"/>
      <c r="AI227" s="659"/>
      <c r="AJ227" s="213"/>
      <c r="AK227" s="517"/>
      <c r="AL227" s="660"/>
      <c r="AN227" s="517"/>
      <c r="AO227" s="517"/>
      <c r="AP227" s="659"/>
    </row>
    <row r="228" spans="1:42" x14ac:dyDescent="0.4">
      <c r="A228" s="195" t="s">
        <v>1110</v>
      </c>
      <c r="B228" s="195"/>
      <c r="C228" s="393">
        <v>450000</v>
      </c>
      <c r="D228" s="360"/>
      <c r="E228" s="2"/>
      <c r="F228" s="2"/>
      <c r="G228" s="2"/>
      <c r="H228" s="2"/>
      <c r="I228" s="484"/>
      <c r="J228" s="484"/>
      <c r="K228" s="2"/>
      <c r="L228" s="2"/>
      <c r="M228" s="2"/>
      <c r="N228" s="2"/>
      <c r="O228" s="2"/>
      <c r="P228" s="2"/>
      <c r="Q228" s="2"/>
      <c r="R228" s="2"/>
      <c r="S228" s="2"/>
      <c r="T228" s="2"/>
      <c r="U228" s="2"/>
      <c r="V228" s="2"/>
      <c r="W228" s="2"/>
      <c r="X228" s="2"/>
      <c r="Y228" s="2"/>
      <c r="Z228" s="2"/>
      <c r="AA228" s="2"/>
      <c r="AB228" s="2"/>
      <c r="AC228" s="2"/>
      <c r="AD228" s="2"/>
      <c r="AE228" s="296"/>
      <c r="AH228" s="517"/>
      <c r="AI228" s="659"/>
      <c r="AJ228" s="213"/>
      <c r="AK228" s="517"/>
      <c r="AL228" s="660"/>
      <c r="AN228" s="517"/>
      <c r="AO228" s="517"/>
      <c r="AP228" s="659"/>
    </row>
    <row r="229" spans="1:42" x14ac:dyDescent="0.4">
      <c r="A229" s="195" t="s">
        <v>1111</v>
      </c>
      <c r="B229" s="195"/>
      <c r="C229" s="393">
        <v>90000</v>
      </c>
      <c r="D229" s="360"/>
      <c r="E229" s="2"/>
      <c r="F229" s="2"/>
      <c r="G229" s="2"/>
      <c r="H229" s="2"/>
      <c r="I229" s="484"/>
      <c r="J229" s="484"/>
      <c r="K229" s="2"/>
      <c r="L229" s="2"/>
      <c r="M229" s="2"/>
      <c r="N229" s="2"/>
      <c r="O229" s="2"/>
      <c r="P229" s="2"/>
      <c r="Q229" s="2"/>
      <c r="R229" s="2"/>
      <c r="S229" s="2"/>
      <c r="T229" s="2"/>
      <c r="U229" s="2"/>
      <c r="V229" s="2"/>
      <c r="W229" s="2"/>
      <c r="X229" s="2"/>
      <c r="Y229" s="2"/>
      <c r="Z229" s="2"/>
      <c r="AA229" s="2"/>
      <c r="AB229" s="2"/>
      <c r="AC229" s="2"/>
      <c r="AD229" s="2"/>
      <c r="AE229" s="296"/>
      <c r="AH229" s="517"/>
      <c r="AI229" s="659"/>
      <c r="AJ229" s="213"/>
      <c r="AK229" s="517"/>
      <c r="AL229" s="660"/>
      <c r="AN229" s="517"/>
      <c r="AO229" s="517"/>
      <c r="AP229" s="659"/>
    </row>
    <row r="230" spans="1:42" x14ac:dyDescent="0.4">
      <c r="A230" s="195" t="s">
        <v>1112</v>
      </c>
      <c r="B230" s="195"/>
      <c r="C230" s="393">
        <v>450000</v>
      </c>
      <c r="D230" s="360"/>
      <c r="E230" s="2"/>
      <c r="F230" s="2"/>
      <c r="G230" s="2"/>
      <c r="H230" s="2"/>
      <c r="I230" s="484"/>
      <c r="J230" s="484"/>
      <c r="K230" s="2"/>
      <c r="L230" s="2"/>
      <c r="M230" s="2"/>
      <c r="N230" s="2"/>
      <c r="O230" s="2"/>
      <c r="P230" s="2"/>
      <c r="Q230" s="2"/>
      <c r="R230" s="2"/>
      <c r="S230" s="2"/>
      <c r="T230" s="2"/>
      <c r="U230" s="2"/>
      <c r="V230" s="2"/>
      <c r="W230" s="2"/>
      <c r="X230" s="2"/>
      <c r="Y230" s="2"/>
      <c r="Z230" s="2"/>
      <c r="AA230" s="2"/>
      <c r="AB230" s="2"/>
      <c r="AC230" s="2"/>
      <c r="AD230" s="2"/>
      <c r="AE230" s="296"/>
      <c r="AH230" s="517"/>
      <c r="AI230" s="659"/>
      <c r="AJ230" s="213"/>
      <c r="AK230" s="517"/>
      <c r="AL230" s="660"/>
      <c r="AN230" s="517"/>
      <c r="AO230" s="517"/>
      <c r="AP230" s="659"/>
    </row>
    <row r="231" spans="1:42" x14ac:dyDescent="0.4">
      <c r="A231" s="750" t="s">
        <v>1113</v>
      </c>
      <c r="B231" s="751"/>
      <c r="C231" s="393">
        <v>1891500</v>
      </c>
      <c r="D231" s="360"/>
      <c r="E231" s="2"/>
      <c r="F231" s="2"/>
      <c r="G231" s="2"/>
      <c r="H231" s="2"/>
      <c r="I231" s="484"/>
      <c r="J231" s="484"/>
      <c r="K231" s="2"/>
      <c r="L231" s="2"/>
      <c r="M231" s="2"/>
      <c r="N231" s="2"/>
      <c r="O231" s="2"/>
      <c r="P231" s="2"/>
      <c r="Q231" s="2"/>
      <c r="R231" s="2"/>
      <c r="S231" s="2"/>
      <c r="T231" s="2"/>
      <c r="U231" s="2"/>
      <c r="V231" s="2"/>
      <c r="W231" s="2"/>
      <c r="X231" s="2"/>
      <c r="Y231" s="2"/>
      <c r="Z231" s="2"/>
      <c r="AA231" s="2"/>
      <c r="AB231" s="2"/>
      <c r="AC231" s="2"/>
      <c r="AD231" s="2"/>
      <c r="AE231" s="296"/>
      <c r="AH231" s="517"/>
      <c r="AI231" s="659"/>
      <c r="AJ231" s="213"/>
      <c r="AK231" s="517"/>
      <c r="AL231" s="660"/>
      <c r="AN231" s="517"/>
      <c r="AO231" s="517"/>
      <c r="AP231" s="659"/>
    </row>
    <row r="232" spans="1:42" x14ac:dyDescent="0.4">
      <c r="A232" s="750" t="s">
        <v>1114</v>
      </c>
      <c r="B232" s="751"/>
      <c r="C232" s="393">
        <v>453375</v>
      </c>
      <c r="D232" s="360"/>
      <c r="E232" s="2"/>
      <c r="F232" s="2"/>
      <c r="G232" s="2"/>
      <c r="H232" s="2"/>
      <c r="I232" s="484"/>
      <c r="J232" s="484"/>
      <c r="K232" s="2"/>
      <c r="L232" s="2"/>
      <c r="M232" s="2"/>
      <c r="N232" s="2"/>
      <c r="O232" s="2"/>
      <c r="P232" s="2"/>
      <c r="Q232" s="2"/>
      <c r="R232" s="2"/>
      <c r="S232" s="2"/>
      <c r="T232" s="2"/>
      <c r="U232" s="2"/>
      <c r="V232" s="2"/>
      <c r="W232" s="2"/>
      <c r="X232" s="2"/>
      <c r="Y232" s="2"/>
      <c r="Z232" s="2"/>
      <c r="AA232" s="2"/>
      <c r="AB232" s="2"/>
      <c r="AC232" s="2"/>
      <c r="AD232" s="2"/>
      <c r="AE232" s="296"/>
      <c r="AH232" s="517"/>
      <c r="AI232" s="659"/>
      <c r="AJ232" s="213"/>
      <c r="AK232" s="517"/>
      <c r="AL232" s="660"/>
      <c r="AN232" s="517"/>
      <c r="AO232" s="517"/>
      <c r="AP232" s="659"/>
    </row>
    <row r="233" spans="1:42" x14ac:dyDescent="0.4">
      <c r="A233" s="750" t="s">
        <v>1115</v>
      </c>
      <c r="B233" s="751"/>
      <c r="C233" s="393">
        <v>100000</v>
      </c>
      <c r="D233" s="360"/>
      <c r="E233" s="2"/>
      <c r="F233" s="2"/>
      <c r="G233" s="2"/>
      <c r="H233" s="2"/>
      <c r="I233" s="484"/>
      <c r="J233" s="484"/>
      <c r="K233" s="2"/>
      <c r="L233" s="2"/>
      <c r="M233" s="2"/>
      <c r="N233" s="2"/>
      <c r="O233" s="2"/>
      <c r="P233" s="2"/>
      <c r="Q233" s="2"/>
      <c r="R233" s="2"/>
      <c r="S233" s="2"/>
      <c r="T233" s="2"/>
      <c r="U233" s="2"/>
      <c r="V233" s="2"/>
      <c r="W233" s="2"/>
      <c r="X233" s="2"/>
      <c r="Y233" s="2"/>
      <c r="Z233" s="2"/>
      <c r="AA233" s="2"/>
      <c r="AB233" s="2"/>
      <c r="AC233" s="2"/>
      <c r="AD233" s="2"/>
      <c r="AE233" s="296"/>
      <c r="AH233" s="517"/>
      <c r="AI233" s="517"/>
      <c r="AJ233" s="213"/>
      <c r="AK233" s="517"/>
      <c r="AL233" s="660"/>
      <c r="AN233" s="517"/>
      <c r="AO233" s="517"/>
      <c r="AP233" s="659"/>
    </row>
    <row r="234" spans="1:42" x14ac:dyDescent="0.4">
      <c r="A234" s="750" t="s">
        <v>1132</v>
      </c>
      <c r="B234" s="751"/>
      <c r="C234" s="393">
        <v>2410373.4899999499</v>
      </c>
      <c r="D234" s="360"/>
      <c r="E234" s="2"/>
      <c r="F234" s="2"/>
      <c r="G234" s="2"/>
      <c r="H234" s="2"/>
      <c r="I234" s="484"/>
      <c r="J234" s="484"/>
      <c r="K234" s="2"/>
      <c r="L234" s="2"/>
      <c r="M234" s="2"/>
      <c r="N234" s="2"/>
      <c r="O234" s="2"/>
      <c r="P234" s="2"/>
      <c r="Q234" s="2"/>
      <c r="R234" s="2"/>
      <c r="S234" s="2"/>
      <c r="T234" s="2"/>
      <c r="U234" s="2"/>
      <c r="V234" s="2"/>
      <c r="W234" s="2"/>
      <c r="X234" s="2"/>
      <c r="Y234" s="2"/>
      <c r="Z234" s="2"/>
      <c r="AA234" s="2"/>
      <c r="AB234" s="2"/>
      <c r="AC234" s="2"/>
      <c r="AD234" s="2"/>
      <c r="AE234" s="296"/>
      <c r="AH234" s="5"/>
      <c r="AI234" s="197"/>
      <c r="AJ234" s="213"/>
      <c r="AK234" s="660"/>
      <c r="AL234" s="660"/>
      <c r="AN234" s="517"/>
      <c r="AO234" s="517"/>
      <c r="AP234" s="659"/>
    </row>
    <row r="235" spans="1:42" x14ac:dyDescent="0.4">
      <c r="A235" s="195" t="s">
        <v>1099</v>
      </c>
      <c r="B235" s="195"/>
      <c r="C235" s="392">
        <v>350000</v>
      </c>
      <c r="D235" s="360"/>
      <c r="E235" s="2"/>
      <c r="F235" s="2"/>
      <c r="G235" s="2"/>
      <c r="H235" s="2"/>
      <c r="I235" s="484"/>
      <c r="J235" s="484"/>
      <c r="K235" s="2"/>
      <c r="L235" s="2"/>
      <c r="M235" s="2"/>
      <c r="N235" s="2"/>
      <c r="O235" s="2"/>
      <c r="P235" s="2"/>
      <c r="Q235" s="2"/>
      <c r="R235" s="2"/>
      <c r="S235" s="2"/>
      <c r="T235" s="2"/>
      <c r="U235" s="2"/>
      <c r="V235" s="2"/>
      <c r="W235" s="2"/>
      <c r="X235" s="2"/>
      <c r="Y235" s="2"/>
      <c r="Z235" s="2"/>
      <c r="AA235" s="2"/>
      <c r="AB235" s="2"/>
      <c r="AC235" s="2"/>
      <c r="AD235" s="2"/>
      <c r="AE235" s="296"/>
      <c r="AH235" s="517"/>
      <c r="AI235" s="197"/>
      <c r="AJ235" s="213"/>
      <c r="AK235" s="660"/>
      <c r="AL235" s="660"/>
    </row>
    <row r="236" spans="1:42" x14ac:dyDescent="0.4">
      <c r="A236" s="195" t="s">
        <v>1100</v>
      </c>
      <c r="B236" s="195"/>
      <c r="C236" s="392">
        <v>42000</v>
      </c>
      <c r="D236" s="360"/>
      <c r="E236" s="2"/>
      <c r="F236" s="2"/>
      <c r="G236" s="2"/>
      <c r="H236" s="2"/>
      <c r="I236" s="484"/>
      <c r="J236" s="484"/>
      <c r="K236" s="2"/>
      <c r="L236" s="2"/>
      <c r="M236" s="2"/>
      <c r="N236" s="2"/>
      <c r="O236" s="2"/>
      <c r="P236" s="2"/>
      <c r="Q236" s="2"/>
      <c r="R236" s="2"/>
      <c r="S236" s="2"/>
      <c r="T236" s="2"/>
      <c r="U236" s="2"/>
      <c r="V236" s="2"/>
      <c r="W236" s="2"/>
      <c r="X236" s="2"/>
      <c r="Y236" s="2"/>
      <c r="Z236" s="2"/>
      <c r="AA236" s="2"/>
      <c r="AB236" s="2"/>
      <c r="AC236" s="2"/>
      <c r="AD236" s="2"/>
      <c r="AE236" s="296"/>
      <c r="AH236" s="125"/>
      <c r="AI236" s="196"/>
      <c r="AJ236" s="213"/>
      <c r="AK236" s="517"/>
      <c r="AL236" s="660"/>
    </row>
    <row r="237" spans="1:42" x14ac:dyDescent="0.4">
      <c r="A237" s="195" t="s">
        <v>1133</v>
      </c>
      <c r="B237" s="195"/>
      <c r="C237" s="392">
        <v>645000</v>
      </c>
      <c r="D237" s="360"/>
      <c r="E237" s="2"/>
      <c r="F237" s="2"/>
      <c r="G237" s="2"/>
      <c r="H237" s="2"/>
      <c r="I237" s="484"/>
      <c r="J237" s="484"/>
      <c r="K237" s="2"/>
      <c r="L237" s="2"/>
      <c r="M237" s="2"/>
      <c r="N237" s="2"/>
      <c r="O237" s="2"/>
      <c r="P237" s="2"/>
      <c r="Q237" s="2"/>
      <c r="R237" s="2"/>
      <c r="S237" s="2"/>
      <c r="T237" s="2"/>
      <c r="U237" s="2"/>
      <c r="V237" s="2"/>
      <c r="W237" s="2"/>
      <c r="X237" s="2"/>
      <c r="Y237" s="2"/>
      <c r="Z237" s="2"/>
      <c r="AA237" s="2"/>
      <c r="AB237" s="2"/>
      <c r="AC237" s="2"/>
      <c r="AD237" s="2"/>
      <c r="AE237" s="296"/>
      <c r="AH237" s="5"/>
      <c r="AI237" s="197"/>
      <c r="AJ237" s="213"/>
      <c r="AK237" s="517"/>
      <c r="AL237" s="660"/>
    </row>
    <row r="238" spans="1:42" x14ac:dyDescent="0.4">
      <c r="A238" s="195" t="s">
        <v>1101</v>
      </c>
      <c r="B238" s="195"/>
      <c r="C238" s="392">
        <v>156750</v>
      </c>
      <c r="D238" s="360"/>
      <c r="E238" s="2"/>
      <c r="F238" s="2"/>
      <c r="G238" s="2"/>
      <c r="H238" s="2"/>
      <c r="I238" s="484"/>
      <c r="J238" s="484"/>
      <c r="K238" s="2"/>
      <c r="L238" s="2"/>
      <c r="M238" s="2"/>
      <c r="N238" s="2"/>
      <c r="O238" s="2"/>
      <c r="P238" s="2"/>
      <c r="Q238" s="2"/>
      <c r="R238" s="2"/>
      <c r="S238" s="2"/>
      <c r="T238" s="2"/>
      <c r="U238" s="2"/>
      <c r="V238" s="2"/>
      <c r="W238" s="2"/>
      <c r="X238" s="2"/>
      <c r="Y238" s="2"/>
      <c r="Z238" s="2"/>
      <c r="AA238" s="2"/>
      <c r="AB238" s="2"/>
      <c r="AC238" s="2"/>
      <c r="AD238" s="2"/>
      <c r="AE238" s="296"/>
      <c r="AH238" s="5"/>
      <c r="AI238" s="197"/>
      <c r="AJ238" s="213"/>
      <c r="AK238" s="517"/>
      <c r="AL238" s="660"/>
    </row>
    <row r="239" spans="1:42" x14ac:dyDescent="0.4">
      <c r="A239" s="195" t="s">
        <v>1102</v>
      </c>
      <c r="B239" s="195"/>
      <c r="C239" s="392">
        <v>75900</v>
      </c>
      <c r="D239" s="360"/>
      <c r="E239" s="2"/>
      <c r="F239" s="2"/>
      <c r="G239" s="2"/>
      <c r="H239" s="2"/>
      <c r="I239" s="484"/>
      <c r="J239" s="484"/>
      <c r="K239" s="2"/>
      <c r="L239" s="2"/>
      <c r="M239" s="2"/>
      <c r="N239" s="2"/>
      <c r="O239" s="2"/>
      <c r="P239" s="2"/>
      <c r="Q239" s="2"/>
      <c r="R239" s="2"/>
      <c r="S239" s="2"/>
      <c r="T239" s="2"/>
      <c r="U239" s="2"/>
      <c r="V239" s="2"/>
      <c r="W239" s="2"/>
      <c r="X239" s="2"/>
      <c r="Y239" s="2"/>
      <c r="Z239" s="2"/>
      <c r="AA239" s="2"/>
      <c r="AB239" s="2"/>
      <c r="AC239" s="2"/>
      <c r="AD239" s="2"/>
      <c r="AE239" s="296"/>
      <c r="AH239" s="5"/>
      <c r="AI239" s="197"/>
      <c r="AJ239" s="213"/>
      <c r="AK239" s="517"/>
      <c r="AL239" s="660"/>
    </row>
    <row r="240" spans="1:42" x14ac:dyDescent="0.4">
      <c r="A240" s="195" t="s">
        <v>1103</v>
      </c>
      <c r="B240" s="195"/>
      <c r="C240" s="392">
        <v>225000</v>
      </c>
      <c r="D240" s="360"/>
      <c r="E240" s="2"/>
      <c r="F240" s="2"/>
      <c r="G240" s="2"/>
      <c r="H240" s="2"/>
      <c r="I240" s="484"/>
      <c r="J240" s="484"/>
      <c r="K240" s="2"/>
      <c r="L240" s="2"/>
      <c r="M240" s="2"/>
      <c r="N240" s="2"/>
      <c r="O240" s="2"/>
      <c r="P240" s="2"/>
      <c r="Q240" s="2"/>
      <c r="R240" s="2"/>
      <c r="S240" s="2"/>
      <c r="T240" s="2"/>
      <c r="U240" s="2"/>
      <c r="V240" s="2"/>
      <c r="W240" s="2"/>
      <c r="X240" s="2"/>
      <c r="Y240" s="2"/>
      <c r="Z240" s="2"/>
      <c r="AA240" s="2"/>
      <c r="AB240" s="2"/>
      <c r="AC240" s="2"/>
      <c r="AD240" s="2"/>
      <c r="AE240" s="296"/>
      <c r="AH240" s="5"/>
      <c r="AI240" s="197"/>
      <c r="AJ240" s="213"/>
      <c r="AK240" s="5"/>
      <c r="AL240" s="606"/>
    </row>
    <row r="241" spans="1:38" x14ac:dyDescent="0.4">
      <c r="A241" s="195" t="s">
        <v>1134</v>
      </c>
      <c r="B241" s="195"/>
      <c r="C241" s="392">
        <v>450000</v>
      </c>
      <c r="D241" s="360"/>
      <c r="E241" s="2"/>
      <c r="F241" s="2"/>
      <c r="G241" s="2"/>
      <c r="H241" s="2"/>
      <c r="I241" s="484"/>
      <c r="J241" s="484"/>
      <c r="K241" s="2"/>
      <c r="L241" s="2"/>
      <c r="M241" s="2"/>
      <c r="N241" s="2"/>
      <c r="O241" s="2"/>
      <c r="P241" s="2"/>
      <c r="Q241" s="2"/>
      <c r="R241" s="2"/>
      <c r="S241" s="2"/>
      <c r="T241" s="2"/>
      <c r="U241" s="2"/>
      <c r="V241" s="2"/>
      <c r="W241" s="2"/>
      <c r="X241" s="2"/>
      <c r="Y241" s="2"/>
      <c r="Z241" s="2"/>
      <c r="AA241" s="2"/>
      <c r="AB241" s="2"/>
      <c r="AC241" s="2"/>
      <c r="AD241" s="2"/>
      <c r="AE241" s="296"/>
      <c r="AH241" s="5"/>
      <c r="AI241" s="197"/>
      <c r="AJ241" s="213"/>
      <c r="AK241" s="517"/>
      <c r="AL241" s="517"/>
    </row>
    <row r="242" spans="1:38" x14ac:dyDescent="0.4">
      <c r="A242" s="195" t="s">
        <v>1135</v>
      </c>
      <c r="B242" s="195"/>
      <c r="C242" s="392">
        <v>160000</v>
      </c>
      <c r="D242" s="360"/>
      <c r="E242" s="2"/>
      <c r="F242" s="2"/>
      <c r="G242" s="2"/>
      <c r="H242" s="2"/>
      <c r="I242" s="484"/>
      <c r="J242" s="484"/>
      <c r="K242" s="2"/>
      <c r="L242" s="2"/>
      <c r="M242" s="2"/>
      <c r="N242" s="2"/>
      <c r="O242" s="2"/>
      <c r="P242" s="2"/>
      <c r="Q242" s="2"/>
      <c r="R242" s="2"/>
      <c r="S242" s="2"/>
      <c r="T242" s="2"/>
      <c r="U242" s="2"/>
      <c r="V242" s="2"/>
      <c r="W242" s="2"/>
      <c r="X242" s="2"/>
      <c r="Y242" s="2"/>
      <c r="Z242" s="2"/>
      <c r="AA242" s="2"/>
      <c r="AB242" s="2"/>
      <c r="AC242" s="2"/>
      <c r="AD242" s="2"/>
      <c r="AE242" s="296"/>
      <c r="AH242" s="496"/>
      <c r="AI242" s="497"/>
      <c r="AK242" s="432"/>
      <c r="AL242" s="433"/>
    </row>
    <row r="243" spans="1:38" x14ac:dyDescent="0.4">
      <c r="A243" s="195" t="s">
        <v>1136</v>
      </c>
      <c r="B243" s="195"/>
      <c r="C243" s="392">
        <v>198378</v>
      </c>
      <c r="D243" s="360"/>
      <c r="E243" s="2"/>
      <c r="F243" s="2"/>
      <c r="G243" s="2"/>
      <c r="H243" s="2"/>
      <c r="I243" s="484"/>
      <c r="J243" s="484"/>
      <c r="K243" s="2"/>
      <c r="L243" s="2"/>
      <c r="M243" s="2"/>
      <c r="N243" s="2"/>
      <c r="O243" s="2"/>
      <c r="P243" s="2"/>
      <c r="Q243" s="2"/>
      <c r="R243" s="2"/>
      <c r="S243" s="2"/>
      <c r="T243" s="2"/>
      <c r="U243" s="2"/>
      <c r="V243" s="2"/>
      <c r="W243" s="2"/>
      <c r="X243" s="2"/>
      <c r="Y243" s="2"/>
      <c r="Z243" s="2"/>
      <c r="AA243" s="2"/>
      <c r="AB243" s="2"/>
      <c r="AC243" s="2"/>
      <c r="AD243" s="2"/>
      <c r="AE243" s="296"/>
      <c r="AH243" s="496"/>
      <c r="AI243" s="497"/>
    </row>
    <row r="244" spans="1:38" x14ac:dyDescent="0.4">
      <c r="A244" s="195" t="s">
        <v>1104</v>
      </c>
      <c r="B244" s="195"/>
      <c r="C244" s="392">
        <v>120000</v>
      </c>
      <c r="D244" s="360"/>
      <c r="E244" s="2"/>
      <c r="F244" s="2"/>
      <c r="G244" s="2"/>
      <c r="H244" s="2"/>
      <c r="I244" s="484"/>
      <c r="J244" s="484"/>
      <c r="K244" s="2"/>
      <c r="L244" s="2"/>
      <c r="M244" s="2"/>
      <c r="N244" s="2"/>
      <c r="O244" s="2"/>
      <c r="P244" s="2"/>
      <c r="Q244" s="2"/>
      <c r="R244" s="2"/>
      <c r="S244" s="2"/>
      <c r="T244" s="2"/>
      <c r="U244" s="2"/>
      <c r="V244" s="2"/>
      <c r="W244" s="2"/>
      <c r="X244" s="2"/>
      <c r="Y244" s="2"/>
      <c r="Z244" s="2"/>
      <c r="AA244" s="2"/>
      <c r="AB244" s="2"/>
      <c r="AC244" s="2"/>
      <c r="AD244" s="2"/>
      <c r="AE244" s="296"/>
      <c r="AH244" s="496"/>
      <c r="AI244" s="497"/>
    </row>
    <row r="245" spans="1:38" x14ac:dyDescent="0.4">
      <c r="A245" s="195" t="s">
        <v>1105</v>
      </c>
      <c r="B245" s="195"/>
      <c r="C245" s="392">
        <v>90000</v>
      </c>
      <c r="D245" s="360"/>
      <c r="E245" s="2"/>
      <c r="F245" s="2"/>
      <c r="G245" s="2"/>
      <c r="H245" s="2"/>
      <c r="I245" s="484"/>
      <c r="J245" s="484"/>
      <c r="K245" s="2"/>
      <c r="L245" s="2"/>
      <c r="M245" s="2"/>
      <c r="N245" s="2"/>
      <c r="O245" s="2"/>
      <c r="P245" s="2"/>
      <c r="Q245" s="2"/>
      <c r="R245" s="2"/>
      <c r="S245" s="2"/>
      <c r="T245" s="2"/>
      <c r="U245" s="2"/>
      <c r="V245" s="2"/>
      <c r="W245" s="2"/>
      <c r="X245" s="2"/>
      <c r="Y245" s="2"/>
      <c r="Z245" s="2"/>
      <c r="AA245" s="2"/>
      <c r="AB245" s="2"/>
      <c r="AC245" s="2"/>
      <c r="AD245" s="2"/>
      <c r="AE245" s="296"/>
      <c r="AH245" s="496"/>
      <c r="AI245" s="497"/>
    </row>
    <row r="246" spans="1:38" x14ac:dyDescent="0.4">
      <c r="A246" s="195" t="s">
        <v>1106</v>
      </c>
      <c r="B246" s="195"/>
      <c r="C246" s="392">
        <v>30000</v>
      </c>
      <c r="D246" s="360"/>
      <c r="E246" s="2"/>
      <c r="F246" s="2"/>
      <c r="G246" s="2"/>
      <c r="H246" s="2"/>
      <c r="I246" s="484"/>
      <c r="J246" s="484"/>
      <c r="K246" s="2"/>
      <c r="L246" s="2"/>
      <c r="M246" s="2"/>
      <c r="N246" s="2"/>
      <c r="O246" s="2"/>
      <c r="P246" s="2"/>
      <c r="Q246" s="2"/>
      <c r="R246" s="2"/>
      <c r="S246" s="2"/>
      <c r="T246" s="2"/>
      <c r="U246" s="2"/>
      <c r="V246" s="2"/>
      <c r="W246" s="2"/>
      <c r="X246" s="2"/>
      <c r="Y246" s="2"/>
      <c r="Z246" s="2"/>
      <c r="AA246" s="2"/>
      <c r="AB246" s="2"/>
      <c r="AC246" s="2"/>
      <c r="AD246" s="2"/>
      <c r="AE246" s="296"/>
      <c r="AH246" s="496"/>
      <c r="AI246" s="497"/>
    </row>
    <row r="247" spans="1:38" x14ac:dyDescent="0.4">
      <c r="A247" s="195" t="s">
        <v>1107</v>
      </c>
      <c r="B247" s="195"/>
      <c r="C247" s="392">
        <v>363600</v>
      </c>
      <c r="D247" s="360"/>
      <c r="E247" s="2"/>
      <c r="F247" s="2"/>
      <c r="G247" s="2"/>
      <c r="H247" s="2"/>
      <c r="I247" s="484"/>
      <c r="J247" s="484"/>
      <c r="K247" s="2"/>
      <c r="L247" s="2"/>
      <c r="M247" s="2"/>
      <c r="N247" s="2"/>
      <c r="O247" s="2"/>
      <c r="P247" s="2"/>
      <c r="Q247" s="2"/>
      <c r="R247" s="2"/>
      <c r="S247" s="2"/>
      <c r="T247" s="2"/>
      <c r="U247" s="2"/>
      <c r="V247" s="2"/>
      <c r="W247" s="2"/>
      <c r="X247" s="2"/>
      <c r="Y247" s="2"/>
      <c r="Z247" s="2"/>
      <c r="AA247" s="2"/>
      <c r="AB247" s="2"/>
      <c r="AC247" s="2"/>
      <c r="AD247" s="97">
        <f>SUM(C235:C247)</f>
        <v>2906628</v>
      </c>
      <c r="AE247" s="296"/>
      <c r="AH247" s="496"/>
      <c r="AI247" s="497"/>
    </row>
    <row r="248" spans="1:38" x14ac:dyDescent="0.4">
      <c r="A248" s="750" t="s">
        <v>1137</v>
      </c>
      <c r="B248" s="751"/>
      <c r="C248" s="392">
        <v>9705208.5899999738</v>
      </c>
      <c r="D248" s="360"/>
      <c r="E248" s="2"/>
      <c r="F248" s="2"/>
      <c r="G248" s="2"/>
      <c r="H248" s="2"/>
      <c r="I248" s="484"/>
      <c r="J248" s="484"/>
      <c r="K248" s="2"/>
      <c r="L248" s="2"/>
      <c r="M248" s="2"/>
      <c r="N248" s="2"/>
      <c r="O248" s="2"/>
      <c r="P248" s="2"/>
      <c r="Q248" s="2"/>
      <c r="R248" s="2"/>
      <c r="S248" s="2"/>
      <c r="T248" s="2"/>
      <c r="U248" s="2"/>
      <c r="V248" s="2"/>
      <c r="W248" s="2"/>
      <c r="X248" s="2"/>
      <c r="Y248" s="2"/>
      <c r="Z248" s="2"/>
      <c r="AA248" s="2"/>
      <c r="AB248" s="2"/>
      <c r="AC248" s="2"/>
      <c r="AD248" s="97"/>
      <c r="AE248" s="296"/>
      <c r="AH248" s="496"/>
      <c r="AI248" s="497"/>
    </row>
    <row r="249" spans="1:38" x14ac:dyDescent="0.4">
      <c r="A249" s="195" t="s">
        <v>1313</v>
      </c>
      <c r="B249" s="195"/>
      <c r="C249" s="699">
        <v>12930375</v>
      </c>
      <c r="D249" s="360"/>
      <c r="E249" s="2"/>
      <c r="F249" s="2"/>
      <c r="G249" s="2"/>
      <c r="H249" s="2"/>
      <c r="I249" s="484"/>
      <c r="J249" s="484"/>
      <c r="K249" s="2"/>
      <c r="L249" s="2"/>
      <c r="M249" s="2"/>
      <c r="N249" s="2"/>
      <c r="O249" s="2"/>
      <c r="P249" s="2"/>
      <c r="Q249" s="2"/>
      <c r="R249" s="2"/>
      <c r="S249" s="2"/>
      <c r="T249" s="2"/>
      <c r="U249" s="2"/>
      <c r="V249" s="2"/>
      <c r="W249" s="2"/>
      <c r="X249" s="2"/>
      <c r="Y249" s="2"/>
      <c r="Z249" s="2"/>
      <c r="AA249" s="2"/>
      <c r="AB249" s="2"/>
      <c r="AC249" s="2"/>
      <c r="AD249" s="97"/>
      <c r="AE249" s="296"/>
      <c r="AH249" s="496"/>
      <c r="AI249" s="497"/>
    </row>
    <row r="250" spans="1:38" x14ac:dyDescent="0.4">
      <c r="A250" s="195" t="s">
        <v>1319</v>
      </c>
      <c r="B250" s="195"/>
      <c r="C250" s="699">
        <v>77000</v>
      </c>
      <c r="D250" s="360"/>
      <c r="E250" s="2"/>
      <c r="F250" s="2"/>
      <c r="G250" s="2"/>
      <c r="H250" s="2"/>
      <c r="I250" s="484"/>
      <c r="J250" s="484"/>
      <c r="K250" s="2"/>
      <c r="L250" s="2"/>
      <c r="M250" s="2"/>
      <c r="N250" s="2"/>
      <c r="O250" s="2"/>
      <c r="P250" s="2"/>
      <c r="Q250" s="2"/>
      <c r="R250" s="2"/>
      <c r="S250" s="2"/>
      <c r="T250" s="2"/>
      <c r="U250" s="2"/>
      <c r="V250" s="2"/>
      <c r="W250" s="2"/>
      <c r="X250" s="2"/>
      <c r="Y250" s="2"/>
      <c r="Z250" s="2"/>
      <c r="AA250" s="2"/>
      <c r="AB250" s="2"/>
      <c r="AC250" s="2"/>
      <c r="AD250" s="97"/>
      <c r="AE250" s="296"/>
      <c r="AH250" s="496"/>
      <c r="AI250" s="497"/>
    </row>
    <row r="251" spans="1:38" x14ac:dyDescent="0.4">
      <c r="A251" s="195" t="s">
        <v>1320</v>
      </c>
      <c r="B251" s="195"/>
      <c r="C251" s="699">
        <v>585000</v>
      </c>
      <c r="D251" s="360"/>
      <c r="E251" s="2"/>
      <c r="F251" s="2"/>
      <c r="G251" s="2"/>
      <c r="H251" s="2"/>
      <c r="I251" s="484"/>
      <c r="J251" s="484"/>
      <c r="K251" s="2"/>
      <c r="L251" s="2"/>
      <c r="M251" s="2"/>
      <c r="N251" s="2"/>
      <c r="O251" s="2"/>
      <c r="P251" s="2"/>
      <c r="Q251" s="2"/>
      <c r="R251" s="2"/>
      <c r="S251" s="2"/>
      <c r="T251" s="2"/>
      <c r="U251" s="2"/>
      <c r="V251" s="2"/>
      <c r="W251" s="2"/>
      <c r="X251" s="2"/>
      <c r="Y251" s="2"/>
      <c r="Z251" s="2"/>
      <c r="AA251" s="2"/>
      <c r="AB251" s="2"/>
      <c r="AC251" s="2"/>
      <c r="AD251" s="97"/>
      <c r="AE251" s="296"/>
      <c r="AH251" s="496"/>
      <c r="AI251" s="497"/>
    </row>
    <row r="252" spans="1:38" x14ac:dyDescent="0.4">
      <c r="A252" s="195" t="s">
        <v>1321</v>
      </c>
      <c r="B252" s="195"/>
      <c r="C252" s="699">
        <v>225000</v>
      </c>
      <c r="D252" s="360"/>
      <c r="E252" s="2"/>
      <c r="F252" s="2"/>
      <c r="G252" s="2"/>
      <c r="H252" s="2"/>
      <c r="I252" s="484"/>
      <c r="J252" s="484"/>
      <c r="K252" s="2"/>
      <c r="L252" s="2"/>
      <c r="M252" s="2"/>
      <c r="N252" s="2"/>
      <c r="O252" s="2"/>
      <c r="P252" s="2"/>
      <c r="Q252" s="2"/>
      <c r="R252" s="2"/>
      <c r="S252" s="2"/>
      <c r="T252" s="2"/>
      <c r="U252" s="2"/>
      <c r="V252" s="2"/>
      <c r="W252" s="2"/>
      <c r="X252" s="2"/>
      <c r="Y252" s="2"/>
      <c r="Z252" s="2"/>
      <c r="AA252" s="2"/>
      <c r="AB252" s="2"/>
      <c r="AC252" s="2"/>
      <c r="AD252" s="97"/>
      <c r="AE252" s="296"/>
      <c r="AH252" s="496"/>
      <c r="AI252" s="497"/>
    </row>
    <row r="253" spans="1:38" x14ac:dyDescent="0.4">
      <c r="A253" s="195" t="s">
        <v>1322</v>
      </c>
      <c r="B253" s="195"/>
      <c r="C253" s="699">
        <v>450000</v>
      </c>
      <c r="D253" s="360"/>
      <c r="E253" s="2"/>
      <c r="F253" s="2"/>
      <c r="G253" s="2"/>
      <c r="H253" s="2"/>
      <c r="I253" s="484"/>
      <c r="J253" s="484"/>
      <c r="K253" s="2"/>
      <c r="L253" s="2"/>
      <c r="M253" s="2"/>
      <c r="N253" s="2"/>
      <c r="O253" s="2"/>
      <c r="P253" s="2"/>
      <c r="Q253" s="2"/>
      <c r="R253" s="2"/>
      <c r="S253" s="2"/>
      <c r="T253" s="2"/>
      <c r="U253" s="2"/>
      <c r="V253" s="2"/>
      <c r="W253" s="2"/>
      <c r="X253" s="2"/>
      <c r="Y253" s="2"/>
      <c r="Z253" s="2"/>
      <c r="AA253" s="2"/>
      <c r="AB253" s="2"/>
      <c r="AC253" s="2"/>
      <c r="AD253" s="97"/>
      <c r="AE253" s="296"/>
      <c r="AH253" s="496"/>
      <c r="AI253" s="497"/>
    </row>
    <row r="254" spans="1:38" x14ac:dyDescent="0.4">
      <c r="A254" s="195" t="s">
        <v>1339</v>
      </c>
      <c r="B254" s="195"/>
      <c r="C254" s="699">
        <v>61377</v>
      </c>
      <c r="D254" s="360"/>
      <c r="E254" s="2"/>
      <c r="F254" s="2"/>
      <c r="G254" s="2"/>
      <c r="H254" s="2"/>
      <c r="I254" s="484"/>
      <c r="J254" s="484"/>
      <c r="K254" s="2"/>
      <c r="L254" s="2"/>
      <c r="M254" s="2"/>
      <c r="N254" s="2"/>
      <c r="O254" s="2"/>
      <c r="P254" s="2"/>
      <c r="Q254" s="2"/>
      <c r="R254" s="2"/>
      <c r="S254" s="2"/>
      <c r="T254" s="2"/>
      <c r="U254" s="2"/>
      <c r="V254" s="2"/>
      <c r="W254" s="2"/>
      <c r="X254" s="2"/>
      <c r="Y254" s="2"/>
      <c r="Z254" s="2"/>
      <c r="AA254" s="2"/>
      <c r="AB254" s="2"/>
      <c r="AC254" s="2"/>
      <c r="AD254" s="97"/>
      <c r="AE254" s="296"/>
      <c r="AH254" s="496"/>
      <c r="AI254" s="497"/>
    </row>
    <row r="255" spans="1:38" x14ac:dyDescent="0.4">
      <c r="A255" s="195" t="s">
        <v>1340</v>
      </c>
      <c r="B255" s="195"/>
      <c r="C255" s="699">
        <v>450000</v>
      </c>
      <c r="D255" s="360"/>
      <c r="E255" s="2"/>
      <c r="F255" s="2"/>
      <c r="G255" s="2"/>
      <c r="H255" s="2"/>
      <c r="I255" s="484"/>
      <c r="J255" s="484"/>
      <c r="K255" s="2"/>
      <c r="L255" s="2"/>
      <c r="M255" s="2"/>
      <c r="N255" s="2"/>
      <c r="O255" s="2"/>
      <c r="P255" s="2"/>
      <c r="Q255" s="2"/>
      <c r="R255" s="2"/>
      <c r="S255" s="2"/>
      <c r="T255" s="2"/>
      <c r="U255" s="2"/>
      <c r="V255" s="2"/>
      <c r="W255" s="2"/>
      <c r="X255" s="2"/>
      <c r="Y255" s="2"/>
      <c r="Z255" s="2"/>
      <c r="AA255" s="2"/>
      <c r="AB255" s="2"/>
      <c r="AC255" s="2"/>
      <c r="AD255" s="97"/>
      <c r="AE255" s="296"/>
      <c r="AH255" s="496"/>
      <c r="AI255" s="497"/>
    </row>
    <row r="256" spans="1:38" x14ac:dyDescent="0.4">
      <c r="A256" s="195" t="s">
        <v>1341</v>
      </c>
      <c r="B256" s="195"/>
      <c r="C256" s="699">
        <v>54000</v>
      </c>
      <c r="D256" s="360"/>
      <c r="E256" s="2"/>
      <c r="F256" s="2"/>
      <c r="G256" s="2"/>
      <c r="H256" s="2"/>
      <c r="I256" s="484"/>
      <c r="J256" s="484"/>
      <c r="K256" s="2"/>
      <c r="L256" s="2"/>
      <c r="M256" s="2"/>
      <c r="N256" s="2"/>
      <c r="O256" s="2"/>
      <c r="P256" s="2"/>
      <c r="Q256" s="2"/>
      <c r="R256" s="2"/>
      <c r="S256" s="2"/>
      <c r="T256" s="2"/>
      <c r="U256" s="2"/>
      <c r="V256" s="2"/>
      <c r="W256" s="2"/>
      <c r="X256" s="2"/>
      <c r="Y256" s="2"/>
      <c r="Z256" s="2"/>
      <c r="AA256" s="2"/>
      <c r="AB256" s="2"/>
      <c r="AC256" s="2"/>
      <c r="AD256" s="97"/>
      <c r="AE256" s="296"/>
      <c r="AH256" s="496"/>
      <c r="AI256" s="497"/>
    </row>
    <row r="257" spans="1:36" x14ac:dyDescent="0.4">
      <c r="A257" s="195" t="s">
        <v>1346</v>
      </c>
      <c r="B257" s="195"/>
      <c r="C257" s="699">
        <v>78000</v>
      </c>
      <c r="D257" s="360"/>
      <c r="E257" s="2"/>
      <c r="F257" s="2"/>
      <c r="G257" s="2"/>
      <c r="H257" s="2"/>
      <c r="I257" s="484"/>
      <c r="J257" s="484"/>
      <c r="K257" s="2"/>
      <c r="L257" s="2"/>
      <c r="M257" s="2"/>
      <c r="N257" s="2"/>
      <c r="O257" s="2"/>
      <c r="P257" s="2"/>
      <c r="Q257" s="2"/>
      <c r="R257" s="2"/>
      <c r="S257" s="2"/>
      <c r="T257" s="2"/>
      <c r="U257" s="2"/>
      <c r="V257" s="2"/>
      <c r="W257" s="2"/>
      <c r="X257" s="2"/>
      <c r="Y257" s="2"/>
      <c r="Z257" s="2"/>
      <c r="AA257" s="2"/>
      <c r="AB257" s="2"/>
      <c r="AC257" s="2"/>
      <c r="AD257" s="97"/>
      <c r="AE257" s="296"/>
      <c r="AH257" s="496"/>
      <c r="AI257" s="497"/>
    </row>
    <row r="258" spans="1:36" x14ac:dyDescent="0.4">
      <c r="A258" s="195" t="s">
        <v>1347</v>
      </c>
      <c r="B258" s="195"/>
      <c r="C258" s="699">
        <f>200000+37333</f>
        <v>237333</v>
      </c>
      <c r="D258" s="360"/>
      <c r="E258" s="2"/>
      <c r="F258" s="2"/>
      <c r="G258" s="2"/>
      <c r="H258" s="2"/>
      <c r="I258" s="484"/>
      <c r="J258" s="484"/>
      <c r="K258" s="2"/>
      <c r="L258" s="2"/>
      <c r="M258" s="2"/>
      <c r="N258" s="2"/>
      <c r="O258" s="2"/>
      <c r="P258" s="2"/>
      <c r="Q258" s="2"/>
      <c r="R258" s="2"/>
      <c r="S258" s="2"/>
      <c r="T258" s="2"/>
      <c r="U258" s="2"/>
      <c r="V258" s="2"/>
      <c r="W258" s="2"/>
      <c r="X258" s="2"/>
      <c r="Y258" s="2"/>
      <c r="Z258" s="2"/>
      <c r="AA258" s="2"/>
      <c r="AB258" s="2"/>
      <c r="AC258" s="2"/>
      <c r="AD258" s="97"/>
      <c r="AE258" s="296"/>
      <c r="AH258" s="496"/>
      <c r="AI258" s="497"/>
    </row>
    <row r="259" spans="1:36" x14ac:dyDescent="0.4">
      <c r="A259" s="195" t="s">
        <v>1345</v>
      </c>
      <c r="B259" s="195"/>
      <c r="C259" s="699">
        <v>450000</v>
      </c>
      <c r="D259" s="360"/>
      <c r="E259" s="2"/>
      <c r="F259" s="2"/>
      <c r="G259" s="2"/>
      <c r="H259" s="2"/>
      <c r="I259" s="484"/>
      <c r="J259" s="484"/>
      <c r="K259" s="2"/>
      <c r="L259" s="2"/>
      <c r="M259" s="2"/>
      <c r="N259" s="2"/>
      <c r="O259" s="2"/>
      <c r="P259" s="2"/>
      <c r="Q259" s="2"/>
      <c r="R259" s="2"/>
      <c r="S259" s="2"/>
      <c r="T259" s="2"/>
      <c r="U259" s="2"/>
      <c r="V259" s="2"/>
      <c r="W259" s="2"/>
      <c r="X259" s="2"/>
      <c r="Y259" s="2"/>
      <c r="Z259" s="2"/>
      <c r="AA259" s="2"/>
      <c r="AB259" s="2"/>
      <c r="AC259" s="2"/>
      <c r="AD259" s="97"/>
      <c r="AE259" s="296"/>
      <c r="AH259" s="496"/>
      <c r="AI259" s="497"/>
    </row>
    <row r="260" spans="1:36" x14ac:dyDescent="0.4">
      <c r="A260" s="195" t="s">
        <v>1354</v>
      </c>
      <c r="B260" s="195"/>
      <c r="C260" s="699">
        <v>100960</v>
      </c>
      <c r="D260" s="360"/>
      <c r="E260" s="2"/>
      <c r="F260" s="2"/>
      <c r="G260" s="2"/>
      <c r="H260" s="2"/>
      <c r="I260" s="484"/>
      <c r="J260" s="484"/>
      <c r="K260" s="2"/>
      <c r="L260" s="2"/>
      <c r="M260" s="2"/>
      <c r="N260" s="2"/>
      <c r="O260" s="2"/>
      <c r="P260" s="2"/>
      <c r="Q260" s="2"/>
      <c r="R260" s="2"/>
      <c r="S260" s="2"/>
      <c r="T260" s="2"/>
      <c r="U260" s="2"/>
      <c r="V260" s="2"/>
      <c r="W260" s="2"/>
      <c r="X260" s="2"/>
      <c r="Y260" s="2"/>
      <c r="Z260" s="2"/>
      <c r="AA260" s="2"/>
      <c r="AB260" s="2"/>
      <c r="AC260" s="2"/>
      <c r="AD260" s="97"/>
      <c r="AE260" s="296"/>
      <c r="AH260" s="496"/>
      <c r="AI260" s="497"/>
    </row>
    <row r="261" spans="1:36" x14ac:dyDescent="0.4">
      <c r="A261" s="195" t="s">
        <v>1353</v>
      </c>
      <c r="B261" s="195"/>
      <c r="C261" s="699">
        <v>450000</v>
      </c>
      <c r="D261" s="360"/>
      <c r="E261" s="2"/>
      <c r="F261" s="2"/>
      <c r="G261" s="2"/>
      <c r="H261" s="2"/>
      <c r="I261" s="484"/>
      <c r="J261" s="484"/>
      <c r="K261" s="2"/>
      <c r="L261" s="2"/>
      <c r="M261" s="2"/>
      <c r="N261" s="2"/>
      <c r="O261" s="2"/>
      <c r="P261" s="2"/>
      <c r="Q261" s="2"/>
      <c r="R261" s="2"/>
      <c r="S261" s="2"/>
      <c r="T261" s="2"/>
      <c r="U261" s="2"/>
      <c r="V261" s="2"/>
      <c r="W261" s="2"/>
      <c r="X261" s="2"/>
      <c r="Y261" s="2"/>
      <c r="Z261" s="2"/>
      <c r="AA261" s="2"/>
      <c r="AB261" s="2"/>
      <c r="AC261" s="2"/>
      <c r="AD261" s="97"/>
      <c r="AE261" s="296"/>
      <c r="AH261" s="496"/>
      <c r="AI261" s="497"/>
    </row>
    <row r="262" spans="1:36" x14ac:dyDescent="0.4">
      <c r="A262" s="441" t="s">
        <v>1342</v>
      </c>
      <c r="B262" s="442"/>
      <c r="C262" s="699">
        <v>4484337.4800000191</v>
      </c>
      <c r="D262" s="360"/>
      <c r="E262" s="2"/>
      <c r="F262" s="2"/>
      <c r="G262" s="2"/>
      <c r="H262" s="2"/>
      <c r="I262" s="484"/>
      <c r="J262" s="484"/>
      <c r="K262" s="2"/>
      <c r="L262" s="2"/>
      <c r="M262" s="2"/>
      <c r="N262" s="2"/>
      <c r="O262" s="2"/>
      <c r="P262" s="2"/>
      <c r="Q262" s="2"/>
      <c r="R262" s="2"/>
      <c r="S262" s="2"/>
      <c r="T262" s="2"/>
      <c r="U262" s="2"/>
      <c r="V262" s="2"/>
      <c r="W262" s="2"/>
      <c r="X262" s="2"/>
      <c r="Y262" s="2"/>
      <c r="Z262" s="2"/>
      <c r="AA262" s="2"/>
      <c r="AB262" s="2"/>
      <c r="AC262" s="2"/>
      <c r="AD262" s="97"/>
      <c r="AE262" s="296"/>
      <c r="AH262" s="496"/>
      <c r="AI262" s="497"/>
    </row>
    <row r="263" spans="1:36" x14ac:dyDescent="0.4">
      <c r="A263" s="441" t="s">
        <v>1343</v>
      </c>
      <c r="B263" s="442"/>
      <c r="C263" s="254"/>
      <c r="D263" s="360"/>
      <c r="E263" s="2"/>
      <c r="F263" s="2"/>
      <c r="G263" s="2"/>
      <c r="H263" s="2"/>
      <c r="I263" s="484"/>
      <c r="J263" s="484"/>
      <c r="K263" s="2"/>
      <c r="L263" s="2"/>
      <c r="M263" s="2"/>
      <c r="N263" s="2"/>
      <c r="O263" s="2"/>
      <c r="P263" s="2"/>
      <c r="Q263" s="2"/>
      <c r="R263" s="2"/>
      <c r="S263" s="2"/>
      <c r="T263" s="2"/>
      <c r="U263" s="2"/>
      <c r="V263" s="2"/>
      <c r="W263" s="2"/>
      <c r="X263" s="2"/>
      <c r="Y263" s="2"/>
      <c r="Z263" s="2"/>
      <c r="AA263" s="2"/>
      <c r="AB263" s="2"/>
      <c r="AC263" s="2"/>
      <c r="AD263" s="97"/>
      <c r="AE263" s="296"/>
      <c r="AH263" s="496"/>
      <c r="AI263" s="497"/>
    </row>
    <row r="264" spans="1:36" x14ac:dyDescent="0.4">
      <c r="A264" s="363" t="s">
        <v>420</v>
      </c>
      <c r="B264" s="363"/>
      <c r="C264" s="395">
        <f>C218+C219+C221+C223+C226+C234+C248+C262</f>
        <v>26088612.75999999</v>
      </c>
      <c r="D264" s="360"/>
      <c r="E264" s="2"/>
      <c r="F264" s="2"/>
      <c r="G264" s="2"/>
      <c r="H264" s="2"/>
      <c r="I264" s="484"/>
      <c r="J264" s="484"/>
      <c r="K264" s="2"/>
      <c r="L264" s="2"/>
      <c r="M264" s="2"/>
      <c r="N264" s="2"/>
      <c r="O264" s="2"/>
      <c r="P264" s="2"/>
      <c r="Q264" s="2"/>
      <c r="R264" s="2"/>
      <c r="S264" s="2"/>
      <c r="T264" s="2"/>
      <c r="U264" s="2"/>
      <c r="V264" s="2"/>
      <c r="W264" s="2"/>
      <c r="X264" s="2"/>
      <c r="Y264" s="2"/>
      <c r="Z264" s="2"/>
      <c r="AA264" s="2"/>
      <c r="AB264" s="2"/>
      <c r="AC264" s="2"/>
      <c r="AD264" s="97"/>
      <c r="AE264" s="296"/>
      <c r="AJ264" s="404"/>
    </row>
    <row r="265" spans="1:36" x14ac:dyDescent="0.4">
      <c r="A265" s="745" t="s">
        <v>421</v>
      </c>
      <c r="B265" s="745"/>
      <c r="C265" s="395">
        <f>C220+C222+C224+C225+C227+C228+C230+C229+C231+C232+C233+C235+C236+C237+C238+C239+C240+C242+C241+C243+C244+C245+C246+C247+SUM(C249:C261)</f>
        <v>30965548</v>
      </c>
      <c r="D265" s="360"/>
      <c r="E265" s="2"/>
      <c r="F265" s="2"/>
      <c r="G265" s="2"/>
      <c r="H265" s="2"/>
      <c r="I265" s="484"/>
      <c r="J265" s="484"/>
      <c r="K265" s="2"/>
      <c r="L265" s="2"/>
      <c r="M265" s="2"/>
      <c r="N265" s="2"/>
      <c r="O265" s="2"/>
      <c r="P265" s="2"/>
      <c r="Q265" s="2"/>
      <c r="R265" s="2"/>
      <c r="S265" s="2"/>
      <c r="T265" s="2"/>
      <c r="U265" s="2"/>
      <c r="V265" s="2"/>
      <c r="W265" s="2"/>
      <c r="X265" s="2"/>
      <c r="Y265" s="2"/>
      <c r="Z265" s="2"/>
      <c r="AA265" s="2"/>
      <c r="AB265" s="2"/>
      <c r="AC265" s="2"/>
      <c r="AD265" s="97"/>
      <c r="AE265" s="296"/>
    </row>
    <row r="266" spans="1:36" x14ac:dyDescent="0.4">
      <c r="A266" s="416" t="s">
        <v>657</v>
      </c>
      <c r="B266" s="416"/>
      <c r="C266" s="417"/>
      <c r="D266" s="360"/>
      <c r="E266" s="2"/>
      <c r="F266" s="2"/>
      <c r="G266" s="2"/>
      <c r="H266" s="2"/>
      <c r="I266" s="484"/>
      <c r="J266" s="484"/>
      <c r="K266" s="2"/>
      <c r="L266" s="2"/>
      <c r="M266" s="2"/>
      <c r="N266" s="2"/>
      <c r="O266" s="2"/>
      <c r="P266" s="2"/>
      <c r="Q266" s="2"/>
      <c r="R266" s="2"/>
      <c r="S266" s="2"/>
      <c r="T266" s="2"/>
      <c r="U266" s="2"/>
      <c r="V266" s="2"/>
      <c r="W266" s="2"/>
      <c r="X266" s="2"/>
      <c r="Y266" s="2"/>
      <c r="Z266" s="2"/>
      <c r="AA266" s="2"/>
      <c r="AB266" s="2"/>
      <c r="AC266" s="2"/>
      <c r="AD266" s="97"/>
      <c r="AE266" s="296"/>
      <c r="AG266" s="323" t="s">
        <v>1344</v>
      </c>
      <c r="AH266" t="s">
        <v>553</v>
      </c>
      <c r="AI266">
        <v>4484337.4800000191</v>
      </c>
    </row>
    <row r="267" spans="1:36" x14ac:dyDescent="0.4">
      <c r="A267" s="743" t="s">
        <v>422</v>
      </c>
      <c r="B267" s="743"/>
      <c r="C267" s="393">
        <f>23753.22-2375</f>
        <v>21378.22</v>
      </c>
      <c r="D267" s="360"/>
      <c r="E267" s="2"/>
      <c r="F267" s="2"/>
      <c r="G267" s="2"/>
      <c r="H267" s="2"/>
      <c r="I267" s="484"/>
      <c r="J267" s="484"/>
      <c r="K267" s="2"/>
      <c r="L267" s="2"/>
      <c r="M267" s="2"/>
      <c r="N267" s="2"/>
      <c r="O267" s="2"/>
      <c r="P267" s="2"/>
      <c r="Q267" s="2"/>
      <c r="R267" s="2"/>
      <c r="S267" s="2"/>
      <c r="T267" s="2"/>
      <c r="U267" s="2"/>
      <c r="V267" s="2"/>
      <c r="W267" s="2"/>
      <c r="X267" s="2"/>
      <c r="Y267" s="2"/>
      <c r="Z267" s="2"/>
      <c r="AA267" s="2"/>
      <c r="AB267" s="2"/>
      <c r="AC267" s="2"/>
      <c r="AD267" s="97"/>
      <c r="AE267" s="296"/>
    </row>
    <row r="268" spans="1:36" x14ac:dyDescent="0.4">
      <c r="A268" s="743" t="s">
        <v>423</v>
      </c>
      <c r="B268" s="743"/>
      <c r="C268" s="393">
        <v>15000</v>
      </c>
      <c r="D268" s="360"/>
      <c r="E268" s="2"/>
      <c r="F268" s="2"/>
      <c r="G268" s="2"/>
      <c r="H268" s="2"/>
      <c r="I268" s="484"/>
      <c r="J268" s="484"/>
      <c r="K268" s="2"/>
      <c r="L268" s="2"/>
      <c r="M268" s="2"/>
      <c r="N268" s="2"/>
      <c r="O268" s="2"/>
      <c r="P268" s="2"/>
      <c r="Q268" s="2"/>
      <c r="R268" s="2"/>
      <c r="S268" s="2"/>
      <c r="T268" s="2"/>
      <c r="U268" s="2"/>
      <c r="V268" s="2"/>
      <c r="W268" s="2"/>
      <c r="X268" s="2"/>
      <c r="Y268" s="2"/>
      <c r="Z268" s="2"/>
      <c r="AA268" s="2"/>
      <c r="AB268" s="2"/>
      <c r="AC268" s="2"/>
      <c r="AD268" s="2"/>
      <c r="AE268" s="296"/>
    </row>
    <row r="269" spans="1:36" x14ac:dyDescent="0.4">
      <c r="A269" s="743" t="s">
        <v>424</v>
      </c>
      <c r="B269" s="743"/>
      <c r="C269" s="393">
        <v>15000</v>
      </c>
      <c r="D269" s="360"/>
      <c r="E269" s="2"/>
      <c r="F269" s="2"/>
      <c r="G269" s="2"/>
      <c r="H269" s="2"/>
      <c r="I269" s="484"/>
      <c r="J269" s="484"/>
      <c r="K269" s="2"/>
      <c r="L269" s="2"/>
      <c r="M269" s="2"/>
      <c r="N269" s="2"/>
      <c r="O269" s="2"/>
      <c r="P269" s="2"/>
      <c r="Q269" s="2"/>
      <c r="R269" s="2"/>
      <c r="S269" s="2"/>
      <c r="T269" s="2"/>
      <c r="U269" s="2"/>
      <c r="V269" s="2"/>
      <c r="W269" s="2"/>
      <c r="X269" s="2"/>
      <c r="Y269" s="2"/>
      <c r="Z269" s="2"/>
      <c r="AA269" s="2"/>
      <c r="AB269" s="2"/>
      <c r="AC269" s="2"/>
      <c r="AD269" s="2"/>
      <c r="AE269" s="296"/>
    </row>
    <row r="270" spans="1:36" x14ac:dyDescent="0.4">
      <c r="A270" s="743" t="s">
        <v>425</v>
      </c>
      <c r="B270" s="743"/>
      <c r="C270" s="393">
        <v>15000</v>
      </c>
      <c r="D270" s="360"/>
      <c r="E270" s="2"/>
      <c r="F270" s="2"/>
      <c r="G270" s="2"/>
      <c r="H270" s="2"/>
      <c r="I270" s="484"/>
      <c r="J270" s="484"/>
      <c r="K270" s="2"/>
      <c r="L270" s="2"/>
      <c r="M270" s="2"/>
      <c r="N270" s="2"/>
      <c r="O270" s="2"/>
      <c r="P270" s="2"/>
      <c r="Q270" s="2"/>
      <c r="R270" s="2"/>
      <c r="S270" s="2"/>
      <c r="T270" s="2"/>
      <c r="U270" s="2"/>
      <c r="V270" s="2"/>
      <c r="W270" s="2"/>
      <c r="X270" s="2"/>
      <c r="Y270" s="2"/>
      <c r="Z270" s="2"/>
      <c r="AA270" s="2"/>
      <c r="AB270" s="2"/>
      <c r="AC270" s="2"/>
      <c r="AD270" s="2"/>
      <c r="AE270" s="296"/>
    </row>
    <row r="271" spans="1:36" x14ac:dyDescent="0.4">
      <c r="A271" s="743" t="s">
        <v>426</v>
      </c>
      <c r="B271" s="743"/>
      <c r="C271" s="393">
        <v>15000</v>
      </c>
      <c r="D271" s="360"/>
      <c r="E271" s="2"/>
      <c r="F271" s="2"/>
      <c r="G271" s="2"/>
      <c r="H271" s="2"/>
      <c r="I271" s="484"/>
      <c r="J271" s="484"/>
      <c r="K271" s="2"/>
      <c r="L271" s="2"/>
      <c r="M271" s="2"/>
      <c r="N271" s="2"/>
      <c r="O271" s="2"/>
      <c r="P271" s="2"/>
      <c r="Q271" s="2"/>
      <c r="R271" s="2"/>
      <c r="S271" s="2"/>
      <c r="T271" s="2"/>
      <c r="U271" s="2"/>
      <c r="V271" s="2"/>
      <c r="W271" s="2"/>
      <c r="X271" s="2"/>
      <c r="Y271" s="2"/>
      <c r="Z271" s="2"/>
      <c r="AA271" s="2"/>
      <c r="AB271" s="2"/>
      <c r="AC271" s="2"/>
      <c r="AD271" s="2"/>
      <c r="AE271" s="296"/>
    </row>
    <row r="272" spans="1:36" x14ac:dyDescent="0.4">
      <c r="A272" s="743" t="s">
        <v>427</v>
      </c>
      <c r="B272" s="743"/>
      <c r="C272" s="393">
        <v>15000</v>
      </c>
      <c r="D272" s="360"/>
      <c r="E272" s="2"/>
      <c r="F272" s="2"/>
      <c r="G272" s="2"/>
      <c r="H272" s="2"/>
      <c r="I272" s="484"/>
      <c r="J272" s="484"/>
      <c r="K272" s="2"/>
      <c r="L272" s="2"/>
      <c r="M272" s="2"/>
      <c r="N272" s="2"/>
      <c r="O272" s="2"/>
      <c r="P272" s="2"/>
      <c r="Q272" s="2"/>
      <c r="R272" s="2"/>
      <c r="S272" s="2"/>
      <c r="T272" s="2"/>
      <c r="U272" s="2"/>
      <c r="V272" s="2"/>
      <c r="W272" s="2"/>
      <c r="X272" s="2"/>
      <c r="Y272" s="2"/>
      <c r="Z272" s="2"/>
      <c r="AA272" s="2"/>
      <c r="AB272" s="2"/>
      <c r="AC272" s="2"/>
      <c r="AD272" s="2"/>
      <c r="AE272" s="296"/>
    </row>
    <row r="273" spans="1:31" x14ac:dyDescent="0.4">
      <c r="A273" s="743" t="s">
        <v>506</v>
      </c>
      <c r="B273" s="743"/>
      <c r="C273" s="393">
        <v>15000</v>
      </c>
      <c r="D273" s="360"/>
      <c r="E273" s="2"/>
      <c r="F273" s="2"/>
      <c r="G273" s="2"/>
      <c r="H273" s="2"/>
      <c r="I273" s="484"/>
      <c r="J273" s="484"/>
      <c r="K273" s="2"/>
      <c r="L273" s="2"/>
      <c r="M273" s="2"/>
      <c r="N273" s="2"/>
      <c r="O273" s="2"/>
      <c r="P273" s="2"/>
      <c r="Q273" s="2"/>
      <c r="R273" s="2"/>
      <c r="S273" s="2"/>
      <c r="T273" s="2"/>
      <c r="U273" s="2"/>
      <c r="V273" s="2"/>
      <c r="W273" s="2"/>
      <c r="X273" s="2"/>
      <c r="Y273" s="2"/>
      <c r="Z273" s="2"/>
      <c r="AA273" s="2"/>
      <c r="AB273" s="2"/>
      <c r="AC273" s="2"/>
      <c r="AD273" s="2"/>
      <c r="AE273" s="296"/>
    </row>
    <row r="274" spans="1:31" x14ac:dyDescent="0.4">
      <c r="A274" s="743" t="s">
        <v>515</v>
      </c>
      <c r="B274" s="743"/>
      <c r="C274" s="393">
        <v>15000</v>
      </c>
      <c r="D274" s="360"/>
      <c r="E274" s="2"/>
      <c r="F274" s="2"/>
      <c r="G274" s="2"/>
      <c r="H274" s="2"/>
      <c r="I274" s="484"/>
      <c r="J274" s="484"/>
      <c r="K274" s="2"/>
      <c r="L274" s="2"/>
      <c r="M274" s="2"/>
      <c r="N274" s="2"/>
      <c r="O274" s="2"/>
      <c r="P274" s="2"/>
      <c r="Q274" s="2"/>
      <c r="R274" s="2"/>
      <c r="S274" s="2"/>
      <c r="T274" s="2"/>
      <c r="U274" s="2"/>
      <c r="V274" s="2"/>
      <c r="W274" s="2"/>
      <c r="X274" s="2"/>
      <c r="Y274" s="2"/>
      <c r="Z274" s="2"/>
      <c r="AA274" s="2"/>
      <c r="AB274" s="2"/>
      <c r="AC274" s="2"/>
      <c r="AD274" s="2"/>
      <c r="AE274" s="296"/>
    </row>
    <row r="275" spans="1:31" x14ac:dyDescent="0.4">
      <c r="A275" s="743" t="s">
        <v>752</v>
      </c>
      <c r="B275" s="743"/>
      <c r="C275" s="393">
        <v>15000</v>
      </c>
      <c r="D275" s="360"/>
      <c r="E275" s="2"/>
      <c r="F275" s="2"/>
      <c r="G275" s="2"/>
      <c r="H275" s="2"/>
      <c r="I275" s="484"/>
      <c r="J275" s="484"/>
      <c r="K275" s="2"/>
      <c r="L275" s="2"/>
      <c r="M275" s="2"/>
      <c r="N275" s="2"/>
      <c r="O275" s="2"/>
      <c r="P275" s="2"/>
      <c r="Q275" s="2"/>
      <c r="R275" s="2"/>
      <c r="S275" s="2"/>
      <c r="T275" s="2"/>
      <c r="U275" s="2"/>
      <c r="V275" s="2"/>
      <c r="W275" s="2"/>
      <c r="X275" s="2"/>
      <c r="Y275" s="2"/>
      <c r="Z275" s="2"/>
      <c r="AA275" s="2"/>
      <c r="AB275" s="2"/>
      <c r="AC275" s="2"/>
      <c r="AD275" s="2"/>
      <c r="AE275" s="296"/>
    </row>
    <row r="276" spans="1:31" x14ac:dyDescent="0.4">
      <c r="A276" s="743" t="s">
        <v>535</v>
      </c>
      <c r="B276" s="743"/>
      <c r="C276" s="393">
        <v>15000</v>
      </c>
      <c r="D276" s="360"/>
      <c r="E276" s="2"/>
      <c r="F276" s="2"/>
      <c r="G276" s="2"/>
      <c r="H276" s="2"/>
      <c r="I276" s="484"/>
      <c r="J276" s="484"/>
      <c r="K276" s="2"/>
      <c r="L276" s="2"/>
      <c r="M276" s="2"/>
      <c r="N276" s="2"/>
      <c r="O276" s="2"/>
      <c r="P276" s="2"/>
      <c r="Q276" s="2"/>
      <c r="R276" s="2"/>
      <c r="S276" s="2"/>
      <c r="T276" s="2"/>
      <c r="U276" s="2"/>
      <c r="V276" s="2"/>
      <c r="W276" s="2"/>
      <c r="X276" s="2"/>
      <c r="Y276" s="2"/>
      <c r="Z276" s="2"/>
      <c r="AA276" s="2"/>
      <c r="AB276" s="2"/>
      <c r="AC276" s="2"/>
      <c r="AD276" s="2"/>
      <c r="AE276" s="296"/>
    </row>
    <row r="277" spans="1:31" x14ac:dyDescent="0.4">
      <c r="A277" s="378" t="s">
        <v>707</v>
      </c>
      <c r="B277" s="378"/>
      <c r="C277" s="393">
        <v>15000</v>
      </c>
      <c r="D277" s="360"/>
      <c r="E277" s="2"/>
      <c r="F277" s="2"/>
      <c r="G277" s="2"/>
      <c r="H277" s="2"/>
      <c r="I277" s="484"/>
      <c r="J277" s="484"/>
      <c r="K277" s="2"/>
      <c r="L277" s="2"/>
      <c r="M277" s="2"/>
      <c r="N277" s="2"/>
      <c r="O277" s="2"/>
      <c r="P277" s="2"/>
      <c r="Q277" s="2"/>
      <c r="R277" s="2"/>
      <c r="S277" s="2"/>
      <c r="T277" s="2"/>
      <c r="U277" s="2"/>
      <c r="V277" s="2"/>
      <c r="W277" s="2"/>
      <c r="X277" s="2"/>
      <c r="Y277" s="2"/>
      <c r="Z277" s="2"/>
      <c r="AA277" s="2"/>
      <c r="AB277" s="2"/>
      <c r="AC277" s="2"/>
      <c r="AD277" s="2"/>
      <c r="AE277" s="296"/>
    </row>
    <row r="278" spans="1:31" x14ac:dyDescent="0.4">
      <c r="A278" s="743" t="s">
        <v>560</v>
      </c>
      <c r="B278" s="743"/>
      <c r="C278" s="393">
        <v>15000</v>
      </c>
      <c r="D278" s="360"/>
      <c r="E278" s="2"/>
      <c r="F278" s="2"/>
      <c r="G278" s="2"/>
      <c r="H278" s="2"/>
      <c r="I278" s="484"/>
      <c r="J278" s="484"/>
      <c r="K278" s="2"/>
      <c r="L278" s="2"/>
      <c r="M278" s="2"/>
      <c r="N278" s="2"/>
      <c r="O278" s="2"/>
      <c r="P278" s="2"/>
      <c r="Q278" s="2"/>
      <c r="R278" s="2"/>
      <c r="S278" s="2"/>
      <c r="T278" s="2"/>
      <c r="U278" s="2"/>
      <c r="V278" s="2"/>
      <c r="W278" s="2"/>
      <c r="X278" s="2"/>
      <c r="Y278" s="2"/>
      <c r="Z278" s="2"/>
      <c r="AA278" s="2"/>
      <c r="AB278" s="2"/>
      <c r="AC278" s="2"/>
      <c r="AD278" s="2"/>
      <c r="AE278" s="296"/>
    </row>
    <row r="279" spans="1:31" x14ac:dyDescent="0.4">
      <c r="A279" s="743" t="s">
        <v>605</v>
      </c>
      <c r="B279" s="743"/>
      <c r="C279" s="393">
        <v>15000</v>
      </c>
      <c r="D279" s="360"/>
      <c r="E279" s="2"/>
      <c r="F279" s="2"/>
      <c r="G279" s="2"/>
      <c r="H279" s="2"/>
      <c r="I279" s="484"/>
      <c r="J279" s="484"/>
      <c r="K279" s="2"/>
      <c r="L279" s="2"/>
      <c r="M279" s="2"/>
      <c r="N279" s="2"/>
      <c r="O279" s="2"/>
      <c r="P279" s="2"/>
      <c r="Q279" s="2"/>
      <c r="R279" s="2"/>
      <c r="S279" s="2"/>
      <c r="T279" s="2"/>
      <c r="U279" s="2"/>
      <c r="V279" s="2"/>
      <c r="W279" s="2"/>
      <c r="X279" s="2"/>
      <c r="Y279" s="2"/>
      <c r="Z279" s="2"/>
      <c r="AA279" s="2"/>
      <c r="AB279" s="2"/>
      <c r="AC279" s="2"/>
      <c r="AD279" s="2"/>
      <c r="AE279" s="296"/>
    </row>
    <row r="280" spans="1:31" x14ac:dyDescent="0.4">
      <c r="A280" s="743" t="s">
        <v>659</v>
      </c>
      <c r="B280" s="743"/>
      <c r="C280" s="393">
        <v>15000</v>
      </c>
      <c r="D280" s="360"/>
      <c r="E280" s="2"/>
      <c r="F280" s="2"/>
      <c r="G280" s="2"/>
      <c r="H280" s="2"/>
      <c r="I280" s="484"/>
      <c r="J280" s="484"/>
      <c r="K280" s="2"/>
      <c r="L280" s="2"/>
      <c r="M280" s="2"/>
      <c r="N280" s="2"/>
      <c r="O280" s="2"/>
      <c r="P280" s="2"/>
      <c r="Q280" s="2"/>
      <c r="R280" s="2"/>
      <c r="S280" s="2"/>
      <c r="T280" s="2"/>
      <c r="U280" s="2"/>
      <c r="V280" s="2"/>
      <c r="W280" s="2"/>
      <c r="X280" s="2"/>
      <c r="Y280" s="2"/>
      <c r="Z280" s="2"/>
      <c r="AA280" s="2"/>
      <c r="AB280" s="2"/>
      <c r="AC280" s="2"/>
      <c r="AD280" s="2"/>
      <c r="AE280" s="296"/>
    </row>
    <row r="281" spans="1:31" x14ac:dyDescent="0.4">
      <c r="A281" s="743" t="s">
        <v>665</v>
      </c>
      <c r="B281" s="743"/>
      <c r="C281" s="393">
        <v>15000</v>
      </c>
      <c r="D281" s="360"/>
      <c r="E281" s="2"/>
      <c r="F281" s="2"/>
      <c r="G281" s="2"/>
      <c r="H281" s="2"/>
      <c r="I281" s="484"/>
      <c r="J281" s="484"/>
      <c r="K281" s="2"/>
      <c r="L281" s="2"/>
      <c r="M281" s="2"/>
      <c r="N281" s="2"/>
      <c r="O281" s="2"/>
      <c r="P281" s="2"/>
      <c r="Q281" s="2"/>
      <c r="R281" s="2"/>
      <c r="S281" s="2"/>
      <c r="T281" s="2"/>
      <c r="U281" s="2"/>
      <c r="V281" s="2"/>
      <c r="W281" s="2"/>
      <c r="X281" s="2"/>
      <c r="Y281" s="2"/>
      <c r="Z281" s="2"/>
      <c r="AA281" s="2"/>
      <c r="AB281" s="2"/>
      <c r="AC281" s="2"/>
      <c r="AD281" s="2"/>
      <c r="AE281" s="296"/>
    </row>
    <row r="282" spans="1:31" x14ac:dyDescent="0.4">
      <c r="A282" s="441" t="s">
        <v>703</v>
      </c>
      <c r="B282" s="442"/>
      <c r="C282" s="393">
        <v>15000</v>
      </c>
      <c r="D282" s="360"/>
      <c r="E282" s="2"/>
      <c r="F282" s="2"/>
      <c r="G282" s="2"/>
      <c r="H282" s="2"/>
      <c r="I282" s="484"/>
      <c r="J282" s="484"/>
      <c r="K282" s="2"/>
      <c r="L282" s="2"/>
      <c r="M282" s="2"/>
      <c r="N282" s="2"/>
      <c r="O282" s="2"/>
      <c r="P282" s="2"/>
      <c r="Q282" s="2"/>
      <c r="R282" s="2"/>
      <c r="S282" s="2"/>
      <c r="T282" s="2"/>
      <c r="U282" s="2"/>
      <c r="V282" s="2"/>
      <c r="W282" s="2"/>
      <c r="X282" s="2"/>
      <c r="Y282" s="2"/>
      <c r="Z282" s="2"/>
      <c r="AA282" s="2"/>
      <c r="AB282" s="2"/>
      <c r="AC282" s="2"/>
      <c r="AD282" s="2"/>
      <c r="AE282" s="296"/>
    </row>
    <row r="283" spans="1:31" x14ac:dyDescent="0.4">
      <c r="A283" s="441" t="s">
        <v>706</v>
      </c>
      <c r="B283" s="442"/>
      <c r="C283" s="393">
        <v>15000</v>
      </c>
      <c r="D283" s="360"/>
      <c r="E283" s="2"/>
      <c r="F283" s="2"/>
      <c r="G283" s="2"/>
      <c r="H283" s="2"/>
      <c r="I283" s="484"/>
      <c r="J283" s="484"/>
      <c r="K283" s="2"/>
      <c r="L283" s="2"/>
      <c r="M283" s="2"/>
      <c r="N283" s="2"/>
      <c r="O283" s="2"/>
      <c r="P283" s="2"/>
      <c r="Q283" s="2"/>
      <c r="R283" s="2"/>
      <c r="S283" s="2"/>
      <c r="T283" s="2"/>
      <c r="U283" s="2"/>
      <c r="V283" s="2"/>
      <c r="W283" s="2"/>
      <c r="X283" s="2"/>
      <c r="Y283" s="2"/>
      <c r="Z283" s="2"/>
      <c r="AA283" s="2"/>
      <c r="AB283" s="2"/>
      <c r="AC283" s="2"/>
      <c r="AD283" s="2"/>
      <c r="AE283" s="296"/>
    </row>
    <row r="284" spans="1:31" x14ac:dyDescent="0.4">
      <c r="A284" s="441" t="s">
        <v>748</v>
      </c>
      <c r="B284" s="442"/>
      <c r="C284" s="393">
        <v>15000</v>
      </c>
      <c r="D284" s="360"/>
      <c r="E284" s="2"/>
      <c r="F284" s="2"/>
      <c r="G284" s="2"/>
      <c r="H284" s="2"/>
      <c r="I284" s="484"/>
      <c r="J284" s="484"/>
      <c r="K284" s="2"/>
      <c r="L284" s="2"/>
      <c r="M284" s="2"/>
      <c r="N284" s="2"/>
      <c r="O284" s="2"/>
      <c r="P284" s="2"/>
      <c r="Q284" s="2"/>
      <c r="R284" s="2"/>
      <c r="S284" s="2"/>
      <c r="T284" s="2"/>
      <c r="U284" s="2"/>
      <c r="V284" s="2"/>
      <c r="W284" s="2"/>
      <c r="X284" s="2"/>
      <c r="Y284" s="2"/>
      <c r="Z284" s="2"/>
      <c r="AA284" s="2"/>
      <c r="AB284" s="2"/>
      <c r="AC284" s="2"/>
      <c r="AD284" s="2"/>
      <c r="AE284" s="296"/>
    </row>
    <row r="285" spans="1:31" x14ac:dyDescent="0.4">
      <c r="A285" s="441" t="s">
        <v>853</v>
      </c>
      <c r="B285" s="442"/>
      <c r="C285" s="393">
        <v>15000</v>
      </c>
      <c r="D285" s="360"/>
      <c r="E285" s="2"/>
      <c r="F285" s="2"/>
      <c r="G285" s="2"/>
      <c r="H285" s="2"/>
      <c r="I285" s="484"/>
      <c r="J285" s="484"/>
      <c r="K285" s="2"/>
      <c r="L285" s="2"/>
      <c r="M285" s="2"/>
      <c r="N285" s="2"/>
      <c r="O285" s="2"/>
      <c r="P285" s="2"/>
      <c r="Q285" s="2"/>
      <c r="R285" s="2"/>
      <c r="S285" s="2"/>
      <c r="T285" s="2"/>
      <c r="U285" s="2"/>
      <c r="V285" s="2"/>
      <c r="W285" s="2"/>
      <c r="X285" s="2"/>
      <c r="Y285" s="2"/>
      <c r="Z285" s="2"/>
      <c r="AA285" s="2"/>
      <c r="AB285" s="2"/>
      <c r="AC285" s="2"/>
      <c r="AD285" s="2"/>
      <c r="AE285" s="296"/>
    </row>
    <row r="286" spans="1:31" x14ac:dyDescent="0.4">
      <c r="A286" s="441" t="s">
        <v>866</v>
      </c>
      <c r="B286" s="442"/>
      <c r="C286" s="393">
        <v>15000</v>
      </c>
      <c r="D286" s="360"/>
      <c r="E286" s="2"/>
      <c r="F286" s="2"/>
      <c r="G286" s="2"/>
      <c r="H286" s="2"/>
      <c r="I286" s="484"/>
      <c r="J286" s="484"/>
      <c r="K286" s="2"/>
      <c r="L286" s="2"/>
      <c r="M286" s="2"/>
      <c r="N286" s="2"/>
      <c r="O286" s="2"/>
      <c r="P286" s="2"/>
      <c r="Q286" s="2"/>
      <c r="R286" s="2"/>
      <c r="S286" s="2"/>
      <c r="T286" s="2"/>
      <c r="U286" s="2"/>
      <c r="V286" s="2"/>
      <c r="W286" s="2"/>
      <c r="X286" s="2"/>
      <c r="Y286" s="2"/>
      <c r="Z286" s="2"/>
      <c r="AA286" s="2"/>
      <c r="AB286" s="2"/>
      <c r="AC286" s="2"/>
      <c r="AD286" s="2"/>
      <c r="AE286" s="296"/>
    </row>
    <row r="287" spans="1:31" x14ac:dyDescent="0.4">
      <c r="A287" s="441" t="s">
        <v>905</v>
      </c>
      <c r="B287" s="442"/>
      <c r="C287" s="393">
        <v>15000</v>
      </c>
      <c r="D287" s="360"/>
      <c r="E287" s="2"/>
      <c r="F287" s="2"/>
      <c r="G287" s="2"/>
      <c r="H287" s="2"/>
      <c r="I287" s="484"/>
      <c r="J287" s="484"/>
      <c r="K287" s="2"/>
      <c r="L287" s="2"/>
      <c r="M287" s="2"/>
      <c r="N287" s="2"/>
      <c r="O287" s="2"/>
      <c r="P287" s="2"/>
      <c r="Q287" s="2"/>
      <c r="R287" s="2"/>
      <c r="S287" s="2"/>
      <c r="T287" s="2"/>
      <c r="U287" s="2"/>
      <c r="V287" s="2"/>
      <c r="W287" s="2"/>
      <c r="X287" s="2"/>
      <c r="Y287" s="2"/>
      <c r="Z287" s="2"/>
      <c r="AA287" s="2"/>
      <c r="AB287" s="2"/>
      <c r="AC287" s="2"/>
      <c r="AD287" s="2"/>
      <c r="AE287" s="296"/>
    </row>
    <row r="288" spans="1:31" x14ac:dyDescent="0.4">
      <c r="A288" s="441" t="s">
        <v>925</v>
      </c>
      <c r="B288" s="442"/>
      <c r="C288" s="393">
        <v>15000</v>
      </c>
      <c r="D288" s="360"/>
      <c r="E288" s="2"/>
      <c r="F288" s="2"/>
      <c r="G288" s="2"/>
      <c r="H288" s="2"/>
      <c r="I288" s="484"/>
      <c r="J288" s="484"/>
      <c r="K288" s="2"/>
      <c r="L288" s="2"/>
      <c r="M288" s="2"/>
      <c r="N288" s="2"/>
      <c r="O288" s="2"/>
      <c r="P288" s="2"/>
      <c r="Q288" s="2"/>
      <c r="R288" s="2"/>
      <c r="S288" s="2"/>
      <c r="T288" s="2"/>
      <c r="U288" s="2"/>
      <c r="V288" s="2"/>
      <c r="W288" s="2"/>
      <c r="X288" s="2"/>
      <c r="Y288" s="2"/>
      <c r="Z288" s="2"/>
      <c r="AA288" s="2"/>
      <c r="AB288" s="2"/>
      <c r="AC288" s="2"/>
      <c r="AD288" s="2"/>
      <c r="AE288" s="296"/>
    </row>
    <row r="289" spans="1:31" x14ac:dyDescent="0.4">
      <c r="A289" s="441" t="s">
        <v>937</v>
      </c>
      <c r="B289" s="442"/>
      <c r="C289" s="393">
        <v>15000</v>
      </c>
      <c r="D289" s="360"/>
      <c r="E289" s="2"/>
      <c r="F289" s="2"/>
      <c r="G289" s="2"/>
      <c r="H289" s="2"/>
      <c r="I289" s="484"/>
      <c r="J289" s="484"/>
      <c r="K289" s="2"/>
      <c r="L289" s="2"/>
      <c r="M289" s="2"/>
      <c r="N289" s="2"/>
      <c r="O289" s="2"/>
      <c r="P289" s="2"/>
      <c r="Q289" s="2"/>
      <c r="R289" s="2"/>
      <c r="S289" s="2"/>
      <c r="T289" s="2"/>
      <c r="U289" s="2"/>
      <c r="V289" s="2"/>
      <c r="W289" s="2"/>
      <c r="X289" s="2"/>
      <c r="Y289" s="2"/>
      <c r="Z289" s="2"/>
      <c r="AA289" s="2"/>
      <c r="AB289" s="2"/>
      <c r="AC289" s="2"/>
      <c r="AD289" s="2"/>
      <c r="AE289" s="296"/>
    </row>
    <row r="290" spans="1:31" x14ac:dyDescent="0.4">
      <c r="A290" s="441" t="s">
        <v>974</v>
      </c>
      <c r="B290" s="442"/>
      <c r="C290" s="393">
        <v>15000</v>
      </c>
      <c r="D290" s="360"/>
      <c r="E290" s="2"/>
      <c r="F290" s="2"/>
      <c r="G290" s="2"/>
      <c r="H290" s="2"/>
      <c r="I290" s="484"/>
      <c r="J290" s="484"/>
      <c r="K290" s="2"/>
      <c r="L290" s="2"/>
      <c r="M290" s="2"/>
      <c r="N290" s="2"/>
      <c r="O290" s="2"/>
      <c r="P290" s="2"/>
      <c r="Q290" s="2"/>
      <c r="R290" s="2"/>
      <c r="S290" s="2"/>
      <c r="T290" s="2"/>
      <c r="U290" s="2"/>
      <c r="V290" s="2"/>
      <c r="W290" s="2"/>
      <c r="X290" s="2"/>
      <c r="Y290" s="2"/>
      <c r="Z290" s="2"/>
      <c r="AA290" s="2"/>
      <c r="AB290" s="2"/>
      <c r="AC290" s="2"/>
      <c r="AD290" s="2"/>
      <c r="AE290" s="296"/>
    </row>
    <row r="291" spans="1:31" x14ac:dyDescent="0.4">
      <c r="A291" s="441" t="s">
        <v>981</v>
      </c>
      <c r="B291" s="442"/>
      <c r="C291" s="393">
        <v>15000</v>
      </c>
      <c r="D291" s="360"/>
      <c r="E291" s="2"/>
      <c r="F291" s="2"/>
      <c r="G291" s="2"/>
      <c r="H291" s="2"/>
      <c r="I291" s="484"/>
      <c r="J291" s="484"/>
      <c r="K291" s="2"/>
      <c r="L291" s="2"/>
      <c r="M291" s="2"/>
      <c r="N291" s="2"/>
      <c r="O291" s="2"/>
      <c r="P291" s="2"/>
      <c r="Q291" s="2"/>
      <c r="R291" s="2"/>
      <c r="S291" s="2"/>
      <c r="T291" s="2"/>
      <c r="U291" s="2"/>
      <c r="V291" s="2"/>
      <c r="W291" s="2"/>
      <c r="X291" s="2"/>
      <c r="Y291" s="2"/>
      <c r="Z291" s="2"/>
      <c r="AA291" s="2"/>
      <c r="AB291" s="2"/>
      <c r="AC291" s="2"/>
      <c r="AD291" s="2"/>
      <c r="AE291" s="296"/>
    </row>
    <row r="292" spans="1:31" x14ac:dyDescent="0.4">
      <c r="A292" s="441" t="s">
        <v>991</v>
      </c>
      <c r="B292" s="442"/>
      <c r="C292" s="393">
        <v>15000</v>
      </c>
      <c r="D292" s="360"/>
      <c r="E292" s="2"/>
      <c r="F292" s="2"/>
      <c r="G292" s="2"/>
      <c r="H292" s="2"/>
      <c r="I292" s="484"/>
      <c r="J292" s="484"/>
      <c r="K292" s="2"/>
      <c r="L292" s="2"/>
      <c r="M292" s="2"/>
      <c r="N292" s="2"/>
      <c r="O292" s="2"/>
      <c r="P292" s="2"/>
      <c r="Q292" s="2"/>
      <c r="R292" s="2"/>
      <c r="S292" s="2"/>
      <c r="T292" s="2"/>
      <c r="U292" s="2"/>
      <c r="V292" s="2"/>
      <c r="W292" s="2"/>
      <c r="X292" s="2"/>
      <c r="Y292" s="2"/>
      <c r="Z292" s="2"/>
      <c r="AA292" s="2"/>
      <c r="AB292" s="2"/>
      <c r="AC292" s="2"/>
      <c r="AD292" s="2"/>
      <c r="AE292" s="296"/>
    </row>
    <row r="293" spans="1:31" x14ac:dyDescent="0.4">
      <c r="A293" s="441" t="s">
        <v>1009</v>
      </c>
      <c r="B293" s="442"/>
      <c r="C293" s="393">
        <v>15000</v>
      </c>
      <c r="D293" s="360"/>
      <c r="E293" s="2"/>
      <c r="F293" s="2"/>
      <c r="G293" s="2"/>
      <c r="H293" s="2"/>
      <c r="I293" s="484"/>
      <c r="J293" s="484"/>
      <c r="K293" s="2"/>
      <c r="L293" s="2"/>
      <c r="M293" s="2"/>
      <c r="N293" s="2"/>
      <c r="O293" s="2"/>
      <c r="P293" s="2"/>
      <c r="Q293" s="2"/>
      <c r="R293" s="2"/>
      <c r="S293" s="2"/>
      <c r="T293" s="2"/>
      <c r="U293" s="2"/>
      <c r="V293" s="2"/>
      <c r="W293" s="2"/>
      <c r="X293" s="2"/>
      <c r="Y293" s="2"/>
      <c r="Z293" s="2"/>
      <c r="AA293" s="2"/>
      <c r="AB293" s="2"/>
      <c r="AC293" s="2"/>
      <c r="AD293" s="2"/>
      <c r="AE293" s="296"/>
    </row>
    <row r="294" spans="1:31" x14ac:dyDescent="0.4">
      <c r="A294" s="441" t="s">
        <v>1018</v>
      </c>
      <c r="B294" s="442"/>
      <c r="C294" s="393">
        <v>15000</v>
      </c>
      <c r="D294" s="360"/>
      <c r="E294" s="2"/>
      <c r="F294" s="2"/>
      <c r="G294" s="2"/>
      <c r="H294" s="2"/>
      <c r="I294" s="484"/>
      <c r="J294" s="484"/>
      <c r="K294" s="2"/>
      <c r="L294" s="2"/>
      <c r="M294" s="2"/>
      <c r="N294" s="2"/>
      <c r="O294" s="2"/>
      <c r="P294" s="2"/>
      <c r="Q294" s="2"/>
      <c r="R294" s="2"/>
      <c r="S294" s="2"/>
      <c r="T294" s="2"/>
      <c r="U294" s="2"/>
      <c r="V294" s="2"/>
      <c r="W294" s="2"/>
      <c r="X294" s="2"/>
      <c r="Y294" s="2"/>
      <c r="Z294" s="2"/>
      <c r="AA294" s="2"/>
      <c r="AB294" s="2"/>
      <c r="AC294" s="2"/>
      <c r="AD294" s="2"/>
      <c r="AE294" s="296"/>
    </row>
    <row r="295" spans="1:31" x14ac:dyDescent="0.4">
      <c r="A295" s="441" t="s">
        <v>1031</v>
      </c>
      <c r="B295" s="442"/>
      <c r="C295" s="393">
        <v>15000</v>
      </c>
      <c r="D295" s="360"/>
      <c r="E295" s="2"/>
      <c r="F295" s="2"/>
      <c r="G295" s="2"/>
      <c r="H295" s="2"/>
      <c r="I295" s="484"/>
      <c r="J295" s="484"/>
      <c r="K295" s="2"/>
      <c r="L295" s="2"/>
      <c r="M295" s="2"/>
      <c r="N295" s="2"/>
      <c r="O295" s="2"/>
      <c r="P295" s="2"/>
      <c r="Q295" s="2"/>
      <c r="R295" s="2"/>
      <c r="S295" s="2"/>
      <c r="T295" s="2"/>
      <c r="U295" s="2"/>
      <c r="V295" s="2"/>
      <c r="W295" s="2"/>
      <c r="X295" s="2"/>
      <c r="Y295" s="2"/>
      <c r="Z295" s="2"/>
      <c r="AA295" s="2"/>
      <c r="AB295" s="2"/>
      <c r="AC295" s="2"/>
      <c r="AD295" s="2"/>
      <c r="AE295" s="296"/>
    </row>
    <row r="296" spans="1:31" x14ac:dyDescent="0.4">
      <c r="A296" s="441" t="s">
        <v>1036</v>
      </c>
      <c r="B296" s="442"/>
      <c r="C296" s="393">
        <v>15000</v>
      </c>
      <c r="D296" s="360"/>
      <c r="E296" s="2"/>
      <c r="F296" s="2"/>
      <c r="G296" s="2"/>
      <c r="H296" s="2"/>
      <c r="I296" s="484"/>
      <c r="J296" s="484"/>
      <c r="K296" s="2"/>
      <c r="L296" s="2"/>
      <c r="M296" s="2"/>
      <c r="N296" s="2"/>
      <c r="O296" s="2"/>
      <c r="P296" s="2"/>
      <c r="Q296" s="2"/>
      <c r="R296" s="2"/>
      <c r="S296" s="2"/>
      <c r="T296" s="2"/>
      <c r="U296" s="2"/>
      <c r="V296" s="2"/>
      <c r="W296" s="2"/>
      <c r="X296" s="2"/>
      <c r="Y296" s="2"/>
      <c r="Z296" s="2"/>
      <c r="AA296" s="2"/>
      <c r="AB296" s="2"/>
      <c r="AC296" s="2"/>
      <c r="AD296" s="2"/>
      <c r="AE296" s="296"/>
    </row>
    <row r="297" spans="1:31" x14ac:dyDescent="0.4">
      <c r="A297" s="441" t="s">
        <v>1079</v>
      </c>
      <c r="B297" s="442"/>
      <c r="C297" s="393">
        <v>15000</v>
      </c>
      <c r="D297" s="360"/>
      <c r="E297" s="2"/>
      <c r="F297" s="2"/>
      <c r="G297" s="2"/>
      <c r="H297" s="2"/>
      <c r="I297" s="484"/>
      <c r="J297" s="484"/>
      <c r="K297" s="2"/>
      <c r="L297" s="2"/>
      <c r="M297" s="2"/>
      <c r="N297" s="2"/>
      <c r="O297" s="2"/>
      <c r="P297" s="2"/>
      <c r="Q297" s="2"/>
      <c r="R297" s="2"/>
      <c r="S297" s="2"/>
      <c r="T297" s="2"/>
      <c r="U297" s="2"/>
      <c r="V297" s="2"/>
      <c r="W297" s="2"/>
      <c r="X297" s="2"/>
      <c r="Y297" s="2"/>
      <c r="Z297" s="2"/>
      <c r="AA297" s="2"/>
      <c r="AB297" s="2"/>
      <c r="AC297" s="2"/>
      <c r="AD297" s="2"/>
      <c r="AE297" s="296"/>
    </row>
    <row r="298" spans="1:31" x14ac:dyDescent="0.4">
      <c r="A298" s="441" t="s">
        <v>1078</v>
      </c>
      <c r="B298" s="442"/>
      <c r="C298" s="393">
        <v>15000</v>
      </c>
      <c r="D298" s="360"/>
      <c r="E298" s="2"/>
      <c r="F298" s="2"/>
      <c r="G298" s="2"/>
      <c r="H298" s="2"/>
      <c r="I298" s="484"/>
      <c r="J298" s="484"/>
      <c r="K298" s="2"/>
      <c r="L298" s="2"/>
      <c r="M298" s="2"/>
      <c r="N298" s="2"/>
      <c r="O298" s="2"/>
      <c r="P298" s="2"/>
      <c r="Q298" s="2"/>
      <c r="R298" s="2"/>
      <c r="S298" s="2"/>
      <c r="T298" s="2"/>
      <c r="U298" s="2"/>
      <c r="V298" s="2"/>
      <c r="W298" s="2"/>
      <c r="X298" s="2"/>
      <c r="Y298" s="2"/>
      <c r="Z298" s="2"/>
      <c r="AA298" s="2"/>
      <c r="AB298" s="2"/>
      <c r="AC298" s="2"/>
      <c r="AD298" s="2"/>
      <c r="AE298" s="296"/>
    </row>
    <row r="299" spans="1:31" x14ac:dyDescent="0.4">
      <c r="A299" s="441" t="s">
        <v>1080</v>
      </c>
      <c r="B299" s="442"/>
      <c r="C299" s="393">
        <v>15000</v>
      </c>
      <c r="D299" s="360"/>
      <c r="E299" s="2"/>
      <c r="F299" s="2"/>
      <c r="G299" s="2"/>
      <c r="H299" s="2"/>
      <c r="I299" s="484"/>
      <c r="J299" s="484"/>
      <c r="K299" s="2"/>
      <c r="L299" s="2"/>
      <c r="M299" s="2"/>
      <c r="N299" s="2"/>
      <c r="O299" s="2"/>
      <c r="P299" s="2"/>
      <c r="Q299" s="2"/>
      <c r="R299" s="2"/>
      <c r="S299" s="2"/>
      <c r="T299" s="2"/>
      <c r="U299" s="2"/>
      <c r="V299" s="2"/>
      <c r="W299" s="2"/>
      <c r="X299" s="2"/>
      <c r="Y299" s="2"/>
      <c r="Z299" s="2"/>
      <c r="AA299" s="2"/>
      <c r="AB299" s="2"/>
      <c r="AC299" s="2"/>
      <c r="AD299" s="2"/>
      <c r="AE299" s="296"/>
    </row>
    <row r="300" spans="1:31" x14ac:dyDescent="0.4">
      <c r="A300" s="441" t="s">
        <v>1294</v>
      </c>
      <c r="B300" s="442"/>
      <c r="C300" s="393">
        <v>15000</v>
      </c>
      <c r="D300" s="360"/>
      <c r="E300" s="2"/>
      <c r="F300" s="2"/>
      <c r="G300" s="2"/>
      <c r="H300" s="2"/>
      <c r="I300" s="484"/>
      <c r="J300" s="484"/>
      <c r="K300" s="2"/>
      <c r="L300" s="2"/>
      <c r="M300" s="2"/>
      <c r="N300" s="2"/>
      <c r="O300" s="2"/>
      <c r="P300" s="2"/>
      <c r="Q300" s="2"/>
      <c r="R300" s="2"/>
      <c r="S300" s="2"/>
      <c r="T300" s="2"/>
      <c r="U300" s="2"/>
      <c r="V300" s="2"/>
      <c r="W300" s="2"/>
      <c r="X300" s="2"/>
      <c r="Y300" s="2"/>
      <c r="Z300" s="2"/>
      <c r="AA300" s="2"/>
      <c r="AB300" s="2"/>
      <c r="AC300" s="2"/>
      <c r="AD300" s="2"/>
      <c r="AE300" s="296"/>
    </row>
    <row r="301" spans="1:31" x14ac:dyDescent="0.4">
      <c r="A301" s="441" t="s">
        <v>1302</v>
      </c>
      <c r="B301" s="442"/>
      <c r="C301" s="393">
        <v>15000</v>
      </c>
      <c r="D301" s="360"/>
      <c r="E301" s="2"/>
      <c r="F301" s="2"/>
      <c r="G301" s="2"/>
      <c r="H301" s="2"/>
      <c r="I301" s="484"/>
      <c r="J301" s="484"/>
      <c r="K301" s="2"/>
      <c r="L301" s="2"/>
      <c r="M301" s="2"/>
      <c r="N301" s="2"/>
      <c r="O301" s="2"/>
      <c r="P301" s="2"/>
      <c r="Q301" s="2"/>
      <c r="R301" s="2"/>
      <c r="S301" s="2"/>
      <c r="T301" s="2"/>
      <c r="U301" s="2"/>
      <c r="V301" s="2"/>
      <c r="W301" s="2"/>
      <c r="X301" s="2"/>
      <c r="Y301" s="2"/>
      <c r="Z301" s="2"/>
      <c r="AA301" s="2"/>
      <c r="AB301" s="2"/>
      <c r="AC301" s="2"/>
      <c r="AD301" s="2"/>
      <c r="AE301" s="296"/>
    </row>
    <row r="302" spans="1:31" x14ac:dyDescent="0.4">
      <c r="A302" s="441" t="s">
        <v>1351</v>
      </c>
      <c r="B302" s="442"/>
      <c r="C302" s="393">
        <v>15000</v>
      </c>
      <c r="D302" s="360"/>
      <c r="E302" s="2"/>
      <c r="F302" s="2"/>
      <c r="G302" s="2"/>
      <c r="H302" s="2"/>
      <c r="I302" s="484"/>
      <c r="J302" s="484"/>
      <c r="K302" s="2"/>
      <c r="L302" s="2"/>
      <c r="M302" s="2"/>
      <c r="N302" s="2"/>
      <c r="O302" s="2"/>
      <c r="P302" s="2"/>
      <c r="Q302" s="2"/>
      <c r="R302" s="2"/>
      <c r="S302" s="2"/>
      <c r="T302" s="2"/>
      <c r="U302" s="2"/>
      <c r="V302" s="2"/>
      <c r="W302" s="2"/>
      <c r="X302" s="2"/>
      <c r="Y302" s="2"/>
      <c r="Z302" s="2"/>
      <c r="AA302" s="2"/>
      <c r="AB302" s="2"/>
      <c r="AC302" s="2"/>
      <c r="AD302" s="2"/>
      <c r="AE302" s="296"/>
    </row>
    <row r="303" spans="1:31" ht="36" customHeight="1" x14ac:dyDescent="0.4">
      <c r="A303" s="753" t="s">
        <v>671</v>
      </c>
      <c r="B303" s="754"/>
      <c r="C303" s="393">
        <v>1550000</v>
      </c>
      <c r="D303" s="360"/>
      <c r="E303" s="2"/>
      <c r="F303" s="2"/>
      <c r="G303" s="2"/>
      <c r="H303" s="2"/>
      <c r="I303" s="484"/>
      <c r="J303" s="484"/>
      <c r="K303" s="2"/>
      <c r="L303" s="2"/>
      <c r="M303" s="2"/>
      <c r="N303" s="2"/>
      <c r="O303" s="2"/>
      <c r="P303" s="2"/>
      <c r="Q303" s="2"/>
      <c r="R303" s="2"/>
      <c r="S303" s="2"/>
      <c r="T303" s="2"/>
      <c r="U303" s="2"/>
      <c r="V303" s="2"/>
      <c r="W303" s="2"/>
      <c r="X303" s="2"/>
      <c r="Y303" s="2"/>
      <c r="Z303" s="2"/>
      <c r="AA303" s="2"/>
      <c r="AB303" s="2"/>
      <c r="AC303" s="2"/>
      <c r="AD303" s="2" t="s">
        <v>1061</v>
      </c>
      <c r="AE303" s="296"/>
    </row>
    <row r="304" spans="1:31" x14ac:dyDescent="0.4">
      <c r="A304" s="752" t="s">
        <v>658</v>
      </c>
      <c r="B304" s="752"/>
      <c r="C304" s="393">
        <v>-2800000</v>
      </c>
      <c r="D304" s="360"/>
      <c r="E304" s="2"/>
      <c r="F304" s="2"/>
      <c r="G304" s="2"/>
      <c r="H304" s="2"/>
      <c r="I304" s="484"/>
      <c r="J304" s="484"/>
      <c r="K304" s="2"/>
      <c r="L304" s="2"/>
      <c r="M304" s="2"/>
      <c r="N304" s="2"/>
      <c r="O304" s="2"/>
      <c r="P304" s="2"/>
      <c r="Q304" s="2"/>
      <c r="R304" s="2"/>
      <c r="S304" s="2"/>
      <c r="T304" s="2"/>
      <c r="U304" s="2"/>
      <c r="V304" s="2"/>
      <c r="W304" s="2"/>
      <c r="X304" s="2"/>
      <c r="Y304" s="2"/>
      <c r="Z304" s="2"/>
      <c r="AA304" s="2"/>
      <c r="AB304" s="2"/>
      <c r="AC304" s="2"/>
      <c r="AD304" s="2"/>
      <c r="AE304" s="296"/>
    </row>
    <row r="305" spans="1:36" x14ac:dyDescent="0.4">
      <c r="A305" s="743" t="s">
        <v>428</v>
      </c>
      <c r="B305" s="743"/>
      <c r="C305" s="393">
        <f>-212000-4237.29-762.71-305.08-1694.92-1271.19-228.81-4237.29-762.71-1694.92-305.08-1694.92-305.08-1694.92-305.08-1694.92-305.08-1694.92-305.08-1694.92-305.08-4237.29-762.71-1694.92-305.08-6779.66-1220.34-6779.66-1220.34</f>
        <v>-260500</v>
      </c>
      <c r="D305" s="360"/>
      <c r="E305" s="2"/>
      <c r="F305" s="2"/>
      <c r="G305" s="2"/>
      <c r="H305" s="2"/>
      <c r="I305" s="484"/>
      <c r="J305" s="484"/>
      <c r="K305" s="2"/>
      <c r="L305" s="2"/>
      <c r="M305" s="2"/>
      <c r="N305" s="2"/>
      <c r="O305" s="2"/>
      <c r="P305" s="2"/>
      <c r="Q305" s="2"/>
      <c r="R305" s="2"/>
      <c r="S305" s="2"/>
      <c r="T305" s="2"/>
      <c r="U305" s="2"/>
      <c r="V305" s="2"/>
      <c r="W305" s="2"/>
      <c r="X305" s="2"/>
      <c r="Y305" s="2"/>
      <c r="Z305" s="2"/>
      <c r="AA305" s="2"/>
      <c r="AB305" s="2"/>
      <c r="AC305" s="2"/>
      <c r="AD305" s="2"/>
      <c r="AE305" s="296"/>
    </row>
    <row r="306" spans="1:36" x14ac:dyDescent="0.4">
      <c r="A306" s="745" t="s">
        <v>524</v>
      </c>
      <c r="B306" s="745"/>
      <c r="C306" s="395">
        <f>SUM(C267:C305)</f>
        <v>-964121.78</v>
      </c>
      <c r="D306" s="360"/>
      <c r="E306" s="2"/>
      <c r="F306" s="2"/>
      <c r="G306" s="2"/>
      <c r="H306" s="2"/>
      <c r="I306" s="484"/>
      <c r="J306" s="484"/>
      <c r="K306" s="2"/>
      <c r="L306" s="2"/>
      <c r="M306" s="2"/>
      <c r="N306" s="2"/>
      <c r="O306" s="2"/>
      <c r="P306" s="2"/>
      <c r="Q306" s="2"/>
      <c r="R306" s="2"/>
      <c r="S306" s="2"/>
      <c r="T306" s="2"/>
      <c r="U306" s="2"/>
      <c r="V306" s="2"/>
      <c r="W306" s="2"/>
      <c r="X306" s="2"/>
      <c r="Y306" s="2"/>
      <c r="Z306" s="2"/>
      <c r="AA306" s="2"/>
      <c r="AB306" s="2"/>
      <c r="AC306" s="2"/>
      <c r="AD306" s="2"/>
      <c r="AE306" s="296"/>
    </row>
    <row r="307" spans="1:36" hidden="1" x14ac:dyDescent="0.4">
      <c r="A307" s="746" t="s">
        <v>625</v>
      </c>
      <c r="B307" s="747"/>
      <c r="C307" s="395"/>
      <c r="D307" s="360"/>
      <c r="E307" s="2"/>
      <c r="F307" s="2"/>
      <c r="G307" s="2"/>
      <c r="H307" s="2"/>
      <c r="I307" s="484"/>
      <c r="J307" s="484"/>
      <c r="K307" s="2"/>
      <c r="L307" s="2"/>
      <c r="M307" s="2"/>
      <c r="N307" s="2"/>
      <c r="O307" s="2"/>
      <c r="P307" s="2"/>
      <c r="Q307" s="2"/>
      <c r="R307" s="2"/>
      <c r="S307" s="2"/>
      <c r="T307" s="2"/>
      <c r="U307" s="2"/>
      <c r="V307" s="2"/>
      <c r="W307" s="2"/>
      <c r="X307" s="2"/>
      <c r="Y307" s="2"/>
      <c r="Z307" s="2"/>
      <c r="AA307" s="2"/>
      <c r="AB307" s="2"/>
      <c r="AC307" s="2"/>
      <c r="AD307" s="2"/>
      <c r="AE307" s="296"/>
      <c r="AI307" s="345" t="s">
        <v>625</v>
      </c>
      <c r="AJ307" s="395"/>
    </row>
    <row r="308" spans="1:36" ht="14.5" hidden="1" customHeight="1" x14ac:dyDescent="0.4">
      <c r="A308" s="748" t="s">
        <v>226</v>
      </c>
      <c r="B308" s="749"/>
      <c r="C308" s="392">
        <f>C175</f>
        <v>822292446.89999998</v>
      </c>
      <c r="D308" s="360"/>
      <c r="E308" s="2"/>
      <c r="F308" s="2"/>
      <c r="G308" s="2"/>
      <c r="H308" s="2"/>
      <c r="I308" s="484"/>
      <c r="J308" s="484"/>
      <c r="K308" s="2"/>
      <c r="L308" s="2"/>
      <c r="M308" s="2"/>
      <c r="N308" s="2"/>
      <c r="O308" s="2"/>
      <c r="P308" s="2"/>
      <c r="Q308" s="2"/>
      <c r="R308" s="2"/>
      <c r="S308" s="2"/>
      <c r="T308" s="2"/>
      <c r="U308" s="2"/>
      <c r="V308" s="2"/>
      <c r="W308" s="2"/>
      <c r="X308" s="2"/>
      <c r="Y308" s="2"/>
      <c r="Z308" s="2"/>
      <c r="AA308" s="2"/>
      <c r="AB308" s="2"/>
      <c r="AC308" s="2"/>
      <c r="AD308" s="2"/>
      <c r="AE308" s="296"/>
      <c r="AI308" s="387" t="s">
        <v>226</v>
      </c>
      <c r="AJ308" s="392">
        <f>C308</f>
        <v>822292446.89999998</v>
      </c>
    </row>
    <row r="309" spans="1:36" hidden="1" x14ac:dyDescent="0.4">
      <c r="A309" s="748" t="s">
        <v>626</v>
      </c>
      <c r="B309" s="749"/>
      <c r="C309" s="392">
        <f>C216</f>
        <v>335263945</v>
      </c>
      <c r="D309" s="360"/>
      <c r="E309" s="2"/>
      <c r="F309" s="2"/>
      <c r="G309" s="2"/>
      <c r="H309" s="2"/>
      <c r="I309" s="484"/>
      <c r="J309" s="484"/>
      <c r="K309" s="2"/>
      <c r="L309" s="2"/>
      <c r="M309" s="2"/>
      <c r="N309" s="2"/>
      <c r="O309" s="2"/>
      <c r="P309" s="2"/>
      <c r="Q309" s="2"/>
      <c r="R309" s="2"/>
      <c r="S309" s="2"/>
      <c r="T309" s="2"/>
      <c r="U309" s="2"/>
      <c r="V309" s="2"/>
      <c r="W309" s="2"/>
      <c r="X309" s="2"/>
      <c r="Y309" s="2"/>
      <c r="Z309" s="2"/>
      <c r="AA309" s="2"/>
      <c r="AB309" s="2"/>
      <c r="AC309" s="2"/>
      <c r="AD309" s="2"/>
      <c r="AE309" s="296"/>
      <c r="AI309" s="387" t="s">
        <v>626</v>
      </c>
      <c r="AJ309" s="392">
        <f>C309</f>
        <v>335263945</v>
      </c>
    </row>
    <row r="310" spans="1:36" hidden="1" x14ac:dyDescent="0.4">
      <c r="A310" s="748" t="s">
        <v>627</v>
      </c>
      <c r="B310" s="749"/>
      <c r="C310" s="392">
        <f>C156</f>
        <v>63633670</v>
      </c>
      <c r="D310" s="360"/>
      <c r="E310" s="2"/>
      <c r="F310" s="2"/>
      <c r="G310" s="2"/>
      <c r="H310" s="2"/>
      <c r="I310" s="484"/>
      <c r="J310" s="484"/>
      <c r="K310" s="2"/>
      <c r="L310" s="2"/>
      <c r="M310" s="2"/>
      <c r="N310" s="2"/>
      <c r="O310" s="2"/>
      <c r="P310" s="2"/>
      <c r="Q310" s="2"/>
      <c r="R310" s="2"/>
      <c r="S310" s="2"/>
      <c r="T310" s="2"/>
      <c r="U310" s="2"/>
      <c r="V310" s="2"/>
      <c r="W310" s="2"/>
      <c r="X310" s="2"/>
      <c r="Y310" s="2"/>
      <c r="Z310" s="2"/>
      <c r="AA310" s="2"/>
      <c r="AB310" s="2"/>
      <c r="AC310" s="2"/>
      <c r="AD310" s="2"/>
      <c r="AE310" s="296"/>
      <c r="AI310" s="387" t="s">
        <v>627</v>
      </c>
      <c r="AJ310" s="392">
        <f>C310</f>
        <v>63633670</v>
      </c>
    </row>
    <row r="311" spans="1:36" ht="22.5" customHeight="1" x14ac:dyDescent="0.4">
      <c r="A311" s="261" t="s">
        <v>429</v>
      </c>
      <c r="B311" s="134"/>
      <c r="C311" s="396">
        <f>C156+C175+C216+C306+C264+C181</f>
        <v>1590138752.8800001</v>
      </c>
      <c r="D311" s="97">
        <f>C83-C311</f>
        <v>-1584914596.7093585</v>
      </c>
      <c r="E311" s="2"/>
      <c r="F311" s="2"/>
      <c r="G311" s="2"/>
      <c r="H311" s="2"/>
      <c r="I311" s="484"/>
      <c r="J311" s="484"/>
      <c r="K311" s="2"/>
      <c r="L311" s="2"/>
      <c r="M311" s="2"/>
      <c r="N311" s="2"/>
      <c r="O311" s="2"/>
      <c r="P311" s="2"/>
      <c r="Q311" s="2"/>
      <c r="R311" s="2"/>
      <c r="S311" s="2"/>
      <c r="T311" s="2"/>
      <c r="U311" s="2"/>
      <c r="V311" s="2"/>
      <c r="W311" s="2"/>
      <c r="X311" s="2"/>
      <c r="Y311" s="2"/>
      <c r="Z311" s="2"/>
      <c r="AA311" s="2"/>
      <c r="AB311" s="2"/>
      <c r="AC311" s="2"/>
      <c r="AD311" s="82"/>
      <c r="AE311" s="293">
        <f>'DETAILS (sorted)'!DS153</f>
        <v>1589705274.7600012</v>
      </c>
      <c r="AF311" s="28">
        <f>C311</f>
        <v>1590138752.8800001</v>
      </c>
      <c r="AG311" s="324">
        <f>AE311-C311</f>
        <v>-433478.11999893188</v>
      </c>
      <c r="AI311" s="386" t="s">
        <v>187</v>
      </c>
      <c r="AJ311" s="248">
        <f>SUM(AJ308:AJ310)</f>
        <v>1221190061.9000001</v>
      </c>
    </row>
    <row r="312" spans="1:36" ht="23.5" hidden="1" customHeight="1" x14ac:dyDescent="0.35">
      <c r="A312" s="264" t="s">
        <v>430</v>
      </c>
      <c r="B312" s="264" t="s">
        <v>431</v>
      </c>
      <c r="C312" s="258">
        <v>100000000</v>
      </c>
      <c r="D312" s="74"/>
      <c r="E312" s="74"/>
      <c r="F312" s="74"/>
      <c r="G312" s="74"/>
      <c r="H312" s="74"/>
      <c r="I312" s="544"/>
      <c r="J312" s="544"/>
      <c r="K312" s="74"/>
      <c r="L312" s="74"/>
      <c r="M312" s="74"/>
      <c r="N312" s="74"/>
      <c r="O312" s="74"/>
      <c r="P312" s="74"/>
      <c r="Q312" s="74"/>
      <c r="R312" s="74"/>
      <c r="S312" s="74"/>
      <c r="T312" s="74"/>
      <c r="U312" s="74"/>
      <c r="V312" s="74"/>
      <c r="W312" s="74"/>
      <c r="X312" s="74"/>
      <c r="Y312" s="74"/>
      <c r="Z312" s="74"/>
      <c r="AA312" s="74"/>
      <c r="AB312" s="74"/>
      <c r="AC312" s="74"/>
      <c r="AD312" s="265" t="s">
        <v>527</v>
      </c>
    </row>
    <row r="313" spans="1:36" hidden="1" x14ac:dyDescent="0.4">
      <c r="A313" s="341" t="s">
        <v>432</v>
      </c>
      <c r="B313" s="341"/>
      <c r="C313" s="248">
        <v>0</v>
      </c>
      <c r="D313" s="74"/>
      <c r="E313" s="74"/>
      <c r="F313" s="74"/>
      <c r="G313" s="74"/>
      <c r="H313" s="74"/>
      <c r="I313" s="544"/>
      <c r="J313" s="544"/>
      <c r="K313" s="74"/>
      <c r="L313" s="74"/>
      <c r="M313" s="74"/>
      <c r="N313" s="74"/>
      <c r="O313" s="74"/>
      <c r="P313" s="74"/>
      <c r="Q313" s="74"/>
      <c r="R313" s="74"/>
      <c r="S313" s="74"/>
      <c r="T313" s="74"/>
      <c r="U313" s="74"/>
      <c r="V313" s="74"/>
      <c r="W313" s="74"/>
      <c r="X313" s="74"/>
      <c r="Y313" s="74"/>
      <c r="Z313" s="74"/>
      <c r="AA313" s="74"/>
      <c r="AB313" s="74"/>
      <c r="AC313" s="74"/>
      <c r="AD313" s="342"/>
    </row>
    <row r="314" spans="1:36" ht="14.5" hidden="1" x14ac:dyDescent="0.35">
      <c r="A314" s="264" t="s">
        <v>433</v>
      </c>
      <c r="B314" s="264" t="s">
        <v>434</v>
      </c>
      <c r="C314" s="258">
        <v>200000000</v>
      </c>
      <c r="D314" s="2"/>
      <c r="E314" s="2"/>
      <c r="F314" s="2"/>
      <c r="G314" s="2"/>
      <c r="H314" s="2"/>
      <c r="I314" s="484"/>
      <c r="J314" s="484"/>
      <c r="K314" s="2"/>
      <c r="L314" s="2"/>
      <c r="M314" s="2"/>
      <c r="N314" s="2"/>
      <c r="O314" s="2"/>
      <c r="P314" s="2"/>
      <c r="Q314" s="2"/>
      <c r="R314" s="2"/>
      <c r="S314" s="2"/>
      <c r="T314" s="2"/>
      <c r="U314" s="2"/>
      <c r="V314" s="2"/>
      <c r="W314" s="2"/>
      <c r="X314" s="2"/>
      <c r="Y314" s="2"/>
      <c r="Z314" s="2"/>
      <c r="AA314" s="2"/>
      <c r="AB314" s="2"/>
      <c r="AC314" s="2"/>
      <c r="AD314" s="258" t="s">
        <v>526</v>
      </c>
    </row>
    <row r="315" spans="1:36" hidden="1" x14ac:dyDescent="0.4">
      <c r="A315" s="334" t="s">
        <v>435</v>
      </c>
      <c r="B315" s="242"/>
      <c r="C315" s="257">
        <v>0</v>
      </c>
      <c r="D315" s="2"/>
      <c r="E315" s="2"/>
      <c r="F315" s="2"/>
      <c r="G315" s="2"/>
      <c r="H315" s="2"/>
      <c r="I315" s="484"/>
      <c r="J315" s="484"/>
      <c r="K315" s="2"/>
      <c r="L315" s="2"/>
      <c r="M315" s="2"/>
      <c r="N315" s="2"/>
      <c r="O315" s="2"/>
      <c r="P315" s="2"/>
      <c r="Q315" s="2"/>
      <c r="R315" s="2"/>
      <c r="S315" s="2"/>
      <c r="T315" s="2"/>
      <c r="U315" s="2"/>
      <c r="V315" s="2"/>
      <c r="W315" s="2"/>
      <c r="X315" s="2"/>
      <c r="Y315" s="2"/>
      <c r="Z315" s="2"/>
      <c r="AA315" s="2"/>
      <c r="AB315" s="2"/>
      <c r="AC315" s="2"/>
      <c r="AD315" s="257"/>
      <c r="AF315" t="s">
        <v>436</v>
      </c>
    </row>
    <row r="316" spans="1:36" hidden="1" x14ac:dyDescent="0.4">
      <c r="A316" s="263" t="s">
        <v>437</v>
      </c>
      <c r="B316" s="264" t="s">
        <v>438</v>
      </c>
      <c r="C316" s="258">
        <v>500000000</v>
      </c>
      <c r="D316" s="74"/>
      <c r="E316" s="74"/>
      <c r="F316" s="74"/>
      <c r="G316" s="74"/>
      <c r="H316" s="74"/>
      <c r="I316" s="544"/>
      <c r="J316" s="544"/>
      <c r="K316" s="74"/>
      <c r="L316" s="74"/>
      <c r="M316" s="74"/>
      <c r="N316" s="74"/>
      <c r="O316" s="74"/>
      <c r="P316" s="74"/>
      <c r="Q316" s="74"/>
      <c r="R316" s="74"/>
      <c r="S316" s="74"/>
      <c r="T316" s="74"/>
      <c r="U316" s="74"/>
      <c r="V316" s="74"/>
      <c r="W316" s="74"/>
      <c r="X316" s="74"/>
      <c r="Y316" s="74"/>
      <c r="Z316" s="74"/>
      <c r="AA316" s="74"/>
      <c r="AB316" s="74"/>
      <c r="AC316" s="74"/>
      <c r="AD316" s="258" t="s">
        <v>525</v>
      </c>
      <c r="AF316" t="s">
        <v>398</v>
      </c>
    </row>
    <row r="317" spans="1:36" ht="22" hidden="1" customHeight="1" x14ac:dyDescent="0.4">
      <c r="A317" s="256" t="s">
        <v>439</v>
      </c>
      <c r="B317" s="262"/>
      <c r="C317" s="259">
        <v>0</v>
      </c>
      <c r="D317" s="2"/>
      <c r="E317" s="2"/>
      <c r="F317" s="2"/>
      <c r="G317" s="2"/>
      <c r="H317" s="2"/>
      <c r="I317" s="484"/>
      <c r="J317" s="484"/>
      <c r="K317" s="2"/>
      <c r="L317" s="2"/>
      <c r="M317" s="2"/>
      <c r="N317" s="2"/>
      <c r="O317" s="2"/>
      <c r="P317" s="2"/>
      <c r="Q317" s="2"/>
      <c r="R317" s="2"/>
      <c r="S317" s="2"/>
      <c r="T317" s="2"/>
      <c r="U317" s="2"/>
      <c r="V317" s="2"/>
      <c r="W317" s="2"/>
      <c r="X317" s="2"/>
      <c r="Y317" s="2"/>
      <c r="Z317" s="2"/>
      <c r="AA317" s="2"/>
      <c r="AB317" s="2"/>
      <c r="AC317" s="2"/>
      <c r="AD317" s="259"/>
      <c r="AF317" t="s">
        <v>440</v>
      </c>
    </row>
    <row r="318" spans="1:36" ht="25" customHeight="1" x14ac:dyDescent="0.45">
      <c r="A318" s="352" t="s">
        <v>441</v>
      </c>
      <c r="B318" s="352" t="s">
        <v>554</v>
      </c>
      <c r="C318" s="352">
        <v>1000000000</v>
      </c>
      <c r="D318" s="258"/>
      <c r="E318" s="258"/>
      <c r="F318" s="258"/>
      <c r="G318" s="258"/>
      <c r="H318" s="258"/>
      <c r="I318" s="582"/>
      <c r="J318" s="582"/>
      <c r="K318" s="258"/>
      <c r="L318" s="258"/>
      <c r="M318" s="258"/>
      <c r="N318" s="258"/>
      <c r="O318" s="258"/>
      <c r="P318" s="258"/>
      <c r="Q318" s="258"/>
      <c r="R318" s="258"/>
      <c r="S318" s="258"/>
      <c r="T318" s="258"/>
      <c r="U318" s="258"/>
      <c r="V318" s="258"/>
      <c r="W318" s="258"/>
      <c r="X318" s="258"/>
      <c r="Y318" s="258"/>
      <c r="Z318" s="258"/>
      <c r="AA318" s="258"/>
      <c r="AB318" s="258"/>
      <c r="AC318" s="258"/>
      <c r="AD318" s="352" t="s">
        <v>761</v>
      </c>
    </row>
    <row r="319" spans="1:36" ht="20.149999999999999" customHeight="1" x14ac:dyDescent="0.45">
      <c r="A319" s="353" t="s">
        <v>946</v>
      </c>
      <c r="B319" s="353"/>
      <c r="C319" s="354">
        <v>0</v>
      </c>
      <c r="D319" s="2"/>
      <c r="E319" s="2"/>
      <c r="F319" s="2"/>
      <c r="G319" s="2"/>
      <c r="H319" s="2"/>
      <c r="I319" s="484"/>
      <c r="J319" s="484"/>
      <c r="K319" s="2"/>
      <c r="L319" s="2"/>
      <c r="M319" s="2"/>
      <c r="N319" s="2"/>
      <c r="O319" s="2"/>
      <c r="P319" s="2"/>
      <c r="Q319" s="2"/>
      <c r="R319" s="2"/>
      <c r="S319" s="2"/>
      <c r="T319" s="2"/>
      <c r="U319" s="2"/>
      <c r="V319" s="2"/>
      <c r="W319" s="2"/>
      <c r="X319" s="2"/>
      <c r="Y319" s="2"/>
      <c r="Z319" s="2"/>
      <c r="AA319" s="2"/>
      <c r="AB319" s="2"/>
      <c r="AC319" s="2"/>
      <c r="AD319" s="364"/>
      <c r="AE319" s="28"/>
    </row>
    <row r="320" spans="1:36" ht="25" customHeight="1" x14ac:dyDescent="0.35">
      <c r="A320" s="355" t="s">
        <v>944</v>
      </c>
      <c r="B320" s="355" t="s">
        <v>945</v>
      </c>
      <c r="C320" s="355">
        <v>2000000000</v>
      </c>
      <c r="D320" s="355"/>
      <c r="E320" s="355"/>
      <c r="F320" s="355"/>
      <c r="G320" s="355"/>
      <c r="H320" s="355"/>
      <c r="I320" s="583"/>
      <c r="J320" s="583"/>
      <c r="K320" s="355"/>
      <c r="L320" s="355"/>
      <c r="M320" s="355"/>
      <c r="N320" s="355"/>
      <c r="O320" s="355"/>
      <c r="P320" s="355"/>
      <c r="Q320" s="355"/>
      <c r="R320" s="355"/>
      <c r="S320" s="355"/>
      <c r="T320" s="355"/>
      <c r="U320" s="355"/>
      <c r="V320" s="355"/>
      <c r="W320" s="355"/>
      <c r="X320" s="355"/>
      <c r="Y320" s="355"/>
      <c r="Z320" s="355"/>
      <c r="AA320" s="355"/>
      <c r="AB320" s="355"/>
      <c r="AC320" s="355"/>
      <c r="AD320" s="355"/>
    </row>
    <row r="321" spans="1:36" ht="20.149999999999999" customHeight="1" x14ac:dyDescent="0.4">
      <c r="A321" s="356" t="s">
        <v>946</v>
      </c>
      <c r="B321" s="356"/>
      <c r="C321" s="357">
        <f>C311-C320</f>
        <v>-409861247.11999989</v>
      </c>
      <c r="D321" s="365"/>
      <c r="E321" s="365"/>
      <c r="F321" s="365"/>
      <c r="G321" s="365"/>
      <c r="H321" s="365"/>
      <c r="I321" s="584"/>
      <c r="J321" s="584"/>
      <c r="K321" s="365"/>
      <c r="L321" s="365"/>
      <c r="M321" s="365"/>
      <c r="N321" s="365"/>
      <c r="O321" s="365"/>
      <c r="P321" s="365"/>
      <c r="Q321" s="365"/>
      <c r="R321" s="365"/>
      <c r="S321" s="365"/>
      <c r="T321" s="365"/>
      <c r="U321" s="365"/>
      <c r="V321" s="365"/>
      <c r="W321" s="365"/>
      <c r="X321" s="365"/>
      <c r="Y321" s="365"/>
      <c r="Z321" s="365"/>
      <c r="AA321" s="365"/>
      <c r="AB321" s="365"/>
      <c r="AC321" s="365"/>
      <c r="AD321" s="366"/>
      <c r="AE321" s="28"/>
    </row>
    <row r="322" spans="1:36" ht="25" customHeight="1" x14ac:dyDescent="0.35">
      <c r="A322" s="355" t="s">
        <v>547</v>
      </c>
      <c r="B322" s="355" t="s">
        <v>438</v>
      </c>
      <c r="C322" s="355">
        <v>750000000</v>
      </c>
      <c r="D322" s="355"/>
      <c r="E322" s="355"/>
      <c r="F322" s="355"/>
      <c r="G322" s="355"/>
      <c r="H322" s="355"/>
      <c r="I322" s="583"/>
      <c r="J322" s="583"/>
      <c r="K322" s="355"/>
      <c r="L322" s="355"/>
      <c r="M322" s="355"/>
      <c r="N322" s="355"/>
      <c r="O322" s="355"/>
      <c r="P322" s="355"/>
      <c r="Q322" s="355"/>
      <c r="R322" s="355"/>
      <c r="S322" s="355"/>
      <c r="T322" s="355"/>
      <c r="U322" s="355"/>
      <c r="V322" s="355"/>
      <c r="W322" s="355"/>
      <c r="X322" s="355"/>
      <c r="Y322" s="355"/>
      <c r="Z322" s="355"/>
      <c r="AA322" s="355"/>
      <c r="AB322" s="355"/>
      <c r="AC322" s="355"/>
      <c r="AD322" s="355" t="s">
        <v>732</v>
      </c>
    </row>
    <row r="323" spans="1:36" ht="20.149999999999999" customHeight="1" x14ac:dyDescent="0.4">
      <c r="A323" s="356" t="s">
        <v>548</v>
      </c>
      <c r="B323" s="356"/>
      <c r="C323" s="357">
        <v>0</v>
      </c>
      <c r="D323" s="365"/>
      <c r="E323" s="365"/>
      <c r="F323" s="365"/>
      <c r="G323" s="365"/>
      <c r="H323" s="365"/>
      <c r="I323" s="584"/>
      <c r="J323" s="584"/>
      <c r="K323" s="365"/>
      <c r="L323" s="365"/>
      <c r="M323" s="365"/>
      <c r="N323" s="365"/>
      <c r="O323" s="365"/>
      <c r="P323" s="365"/>
      <c r="Q323" s="365"/>
      <c r="R323" s="365"/>
      <c r="S323" s="365"/>
      <c r="T323" s="365"/>
      <c r="U323" s="365"/>
      <c r="V323" s="365"/>
      <c r="W323" s="365"/>
      <c r="X323" s="365"/>
      <c r="Y323" s="365"/>
      <c r="Z323" s="365"/>
      <c r="AA323" s="365"/>
      <c r="AB323" s="365"/>
      <c r="AC323" s="365"/>
      <c r="AD323" s="366"/>
      <c r="AE323" s="28"/>
    </row>
    <row r="324" spans="1:36" ht="25" customHeight="1" x14ac:dyDescent="0.35">
      <c r="A324" s="355" t="s">
        <v>549</v>
      </c>
      <c r="B324" s="355" t="s">
        <v>553</v>
      </c>
      <c r="C324" s="355">
        <v>875000000</v>
      </c>
      <c r="D324" s="355"/>
      <c r="E324" s="355"/>
      <c r="F324" s="355"/>
      <c r="G324" s="355"/>
      <c r="H324" s="355"/>
      <c r="I324" s="583"/>
      <c r="J324" s="583"/>
      <c r="K324" s="355"/>
      <c r="L324" s="355"/>
      <c r="M324" s="355"/>
      <c r="N324" s="355"/>
      <c r="O324" s="355"/>
      <c r="P324" s="355"/>
      <c r="Q324" s="355"/>
      <c r="R324" s="355"/>
      <c r="S324" s="355"/>
      <c r="T324" s="355"/>
      <c r="U324" s="355"/>
      <c r="V324" s="355"/>
      <c r="W324" s="355"/>
      <c r="X324" s="355"/>
      <c r="Y324" s="355"/>
      <c r="Z324" s="355"/>
      <c r="AA324" s="355"/>
      <c r="AB324" s="355"/>
      <c r="AC324" s="355"/>
      <c r="AD324" s="355" t="s">
        <v>500</v>
      </c>
    </row>
    <row r="325" spans="1:36" ht="20.149999999999999" customHeight="1" x14ac:dyDescent="0.4">
      <c r="A325" s="356" t="s">
        <v>550</v>
      </c>
      <c r="B325" s="356"/>
      <c r="C325" s="357">
        <v>0</v>
      </c>
      <c r="D325" s="365"/>
      <c r="E325" s="365"/>
      <c r="F325" s="365"/>
      <c r="G325" s="365"/>
      <c r="H325" s="365"/>
      <c r="I325" s="584"/>
      <c r="J325" s="584"/>
      <c r="K325" s="365"/>
      <c r="L325" s="365"/>
      <c r="M325" s="365"/>
      <c r="N325" s="365"/>
      <c r="O325" s="365"/>
      <c r="P325" s="365"/>
      <c r="Q325" s="365"/>
      <c r="R325" s="365"/>
      <c r="S325" s="365"/>
      <c r="T325" s="365"/>
      <c r="U325" s="365"/>
      <c r="V325" s="365"/>
      <c r="W325" s="365"/>
      <c r="X325" s="365"/>
      <c r="Y325" s="365"/>
      <c r="Z325" s="365"/>
      <c r="AA325" s="365"/>
      <c r="AB325" s="365"/>
      <c r="AC325" s="365"/>
      <c r="AD325" s="366"/>
      <c r="AE325" s="28"/>
    </row>
    <row r="326" spans="1:36" ht="25" customHeight="1" x14ac:dyDescent="0.35">
      <c r="A326" s="258" t="s">
        <v>551</v>
      </c>
      <c r="B326" s="258" t="s">
        <v>554</v>
      </c>
      <c r="C326" s="258">
        <v>1000000000</v>
      </c>
      <c r="D326" s="258"/>
      <c r="E326" s="258"/>
      <c r="F326" s="258"/>
      <c r="G326" s="258"/>
      <c r="H326" s="258"/>
      <c r="I326" s="582"/>
      <c r="J326" s="582"/>
      <c r="K326" s="258"/>
      <c r="L326" s="258"/>
      <c r="M326" s="258"/>
      <c r="N326" s="258"/>
      <c r="O326" s="258"/>
      <c r="P326" s="258"/>
      <c r="Q326" s="258"/>
      <c r="R326" s="258"/>
      <c r="S326" s="258"/>
      <c r="T326" s="258"/>
      <c r="U326" s="258"/>
      <c r="V326" s="258"/>
      <c r="W326" s="258"/>
      <c r="X326" s="258"/>
      <c r="Y326" s="258"/>
      <c r="Z326" s="258"/>
      <c r="AA326" s="258"/>
      <c r="AB326" s="258"/>
      <c r="AC326" s="258"/>
      <c r="AD326" s="258"/>
    </row>
    <row r="327" spans="1:36" ht="20.149999999999999" customHeight="1" x14ac:dyDescent="0.4">
      <c r="A327" s="367" t="s">
        <v>552</v>
      </c>
      <c r="B327" s="367"/>
      <c r="C327" s="368">
        <v>0</v>
      </c>
      <c r="D327" s="369"/>
      <c r="E327" s="369"/>
      <c r="F327" s="369"/>
      <c r="G327" s="369"/>
      <c r="H327" s="369"/>
      <c r="I327" s="585"/>
      <c r="J327" s="585"/>
      <c r="K327" s="369"/>
      <c r="L327" s="369"/>
      <c r="M327" s="369"/>
      <c r="N327" s="369"/>
      <c r="O327" s="369"/>
      <c r="P327" s="369"/>
      <c r="Q327" s="369"/>
      <c r="R327" s="369"/>
      <c r="S327" s="369"/>
      <c r="T327" s="369"/>
      <c r="U327" s="369"/>
      <c r="V327" s="369"/>
      <c r="W327" s="369"/>
      <c r="X327" s="369"/>
      <c r="Y327" s="369"/>
      <c r="Z327" s="369"/>
      <c r="AA327" s="369"/>
      <c r="AB327" s="369"/>
      <c r="AC327" s="369"/>
      <c r="AD327" s="370"/>
      <c r="AE327" s="28"/>
    </row>
    <row r="328" spans="1:36" ht="22" customHeight="1" x14ac:dyDescent="0.4">
      <c r="A328" s="347" t="s">
        <v>491</v>
      </c>
      <c r="B328" s="347" t="s">
        <v>438</v>
      </c>
      <c r="C328" s="348">
        <f>SUM(AE98:AF114)</f>
        <v>9960148.521847222</v>
      </c>
      <c r="D328" s="349"/>
      <c r="E328" s="349"/>
      <c r="F328" s="349"/>
      <c r="G328" s="349"/>
      <c r="H328" s="349"/>
      <c r="I328" s="586"/>
      <c r="J328" s="586"/>
      <c r="K328" s="349"/>
      <c r="L328" s="349"/>
      <c r="M328" s="349"/>
      <c r="N328" s="349"/>
      <c r="O328" s="349"/>
      <c r="P328" s="349"/>
      <c r="Q328" s="349"/>
      <c r="R328" s="349"/>
      <c r="S328" s="349"/>
      <c r="T328" s="349"/>
      <c r="U328" s="349"/>
      <c r="V328" s="349"/>
      <c r="W328" s="349"/>
      <c r="X328" s="349"/>
      <c r="Y328" s="349"/>
      <c r="Z328" s="349"/>
      <c r="AA328" s="349"/>
      <c r="AB328" s="349"/>
      <c r="AC328" s="349"/>
      <c r="AD328" s="348"/>
      <c r="AI328" s="74" t="s">
        <v>123</v>
      </c>
      <c r="AJ328" s="191" t="s">
        <v>124</v>
      </c>
    </row>
    <row r="329" spans="1:36" x14ac:dyDescent="0.4">
      <c r="B329" t="s">
        <v>443</v>
      </c>
      <c r="C329" s="1">
        <f>'DETAILS (sorted)'!DS153-'Summary2 (sorted)'!C311</f>
        <v>-433478.11999893188</v>
      </c>
      <c r="AD329" s="196">
        <f>C94-AD330</f>
        <v>-1242871542.8776705</v>
      </c>
      <c r="AE329" s="176">
        <f>C329-AD329</f>
        <v>1242438064.7576716</v>
      </c>
      <c r="AG329" s="339"/>
      <c r="AI329" s="369" t="s">
        <v>962</v>
      </c>
      <c r="AJ329" s="472">
        <f>'DETAILS (sorted)'!DS47</f>
        <v>10767911.426271165</v>
      </c>
    </row>
    <row r="330" spans="1:36" x14ac:dyDescent="0.4">
      <c r="C330" s="1">
        <f>C306-C329</f>
        <v>-530643.66000106814</v>
      </c>
      <c r="AD330" s="196">
        <f>C156+C175+C216+C264</f>
        <v>1247278674.6600001</v>
      </c>
      <c r="AI330" s="2" t="s">
        <v>806</v>
      </c>
      <c r="AJ330" s="3">
        <f>'DETAILS (sorted)'!DS44</f>
        <v>3801212.8311871896</v>
      </c>
    </row>
    <row r="331" spans="1:36" x14ac:dyDescent="0.4">
      <c r="A331" s="5" t="s">
        <v>394</v>
      </c>
      <c r="B331" s="176"/>
      <c r="AD331" s="196">
        <f>AD330+C306</f>
        <v>1246314552.8800001</v>
      </c>
      <c r="AI331" s="2" t="s">
        <v>958</v>
      </c>
      <c r="AJ331" s="3">
        <f>'DETAILS (sorted)'!DS23</f>
        <v>5236902.6001982624</v>
      </c>
    </row>
    <row r="332" spans="1:36" x14ac:dyDescent="0.4">
      <c r="A332" s="2" t="s">
        <v>395</v>
      </c>
      <c r="B332" s="130">
        <v>200000</v>
      </c>
      <c r="C332" s="1">
        <f>'DETAILS (sorted)'!DS153-'Summary2 (sorted)'!C311</f>
        <v>-433478.11999893188</v>
      </c>
      <c r="AD332" s="196">
        <f>C94-AD331</f>
        <v>-1241907421.0976706</v>
      </c>
      <c r="AI332" s="2" t="s">
        <v>959</v>
      </c>
      <c r="AJ332" s="3">
        <f>'DETAILS (sorted)'!DS38</f>
        <v>18885840.560239132</v>
      </c>
    </row>
    <row r="333" spans="1:36" ht="29.5" x14ac:dyDescent="0.4">
      <c r="A333" s="252" t="s">
        <v>396</v>
      </c>
      <c r="B333" s="253">
        <v>1000000</v>
      </c>
      <c r="AI333" s="2" t="s">
        <v>49</v>
      </c>
      <c r="AJ333" s="3">
        <f>'DETAILS (sorted)'!DS53</f>
        <v>4408352.007749619</v>
      </c>
    </row>
    <row r="334" spans="1:36" ht="29.5" x14ac:dyDescent="0.4">
      <c r="A334" s="252" t="s">
        <v>444</v>
      </c>
      <c r="B334" s="253">
        <v>100000</v>
      </c>
      <c r="AI334" s="2" t="s">
        <v>960</v>
      </c>
      <c r="AJ334" s="3">
        <f>'DETAILS (sorted)'!DS37</f>
        <v>3755433.5468211006</v>
      </c>
    </row>
    <row r="335" spans="1:36" ht="29.5" x14ac:dyDescent="0.4">
      <c r="A335" s="252" t="s">
        <v>1293</v>
      </c>
      <c r="B335" s="253">
        <v>3400000</v>
      </c>
      <c r="AI335" s="2" t="s">
        <v>961</v>
      </c>
      <c r="AJ335" s="3">
        <f>'DETAILS (sorted)'!DS95</f>
        <v>4612114.6559262332</v>
      </c>
    </row>
    <row r="336" spans="1:36" x14ac:dyDescent="0.4">
      <c r="A336" s="2" t="s">
        <v>447</v>
      </c>
      <c r="B336" s="2"/>
      <c r="AF336" s="28"/>
      <c r="AG336" s="324"/>
      <c r="AH336" s="94"/>
      <c r="AI336" s="2" t="s">
        <v>963</v>
      </c>
      <c r="AJ336" s="191">
        <f>SUM(AJ329:AJ335)</f>
        <v>51467767.628392704</v>
      </c>
    </row>
    <row r="337" spans="1:34" x14ac:dyDescent="0.4">
      <c r="AF337" s="28"/>
      <c r="AG337" s="324"/>
      <c r="AH337" s="94"/>
    </row>
    <row r="340" spans="1:34" ht="18.5" x14ac:dyDescent="0.45">
      <c r="A340" s="407" t="s">
        <v>634</v>
      </c>
      <c r="B340" s="407"/>
      <c r="C340" s="390"/>
      <c r="D340" s="125"/>
      <c r="E340" s="125"/>
      <c r="F340" s="125"/>
      <c r="G340" s="125"/>
      <c r="H340" s="125"/>
      <c r="I340" s="525"/>
      <c r="J340" s="525"/>
      <c r="K340" s="125"/>
      <c r="L340" s="125"/>
      <c r="M340" s="125"/>
      <c r="N340" s="125"/>
      <c r="O340" s="125"/>
      <c r="P340" s="125"/>
      <c r="Q340" s="125"/>
      <c r="R340" s="125"/>
      <c r="S340" s="125"/>
      <c r="T340" s="125"/>
      <c r="U340" s="125"/>
      <c r="V340" s="125"/>
      <c r="W340" s="125"/>
      <c r="X340" s="125"/>
      <c r="Y340" s="125"/>
      <c r="Z340" s="125"/>
      <c r="AA340" s="125"/>
      <c r="AB340" s="125"/>
      <c r="AC340" s="125"/>
    </row>
    <row r="341" spans="1:34" x14ac:dyDescent="0.4">
      <c r="A341" s="405" t="s">
        <v>2</v>
      </c>
      <c r="B341" s="405" t="s">
        <v>123</v>
      </c>
      <c r="C341" s="406" t="s">
        <v>124</v>
      </c>
      <c r="D341" s="405"/>
      <c r="E341" s="405"/>
      <c r="F341" s="405"/>
      <c r="G341" s="405"/>
      <c r="H341" s="405"/>
      <c r="I341" s="587"/>
      <c r="J341" s="587"/>
      <c r="K341" s="405"/>
      <c r="L341" s="405"/>
      <c r="M341" s="405"/>
      <c r="N341" s="405"/>
      <c r="O341" s="405"/>
      <c r="P341" s="405"/>
      <c r="Q341" s="405"/>
      <c r="R341" s="405"/>
      <c r="S341" s="405"/>
      <c r="T341" s="405"/>
      <c r="U341" s="405"/>
      <c r="V341" s="405"/>
      <c r="W341" s="405"/>
      <c r="X341" s="405"/>
      <c r="Y341" s="405"/>
      <c r="Z341" s="405"/>
      <c r="AA341" s="405"/>
      <c r="AB341" s="405"/>
      <c r="AC341" s="405"/>
      <c r="AD341" s="405" t="s">
        <v>637</v>
      </c>
    </row>
    <row r="342" spans="1:34" x14ac:dyDescent="0.4">
      <c r="A342" s="343" t="s">
        <v>635</v>
      </c>
      <c r="B342" s="343" t="s">
        <v>636</v>
      </c>
      <c r="C342" s="377">
        <v>800000</v>
      </c>
      <c r="D342" s="343"/>
      <c r="E342" s="343"/>
      <c r="F342" s="343"/>
      <c r="G342" s="343"/>
      <c r="H342" s="343"/>
      <c r="I342" s="562"/>
      <c r="J342" s="562"/>
      <c r="K342" s="343"/>
      <c r="L342" s="343"/>
      <c r="M342" s="343"/>
      <c r="N342" s="343"/>
      <c r="O342" s="343"/>
      <c r="P342" s="343"/>
      <c r="Q342" s="343"/>
      <c r="R342" s="343"/>
      <c r="S342" s="343"/>
      <c r="T342" s="343"/>
      <c r="U342" s="343"/>
      <c r="V342" s="343"/>
      <c r="W342" s="343"/>
      <c r="X342" s="343"/>
      <c r="Y342" s="343"/>
      <c r="Z342" s="343"/>
      <c r="AA342" s="343"/>
      <c r="AB342" s="343"/>
      <c r="AC342" s="343"/>
      <c r="AD342" s="403" t="s">
        <v>462</v>
      </c>
    </row>
    <row r="343" spans="1:34" x14ac:dyDescent="0.4">
      <c r="A343" s="343" t="s">
        <v>635</v>
      </c>
      <c r="B343" s="343" t="s">
        <v>638</v>
      </c>
      <c r="C343" s="377">
        <v>500000</v>
      </c>
      <c r="D343" s="343"/>
      <c r="E343" s="343"/>
      <c r="F343" s="343"/>
      <c r="G343" s="343"/>
      <c r="H343" s="343"/>
      <c r="I343" s="562"/>
      <c r="J343" s="562"/>
      <c r="K343" s="343"/>
      <c r="L343" s="343"/>
      <c r="M343" s="343"/>
      <c r="N343" s="343"/>
      <c r="O343" s="343"/>
      <c r="P343" s="343"/>
      <c r="Q343" s="343"/>
      <c r="R343" s="343"/>
      <c r="S343" s="343"/>
      <c r="T343" s="343"/>
      <c r="U343" s="343"/>
      <c r="V343" s="343"/>
      <c r="W343" s="343"/>
      <c r="X343" s="343"/>
      <c r="Y343" s="343"/>
      <c r="Z343" s="343"/>
      <c r="AA343" s="343"/>
      <c r="AB343" s="343"/>
      <c r="AC343" s="343"/>
      <c r="AD343" s="403" t="s">
        <v>462</v>
      </c>
    </row>
    <row r="344" spans="1:34" x14ac:dyDescent="0.4">
      <c r="A344" s="343" t="s">
        <v>635</v>
      </c>
      <c r="B344" s="343" t="s">
        <v>50</v>
      </c>
      <c r="C344" s="377">
        <v>250000</v>
      </c>
      <c r="D344" s="2"/>
      <c r="E344" s="2"/>
      <c r="F344" s="2"/>
      <c r="G344" s="2"/>
      <c r="H344" s="2"/>
      <c r="I344" s="484"/>
      <c r="J344" s="484"/>
      <c r="K344" s="2"/>
      <c r="L344" s="2"/>
      <c r="M344" s="2"/>
      <c r="N344" s="2"/>
      <c r="O344" s="2"/>
      <c r="P344" s="2"/>
      <c r="Q344" s="2"/>
      <c r="R344" s="2"/>
      <c r="S344" s="2"/>
      <c r="T344" s="2"/>
      <c r="U344" s="2"/>
      <c r="V344" s="2"/>
      <c r="W344" s="2"/>
      <c r="X344" s="2"/>
      <c r="Y344" s="2"/>
      <c r="Z344" s="2"/>
      <c r="AA344" s="2"/>
      <c r="AB344" s="2"/>
      <c r="AC344" s="2"/>
      <c r="AD344" s="403" t="s">
        <v>462</v>
      </c>
    </row>
    <row r="345" spans="1:34" x14ac:dyDescent="0.4">
      <c r="A345" s="2"/>
      <c r="B345" s="2"/>
      <c r="C345" s="3"/>
      <c r="D345" s="2"/>
      <c r="E345" s="2"/>
      <c r="F345" s="2"/>
      <c r="G345" s="2"/>
      <c r="H345" s="2"/>
      <c r="I345" s="484"/>
      <c r="J345" s="484"/>
      <c r="K345" s="2"/>
      <c r="L345" s="2"/>
      <c r="M345" s="2"/>
      <c r="N345" s="2"/>
      <c r="O345" s="2"/>
      <c r="P345" s="2"/>
      <c r="Q345" s="2"/>
      <c r="R345" s="2"/>
      <c r="S345" s="2"/>
      <c r="T345" s="2"/>
      <c r="U345" s="2"/>
      <c r="V345" s="2"/>
      <c r="W345" s="2"/>
      <c r="X345" s="2"/>
      <c r="Y345" s="2"/>
      <c r="Z345" s="2"/>
      <c r="AA345" s="2"/>
      <c r="AB345" s="2"/>
      <c r="AC345" s="2"/>
      <c r="AD345" s="82"/>
    </row>
    <row r="346" spans="1:34" x14ac:dyDescent="0.4">
      <c r="A346" s="2"/>
      <c r="B346" s="2"/>
      <c r="C346" s="3"/>
      <c r="D346" s="2"/>
      <c r="E346" s="2"/>
      <c r="F346" s="2"/>
      <c r="G346" s="2"/>
      <c r="H346" s="2"/>
      <c r="I346" s="484"/>
      <c r="J346" s="484"/>
      <c r="K346" s="2"/>
      <c r="L346" s="2"/>
      <c r="M346" s="2"/>
      <c r="N346" s="2"/>
      <c r="O346" s="2"/>
      <c r="P346" s="2"/>
      <c r="Q346" s="2"/>
      <c r="R346" s="2"/>
      <c r="S346" s="2"/>
      <c r="T346" s="2"/>
      <c r="U346" s="2"/>
      <c r="V346" s="2"/>
      <c r="W346" s="2"/>
      <c r="X346" s="2"/>
      <c r="Y346" s="2"/>
      <c r="Z346" s="2"/>
      <c r="AA346" s="2"/>
      <c r="AB346" s="2"/>
      <c r="AC346" s="2"/>
      <c r="AD346" s="82"/>
    </row>
    <row r="347" spans="1:34" x14ac:dyDescent="0.4">
      <c r="A347" s="2"/>
      <c r="B347" s="2"/>
      <c r="C347" s="3"/>
      <c r="D347" s="2"/>
      <c r="E347" s="2"/>
      <c r="F347" s="2"/>
      <c r="G347" s="2"/>
      <c r="H347" s="2"/>
      <c r="I347" s="484"/>
      <c r="J347" s="484"/>
      <c r="K347" s="2"/>
      <c r="L347" s="2"/>
      <c r="M347" s="2"/>
      <c r="N347" s="2"/>
      <c r="O347" s="2"/>
      <c r="P347" s="2"/>
      <c r="Q347" s="2"/>
      <c r="R347" s="2"/>
      <c r="S347" s="2"/>
      <c r="T347" s="2"/>
      <c r="U347" s="2"/>
      <c r="V347" s="2"/>
      <c r="W347" s="2"/>
      <c r="X347" s="2"/>
      <c r="Y347" s="2"/>
      <c r="Z347" s="2"/>
      <c r="AA347" s="2"/>
      <c r="AB347" s="2"/>
      <c r="AC347" s="2"/>
      <c r="AD347" s="82"/>
    </row>
    <row r="348" spans="1:34" x14ac:dyDescent="0.4">
      <c r="A348" s="2"/>
      <c r="B348" s="2"/>
      <c r="C348" s="3"/>
      <c r="D348" s="2"/>
      <c r="E348" s="2"/>
      <c r="F348" s="2"/>
      <c r="G348" s="2"/>
      <c r="H348" s="2"/>
      <c r="I348" s="484"/>
      <c r="J348" s="484"/>
      <c r="K348" s="2"/>
      <c r="L348" s="2"/>
      <c r="M348" s="2"/>
      <c r="N348" s="2"/>
      <c r="O348" s="2"/>
      <c r="P348" s="2"/>
      <c r="Q348" s="2"/>
      <c r="R348" s="2"/>
      <c r="S348" s="2"/>
      <c r="T348" s="2"/>
      <c r="U348" s="2"/>
      <c r="V348" s="2"/>
      <c r="W348" s="2"/>
      <c r="X348" s="2"/>
      <c r="Y348" s="2"/>
      <c r="Z348" s="2"/>
      <c r="AA348" s="2"/>
      <c r="AB348" s="2"/>
      <c r="AC348" s="2"/>
      <c r="AD348" s="82"/>
    </row>
    <row r="349" spans="1:34" x14ac:dyDescent="0.4">
      <c r="A349" s="2"/>
      <c r="B349" s="2"/>
      <c r="C349" s="3"/>
      <c r="D349" s="2"/>
      <c r="E349" s="2"/>
      <c r="F349" s="2"/>
      <c r="G349" s="2"/>
      <c r="H349" s="2"/>
      <c r="I349" s="484"/>
      <c r="J349" s="484"/>
      <c r="K349" s="2"/>
      <c r="L349" s="2"/>
      <c r="M349" s="2"/>
      <c r="N349" s="2"/>
      <c r="O349" s="2"/>
      <c r="P349" s="2"/>
      <c r="Q349" s="2"/>
      <c r="R349" s="2"/>
      <c r="S349" s="2"/>
      <c r="T349" s="2"/>
      <c r="U349" s="2"/>
      <c r="V349" s="2"/>
      <c r="W349" s="2"/>
      <c r="X349" s="2"/>
      <c r="Y349" s="2"/>
      <c r="Z349" s="2"/>
      <c r="AA349" s="2"/>
      <c r="AB349" s="2"/>
      <c r="AC349" s="2"/>
      <c r="AD349" s="82"/>
    </row>
    <row r="350" spans="1:34" x14ac:dyDescent="0.4">
      <c r="A350" s="2"/>
      <c r="B350" s="2"/>
      <c r="C350" s="3"/>
      <c r="D350" s="2"/>
      <c r="E350" s="2"/>
      <c r="F350" s="2"/>
      <c r="G350" s="2"/>
      <c r="H350" s="2"/>
      <c r="I350" s="484"/>
      <c r="J350" s="484"/>
      <c r="K350" s="2"/>
      <c r="L350" s="2"/>
      <c r="M350" s="2"/>
      <c r="N350" s="2"/>
      <c r="O350" s="2"/>
      <c r="P350" s="2"/>
      <c r="Q350" s="2"/>
      <c r="R350" s="2"/>
      <c r="S350" s="2"/>
      <c r="T350" s="2"/>
      <c r="U350" s="2"/>
      <c r="V350" s="2"/>
      <c r="W350" s="2"/>
      <c r="X350" s="2"/>
      <c r="Y350" s="2"/>
      <c r="Z350" s="2"/>
      <c r="AA350" s="2"/>
      <c r="AB350" s="2"/>
      <c r="AC350" s="2"/>
      <c r="AD350" s="82"/>
    </row>
    <row r="351" spans="1:34" x14ac:dyDescent="0.4">
      <c r="A351" s="2"/>
      <c r="B351" s="2"/>
      <c r="C351" s="3"/>
      <c r="D351" s="2"/>
      <c r="E351" s="2"/>
      <c r="F351" s="2"/>
      <c r="G351" s="2"/>
      <c r="H351" s="2"/>
      <c r="I351" s="484"/>
      <c r="J351" s="484"/>
      <c r="K351" s="2"/>
      <c r="L351" s="2"/>
      <c r="M351" s="2"/>
      <c r="N351" s="2"/>
      <c r="O351" s="2"/>
      <c r="P351" s="2"/>
      <c r="Q351" s="2"/>
      <c r="R351" s="2"/>
      <c r="S351" s="2"/>
      <c r="T351" s="2"/>
      <c r="U351" s="2"/>
      <c r="V351" s="2"/>
      <c r="W351" s="2"/>
      <c r="X351" s="2"/>
      <c r="Y351" s="2"/>
      <c r="Z351" s="2"/>
      <c r="AA351" s="2"/>
      <c r="AB351" s="2"/>
      <c r="AC351" s="2"/>
      <c r="AD351" s="82"/>
    </row>
    <row r="352" spans="1:34" x14ac:dyDescent="0.4">
      <c r="A352" s="2"/>
      <c r="B352" s="2"/>
      <c r="C352" s="191">
        <f>SUM(C342:C351)</f>
        <v>1550000</v>
      </c>
      <c r="D352" s="2"/>
      <c r="E352" s="2"/>
      <c r="F352" s="2"/>
      <c r="G352" s="2"/>
      <c r="H352" s="2"/>
      <c r="I352" s="484"/>
      <c r="J352" s="484"/>
      <c r="K352" s="2"/>
      <c r="L352" s="2"/>
      <c r="M352" s="2"/>
      <c r="N352" s="2"/>
      <c r="O352" s="2"/>
      <c r="P352" s="2"/>
      <c r="Q352" s="2"/>
      <c r="R352" s="2"/>
      <c r="S352" s="2"/>
      <c r="T352" s="2"/>
      <c r="U352" s="2"/>
      <c r="V352" s="2"/>
      <c r="W352" s="2"/>
      <c r="X352" s="2"/>
      <c r="Y352" s="2"/>
      <c r="Z352" s="2"/>
      <c r="AA352" s="2"/>
      <c r="AB352" s="2"/>
      <c r="AC352" s="2"/>
      <c r="AD352" s="82"/>
    </row>
    <row r="355" spans="2:33" ht="23.5" customHeight="1" x14ac:dyDescent="0.4">
      <c r="B355" s="424" t="s">
        <v>677</v>
      </c>
      <c r="C355" s="395" t="s">
        <v>568</v>
      </c>
    </row>
    <row r="356" spans="2:33" x14ac:dyDescent="0.4">
      <c r="B356" s="425" t="s">
        <v>674</v>
      </c>
      <c r="C356" s="418">
        <f>'DETAILS (sorted)'!BM153</f>
        <v>71924000</v>
      </c>
    </row>
    <row r="357" spans="2:33" x14ac:dyDescent="0.4">
      <c r="B357" s="425" t="s">
        <v>675</v>
      </c>
      <c r="C357" s="426">
        <f>'DETAILS (sorted)'!BP153+'DETAILS (sorted)'!BR153+'DETAILS (sorted)'!BT153+'DETAILS (sorted)'!BV153+'DETAILS (sorted)'!BX153</f>
        <v>90064135</v>
      </c>
    </row>
    <row r="358" spans="2:33" x14ac:dyDescent="0.4">
      <c r="B358" s="425" t="s">
        <v>672</v>
      </c>
      <c r="C358" s="418">
        <f>'DETAILS (sorted)'!BZ153</f>
        <v>163024721</v>
      </c>
    </row>
    <row r="359" spans="2:33" x14ac:dyDescent="0.4">
      <c r="B359" s="425" t="s">
        <v>673</v>
      </c>
      <c r="C359" s="418">
        <f>'DETAILS (sorted)'!CB153</f>
        <v>160345033</v>
      </c>
    </row>
    <row r="360" spans="2:33" x14ac:dyDescent="0.4">
      <c r="B360" s="425" t="s">
        <v>377</v>
      </c>
      <c r="C360" s="418">
        <f>'DETAILS (sorted)'!CD153</f>
        <v>146311173</v>
      </c>
      <c r="AD360" s="196">
        <f>C360-C359</f>
        <v>-14033860</v>
      </c>
    </row>
    <row r="361" spans="2:33" x14ac:dyDescent="0.4">
      <c r="B361" s="425" t="s">
        <v>678</v>
      </c>
      <c r="C361" s="418">
        <f>'DETAILS (sorted)'!CF153</f>
        <v>452396672</v>
      </c>
      <c r="AD361" s="196"/>
    </row>
    <row r="362" spans="2:33" x14ac:dyDescent="0.4">
      <c r="B362" s="425" t="s">
        <v>1032</v>
      </c>
      <c r="C362" s="418">
        <f>'DETAILS (sorted)'!CH153</f>
        <v>447535380</v>
      </c>
      <c r="AD362" s="196"/>
    </row>
    <row r="363" spans="2:33" x14ac:dyDescent="0.4">
      <c r="B363" s="425" t="s">
        <v>676</v>
      </c>
      <c r="C363" s="418">
        <f>'DETAILS (sorted)'!DW153</f>
        <v>56904160.759999998</v>
      </c>
    </row>
    <row r="364" spans="2:33" x14ac:dyDescent="0.4">
      <c r="B364" s="427" t="s">
        <v>187</v>
      </c>
      <c r="C364" s="248">
        <f>SUM(C356:C363)</f>
        <v>1588505274.76</v>
      </c>
    </row>
    <row r="367" spans="2:33" x14ac:dyDescent="0.4">
      <c r="AE367" t="s">
        <v>855</v>
      </c>
      <c r="AG367" s="323" t="s">
        <v>735</v>
      </c>
    </row>
    <row r="368" spans="2:33" x14ac:dyDescent="0.4">
      <c r="AE368">
        <v>100</v>
      </c>
      <c r="AG368" s="323">
        <v>200000</v>
      </c>
    </row>
    <row r="369" spans="2:34" x14ac:dyDescent="0.4">
      <c r="AG369" s="492">
        <f>AE368*AG368</f>
        <v>20000000</v>
      </c>
    </row>
    <row r="370" spans="2:34" x14ac:dyDescent="0.4">
      <c r="B370" s="74" t="s">
        <v>856</v>
      </c>
      <c r="C370" s="3"/>
    </row>
    <row r="371" spans="2:34" x14ac:dyDescent="0.4">
      <c r="B371" s="2" t="s">
        <v>857</v>
      </c>
      <c r="C371" s="191">
        <v>20000000</v>
      </c>
      <c r="AE371" s="203">
        <v>500000</v>
      </c>
      <c r="AG371" s="323">
        <v>12</v>
      </c>
      <c r="AH371" s="6">
        <f>AE371*AG371</f>
        <v>6000000</v>
      </c>
    </row>
    <row r="372" spans="2:34" x14ac:dyDescent="0.4">
      <c r="B372" s="2"/>
      <c r="C372" s="3"/>
    </row>
    <row r="373" spans="2:34" x14ac:dyDescent="0.4">
      <c r="B373" s="74" t="s">
        <v>859</v>
      </c>
      <c r="C373" s="3"/>
    </row>
    <row r="374" spans="2:34" x14ac:dyDescent="0.4">
      <c r="B374" s="2" t="s">
        <v>858</v>
      </c>
      <c r="C374" s="3">
        <v>12000000</v>
      </c>
    </row>
    <row r="375" spans="2:34" x14ac:dyDescent="0.4">
      <c r="B375" s="2" t="s">
        <v>860</v>
      </c>
      <c r="C375" s="3">
        <v>6000000</v>
      </c>
    </row>
    <row r="376" spans="2:34" x14ac:dyDescent="0.4">
      <c r="B376" s="2"/>
      <c r="C376" s="191">
        <f>SUM(C374:C375)</f>
        <v>18000000</v>
      </c>
    </row>
    <row r="377" spans="2:34" x14ac:dyDescent="0.4">
      <c r="B377" s="2"/>
      <c r="C377" s="3"/>
    </row>
  </sheetData>
  <autoFilter ref="A2:AE94" xr:uid="{0C36CAAC-F910-4188-9025-EE3415019DBE}">
    <sortState xmlns:xlrd2="http://schemas.microsoft.com/office/spreadsheetml/2017/richdata2" ref="A3:AE152">
      <sortCondition descending="1" ref="C2:C94"/>
    </sortState>
  </autoFilter>
  <sortState xmlns:xlrd2="http://schemas.microsoft.com/office/spreadsheetml/2017/richdata2" ref="A4:AE80">
    <sortCondition ref="A2:A80"/>
  </sortState>
  <mergeCells count="66">
    <mergeCell ref="A156:B156"/>
    <mergeCell ref="A218:B218"/>
    <mergeCell ref="A219:B219"/>
    <mergeCell ref="A267:B267"/>
    <mergeCell ref="A157:B157"/>
    <mergeCell ref="A158:B158"/>
    <mergeCell ref="A159:B159"/>
    <mergeCell ref="A160:B160"/>
    <mergeCell ref="A182:B182"/>
    <mergeCell ref="A183:B183"/>
    <mergeCell ref="A187:B187"/>
    <mergeCell ref="A188:B188"/>
    <mergeCell ref="A168:B168"/>
    <mergeCell ref="A166:B166"/>
    <mergeCell ref="A184:B184"/>
    <mergeCell ref="A185:B185"/>
    <mergeCell ref="A186:B186"/>
    <mergeCell ref="A190:B190"/>
    <mergeCell ref="A161:B161"/>
    <mergeCell ref="A162:B162"/>
    <mergeCell ref="A163:B163"/>
    <mergeCell ref="A164:B164"/>
    <mergeCell ref="A165:B165"/>
    <mergeCell ref="A189:B189"/>
    <mergeCell ref="A167:B167"/>
    <mergeCell ref="A169:B169"/>
    <mergeCell ref="A170:B170"/>
    <mergeCell ref="A171:B171"/>
    <mergeCell ref="A172:B172"/>
    <mergeCell ref="A175:B175"/>
    <mergeCell ref="A173:B173"/>
    <mergeCell ref="A174:B174"/>
    <mergeCell ref="A310:B310"/>
    <mergeCell ref="A307:B307"/>
    <mergeCell ref="A306:B306"/>
    <mergeCell ref="A305:B305"/>
    <mergeCell ref="A280:B280"/>
    <mergeCell ref="A304:B304"/>
    <mergeCell ref="A281:B281"/>
    <mergeCell ref="A303:B303"/>
    <mergeCell ref="A196:B196"/>
    <mergeCell ref="A279:B279"/>
    <mergeCell ref="A308:B308"/>
    <mergeCell ref="A309:B309"/>
    <mergeCell ref="A233:B233"/>
    <mergeCell ref="A231:B231"/>
    <mergeCell ref="A232:B232"/>
    <mergeCell ref="A234:B234"/>
    <mergeCell ref="A275:B275"/>
    <mergeCell ref="A248:B248"/>
    <mergeCell ref="A191:B191"/>
    <mergeCell ref="A192:B192"/>
    <mergeCell ref="A278:B278"/>
    <mergeCell ref="A195:B195"/>
    <mergeCell ref="A276:B276"/>
    <mergeCell ref="A273:B273"/>
    <mergeCell ref="A272:B272"/>
    <mergeCell ref="A193:B193"/>
    <mergeCell ref="A194:B194"/>
    <mergeCell ref="A265:B265"/>
    <mergeCell ref="A269:B269"/>
    <mergeCell ref="A270:B270"/>
    <mergeCell ref="A271:B271"/>
    <mergeCell ref="A268:B268"/>
    <mergeCell ref="A274:B274"/>
    <mergeCell ref="A216:B216"/>
  </mergeCells>
  <phoneticPr fontId="3" type="noConversion"/>
  <conditionalFormatting sqref="AE3:AE154">
    <cfRule type="cellIs" dxfId="1" priority="26" operator="greaterThanOrEqual">
      <formula>0</formula>
    </cfRule>
    <cfRule type="cellIs" dxfId="0" priority="27" operator="lessThan">
      <formula>0</formula>
    </cfRule>
  </conditionalFormatting>
  <conditionalFormatting sqref="AF8:AF9 AF52:AG154">
    <cfRule type="colorScale" priority="11">
      <colorScale>
        <cfvo type="num" val="700000"/>
        <cfvo type="num" val="7000000"/>
        <color rgb="FFFFFF00"/>
        <color rgb="FF00B050"/>
      </colorScale>
    </cfRule>
  </conditionalFormatting>
  <conditionalFormatting sqref="AF10">
    <cfRule type="colorScale" priority="9">
      <colorScale>
        <cfvo type="num" val="700000"/>
        <cfvo type="num" val="7000000"/>
        <color rgb="FFFFFF00"/>
        <color rgb="FF00B050"/>
      </colorScale>
    </cfRule>
  </conditionalFormatting>
  <conditionalFormatting sqref="AF11">
    <cfRule type="colorScale" priority="14">
      <colorScale>
        <cfvo type="num" val="700000"/>
        <cfvo type="num" val="7000000"/>
        <color rgb="FFFFFF00"/>
        <color rgb="FF00B050"/>
      </colorScale>
    </cfRule>
  </conditionalFormatting>
  <conditionalFormatting sqref="AF13:AF15">
    <cfRule type="colorScale" priority="8">
      <colorScale>
        <cfvo type="num" val="700000"/>
        <cfvo type="num" val="7000000"/>
        <color rgb="FFFFFF00"/>
        <color rgb="FF00B050"/>
      </colorScale>
    </cfRule>
  </conditionalFormatting>
  <conditionalFormatting sqref="AF18">
    <cfRule type="colorScale" priority="7">
      <colorScale>
        <cfvo type="num" val="700000"/>
        <cfvo type="num" val="7000000"/>
        <color rgb="FFFFFF00"/>
        <color rgb="FF00B050"/>
      </colorScale>
    </cfRule>
  </conditionalFormatting>
  <conditionalFormatting sqref="AF24:AF25">
    <cfRule type="colorScale" priority="1">
      <colorScale>
        <cfvo type="num" val="700000"/>
        <cfvo type="num" val="7000000"/>
        <color rgb="FFFFFF00"/>
        <color rgb="FF00B050"/>
      </colorScale>
    </cfRule>
  </conditionalFormatting>
  <conditionalFormatting sqref="AF27">
    <cfRule type="colorScale" priority="13">
      <colorScale>
        <cfvo type="num" val="700000"/>
        <cfvo type="num" val="7000000"/>
        <color rgb="FFFFFF00"/>
        <color rgb="FF00B050"/>
      </colorScale>
    </cfRule>
  </conditionalFormatting>
  <conditionalFormatting sqref="AF28">
    <cfRule type="colorScale" priority="15">
      <colorScale>
        <cfvo type="num" val="700000"/>
        <cfvo type="num" val="7000000"/>
        <color rgb="FFFFFF00"/>
        <color rgb="FF00B050"/>
      </colorScale>
    </cfRule>
  </conditionalFormatting>
  <conditionalFormatting sqref="AF29">
    <cfRule type="colorScale" priority="3">
      <colorScale>
        <cfvo type="num" val="700000"/>
        <cfvo type="num" val="7000000"/>
        <color rgb="FFFFFF00"/>
        <color rgb="FF00B050"/>
      </colorScale>
    </cfRule>
  </conditionalFormatting>
  <conditionalFormatting sqref="AF12 AF30 AF38 AF16:AF17 AF42 AF44:AF51 AG36:AG39 AF3:AG7 AG42:AG51 AF32:AG35 AG27:AG31 AF26:AG26 AG8:AG18 AG24:AG25 AF40:AG41 AF19:AG23">
    <cfRule type="colorScale" priority="25">
      <colorScale>
        <cfvo type="num" val="700000"/>
        <cfvo type="num" val="7000000"/>
        <color rgb="FFFFFF00"/>
        <color rgb="FF00B050"/>
      </colorScale>
    </cfRule>
  </conditionalFormatting>
  <conditionalFormatting sqref="AF31">
    <cfRule type="colorScale" priority="2">
      <colorScale>
        <cfvo type="num" val="700000"/>
        <cfvo type="num" val="7000000"/>
        <color rgb="FFFFFF00"/>
        <color rgb="FF00B050"/>
      </colorScale>
    </cfRule>
  </conditionalFormatting>
  <conditionalFormatting sqref="AF36">
    <cfRule type="colorScale" priority="17">
      <colorScale>
        <cfvo type="num" val="700000"/>
        <cfvo type="num" val="7000000"/>
        <color rgb="FFFFFF00"/>
        <color rgb="FF00B050"/>
      </colorScale>
    </cfRule>
  </conditionalFormatting>
  <conditionalFormatting sqref="AF37">
    <cfRule type="colorScale" priority="16">
      <colorScale>
        <cfvo type="num" val="700000"/>
        <cfvo type="num" val="7000000"/>
        <color rgb="FFFFFF00"/>
        <color rgb="FF00B050"/>
      </colorScale>
    </cfRule>
  </conditionalFormatting>
  <conditionalFormatting sqref="AF39">
    <cfRule type="colorScale" priority="6">
      <colorScale>
        <cfvo type="num" val="700000"/>
        <cfvo type="num" val="7000000"/>
        <color rgb="FFFFFF00"/>
        <color rgb="FF00B050"/>
      </colorScale>
    </cfRule>
  </conditionalFormatting>
  <conditionalFormatting sqref="AF43">
    <cfRule type="colorScale" priority="5">
      <colorScale>
        <cfvo type="num" val="700000"/>
        <cfvo type="num" val="7000000"/>
        <color rgb="FFFFFF00"/>
        <color rgb="FF00B050"/>
      </colorScale>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8F07E-CDC4-4E0C-9CF0-3C14DAA28F23}">
  <dimension ref="A1:J137"/>
  <sheetViews>
    <sheetView topLeftCell="A17" workbookViewId="0">
      <selection activeCell="N16" sqref="N16"/>
    </sheetView>
  </sheetViews>
  <sheetFormatPr defaultRowHeight="14.5" x14ac:dyDescent="0.35"/>
  <cols>
    <col min="1" max="1" width="15.81640625" customWidth="1"/>
    <col min="2" max="2" width="28" customWidth="1"/>
    <col min="3" max="3" width="13.81640625" bestFit="1" customWidth="1"/>
    <col min="4" max="4" width="11.1796875" bestFit="1" customWidth="1"/>
    <col min="5" max="5" width="11.26953125" style="6" bestFit="1" customWidth="1"/>
    <col min="6" max="6" width="12.7265625" style="6" bestFit="1" customWidth="1"/>
    <col min="7" max="7" width="12.7265625" style="6" customWidth="1"/>
    <col min="8" max="8" width="13.81640625" style="1" bestFit="1" customWidth="1"/>
    <col min="9" max="9" width="8.7265625" style="526"/>
    <col min="10" max="10" width="11.1796875" bestFit="1" customWidth="1"/>
  </cols>
  <sheetData>
    <row r="1" spans="1:10" x14ac:dyDescent="0.35">
      <c r="A1" s="5" t="s">
        <v>1042</v>
      </c>
    </row>
    <row r="3" spans="1:10" ht="29" x14ac:dyDescent="0.35">
      <c r="A3" s="74" t="s">
        <v>190</v>
      </c>
      <c r="B3" s="74" t="s">
        <v>0</v>
      </c>
      <c r="C3" s="250" t="s">
        <v>222</v>
      </c>
      <c r="D3" s="251" t="s">
        <v>223</v>
      </c>
      <c r="E3" s="63" t="s">
        <v>133</v>
      </c>
      <c r="F3" s="63" t="s">
        <v>134</v>
      </c>
      <c r="G3" s="63" t="s">
        <v>135</v>
      </c>
      <c r="H3" s="191" t="s">
        <v>1041</v>
      </c>
      <c r="J3" s="6"/>
    </row>
    <row r="4" spans="1:10" x14ac:dyDescent="0.35">
      <c r="A4" s="210" t="s">
        <v>224</v>
      </c>
      <c r="B4" s="7" t="s">
        <v>42</v>
      </c>
      <c r="C4" s="249">
        <v>35000000.3640031</v>
      </c>
      <c r="D4" s="248">
        <v>1242098.3640030995</v>
      </c>
      <c r="E4" s="10">
        <v>200000</v>
      </c>
      <c r="F4" s="10">
        <v>2100000</v>
      </c>
      <c r="G4" s="22">
        <f>100*50000</f>
        <v>5000000</v>
      </c>
      <c r="H4" s="97">
        <v>27700000.3640031</v>
      </c>
    </row>
    <row r="5" spans="1:10" x14ac:dyDescent="0.35">
      <c r="A5" s="210" t="s">
        <v>225</v>
      </c>
      <c r="B5" s="7" t="s">
        <v>69</v>
      </c>
      <c r="C5" s="249">
        <v>23229450.341199625</v>
      </c>
      <c r="D5" s="248">
        <v>1269450.3411996253</v>
      </c>
      <c r="E5" s="10">
        <v>200000</v>
      </c>
      <c r="F5" s="10">
        <v>2100000</v>
      </c>
      <c r="G5" s="22">
        <f>100*50000</f>
        <v>5000000</v>
      </c>
      <c r="H5" s="97">
        <v>15929450.341199625</v>
      </c>
    </row>
    <row r="6" spans="1:10" x14ac:dyDescent="0.35">
      <c r="A6" s="210" t="s">
        <v>227</v>
      </c>
      <c r="B6" s="7" t="s">
        <v>28</v>
      </c>
      <c r="C6" s="249">
        <v>60000000.248685889</v>
      </c>
      <c r="D6" s="248">
        <v>1626430.2486858889</v>
      </c>
      <c r="E6" s="10">
        <v>200000</v>
      </c>
      <c r="F6" s="10">
        <v>2100000</v>
      </c>
      <c r="G6" s="22">
        <f>100*50000</f>
        <v>5000000</v>
      </c>
      <c r="H6" s="97">
        <v>52700000.248685889</v>
      </c>
    </row>
    <row r="7" spans="1:10" x14ac:dyDescent="0.35">
      <c r="A7" s="210" t="s">
        <v>228</v>
      </c>
      <c r="B7" s="7" t="s">
        <v>229</v>
      </c>
      <c r="C7" s="249">
        <v>5181798.8685121052</v>
      </c>
      <c r="D7" s="248">
        <v>301798.8685121052</v>
      </c>
      <c r="E7" s="10">
        <v>200000</v>
      </c>
      <c r="F7" s="10">
        <v>2100000</v>
      </c>
      <c r="G7" s="22">
        <f>50*50000</f>
        <v>2500000</v>
      </c>
      <c r="H7" s="97">
        <v>381798.8685121052</v>
      </c>
    </row>
    <row r="8" spans="1:10" x14ac:dyDescent="0.35">
      <c r="A8" s="210" t="s">
        <v>230</v>
      </c>
      <c r="B8" s="7" t="s">
        <v>231</v>
      </c>
      <c r="C8" s="249">
        <v>11072822.870407227</v>
      </c>
      <c r="D8" s="248">
        <v>672822.87040722743</v>
      </c>
      <c r="E8" s="10">
        <v>200000</v>
      </c>
      <c r="F8" s="10">
        <v>2100000</v>
      </c>
      <c r="G8" s="22">
        <f>100*50000</f>
        <v>5000000</v>
      </c>
      <c r="H8" s="97">
        <v>3772822.8704072274</v>
      </c>
    </row>
    <row r="9" spans="1:10" x14ac:dyDescent="0.35">
      <c r="A9" s="210" t="s">
        <v>232</v>
      </c>
      <c r="B9" s="7" t="s">
        <v>33</v>
      </c>
      <c r="C9" s="249">
        <v>21299998.9994452</v>
      </c>
      <c r="D9" s="248">
        <v>574010.99944519997</v>
      </c>
      <c r="E9" s="10">
        <v>200000</v>
      </c>
      <c r="F9" s="10">
        <v>2100000</v>
      </c>
      <c r="G9" s="22">
        <f>100*50000</f>
        <v>5000000</v>
      </c>
      <c r="H9" s="97">
        <v>13999998.9994452</v>
      </c>
    </row>
    <row r="10" spans="1:10" x14ac:dyDescent="0.35">
      <c r="A10" s="210" t="s">
        <v>233</v>
      </c>
      <c r="B10" s="7" t="s">
        <v>50</v>
      </c>
      <c r="C10" s="249">
        <v>31993983.02671238</v>
      </c>
      <c r="D10" s="248">
        <v>888100.02671238035</v>
      </c>
      <c r="E10" s="10">
        <v>200000</v>
      </c>
      <c r="F10" s="10">
        <v>2100000</v>
      </c>
      <c r="G10" s="22">
        <f>100*50000</f>
        <v>5000000</v>
      </c>
      <c r="H10" s="97">
        <v>24693983.02671238</v>
      </c>
    </row>
    <row r="11" spans="1:10" x14ac:dyDescent="0.35">
      <c r="A11" s="210" t="s">
        <v>234</v>
      </c>
      <c r="B11" s="7" t="s">
        <v>23</v>
      </c>
      <c r="C11" s="249">
        <v>3300004.3780683642</v>
      </c>
      <c r="D11" s="248">
        <v>77004.378068364225</v>
      </c>
      <c r="E11" s="10">
        <v>200000</v>
      </c>
      <c r="F11" s="10">
        <v>2100000</v>
      </c>
      <c r="G11" s="22">
        <f>20*50000</f>
        <v>1000000</v>
      </c>
      <c r="H11" s="97">
        <v>4.378068364225328</v>
      </c>
    </row>
    <row r="12" spans="1:10" x14ac:dyDescent="0.35">
      <c r="A12" s="210" t="s">
        <v>235</v>
      </c>
      <c r="B12" s="7" t="s">
        <v>64</v>
      </c>
      <c r="C12" s="249">
        <v>3532523.4102438618</v>
      </c>
      <c r="D12" s="248">
        <v>162523.41024386184</v>
      </c>
      <c r="E12" s="10">
        <v>200000</v>
      </c>
      <c r="F12" s="10">
        <v>2100000</v>
      </c>
      <c r="G12" s="22">
        <f>20*50000</f>
        <v>1000000</v>
      </c>
      <c r="H12" s="97">
        <v>232523.41024386184</v>
      </c>
    </row>
    <row r="13" spans="1:10" x14ac:dyDescent="0.35">
      <c r="A13" s="210" t="s">
        <v>236</v>
      </c>
      <c r="B13" s="7" t="s">
        <v>39</v>
      </c>
      <c r="C13" s="249">
        <v>25642462.68182829</v>
      </c>
      <c r="D13" s="248">
        <v>642462.68182829022</v>
      </c>
      <c r="E13" s="10">
        <v>200000</v>
      </c>
      <c r="F13" s="10">
        <v>2100000</v>
      </c>
      <c r="G13" s="22">
        <f>100*50000</f>
        <v>5000000</v>
      </c>
      <c r="H13" s="97">
        <v>18342462.68182829</v>
      </c>
    </row>
    <row r="14" spans="1:10" x14ac:dyDescent="0.35">
      <c r="A14" s="210" t="s">
        <v>237</v>
      </c>
      <c r="B14" s="7" t="s">
        <v>238</v>
      </c>
      <c r="C14" s="249">
        <v>17200000.184819657</v>
      </c>
      <c r="D14" s="248">
        <v>670505.18481965736</v>
      </c>
      <c r="E14" s="10">
        <v>200000</v>
      </c>
      <c r="F14" s="10">
        <v>2100000</v>
      </c>
      <c r="G14" s="22">
        <f>100*50000</f>
        <v>5000000</v>
      </c>
      <c r="H14" s="97">
        <v>9900000.1848196574</v>
      </c>
    </row>
    <row r="15" spans="1:10" x14ac:dyDescent="0.35">
      <c r="A15" s="210" t="s">
        <v>239</v>
      </c>
      <c r="B15" s="7" t="s">
        <v>66</v>
      </c>
      <c r="C15" s="249">
        <v>25000000.254673362</v>
      </c>
      <c r="D15" s="248">
        <v>722498.25467336178</v>
      </c>
      <c r="E15" s="10">
        <v>200000</v>
      </c>
      <c r="F15" s="10">
        <v>2100000</v>
      </c>
      <c r="G15" s="22">
        <f>100*50000</f>
        <v>5000000</v>
      </c>
      <c r="H15" s="97">
        <v>17700000.254673362</v>
      </c>
    </row>
    <row r="16" spans="1:10" x14ac:dyDescent="0.35">
      <c r="A16" s="210" t="s">
        <v>240</v>
      </c>
      <c r="B16" s="7" t="s">
        <v>51</v>
      </c>
      <c r="C16" s="249">
        <v>12181106.333009334</v>
      </c>
      <c r="D16" s="248">
        <v>381106.33300933428</v>
      </c>
      <c r="E16" s="10">
        <v>200000</v>
      </c>
      <c r="F16" s="10">
        <v>2100000</v>
      </c>
      <c r="G16" s="22">
        <f>100*50000</f>
        <v>5000000</v>
      </c>
      <c r="H16" s="97">
        <v>4881106.3330093343</v>
      </c>
    </row>
    <row r="17" spans="1:8" x14ac:dyDescent="0.35">
      <c r="A17" s="210" t="s">
        <v>241</v>
      </c>
      <c r="B17" s="7" t="s">
        <v>35</v>
      </c>
      <c r="C17" s="249">
        <v>4028588.5048279581</v>
      </c>
      <c r="D17" s="248">
        <v>403588.50482795807</v>
      </c>
      <c r="E17" s="10">
        <v>200000</v>
      </c>
      <c r="F17" s="10">
        <v>2100000</v>
      </c>
      <c r="G17" s="22">
        <f>20*50000</f>
        <v>1000000</v>
      </c>
      <c r="H17" s="97">
        <v>728588.50482795807</v>
      </c>
    </row>
    <row r="18" spans="1:8" x14ac:dyDescent="0.35">
      <c r="A18" s="210" t="s">
        <v>243</v>
      </c>
      <c r="B18" s="7" t="s">
        <v>244</v>
      </c>
      <c r="C18" s="249">
        <v>5099717.4382597553</v>
      </c>
      <c r="D18" s="248">
        <v>362717.43825975526</v>
      </c>
      <c r="E18" s="10">
        <v>200000</v>
      </c>
      <c r="F18" s="10">
        <v>2100000</v>
      </c>
      <c r="G18" s="22">
        <f>50*50000</f>
        <v>2500000</v>
      </c>
      <c r="H18" s="97">
        <v>299717.43825975526</v>
      </c>
    </row>
    <row r="19" spans="1:8" x14ac:dyDescent="0.35">
      <c r="A19" s="210" t="s">
        <v>245</v>
      </c>
      <c r="B19" s="7" t="s">
        <v>55</v>
      </c>
      <c r="C19" s="249">
        <v>29766609.046468072</v>
      </c>
      <c r="D19" s="248">
        <v>766609.04646807164</v>
      </c>
      <c r="E19" s="10">
        <v>200000</v>
      </c>
      <c r="F19" s="10">
        <v>2100000</v>
      </c>
      <c r="G19" s="22">
        <f>100*50000</f>
        <v>5000000</v>
      </c>
      <c r="H19" s="97">
        <v>22466609.046468072</v>
      </c>
    </row>
    <row r="20" spans="1:8" x14ac:dyDescent="0.35">
      <c r="A20" s="210" t="s">
        <v>246</v>
      </c>
      <c r="B20" s="7" t="s">
        <v>82</v>
      </c>
      <c r="C20" s="249">
        <v>3643272.0082992259</v>
      </c>
      <c r="D20" s="248">
        <v>343272.00829922594</v>
      </c>
      <c r="E20" s="10">
        <v>200000</v>
      </c>
      <c r="F20" s="10">
        <v>2100000</v>
      </c>
      <c r="G20" s="22">
        <f>20*50000</f>
        <v>1000000</v>
      </c>
      <c r="H20" s="97">
        <v>343272.00829922594</v>
      </c>
    </row>
    <row r="21" spans="1:8" x14ac:dyDescent="0.35">
      <c r="A21" s="210" t="s">
        <v>247</v>
      </c>
      <c r="B21" s="7" t="s">
        <v>248</v>
      </c>
      <c r="C21" s="249">
        <v>32110777.155201484</v>
      </c>
      <c r="D21" s="248">
        <v>390214.15520148352</v>
      </c>
      <c r="E21" s="10">
        <v>200000</v>
      </c>
      <c r="F21" s="10">
        <v>2100000</v>
      </c>
      <c r="G21" s="22">
        <f>100*50000</f>
        <v>5000000</v>
      </c>
      <c r="H21" s="97">
        <v>24810777.155201484</v>
      </c>
    </row>
    <row r="22" spans="1:8" x14ac:dyDescent="0.35">
      <c r="A22" s="210" t="s">
        <v>249</v>
      </c>
      <c r="B22" s="7" t="s">
        <v>72</v>
      </c>
      <c r="C22" s="249">
        <v>10278374.879113501</v>
      </c>
      <c r="D22" s="248">
        <v>378374.87911350094</v>
      </c>
      <c r="E22" s="10">
        <v>200000</v>
      </c>
      <c r="F22" s="10">
        <v>2100000</v>
      </c>
      <c r="G22" s="22">
        <f>100*50000</f>
        <v>5000000</v>
      </c>
      <c r="H22" s="97">
        <v>2978374.8791135009</v>
      </c>
    </row>
    <row r="23" spans="1:8" x14ac:dyDescent="0.35">
      <c r="A23" s="210" t="s">
        <v>250</v>
      </c>
      <c r="B23" s="7" t="s">
        <v>251</v>
      </c>
      <c r="C23" s="249">
        <v>16173099.147650957</v>
      </c>
      <c r="D23" s="248">
        <v>452399.14765095711</v>
      </c>
      <c r="E23" s="10">
        <v>200000</v>
      </c>
      <c r="F23" s="10">
        <v>2100000</v>
      </c>
      <c r="G23" s="22">
        <f>100*50000</f>
        <v>5000000</v>
      </c>
      <c r="H23" s="97">
        <v>8873099.1476509571</v>
      </c>
    </row>
    <row r="24" spans="1:8" x14ac:dyDescent="0.35">
      <c r="A24" s="210" t="s">
        <v>252</v>
      </c>
      <c r="B24" s="7" t="s">
        <v>651</v>
      </c>
      <c r="C24" s="249">
        <v>10125434.757400971</v>
      </c>
      <c r="D24" s="248">
        <v>425434.75740097091</v>
      </c>
      <c r="E24" s="10">
        <v>200000</v>
      </c>
      <c r="F24" s="10">
        <v>2100000</v>
      </c>
      <c r="G24" s="22">
        <f>100*50000</f>
        <v>5000000</v>
      </c>
      <c r="H24" s="97">
        <v>2825434.7574009709</v>
      </c>
    </row>
    <row r="25" spans="1:8" x14ac:dyDescent="0.35">
      <c r="A25" s="210" t="s">
        <v>253</v>
      </c>
      <c r="B25" s="7" t="s">
        <v>86</v>
      </c>
      <c r="C25" s="249">
        <v>5114365.3604810433</v>
      </c>
      <c r="D25" s="248">
        <v>414365.36048104335</v>
      </c>
      <c r="E25" s="10">
        <v>200000</v>
      </c>
      <c r="F25" s="10">
        <v>2100000</v>
      </c>
      <c r="G25" s="22">
        <f>50*50000</f>
        <v>2500000</v>
      </c>
      <c r="H25" s="97">
        <v>314365.36048104335</v>
      </c>
    </row>
    <row r="26" spans="1:8" x14ac:dyDescent="0.35">
      <c r="A26" s="210" t="s">
        <v>254</v>
      </c>
      <c r="B26" s="7" t="s">
        <v>65</v>
      </c>
      <c r="C26" s="249">
        <v>16259174.32148139</v>
      </c>
      <c r="D26" s="248">
        <v>659174.32148138992</v>
      </c>
      <c r="E26" s="10">
        <v>200000</v>
      </c>
      <c r="F26" s="10">
        <v>2100000</v>
      </c>
      <c r="G26" s="22">
        <f>100*50000</f>
        <v>5000000</v>
      </c>
      <c r="H26" s="97">
        <v>8959174.3214813899</v>
      </c>
    </row>
    <row r="27" spans="1:8" x14ac:dyDescent="0.35">
      <c r="A27" s="210" t="s">
        <v>255</v>
      </c>
      <c r="B27" s="7" t="s">
        <v>61</v>
      </c>
      <c r="C27" s="249">
        <v>9515257.5109307878</v>
      </c>
      <c r="D27" s="248">
        <v>426257.51093078777</v>
      </c>
      <c r="E27" s="10">
        <v>200000</v>
      </c>
      <c r="F27" s="10">
        <v>2100000</v>
      </c>
      <c r="G27" s="22">
        <f>100*50000</f>
        <v>5000000</v>
      </c>
      <c r="H27" s="97">
        <v>2215257.5109307878</v>
      </c>
    </row>
    <row r="28" spans="1:8" x14ac:dyDescent="0.35">
      <c r="A28" s="210" t="s">
        <v>256</v>
      </c>
      <c r="B28" s="7" t="s">
        <v>76</v>
      </c>
      <c r="C28" s="249">
        <v>3373767.6892256849</v>
      </c>
      <c r="D28" s="248">
        <v>173767.68922568485</v>
      </c>
      <c r="E28" s="10">
        <v>200000</v>
      </c>
      <c r="F28" s="10">
        <v>2100000</v>
      </c>
      <c r="G28" s="22">
        <f>20*50000</f>
        <v>1000000</v>
      </c>
      <c r="H28" s="97">
        <v>73767.689225684851</v>
      </c>
    </row>
    <row r="29" spans="1:8" x14ac:dyDescent="0.35">
      <c r="A29" s="210" t="s">
        <v>259</v>
      </c>
      <c r="B29" s="7" t="s">
        <v>36</v>
      </c>
      <c r="C29" s="249">
        <v>12127340.331826754</v>
      </c>
      <c r="D29" s="248">
        <v>287340.33182675391</v>
      </c>
      <c r="E29" s="10">
        <v>200000</v>
      </c>
      <c r="F29" s="10">
        <v>2100000</v>
      </c>
      <c r="G29" s="22">
        <f>100*50000</f>
        <v>5000000</v>
      </c>
      <c r="H29" s="97">
        <v>4827340.3318267539</v>
      </c>
    </row>
    <row r="30" spans="1:8" x14ac:dyDescent="0.35">
      <c r="A30" s="210" t="s">
        <v>260</v>
      </c>
      <c r="B30" s="7" t="s">
        <v>84</v>
      </c>
      <c r="C30" s="249">
        <v>11152745.382287418</v>
      </c>
      <c r="D30" s="248">
        <v>402745.38228741847</v>
      </c>
      <c r="E30" s="10">
        <v>200000</v>
      </c>
      <c r="F30" s="10">
        <v>2100000</v>
      </c>
      <c r="G30" s="22">
        <f>100*50000</f>
        <v>5000000</v>
      </c>
      <c r="H30" s="97">
        <v>3852745.3822874185</v>
      </c>
    </row>
    <row r="31" spans="1:8" x14ac:dyDescent="0.35">
      <c r="A31" s="210" t="s">
        <v>261</v>
      </c>
      <c r="B31" s="7" t="s">
        <v>185</v>
      </c>
      <c r="C31" s="249">
        <v>13147683.147148663</v>
      </c>
      <c r="D31" s="248">
        <v>397683.14714866318</v>
      </c>
      <c r="E31" s="10">
        <v>200000</v>
      </c>
      <c r="F31" s="10">
        <v>2100000</v>
      </c>
      <c r="G31" s="22">
        <f>100*50000</f>
        <v>5000000</v>
      </c>
      <c r="H31" s="97">
        <v>5847683.1471486632</v>
      </c>
    </row>
    <row r="32" spans="1:8" x14ac:dyDescent="0.35">
      <c r="A32" s="210" t="s">
        <v>262</v>
      </c>
      <c r="B32" s="7" t="s">
        <v>38</v>
      </c>
      <c r="C32" s="249">
        <v>4246127.7390903737</v>
      </c>
      <c r="D32" s="248">
        <v>165234.73909037374</v>
      </c>
      <c r="E32" s="10">
        <v>200000</v>
      </c>
      <c r="F32" s="10">
        <v>2100000</v>
      </c>
      <c r="G32" s="22">
        <f t="shared" ref="G32:G37" si="0">20*50000</f>
        <v>1000000</v>
      </c>
      <c r="H32" s="97">
        <v>946127.73909037374</v>
      </c>
    </row>
    <row r="33" spans="1:8" x14ac:dyDescent="0.35">
      <c r="A33" s="210" t="s">
        <v>263</v>
      </c>
      <c r="B33" s="7" t="s">
        <v>87</v>
      </c>
      <c r="C33" s="249">
        <v>3464808.7656342038</v>
      </c>
      <c r="D33" s="248">
        <v>164808.7656342038</v>
      </c>
      <c r="E33" s="10">
        <v>200000</v>
      </c>
      <c r="F33" s="10">
        <v>2100000</v>
      </c>
      <c r="G33" s="22">
        <f t="shared" si="0"/>
        <v>1000000</v>
      </c>
      <c r="H33" s="97">
        <v>164808.7656342038</v>
      </c>
    </row>
    <row r="34" spans="1:8" x14ac:dyDescent="0.35">
      <c r="A34" s="210" t="s">
        <v>264</v>
      </c>
      <c r="B34" s="7" t="s">
        <v>74</v>
      </c>
      <c r="C34" s="249">
        <v>3717638.7974302983</v>
      </c>
      <c r="D34" s="248">
        <v>217638.79743029829</v>
      </c>
      <c r="E34" s="10">
        <v>200000</v>
      </c>
      <c r="F34" s="10">
        <v>2100000</v>
      </c>
      <c r="G34" s="22">
        <f t="shared" si="0"/>
        <v>1000000</v>
      </c>
      <c r="H34" s="97">
        <v>417638.79743029829</v>
      </c>
    </row>
    <row r="35" spans="1:8" x14ac:dyDescent="0.35">
      <c r="A35" s="210" t="s">
        <v>265</v>
      </c>
      <c r="B35" s="7" t="s">
        <v>1008</v>
      </c>
      <c r="C35" s="249">
        <v>3347114.4418128077</v>
      </c>
      <c r="D35" s="248">
        <v>147114.44181280769</v>
      </c>
      <c r="E35" s="10">
        <v>200000</v>
      </c>
      <c r="F35" s="10">
        <v>2100000</v>
      </c>
      <c r="G35" s="22">
        <f t="shared" si="0"/>
        <v>1000000</v>
      </c>
      <c r="H35" s="97">
        <v>47114.441812807694</v>
      </c>
    </row>
    <row r="36" spans="1:8" x14ac:dyDescent="0.35">
      <c r="A36" s="210" t="s">
        <v>266</v>
      </c>
      <c r="B36" s="7" t="s">
        <v>63</v>
      </c>
      <c r="C36" s="249">
        <v>3480444.0674961074</v>
      </c>
      <c r="D36" s="248">
        <v>210444.06749610743</v>
      </c>
      <c r="E36" s="10">
        <v>200000</v>
      </c>
      <c r="F36" s="10">
        <v>2100000</v>
      </c>
      <c r="G36" s="22">
        <f t="shared" si="0"/>
        <v>1000000</v>
      </c>
      <c r="H36" s="97">
        <v>180444.06749610743</v>
      </c>
    </row>
    <row r="37" spans="1:8" x14ac:dyDescent="0.35">
      <c r="A37" s="210" t="s">
        <v>267</v>
      </c>
      <c r="B37" s="7" t="s">
        <v>268</v>
      </c>
      <c r="C37" s="249">
        <v>3666053.3419664102</v>
      </c>
      <c r="D37" s="248">
        <v>166053.34196641017</v>
      </c>
      <c r="E37" s="10">
        <v>200000</v>
      </c>
      <c r="F37" s="10">
        <v>2100000</v>
      </c>
      <c r="G37" s="22">
        <f t="shared" si="0"/>
        <v>1000000</v>
      </c>
      <c r="H37" s="97">
        <v>366053.34196641017</v>
      </c>
    </row>
    <row r="38" spans="1:8" x14ac:dyDescent="0.35">
      <c r="A38" s="210" t="s">
        <v>269</v>
      </c>
      <c r="B38" s="7" t="s">
        <v>46</v>
      </c>
      <c r="C38" s="249">
        <v>18430551.08748804</v>
      </c>
      <c r="D38" s="248">
        <v>330551.08748804033</v>
      </c>
      <c r="E38" s="10">
        <v>200000</v>
      </c>
      <c r="F38" s="10">
        <v>2100000</v>
      </c>
      <c r="G38" s="22">
        <f>100*50000</f>
        <v>5000000</v>
      </c>
      <c r="H38" s="97">
        <v>11130551.08748804</v>
      </c>
    </row>
    <row r="39" spans="1:8" x14ac:dyDescent="0.35">
      <c r="A39" s="210" t="s">
        <v>270</v>
      </c>
      <c r="B39" s="7" t="s">
        <v>271</v>
      </c>
      <c r="C39" s="249">
        <v>6494780.9101264048</v>
      </c>
      <c r="D39" s="248">
        <v>245846.91012640484</v>
      </c>
      <c r="E39" s="10">
        <v>200000</v>
      </c>
      <c r="F39" s="10">
        <v>2100000</v>
      </c>
      <c r="G39" s="22">
        <f>50*50000</f>
        <v>2500000</v>
      </c>
      <c r="H39" s="97">
        <v>1694780.9101264048</v>
      </c>
    </row>
    <row r="40" spans="1:8" x14ac:dyDescent="0.35">
      <c r="A40" s="210" t="s">
        <v>273</v>
      </c>
      <c r="B40" s="7" t="s">
        <v>43</v>
      </c>
      <c r="C40" s="249">
        <v>5164063.2467918368</v>
      </c>
      <c r="D40" s="248">
        <v>337757.24679183681</v>
      </c>
      <c r="E40" s="10">
        <v>200000</v>
      </c>
      <c r="F40" s="10">
        <v>2100000</v>
      </c>
      <c r="G40" s="22">
        <f>50*50000</f>
        <v>2500000</v>
      </c>
      <c r="H40" s="97">
        <v>364063.24679183681</v>
      </c>
    </row>
    <row r="41" spans="1:8" x14ac:dyDescent="0.35">
      <c r="A41" s="210" t="s">
        <v>275</v>
      </c>
      <c r="B41" s="7" t="s">
        <v>79</v>
      </c>
      <c r="C41" s="249">
        <v>13416249.912149467</v>
      </c>
      <c r="D41" s="248">
        <v>416249.91214946657</v>
      </c>
      <c r="E41" s="10">
        <v>200000</v>
      </c>
      <c r="F41" s="10">
        <v>2100000</v>
      </c>
      <c r="G41" s="22">
        <f>100*50000</f>
        <v>5000000</v>
      </c>
      <c r="H41" s="97">
        <v>6116249.9121494666</v>
      </c>
    </row>
    <row r="42" spans="1:8" x14ac:dyDescent="0.35">
      <c r="A42" s="210" t="s">
        <v>276</v>
      </c>
      <c r="B42" s="7" t="s">
        <v>617</v>
      </c>
      <c r="C42" s="249">
        <v>3711239.4318781025</v>
      </c>
      <c r="D42" s="248">
        <v>211239.43187810248</v>
      </c>
      <c r="E42" s="10">
        <v>200000</v>
      </c>
      <c r="F42" s="10">
        <v>2100000</v>
      </c>
      <c r="G42" s="22">
        <f>20*50000</f>
        <v>1000000</v>
      </c>
      <c r="H42" s="97">
        <v>411239.43187810248</v>
      </c>
    </row>
    <row r="43" spans="1:8" x14ac:dyDescent="0.35">
      <c r="A43" s="210" t="s">
        <v>277</v>
      </c>
      <c r="B43" s="7" t="s">
        <v>58</v>
      </c>
      <c r="C43" s="249">
        <v>27609168.008884627</v>
      </c>
      <c r="D43" s="248">
        <v>279168.00888462737</v>
      </c>
      <c r="E43" s="10">
        <v>200000</v>
      </c>
      <c r="F43" s="10">
        <v>2100000</v>
      </c>
      <c r="G43" s="22">
        <f>100*50000</f>
        <v>5000000</v>
      </c>
      <c r="H43" s="97">
        <v>20309168.008884627</v>
      </c>
    </row>
    <row r="44" spans="1:8" x14ac:dyDescent="0.35">
      <c r="A44" s="210" t="s">
        <v>278</v>
      </c>
      <c r="B44" s="7" t="s">
        <v>279</v>
      </c>
      <c r="C44" s="249">
        <v>3434070.7312615169</v>
      </c>
      <c r="D44" s="248">
        <v>134070.73126151692</v>
      </c>
      <c r="E44" s="10">
        <v>200000</v>
      </c>
      <c r="F44" s="10">
        <v>2100000</v>
      </c>
      <c r="G44" s="22">
        <f>20*50000</f>
        <v>1000000</v>
      </c>
      <c r="H44" s="97">
        <v>134070.73126151692</v>
      </c>
    </row>
    <row r="45" spans="1:8" x14ac:dyDescent="0.35">
      <c r="A45" s="210" t="s">
        <v>280</v>
      </c>
      <c r="B45" s="7" t="s">
        <v>779</v>
      </c>
      <c r="C45" s="249">
        <v>9321934.4627019558</v>
      </c>
      <c r="D45" s="248">
        <v>171934.46270195581</v>
      </c>
      <c r="E45" s="10">
        <v>200000</v>
      </c>
      <c r="F45" s="10">
        <v>2100000</v>
      </c>
      <c r="G45" s="22">
        <f>100*50000</f>
        <v>5000000</v>
      </c>
      <c r="H45" s="97">
        <v>2021934.4627019558</v>
      </c>
    </row>
    <row r="46" spans="1:8" x14ac:dyDescent="0.35">
      <c r="A46" s="210" t="s">
        <v>282</v>
      </c>
      <c r="B46" s="7" t="s">
        <v>1030</v>
      </c>
      <c r="C46" s="249">
        <v>3302105.443884505</v>
      </c>
      <c r="D46" s="248">
        <v>162105.44388450496</v>
      </c>
      <c r="E46" s="10">
        <v>200000</v>
      </c>
      <c r="F46" s="10">
        <v>2100000</v>
      </c>
      <c r="G46" s="22">
        <f>20*50000</f>
        <v>1000000</v>
      </c>
      <c r="H46" s="97">
        <v>2105.443884504959</v>
      </c>
    </row>
    <row r="47" spans="1:8" x14ac:dyDescent="0.35">
      <c r="A47" s="210" t="s">
        <v>283</v>
      </c>
      <c r="B47" s="7" t="s">
        <v>53</v>
      </c>
      <c r="C47" s="249">
        <v>5448774.5205405941</v>
      </c>
      <c r="D47" s="248">
        <v>288252.52054059412</v>
      </c>
      <c r="E47" s="10">
        <v>200000</v>
      </c>
      <c r="F47" s="10">
        <v>2100000</v>
      </c>
      <c r="G47" s="22">
        <f>50*50000</f>
        <v>2500000</v>
      </c>
      <c r="H47" s="97">
        <v>648774.52054059412</v>
      </c>
    </row>
    <row r="48" spans="1:8" x14ac:dyDescent="0.35">
      <c r="A48" s="210" t="s">
        <v>285</v>
      </c>
      <c r="B48" s="7" t="s">
        <v>62</v>
      </c>
      <c r="C48" s="249">
        <v>3335927.2561231633</v>
      </c>
      <c r="D48" s="248">
        <v>35927.256123163272</v>
      </c>
      <c r="E48" s="10">
        <v>200000</v>
      </c>
      <c r="F48" s="10">
        <v>2100000</v>
      </c>
      <c r="G48" s="22">
        <f t="shared" ref="G48:G53" si="1">20*50000</f>
        <v>1000000</v>
      </c>
      <c r="H48" s="97">
        <v>35927.256123163272</v>
      </c>
    </row>
    <row r="49" spans="1:8" x14ac:dyDescent="0.35">
      <c r="A49" s="210" t="s">
        <v>286</v>
      </c>
      <c r="B49" s="7" t="s">
        <v>49</v>
      </c>
      <c r="C49" s="249">
        <v>4301567.4477682253</v>
      </c>
      <c r="D49" s="248">
        <v>32772.447768225335</v>
      </c>
      <c r="E49" s="10">
        <v>200000</v>
      </c>
      <c r="F49" s="10">
        <v>2100000</v>
      </c>
      <c r="G49" s="22">
        <f t="shared" si="1"/>
        <v>1000000</v>
      </c>
      <c r="H49" s="97">
        <v>1001567.4477682253</v>
      </c>
    </row>
    <row r="50" spans="1:8" x14ac:dyDescent="0.35">
      <c r="A50" s="210" t="s">
        <v>288</v>
      </c>
      <c r="B50" s="7" t="s">
        <v>289</v>
      </c>
      <c r="C50" s="249">
        <v>3598103.0862187953</v>
      </c>
      <c r="D50" s="248">
        <v>83103.086218795273</v>
      </c>
      <c r="E50" s="10">
        <v>200000</v>
      </c>
      <c r="F50" s="10">
        <v>2100000</v>
      </c>
      <c r="G50" s="22">
        <f t="shared" si="1"/>
        <v>1000000</v>
      </c>
      <c r="H50" s="97">
        <v>298103.08621879527</v>
      </c>
    </row>
    <row r="51" spans="1:8" x14ac:dyDescent="0.35">
      <c r="A51" s="210" t="s">
        <v>290</v>
      </c>
      <c r="B51" s="7" t="s">
        <v>1040</v>
      </c>
      <c r="C51" s="249">
        <v>3412080.0434485171</v>
      </c>
      <c r="D51" s="248">
        <v>12080.043448517099</v>
      </c>
      <c r="E51" s="10">
        <v>200000</v>
      </c>
      <c r="F51" s="10">
        <v>2100000</v>
      </c>
      <c r="G51" s="22">
        <f t="shared" si="1"/>
        <v>1000000</v>
      </c>
      <c r="H51" s="97">
        <v>112080.0434485171</v>
      </c>
    </row>
    <row r="52" spans="1:8" x14ac:dyDescent="0.35">
      <c r="A52" s="210" t="s">
        <v>292</v>
      </c>
      <c r="B52" s="7" t="s">
        <v>293</v>
      </c>
      <c r="C52" s="249">
        <v>3488976.4261790938</v>
      </c>
      <c r="D52" s="248">
        <v>88976.426179093774</v>
      </c>
      <c r="E52" s="10">
        <v>200000</v>
      </c>
      <c r="F52" s="10">
        <v>2100000</v>
      </c>
      <c r="G52" s="22">
        <f t="shared" si="1"/>
        <v>1000000</v>
      </c>
      <c r="H52" s="97">
        <v>188976.42617909377</v>
      </c>
    </row>
    <row r="53" spans="1:8" x14ac:dyDescent="0.35">
      <c r="A53" s="210" t="s">
        <v>295</v>
      </c>
      <c r="B53" s="7" t="s">
        <v>47</v>
      </c>
      <c r="C53" s="249">
        <v>4034298.3192283195</v>
      </c>
      <c r="D53" s="248">
        <v>34298.319228319451</v>
      </c>
      <c r="E53" s="10">
        <v>200000</v>
      </c>
      <c r="F53" s="10">
        <v>2100000</v>
      </c>
      <c r="G53" s="22">
        <f t="shared" si="1"/>
        <v>1000000</v>
      </c>
      <c r="H53" s="97">
        <v>734298.31922831945</v>
      </c>
    </row>
    <row r="54" spans="1:8" x14ac:dyDescent="0.35">
      <c r="A54" s="210" t="s">
        <v>297</v>
      </c>
      <c r="B54" s="7" t="s">
        <v>298</v>
      </c>
      <c r="C54" s="249">
        <v>55989480.937086642</v>
      </c>
      <c r="D54" s="248">
        <v>850045.93708664179</v>
      </c>
      <c r="E54" s="10">
        <v>200000</v>
      </c>
      <c r="F54" s="10">
        <v>2100000</v>
      </c>
      <c r="G54" s="22">
        <f>100*50000</f>
        <v>5000000</v>
      </c>
      <c r="H54" s="97">
        <v>48689480.937086642</v>
      </c>
    </row>
    <row r="55" spans="1:8" x14ac:dyDescent="0.35">
      <c r="A55" s="210" t="s">
        <v>299</v>
      </c>
      <c r="B55" s="7" t="s">
        <v>300</v>
      </c>
      <c r="C55" s="249">
        <v>5098177.6080587553</v>
      </c>
      <c r="D55" s="248">
        <v>88177.608058755286</v>
      </c>
      <c r="E55" s="10">
        <v>200000</v>
      </c>
      <c r="F55" s="10">
        <v>2100000</v>
      </c>
      <c r="G55" s="22">
        <f>50*50000</f>
        <v>2500000</v>
      </c>
      <c r="H55" s="97">
        <v>298177.60805875529</v>
      </c>
    </row>
    <row r="56" spans="1:8" x14ac:dyDescent="0.35">
      <c r="A56" s="210" t="s">
        <v>301</v>
      </c>
      <c r="B56" s="7" t="s">
        <v>302</v>
      </c>
      <c r="C56" s="249">
        <v>7118977.3796740538</v>
      </c>
      <c r="D56" s="248">
        <v>118977.37967405375</v>
      </c>
      <c r="E56" s="10">
        <v>200000</v>
      </c>
      <c r="F56" s="10">
        <v>2100000</v>
      </c>
      <c r="G56" s="22">
        <f>50*50000</f>
        <v>2500000</v>
      </c>
      <c r="H56" s="97">
        <v>2318977.3796740538</v>
      </c>
    </row>
    <row r="57" spans="1:8" x14ac:dyDescent="0.35">
      <c r="A57" s="210" t="s">
        <v>303</v>
      </c>
      <c r="B57" s="7" t="s">
        <v>304</v>
      </c>
      <c r="C57" s="249">
        <v>5113720.0458240248</v>
      </c>
      <c r="D57" s="248">
        <v>113720.04582402483</v>
      </c>
      <c r="E57" s="10">
        <v>200000</v>
      </c>
      <c r="F57" s="10">
        <v>2100000</v>
      </c>
      <c r="G57" s="22">
        <f>50*50000</f>
        <v>2500000</v>
      </c>
      <c r="H57" s="97">
        <v>313720.04582402483</v>
      </c>
    </row>
    <row r="58" spans="1:8" x14ac:dyDescent="0.35">
      <c r="A58" s="210" t="s">
        <v>305</v>
      </c>
      <c r="B58" s="7" t="s">
        <v>306</v>
      </c>
      <c r="C58" s="249">
        <v>14021517.550247436</v>
      </c>
      <c r="D58" s="248">
        <v>128785.55024743639</v>
      </c>
      <c r="E58" s="10">
        <v>200000</v>
      </c>
      <c r="F58" s="10">
        <v>2100000</v>
      </c>
      <c r="G58" s="22">
        <f>100*50000</f>
        <v>5000000</v>
      </c>
      <c r="H58" s="97">
        <v>6721517.5502474364</v>
      </c>
    </row>
    <row r="59" spans="1:8" x14ac:dyDescent="0.35">
      <c r="A59" s="210" t="s">
        <v>307</v>
      </c>
      <c r="B59" s="7" t="s">
        <v>308</v>
      </c>
      <c r="C59" s="249">
        <v>10198295.632790089</v>
      </c>
      <c r="D59" s="248">
        <v>198295.63279008865</v>
      </c>
      <c r="E59" s="10">
        <v>200000</v>
      </c>
      <c r="F59" s="10">
        <v>2100000</v>
      </c>
      <c r="G59" s="22">
        <f>100*50000</f>
        <v>5000000</v>
      </c>
      <c r="H59" s="97">
        <v>2898295.6327900887</v>
      </c>
    </row>
    <row r="60" spans="1:8" x14ac:dyDescent="0.35">
      <c r="A60" s="210" t="s">
        <v>309</v>
      </c>
      <c r="B60" s="7" t="s">
        <v>310</v>
      </c>
      <c r="C60" s="249">
        <v>3579444.5636540931</v>
      </c>
      <c r="D60" s="248">
        <v>79444.563654093072</v>
      </c>
      <c r="E60" s="10">
        <v>200000</v>
      </c>
      <c r="F60" s="10">
        <v>2100000</v>
      </c>
      <c r="G60" s="22">
        <f>20*50000</f>
        <v>1000000</v>
      </c>
      <c r="H60" s="97">
        <v>279444.56365409307</v>
      </c>
    </row>
    <row r="61" spans="1:8" x14ac:dyDescent="0.35">
      <c r="A61" s="210" t="s">
        <v>311</v>
      </c>
      <c r="B61" s="7" t="s">
        <v>312</v>
      </c>
      <c r="C61" s="249">
        <v>14131445.068321981</v>
      </c>
      <c r="D61" s="248">
        <v>224184.06832198054</v>
      </c>
      <c r="E61" s="10">
        <v>200000</v>
      </c>
      <c r="F61" s="10">
        <v>2100000</v>
      </c>
      <c r="G61" s="22">
        <f>100*50000</f>
        <v>5000000</v>
      </c>
      <c r="H61" s="97">
        <v>6831445.0683219805</v>
      </c>
    </row>
    <row r="62" spans="1:8" x14ac:dyDescent="0.35">
      <c r="A62" s="210" t="s">
        <v>313</v>
      </c>
      <c r="B62" s="7" t="s">
        <v>314</v>
      </c>
      <c r="C62" s="249">
        <v>3775951.2282423866</v>
      </c>
      <c r="D62" s="248">
        <v>75951.228242386598</v>
      </c>
      <c r="E62" s="10">
        <v>200000</v>
      </c>
      <c r="F62" s="10">
        <v>2100000</v>
      </c>
      <c r="G62" s="22">
        <f>20*50000</f>
        <v>1000000</v>
      </c>
      <c r="H62" s="97">
        <v>475951.2282423866</v>
      </c>
    </row>
    <row r="63" spans="1:8" x14ac:dyDescent="0.35">
      <c r="A63" s="210" t="s">
        <v>315</v>
      </c>
      <c r="B63" s="7" t="s">
        <v>316</v>
      </c>
      <c r="C63" s="249">
        <v>12617387.707381053</v>
      </c>
      <c r="D63" s="248">
        <v>117387.7073810529</v>
      </c>
      <c r="E63" s="10">
        <v>200000</v>
      </c>
      <c r="F63" s="10">
        <v>2100000</v>
      </c>
      <c r="G63" s="22">
        <f>100*50000</f>
        <v>5000000</v>
      </c>
      <c r="H63" s="97">
        <v>5317387.7073810529</v>
      </c>
    </row>
    <row r="64" spans="1:8" x14ac:dyDescent="0.35">
      <c r="A64" s="210" t="s">
        <v>317</v>
      </c>
      <c r="B64" s="7" t="s">
        <v>318</v>
      </c>
      <c r="C64" s="249">
        <v>6002031.1091698688</v>
      </c>
      <c r="D64" s="248">
        <v>102031.10916986875</v>
      </c>
      <c r="E64" s="10">
        <v>200000</v>
      </c>
      <c r="F64" s="10">
        <v>2100000</v>
      </c>
      <c r="G64" s="22">
        <f>50*50000</f>
        <v>2500000</v>
      </c>
      <c r="H64" s="97">
        <v>1202031.1091698688</v>
      </c>
    </row>
    <row r="65" spans="1:8" x14ac:dyDescent="0.35">
      <c r="A65" s="210" t="s">
        <v>319</v>
      </c>
      <c r="B65" s="7" t="s">
        <v>320</v>
      </c>
      <c r="C65" s="249">
        <v>3778998.3138837405</v>
      </c>
      <c r="D65" s="248">
        <v>78998.313883740455</v>
      </c>
      <c r="E65" s="10">
        <v>200000</v>
      </c>
      <c r="F65" s="10">
        <v>2100000</v>
      </c>
      <c r="G65" s="22">
        <f>20*50000</f>
        <v>1000000</v>
      </c>
      <c r="H65" s="97">
        <v>478998.31388374045</v>
      </c>
    </row>
    <row r="66" spans="1:8" x14ac:dyDescent="0.35">
      <c r="A66" s="210" t="s">
        <v>321</v>
      </c>
      <c r="B66" s="7" t="s">
        <v>322</v>
      </c>
      <c r="C66" s="249">
        <v>3349408.1064488515</v>
      </c>
      <c r="D66" s="248">
        <v>49408.106448851526</v>
      </c>
      <c r="E66" s="10">
        <v>200000</v>
      </c>
      <c r="F66" s="10">
        <v>2100000</v>
      </c>
      <c r="G66" s="22">
        <f>20*50000</f>
        <v>1000000</v>
      </c>
      <c r="H66" s="97">
        <v>49408.106448851526</v>
      </c>
    </row>
    <row r="67" spans="1:8" x14ac:dyDescent="0.35">
      <c r="A67" s="210" t="s">
        <v>323</v>
      </c>
      <c r="B67" s="7" t="s">
        <v>324</v>
      </c>
      <c r="C67" s="249">
        <v>4055472.1270074351</v>
      </c>
      <c r="D67" s="248">
        <v>55472.127007435076</v>
      </c>
      <c r="E67" s="10">
        <v>200000</v>
      </c>
      <c r="F67" s="10">
        <v>2100000</v>
      </c>
      <c r="G67" s="22">
        <f>20*50000</f>
        <v>1000000</v>
      </c>
      <c r="H67" s="97">
        <v>755472.12700743508</v>
      </c>
    </row>
    <row r="68" spans="1:8" x14ac:dyDescent="0.35">
      <c r="A68" s="210" t="s">
        <v>325</v>
      </c>
      <c r="B68" s="7" t="s">
        <v>326</v>
      </c>
      <c r="C68" s="249">
        <v>11326208.395279987</v>
      </c>
      <c r="D68" s="248">
        <v>126208.39527998678</v>
      </c>
      <c r="E68" s="10">
        <v>200000</v>
      </c>
      <c r="F68" s="10">
        <v>2100000</v>
      </c>
      <c r="G68" s="22">
        <f>100*50000</f>
        <v>5000000</v>
      </c>
      <c r="H68" s="97">
        <v>4026208.3952799868</v>
      </c>
    </row>
    <row r="69" spans="1:8" x14ac:dyDescent="0.35">
      <c r="A69" s="210" t="s">
        <v>492</v>
      </c>
      <c r="B69" s="7" t="s">
        <v>493</v>
      </c>
      <c r="C69" s="249">
        <v>4241286.1607969766</v>
      </c>
      <c r="D69" s="248">
        <v>41286.160796976648</v>
      </c>
      <c r="E69" s="10">
        <v>200000</v>
      </c>
      <c r="F69" s="10">
        <v>2100000</v>
      </c>
      <c r="G69" s="22">
        <f>20*50000</f>
        <v>1000000</v>
      </c>
      <c r="H69" s="97">
        <v>941286.16079697665</v>
      </c>
    </row>
    <row r="70" spans="1:8" x14ac:dyDescent="0.35">
      <c r="A70" s="210" t="s">
        <v>494</v>
      </c>
      <c r="B70" s="7" t="s">
        <v>327</v>
      </c>
      <c r="C70" s="249">
        <v>11014972.153469348</v>
      </c>
      <c r="D70" s="248">
        <v>14972.153469348326</v>
      </c>
      <c r="E70" s="10">
        <v>200000</v>
      </c>
      <c r="F70" s="10">
        <v>2100000</v>
      </c>
      <c r="G70" s="22">
        <f>100*50000</f>
        <v>5000000</v>
      </c>
      <c r="H70" s="97">
        <v>3714972.1534693483</v>
      </c>
    </row>
    <row r="71" spans="1:8" x14ac:dyDescent="0.35">
      <c r="A71" s="210" t="s">
        <v>507</v>
      </c>
      <c r="B71" s="7" t="s">
        <v>508</v>
      </c>
      <c r="C71" s="249">
        <v>5336710.7066977164</v>
      </c>
      <c r="D71" s="248">
        <v>36710.706697716378</v>
      </c>
      <c r="E71" s="10">
        <v>200000</v>
      </c>
      <c r="F71" s="10">
        <v>2100000</v>
      </c>
      <c r="G71" s="22">
        <f>50*50000</f>
        <v>2500000</v>
      </c>
      <c r="H71" s="97">
        <v>536710.70669771638</v>
      </c>
    </row>
    <row r="72" spans="1:8" x14ac:dyDescent="0.35">
      <c r="A72" s="210" t="s">
        <v>511</v>
      </c>
      <c r="B72" s="7" t="s">
        <v>512</v>
      </c>
      <c r="C72" s="249">
        <v>11847571.15265413</v>
      </c>
      <c r="D72" s="248">
        <v>147571.15265413001</v>
      </c>
      <c r="E72" s="10">
        <v>200000</v>
      </c>
      <c r="F72" s="10">
        <v>2100000</v>
      </c>
      <c r="G72" s="22">
        <f>100*50000</f>
        <v>5000000</v>
      </c>
      <c r="H72" s="97">
        <v>4547571.15265413</v>
      </c>
    </row>
    <row r="73" spans="1:8" x14ac:dyDescent="0.35">
      <c r="A73" s="210" t="s">
        <v>545</v>
      </c>
      <c r="B73" s="7" t="s">
        <v>546</v>
      </c>
      <c r="C73" s="249">
        <v>5104725.7724409495</v>
      </c>
      <c r="D73" s="248">
        <v>4725.7724409494549</v>
      </c>
      <c r="E73" s="10">
        <v>200000</v>
      </c>
      <c r="F73" s="10">
        <v>2100000</v>
      </c>
      <c r="G73" s="22">
        <f>50*50000</f>
        <v>2500000</v>
      </c>
      <c r="H73" s="97">
        <v>304725.77244094945</v>
      </c>
    </row>
    <row r="74" spans="1:8" x14ac:dyDescent="0.35">
      <c r="A74" s="210" t="s">
        <v>566</v>
      </c>
      <c r="B74" s="7" t="s">
        <v>601</v>
      </c>
      <c r="C74" s="249">
        <v>7419468.8548819562</v>
      </c>
      <c r="D74" s="248">
        <v>69468.854881956242</v>
      </c>
      <c r="E74" s="10">
        <v>200000</v>
      </c>
      <c r="F74" s="10">
        <v>2100000</v>
      </c>
      <c r="G74" s="22">
        <f>100*50000</f>
        <v>5000000</v>
      </c>
      <c r="H74" s="97">
        <v>119468.85488195624</v>
      </c>
    </row>
    <row r="75" spans="1:8" x14ac:dyDescent="0.35">
      <c r="A75" s="210" t="s">
        <v>602</v>
      </c>
      <c r="B75" s="7" t="s">
        <v>600</v>
      </c>
      <c r="C75" s="249">
        <v>5339696.4885039749</v>
      </c>
      <c r="D75" s="248">
        <v>39696.488503974862</v>
      </c>
      <c r="E75" s="10">
        <v>200000</v>
      </c>
      <c r="F75" s="10">
        <v>2100000</v>
      </c>
      <c r="G75" s="22">
        <f>50*50000</f>
        <v>2500000</v>
      </c>
      <c r="H75" s="97">
        <v>539696.48850397486</v>
      </c>
    </row>
    <row r="76" spans="1:8" x14ac:dyDescent="0.35">
      <c r="A76" s="210" t="s">
        <v>607</v>
      </c>
      <c r="B76" s="7" t="s">
        <v>608</v>
      </c>
      <c r="C76" s="249">
        <v>29041586.797480356</v>
      </c>
      <c r="D76" s="248">
        <v>41586.797480355948</v>
      </c>
      <c r="E76" s="10">
        <v>200000</v>
      </c>
      <c r="F76" s="10">
        <v>2100000</v>
      </c>
      <c r="G76" s="22">
        <f>100*50000</f>
        <v>5000000</v>
      </c>
      <c r="H76" s="97">
        <v>21741586.797480356</v>
      </c>
    </row>
    <row r="77" spans="1:8" x14ac:dyDescent="0.35">
      <c r="A77" s="210" t="s">
        <v>609</v>
      </c>
      <c r="B77" s="7" t="s">
        <v>610</v>
      </c>
      <c r="C77" s="249">
        <v>3412287.0083464687</v>
      </c>
      <c r="D77" s="248">
        <v>12287.008346468676</v>
      </c>
      <c r="E77" s="10">
        <v>200000</v>
      </c>
      <c r="F77" s="10">
        <v>2100000</v>
      </c>
      <c r="G77" s="22">
        <f>20*50000</f>
        <v>1000000</v>
      </c>
      <c r="H77" s="97">
        <v>112287.00834646868</v>
      </c>
    </row>
    <row r="78" spans="1:8" x14ac:dyDescent="0.35">
      <c r="A78" s="210" t="s">
        <v>611</v>
      </c>
      <c r="B78" s="7" t="s">
        <v>993</v>
      </c>
      <c r="C78" s="249">
        <v>3304725.7724409495</v>
      </c>
      <c r="D78" s="248">
        <v>4725.7724409494549</v>
      </c>
      <c r="E78" s="10">
        <v>200000</v>
      </c>
      <c r="F78" s="10">
        <v>2100000</v>
      </c>
      <c r="G78" s="22">
        <f>20*50000</f>
        <v>1000000</v>
      </c>
      <c r="H78" s="97">
        <v>4725.7724409494549</v>
      </c>
    </row>
    <row r="79" spans="1:8" x14ac:dyDescent="0.35">
      <c r="A79" s="210" t="s">
        <v>620</v>
      </c>
      <c r="B79" s="7" t="s">
        <v>622</v>
      </c>
      <c r="C79" s="249">
        <v>3533080.4070866457</v>
      </c>
      <c r="D79" s="248">
        <v>33080.407086645719</v>
      </c>
      <c r="E79" s="10">
        <v>200000</v>
      </c>
      <c r="F79" s="10">
        <v>2100000</v>
      </c>
      <c r="G79" s="22">
        <f>20*50000</f>
        <v>1000000</v>
      </c>
      <c r="H79" s="97">
        <v>233080.40708664572</v>
      </c>
    </row>
    <row r="80" spans="1:8" x14ac:dyDescent="0.35">
      <c r="A80" s="210" t="s">
        <v>621</v>
      </c>
      <c r="B80" s="7" t="s">
        <v>623</v>
      </c>
      <c r="C80" s="249">
        <v>4230244.9436220769</v>
      </c>
      <c r="D80" s="248">
        <v>30244.943622076884</v>
      </c>
      <c r="E80" s="10">
        <v>200000</v>
      </c>
      <c r="F80" s="10">
        <v>2100000</v>
      </c>
      <c r="G80" s="22">
        <f>20*50000</f>
        <v>1000000</v>
      </c>
      <c r="H80" s="97">
        <v>930244.94362207688</v>
      </c>
    </row>
    <row r="81" spans="1:8" x14ac:dyDescent="0.35">
      <c r="A81" s="210" t="s">
        <v>628</v>
      </c>
      <c r="B81" s="7" t="s">
        <v>629</v>
      </c>
      <c r="C81" s="249">
        <v>20737806.179527596</v>
      </c>
      <c r="D81" s="248">
        <v>37806.179527595639</v>
      </c>
      <c r="E81" s="10">
        <v>200000</v>
      </c>
      <c r="F81" s="10">
        <v>2100000</v>
      </c>
      <c r="G81" s="22">
        <f>100*50000</f>
        <v>5000000</v>
      </c>
      <c r="H81" s="97">
        <v>13437806.179527596</v>
      </c>
    </row>
    <row r="82" spans="1:8" x14ac:dyDescent="0.35">
      <c r="A82" s="210" t="s">
        <v>630</v>
      </c>
      <c r="B82" s="7" t="s">
        <v>631</v>
      </c>
      <c r="C82" s="249">
        <v>5047257.7244094945</v>
      </c>
      <c r="D82" s="248">
        <v>47257.724409494549</v>
      </c>
      <c r="E82" s="10">
        <v>200000</v>
      </c>
      <c r="F82" s="10">
        <v>2100000</v>
      </c>
      <c r="G82" s="22">
        <f>50*50000</f>
        <v>2500000</v>
      </c>
      <c r="H82" s="97">
        <v>247257.72440949455</v>
      </c>
    </row>
    <row r="83" spans="1:8" x14ac:dyDescent="0.35">
      <c r="A83" s="210" t="s">
        <v>661</v>
      </c>
      <c r="B83" s="7" t="s">
        <v>660</v>
      </c>
      <c r="C83" s="249">
        <v>3331190.098110266</v>
      </c>
      <c r="D83" s="248">
        <v>31190.09811026603</v>
      </c>
      <c r="E83" s="10">
        <v>200000</v>
      </c>
      <c r="F83" s="10">
        <v>2100000</v>
      </c>
      <c r="G83" s="22">
        <f>20*50000</f>
        <v>1000000</v>
      </c>
      <c r="H83" s="97">
        <v>31190.09811026603</v>
      </c>
    </row>
    <row r="84" spans="1:8" x14ac:dyDescent="0.35">
      <c r="A84" s="210" t="s">
        <v>662</v>
      </c>
      <c r="B84" s="7" t="s">
        <v>663</v>
      </c>
      <c r="C84" s="249">
        <v>4035915.8705512155</v>
      </c>
      <c r="D84" s="248">
        <v>35915.870551215485</v>
      </c>
      <c r="E84" s="10">
        <v>200000</v>
      </c>
      <c r="F84" s="10">
        <v>2100000</v>
      </c>
      <c r="G84" s="22">
        <f>20*50000</f>
        <v>1000000</v>
      </c>
      <c r="H84" s="97">
        <v>735915.87055121548</v>
      </c>
    </row>
    <row r="85" spans="1:8" x14ac:dyDescent="0.35">
      <c r="A85" s="210" t="s">
        <v>699</v>
      </c>
      <c r="B85" s="7" t="s">
        <v>700</v>
      </c>
      <c r="C85" s="249">
        <v>7500000</v>
      </c>
      <c r="D85" s="248">
        <v>0</v>
      </c>
      <c r="E85" s="10">
        <v>200000</v>
      </c>
      <c r="F85" s="10">
        <v>2100000</v>
      </c>
      <c r="G85" s="22">
        <f>100*50000</f>
        <v>5000000</v>
      </c>
      <c r="H85" s="97">
        <v>200000</v>
      </c>
    </row>
    <row r="86" spans="1:8" x14ac:dyDescent="0.35">
      <c r="A86" s="210" t="s">
        <v>710</v>
      </c>
      <c r="B86" s="7" t="s">
        <v>742</v>
      </c>
      <c r="C86" s="249">
        <v>3400000</v>
      </c>
      <c r="D86" s="248">
        <v>0</v>
      </c>
      <c r="E86" s="10">
        <v>200000</v>
      </c>
      <c r="F86" s="10">
        <v>2100000</v>
      </c>
      <c r="G86" s="22">
        <f t="shared" ref="G86:G92" si="2">20*50000</f>
        <v>1000000</v>
      </c>
      <c r="H86" s="97">
        <v>100000</v>
      </c>
    </row>
    <row r="87" spans="1:8" x14ac:dyDescent="0.35">
      <c r="A87" s="210" t="s">
        <v>714</v>
      </c>
      <c r="B87" s="7" t="s">
        <v>715</v>
      </c>
      <c r="C87" s="249">
        <v>4500000</v>
      </c>
      <c r="D87" s="248">
        <v>0</v>
      </c>
      <c r="E87" s="10">
        <v>200000</v>
      </c>
      <c r="F87" s="10">
        <v>2100000</v>
      </c>
      <c r="G87" s="22">
        <f t="shared" si="2"/>
        <v>1000000</v>
      </c>
      <c r="H87" s="97">
        <v>1200000</v>
      </c>
    </row>
    <row r="88" spans="1:8" x14ac:dyDescent="0.35">
      <c r="A88" s="210" t="s">
        <v>716</v>
      </c>
      <c r="B88" s="7" t="s">
        <v>918</v>
      </c>
      <c r="C88" s="249">
        <v>3400000</v>
      </c>
      <c r="D88" s="248">
        <v>0</v>
      </c>
      <c r="E88" s="10">
        <v>200000</v>
      </c>
      <c r="F88" s="10">
        <v>2100000</v>
      </c>
      <c r="G88" s="22">
        <f t="shared" si="2"/>
        <v>1000000</v>
      </c>
      <c r="H88" s="97">
        <v>100000</v>
      </c>
    </row>
    <row r="89" spans="1:8" x14ac:dyDescent="0.35">
      <c r="A89" s="210" t="s">
        <v>717</v>
      </c>
      <c r="B89" s="7" t="s">
        <v>718</v>
      </c>
      <c r="C89" s="249">
        <v>3300000</v>
      </c>
      <c r="D89" s="248">
        <v>0</v>
      </c>
      <c r="E89" s="10">
        <v>200000</v>
      </c>
      <c r="F89" s="10">
        <v>2100000</v>
      </c>
      <c r="G89" s="22">
        <f t="shared" si="2"/>
        <v>1000000</v>
      </c>
      <c r="H89" s="97">
        <v>0</v>
      </c>
    </row>
    <row r="90" spans="1:8" x14ac:dyDescent="0.35">
      <c r="A90" s="210" t="s">
        <v>719</v>
      </c>
      <c r="B90" s="7" t="s">
        <v>720</v>
      </c>
      <c r="C90" s="249">
        <v>3300000</v>
      </c>
      <c r="D90" s="248">
        <v>0</v>
      </c>
      <c r="E90" s="10">
        <v>200000</v>
      </c>
      <c r="F90" s="10">
        <v>2100000</v>
      </c>
      <c r="G90" s="22">
        <f t="shared" si="2"/>
        <v>1000000</v>
      </c>
      <c r="H90" s="97">
        <v>0</v>
      </c>
    </row>
    <row r="91" spans="1:8" x14ac:dyDescent="0.35">
      <c r="A91" s="210" t="s">
        <v>721</v>
      </c>
      <c r="B91" s="7" t="s">
        <v>722</v>
      </c>
      <c r="C91" s="249">
        <v>3550000</v>
      </c>
      <c r="D91" s="248">
        <v>0</v>
      </c>
      <c r="E91" s="10">
        <v>200000</v>
      </c>
      <c r="F91" s="10">
        <v>2100000</v>
      </c>
      <c r="G91" s="22">
        <f t="shared" si="2"/>
        <v>1000000</v>
      </c>
      <c r="H91" s="97">
        <v>250000</v>
      </c>
    </row>
    <row r="92" spans="1:8" x14ac:dyDescent="0.35">
      <c r="A92" s="210" t="s">
        <v>723</v>
      </c>
      <c r="B92" s="7" t="s">
        <v>724</v>
      </c>
      <c r="C92" s="249">
        <v>3500000</v>
      </c>
      <c r="D92" s="248">
        <v>0</v>
      </c>
      <c r="E92" s="10">
        <v>200000</v>
      </c>
      <c r="F92" s="10">
        <v>2100000</v>
      </c>
      <c r="G92" s="22">
        <f t="shared" si="2"/>
        <v>1000000</v>
      </c>
      <c r="H92" s="97">
        <v>200000</v>
      </c>
    </row>
    <row r="93" spans="1:8" x14ac:dyDescent="0.35">
      <c r="A93" s="210" t="s">
        <v>725</v>
      </c>
      <c r="B93" s="7" t="s">
        <v>726</v>
      </c>
      <c r="C93" s="249">
        <v>13000000</v>
      </c>
      <c r="D93" s="248">
        <v>0</v>
      </c>
      <c r="E93" s="10">
        <v>200000</v>
      </c>
      <c r="F93" s="10">
        <v>2100000</v>
      </c>
      <c r="G93" s="22">
        <f>100*50000</f>
        <v>5000000</v>
      </c>
      <c r="H93" s="97">
        <v>5700000</v>
      </c>
    </row>
    <row r="94" spans="1:8" x14ac:dyDescent="0.35">
      <c r="A94" s="210" t="s">
        <v>727</v>
      </c>
      <c r="B94" s="7" t="s">
        <v>731</v>
      </c>
      <c r="C94" s="249">
        <v>5000000</v>
      </c>
      <c r="D94" s="248">
        <v>0</v>
      </c>
      <c r="E94" s="10">
        <v>200000</v>
      </c>
      <c r="F94" s="10">
        <v>2100000</v>
      </c>
      <c r="G94" s="22">
        <f>50*50000</f>
        <v>2500000</v>
      </c>
      <c r="H94" s="97">
        <v>200000</v>
      </c>
    </row>
    <row r="95" spans="1:8" x14ac:dyDescent="0.35">
      <c r="A95" s="210" t="s">
        <v>739</v>
      </c>
      <c r="B95" s="7" t="s">
        <v>740</v>
      </c>
      <c r="C95" s="249">
        <v>4000000</v>
      </c>
      <c r="D95" s="248">
        <v>0</v>
      </c>
      <c r="E95" s="10">
        <v>200000</v>
      </c>
      <c r="F95" s="10">
        <v>2100000</v>
      </c>
      <c r="G95" s="22">
        <f t="shared" ref="G95:G109" si="3">20*50000</f>
        <v>1000000</v>
      </c>
      <c r="H95" s="97">
        <v>700000</v>
      </c>
    </row>
    <row r="96" spans="1:8" x14ac:dyDescent="0.35">
      <c r="A96" s="210" t="s">
        <v>749</v>
      </c>
      <c r="B96" s="7" t="s">
        <v>750</v>
      </c>
      <c r="C96" s="249">
        <v>3300000</v>
      </c>
      <c r="D96" s="248">
        <v>0</v>
      </c>
      <c r="E96" s="10">
        <v>200000</v>
      </c>
      <c r="F96" s="10">
        <v>2100000</v>
      </c>
      <c r="G96" s="22">
        <f t="shared" si="3"/>
        <v>1000000</v>
      </c>
      <c r="H96" s="97">
        <v>0</v>
      </c>
    </row>
    <row r="97" spans="1:8" x14ac:dyDescent="0.35">
      <c r="A97" s="210" t="s">
        <v>757</v>
      </c>
      <c r="B97" s="7" t="s">
        <v>758</v>
      </c>
      <c r="C97" s="249">
        <v>3300000</v>
      </c>
      <c r="D97" s="248">
        <v>0</v>
      </c>
      <c r="E97" s="10">
        <v>200000</v>
      </c>
      <c r="F97" s="10">
        <v>2100000</v>
      </c>
      <c r="G97" s="22">
        <f t="shared" si="3"/>
        <v>1000000</v>
      </c>
      <c r="H97" s="97">
        <v>0</v>
      </c>
    </row>
    <row r="98" spans="1:8" x14ac:dyDescent="0.35">
      <c r="A98" s="210" t="s">
        <v>762</v>
      </c>
      <c r="B98" s="7" t="s">
        <v>764</v>
      </c>
      <c r="C98" s="249">
        <v>3300000</v>
      </c>
      <c r="D98" s="248">
        <v>0</v>
      </c>
      <c r="E98" s="10">
        <v>200000</v>
      </c>
      <c r="F98" s="10">
        <v>2100000</v>
      </c>
      <c r="G98" s="22">
        <f t="shared" si="3"/>
        <v>1000000</v>
      </c>
      <c r="H98" s="97">
        <v>0</v>
      </c>
    </row>
    <row r="99" spans="1:8" x14ac:dyDescent="0.35">
      <c r="A99" s="210" t="s">
        <v>769</v>
      </c>
      <c r="B99" s="7" t="s">
        <v>770</v>
      </c>
      <c r="C99" s="249">
        <v>4300000</v>
      </c>
      <c r="D99" s="248">
        <v>0</v>
      </c>
      <c r="E99" s="10">
        <v>200000</v>
      </c>
      <c r="F99" s="10">
        <v>2100000</v>
      </c>
      <c r="G99" s="22">
        <f t="shared" si="3"/>
        <v>1000000</v>
      </c>
      <c r="H99" s="97">
        <v>1000000</v>
      </c>
    </row>
    <row r="100" spans="1:8" x14ac:dyDescent="0.35">
      <c r="A100" s="210" t="s">
        <v>772</v>
      </c>
      <c r="B100" s="7" t="s">
        <v>773</v>
      </c>
      <c r="C100" s="249">
        <v>3500000</v>
      </c>
      <c r="D100" s="248">
        <v>0</v>
      </c>
      <c r="E100" s="10">
        <v>200000</v>
      </c>
      <c r="F100" s="10">
        <v>2100000</v>
      </c>
      <c r="G100" s="22">
        <f t="shared" si="3"/>
        <v>1000000</v>
      </c>
      <c r="H100" s="97">
        <v>200000</v>
      </c>
    </row>
    <row r="101" spans="1:8" x14ac:dyDescent="0.35">
      <c r="A101" s="210" t="s">
        <v>776</v>
      </c>
      <c r="B101" s="7" t="s">
        <v>777</v>
      </c>
      <c r="C101" s="249">
        <v>3300000</v>
      </c>
      <c r="D101" s="248">
        <v>0</v>
      </c>
      <c r="E101" s="10">
        <v>200000</v>
      </c>
      <c r="F101" s="10">
        <v>2100000</v>
      </c>
      <c r="G101" s="22">
        <f t="shared" si="3"/>
        <v>1000000</v>
      </c>
      <c r="H101" s="97">
        <v>0</v>
      </c>
    </row>
    <row r="102" spans="1:8" x14ac:dyDescent="0.35">
      <c r="A102" s="210" t="s">
        <v>783</v>
      </c>
      <c r="B102" s="7" t="s">
        <v>784</v>
      </c>
      <c r="C102" s="249">
        <v>4300000</v>
      </c>
      <c r="D102" s="248">
        <v>0</v>
      </c>
      <c r="E102" s="10">
        <v>200000</v>
      </c>
      <c r="F102" s="10">
        <v>2100000</v>
      </c>
      <c r="G102" s="22">
        <f t="shared" si="3"/>
        <v>1000000</v>
      </c>
      <c r="H102" s="97">
        <v>1000000</v>
      </c>
    </row>
    <row r="103" spans="1:8" x14ac:dyDescent="0.35">
      <c r="A103" s="210" t="s">
        <v>850</v>
      </c>
      <c r="B103" s="7" t="s">
        <v>986</v>
      </c>
      <c r="C103" s="249">
        <v>4300000</v>
      </c>
      <c r="D103" s="248">
        <v>0</v>
      </c>
      <c r="E103" s="10">
        <v>200000</v>
      </c>
      <c r="F103" s="10">
        <v>2100000</v>
      </c>
      <c r="G103" s="22">
        <f t="shared" si="3"/>
        <v>1000000</v>
      </c>
      <c r="H103" s="97">
        <v>1000000</v>
      </c>
    </row>
    <row r="104" spans="1:8" x14ac:dyDescent="0.35">
      <c r="A104" s="210" t="s">
        <v>868</v>
      </c>
      <c r="B104" s="7" t="s">
        <v>869</v>
      </c>
      <c r="C104" s="249">
        <v>3600000</v>
      </c>
      <c r="D104" s="248">
        <v>0</v>
      </c>
      <c r="E104" s="10">
        <v>200000</v>
      </c>
      <c r="F104" s="10">
        <v>2100000</v>
      </c>
      <c r="G104" s="22">
        <f t="shared" si="3"/>
        <v>1000000</v>
      </c>
      <c r="H104" s="97">
        <v>300000</v>
      </c>
    </row>
    <row r="105" spans="1:8" x14ac:dyDescent="0.35">
      <c r="A105" s="210" t="s">
        <v>872</v>
      </c>
      <c r="B105" s="7" t="s">
        <v>871</v>
      </c>
      <c r="C105" s="249">
        <v>3300000</v>
      </c>
      <c r="D105" s="248">
        <v>0</v>
      </c>
      <c r="E105" s="10">
        <v>200000</v>
      </c>
      <c r="F105" s="10">
        <v>2100000</v>
      </c>
      <c r="G105" s="22">
        <f t="shared" si="3"/>
        <v>1000000</v>
      </c>
      <c r="H105" s="97">
        <v>0</v>
      </c>
    </row>
    <row r="106" spans="1:8" x14ac:dyDescent="0.35">
      <c r="A106" s="210" t="s">
        <v>879</v>
      </c>
      <c r="B106" s="7" t="s">
        <v>878</v>
      </c>
      <c r="C106" s="249">
        <v>3300000</v>
      </c>
      <c r="D106" s="248">
        <v>0</v>
      </c>
      <c r="E106" s="10">
        <v>200000</v>
      </c>
      <c r="F106" s="10">
        <v>2100000</v>
      </c>
      <c r="G106" s="22">
        <f t="shared" si="3"/>
        <v>1000000</v>
      </c>
      <c r="H106" s="97">
        <v>0</v>
      </c>
    </row>
    <row r="107" spans="1:8" x14ac:dyDescent="0.35">
      <c r="A107" s="210" t="s">
        <v>881</v>
      </c>
      <c r="B107" s="7" t="s">
        <v>880</v>
      </c>
      <c r="C107" s="249">
        <v>3300000</v>
      </c>
      <c r="D107" s="248">
        <v>0</v>
      </c>
      <c r="E107" s="10">
        <v>200000</v>
      </c>
      <c r="F107" s="10">
        <v>2100000</v>
      </c>
      <c r="G107" s="22">
        <f t="shared" si="3"/>
        <v>1000000</v>
      </c>
      <c r="H107" s="97">
        <v>0</v>
      </c>
    </row>
    <row r="108" spans="1:8" x14ac:dyDescent="0.35">
      <c r="A108" s="210" t="s">
        <v>882</v>
      </c>
      <c r="B108" s="7" t="s">
        <v>884</v>
      </c>
      <c r="C108" s="249">
        <v>3300000</v>
      </c>
      <c r="D108" s="248">
        <v>0</v>
      </c>
      <c r="E108" s="10">
        <v>200000</v>
      </c>
      <c r="F108" s="10">
        <v>2100000</v>
      </c>
      <c r="G108" s="22">
        <f t="shared" si="3"/>
        <v>1000000</v>
      </c>
      <c r="H108" s="97">
        <v>0</v>
      </c>
    </row>
    <row r="109" spans="1:8" x14ac:dyDescent="0.35">
      <c r="A109" s="210" t="s">
        <v>883</v>
      </c>
      <c r="B109" s="7" t="s">
        <v>885</v>
      </c>
      <c r="C109" s="249">
        <v>3300000</v>
      </c>
      <c r="D109" s="248">
        <v>0</v>
      </c>
      <c r="E109" s="10">
        <v>200000</v>
      </c>
      <c r="F109" s="10">
        <v>2100000</v>
      </c>
      <c r="G109" s="22">
        <f t="shared" si="3"/>
        <v>1000000</v>
      </c>
      <c r="H109" s="97">
        <v>0</v>
      </c>
    </row>
    <row r="110" spans="1:8" x14ac:dyDescent="0.35">
      <c r="A110" s="210" t="s">
        <v>901</v>
      </c>
      <c r="B110" s="7" t="s">
        <v>902</v>
      </c>
      <c r="C110" s="249">
        <v>5000000</v>
      </c>
      <c r="D110" s="248">
        <v>0</v>
      </c>
      <c r="E110" s="10">
        <v>200000</v>
      </c>
      <c r="F110" s="10">
        <v>2100000</v>
      </c>
      <c r="G110" s="22">
        <f>50*50000</f>
        <v>2500000</v>
      </c>
      <c r="H110" s="97">
        <v>200000</v>
      </c>
    </row>
    <row r="111" spans="1:8" x14ac:dyDescent="0.35">
      <c r="A111" s="210" t="s">
        <v>910</v>
      </c>
      <c r="B111" s="7" t="s">
        <v>911</v>
      </c>
      <c r="C111" s="249">
        <v>5000000</v>
      </c>
      <c r="D111" s="248">
        <v>0</v>
      </c>
      <c r="E111" s="10">
        <v>200000</v>
      </c>
      <c r="F111" s="10">
        <v>2100000</v>
      </c>
      <c r="G111" s="22">
        <f>50*50000</f>
        <v>2500000</v>
      </c>
      <c r="H111" s="97">
        <v>200000</v>
      </c>
    </row>
    <row r="112" spans="1:8" x14ac:dyDescent="0.35">
      <c r="A112" s="210" t="s">
        <v>912</v>
      </c>
      <c r="B112" s="7" t="s">
        <v>914</v>
      </c>
      <c r="C112" s="249">
        <v>10000000</v>
      </c>
      <c r="D112" s="248">
        <v>0</v>
      </c>
      <c r="E112" s="10">
        <v>200000</v>
      </c>
      <c r="F112" s="10">
        <v>2100000</v>
      </c>
      <c r="G112" s="22">
        <f>100*50000</f>
        <v>5000000</v>
      </c>
      <c r="H112" s="97">
        <v>2700000</v>
      </c>
    </row>
    <row r="113" spans="1:8" x14ac:dyDescent="0.35">
      <c r="A113" s="210" t="s">
        <v>913</v>
      </c>
      <c r="B113" s="7" t="s">
        <v>915</v>
      </c>
      <c r="C113" s="249">
        <v>3600000</v>
      </c>
      <c r="D113" s="248">
        <v>0</v>
      </c>
      <c r="E113" s="10">
        <v>200000</v>
      </c>
      <c r="F113" s="10">
        <v>2100000</v>
      </c>
      <c r="G113" s="22">
        <f>20*50000</f>
        <v>1000000</v>
      </c>
      <c r="H113" s="97">
        <v>300000</v>
      </c>
    </row>
    <row r="114" spans="1:8" x14ac:dyDescent="0.35">
      <c r="A114" s="210" t="s">
        <v>916</v>
      </c>
      <c r="B114" s="7" t="s">
        <v>917</v>
      </c>
      <c r="C114" s="249">
        <v>7000000</v>
      </c>
      <c r="D114" s="248">
        <v>0</v>
      </c>
      <c r="E114" s="10">
        <v>200000</v>
      </c>
      <c r="F114" s="10">
        <v>2100000</v>
      </c>
      <c r="G114" s="22">
        <f>50*50000</f>
        <v>2500000</v>
      </c>
      <c r="H114" s="97">
        <v>2200000</v>
      </c>
    </row>
    <row r="115" spans="1:8" x14ac:dyDescent="0.35">
      <c r="A115" s="210" t="s">
        <v>920</v>
      </c>
      <c r="B115" s="7" t="s">
        <v>921</v>
      </c>
      <c r="C115" s="249">
        <v>3400000</v>
      </c>
      <c r="D115" s="248">
        <v>0</v>
      </c>
      <c r="E115" s="10">
        <v>200000</v>
      </c>
      <c r="F115" s="10">
        <v>2100000</v>
      </c>
      <c r="G115" s="22">
        <f>20*50000</f>
        <v>1000000</v>
      </c>
      <c r="H115" s="97">
        <v>100000</v>
      </c>
    </row>
    <row r="116" spans="1:8" x14ac:dyDescent="0.35">
      <c r="A116" s="210" t="s">
        <v>923</v>
      </c>
      <c r="B116" s="7" t="s">
        <v>924</v>
      </c>
      <c r="C116" s="249">
        <v>3300000</v>
      </c>
      <c r="D116" s="248">
        <v>0</v>
      </c>
      <c r="E116" s="10">
        <v>200000</v>
      </c>
      <c r="F116" s="10">
        <v>2100000</v>
      </c>
      <c r="G116" s="22">
        <f>20*50000</f>
        <v>1000000</v>
      </c>
      <c r="H116" s="97">
        <v>0</v>
      </c>
    </row>
    <row r="117" spans="1:8" x14ac:dyDescent="0.35">
      <c r="A117" s="210" t="s">
        <v>926</v>
      </c>
      <c r="B117" s="7" t="s">
        <v>929</v>
      </c>
      <c r="C117" s="249">
        <v>3400000</v>
      </c>
      <c r="D117" s="248">
        <v>0</v>
      </c>
      <c r="E117" s="10">
        <v>200000</v>
      </c>
      <c r="F117" s="10">
        <v>2100000</v>
      </c>
      <c r="G117" s="22">
        <f>20*50000</f>
        <v>1000000</v>
      </c>
      <c r="H117" s="97">
        <v>100000</v>
      </c>
    </row>
    <row r="118" spans="1:8" x14ac:dyDescent="0.35">
      <c r="A118" s="210" t="s">
        <v>927</v>
      </c>
      <c r="B118" s="7" t="s">
        <v>928</v>
      </c>
      <c r="C118" s="249">
        <v>3200000</v>
      </c>
      <c r="D118" s="248">
        <v>0</v>
      </c>
      <c r="E118" s="10">
        <v>200000</v>
      </c>
      <c r="F118" s="10">
        <v>2000000</v>
      </c>
      <c r="G118" s="22">
        <f>20*50000</f>
        <v>1000000</v>
      </c>
      <c r="H118" s="97">
        <v>0</v>
      </c>
    </row>
    <row r="119" spans="1:8" x14ac:dyDescent="0.35">
      <c r="A119" s="210" t="s">
        <v>930</v>
      </c>
      <c r="B119" s="7" t="s">
        <v>931</v>
      </c>
      <c r="C119" s="249">
        <v>5000000</v>
      </c>
      <c r="D119" s="248">
        <v>0</v>
      </c>
      <c r="E119" s="10">
        <v>200000</v>
      </c>
      <c r="F119" s="10">
        <v>2100000</v>
      </c>
      <c r="G119" s="22">
        <f>50*50000</f>
        <v>2500000</v>
      </c>
      <c r="H119" s="97">
        <v>200000</v>
      </c>
    </row>
    <row r="120" spans="1:8" x14ac:dyDescent="0.35">
      <c r="A120" s="210" t="s">
        <v>933</v>
      </c>
      <c r="B120" s="7" t="s">
        <v>934</v>
      </c>
      <c r="C120" s="249">
        <v>3502295</v>
      </c>
      <c r="D120" s="248">
        <v>0</v>
      </c>
      <c r="E120" s="10">
        <v>200000</v>
      </c>
      <c r="F120" s="10">
        <v>2100000</v>
      </c>
      <c r="G120" s="22">
        <f t="shared" ref="G120:G136" si="4">20*50000</f>
        <v>1000000</v>
      </c>
      <c r="H120" s="97">
        <v>202295</v>
      </c>
    </row>
    <row r="121" spans="1:8" x14ac:dyDescent="0.35">
      <c r="A121" s="210" t="s">
        <v>935</v>
      </c>
      <c r="B121" s="7" t="s">
        <v>936</v>
      </c>
      <c r="C121" s="249">
        <v>3400000</v>
      </c>
      <c r="D121" s="248">
        <v>0</v>
      </c>
      <c r="E121" s="10">
        <v>200000</v>
      </c>
      <c r="F121" s="10">
        <v>2100000</v>
      </c>
      <c r="G121" s="22">
        <f t="shared" si="4"/>
        <v>1000000</v>
      </c>
      <c r="H121" s="97">
        <v>100000</v>
      </c>
    </row>
    <row r="122" spans="1:8" x14ac:dyDescent="0.35">
      <c r="A122" s="210" t="s">
        <v>949</v>
      </c>
      <c r="B122" s="7" t="s">
        <v>948</v>
      </c>
      <c r="C122" s="249">
        <v>3500000</v>
      </c>
      <c r="D122" s="248">
        <v>0</v>
      </c>
      <c r="E122" s="10">
        <v>200000</v>
      </c>
      <c r="F122" s="10">
        <v>2100000</v>
      </c>
      <c r="G122" s="22">
        <f t="shared" si="4"/>
        <v>1000000</v>
      </c>
      <c r="H122" s="97">
        <v>200000</v>
      </c>
    </row>
    <row r="123" spans="1:8" x14ac:dyDescent="0.35">
      <c r="A123" s="210" t="s">
        <v>950</v>
      </c>
      <c r="B123" s="7" t="s">
        <v>985</v>
      </c>
      <c r="C123" s="249">
        <v>3300000</v>
      </c>
      <c r="D123" s="248">
        <v>0</v>
      </c>
      <c r="E123" s="10">
        <v>200000</v>
      </c>
      <c r="F123" s="10">
        <v>2100000</v>
      </c>
      <c r="G123" s="22">
        <f t="shared" si="4"/>
        <v>1000000</v>
      </c>
      <c r="H123" s="97">
        <v>0</v>
      </c>
    </row>
    <row r="124" spans="1:8" x14ac:dyDescent="0.35">
      <c r="A124" s="210" t="s">
        <v>952</v>
      </c>
      <c r="B124" s="7" t="s">
        <v>951</v>
      </c>
      <c r="C124" s="249">
        <v>3300000</v>
      </c>
      <c r="D124" s="248">
        <v>0</v>
      </c>
      <c r="E124" s="10">
        <v>200000</v>
      </c>
      <c r="F124" s="10">
        <v>2100000</v>
      </c>
      <c r="G124" s="22">
        <f t="shared" si="4"/>
        <v>1000000</v>
      </c>
      <c r="H124" s="97">
        <v>0</v>
      </c>
    </row>
    <row r="125" spans="1:8" x14ac:dyDescent="0.35">
      <c r="A125" s="210" t="s">
        <v>953</v>
      </c>
      <c r="B125" s="7" t="s">
        <v>988</v>
      </c>
      <c r="C125" s="249">
        <v>3300000</v>
      </c>
      <c r="D125" s="248">
        <v>0</v>
      </c>
      <c r="E125" s="10">
        <v>200000</v>
      </c>
      <c r="F125" s="10">
        <v>2100000</v>
      </c>
      <c r="G125" s="22">
        <f t="shared" si="4"/>
        <v>1000000</v>
      </c>
      <c r="H125" s="97">
        <v>0</v>
      </c>
    </row>
    <row r="126" spans="1:8" x14ac:dyDescent="0.35">
      <c r="A126" s="210" t="s">
        <v>954</v>
      </c>
      <c r="B126" s="7" t="s">
        <v>956</v>
      </c>
      <c r="C126" s="249">
        <v>3500000</v>
      </c>
      <c r="D126" s="248">
        <v>0</v>
      </c>
      <c r="E126" s="10">
        <v>200000</v>
      </c>
      <c r="F126" s="10">
        <v>2100000</v>
      </c>
      <c r="G126" s="22">
        <f t="shared" si="4"/>
        <v>1000000</v>
      </c>
      <c r="H126" s="97">
        <v>200000</v>
      </c>
    </row>
    <row r="127" spans="1:8" x14ac:dyDescent="0.35">
      <c r="A127" s="210" t="s">
        <v>955</v>
      </c>
      <c r="B127" s="7" t="s">
        <v>957</v>
      </c>
      <c r="C127" s="249">
        <v>3600000</v>
      </c>
      <c r="D127" s="248">
        <v>0</v>
      </c>
      <c r="E127" s="10">
        <v>200000</v>
      </c>
      <c r="F127" s="10">
        <v>2100000</v>
      </c>
      <c r="G127" s="22">
        <f t="shared" si="4"/>
        <v>1000000</v>
      </c>
      <c r="H127" s="97">
        <v>300000</v>
      </c>
    </row>
    <row r="128" spans="1:8" x14ac:dyDescent="0.35">
      <c r="A128" s="210" t="s">
        <v>964</v>
      </c>
      <c r="B128" s="7" t="s">
        <v>968</v>
      </c>
      <c r="C128" s="249">
        <v>3300000</v>
      </c>
      <c r="D128" s="248">
        <v>0</v>
      </c>
      <c r="E128" s="10">
        <v>200000</v>
      </c>
      <c r="F128" s="10">
        <v>2100000</v>
      </c>
      <c r="G128" s="22">
        <f t="shared" si="4"/>
        <v>1000000</v>
      </c>
      <c r="H128" s="97">
        <v>0</v>
      </c>
    </row>
    <row r="129" spans="1:8" x14ac:dyDescent="0.35">
      <c r="A129" s="210" t="s">
        <v>965</v>
      </c>
      <c r="B129" s="7" t="s">
        <v>969</v>
      </c>
      <c r="C129" s="249">
        <v>3300000</v>
      </c>
      <c r="D129" s="248">
        <v>0</v>
      </c>
      <c r="E129" s="10">
        <v>200000</v>
      </c>
      <c r="F129" s="10">
        <v>2100000</v>
      </c>
      <c r="G129" s="22">
        <f t="shared" si="4"/>
        <v>1000000</v>
      </c>
      <c r="H129" s="97">
        <v>0</v>
      </c>
    </row>
    <row r="130" spans="1:8" x14ac:dyDescent="0.35">
      <c r="A130" s="210" t="s">
        <v>966</v>
      </c>
      <c r="B130" s="7" t="s">
        <v>970</v>
      </c>
      <c r="C130" s="249">
        <v>3300000</v>
      </c>
      <c r="D130" s="248">
        <v>0</v>
      </c>
      <c r="E130" s="10">
        <v>200000</v>
      </c>
      <c r="F130" s="10">
        <v>2100000</v>
      </c>
      <c r="G130" s="22">
        <f t="shared" si="4"/>
        <v>1000000</v>
      </c>
      <c r="H130" s="97">
        <v>0</v>
      </c>
    </row>
    <row r="131" spans="1:8" x14ac:dyDescent="0.35">
      <c r="A131" s="210" t="s">
        <v>967</v>
      </c>
      <c r="B131" s="7" t="s">
        <v>971</v>
      </c>
      <c r="C131" s="249">
        <v>3500000</v>
      </c>
      <c r="D131" s="248">
        <v>0</v>
      </c>
      <c r="E131" s="10">
        <v>200000</v>
      </c>
      <c r="F131" s="10">
        <v>2100000</v>
      </c>
      <c r="G131" s="22">
        <f t="shared" si="4"/>
        <v>1000000</v>
      </c>
      <c r="H131" s="97">
        <v>200000</v>
      </c>
    </row>
    <row r="132" spans="1:8" x14ac:dyDescent="0.35">
      <c r="A132" s="210" t="s">
        <v>972</v>
      </c>
      <c r="B132" s="7" t="s">
        <v>1014</v>
      </c>
      <c r="C132" s="249">
        <v>3300000</v>
      </c>
      <c r="D132" s="248">
        <v>0</v>
      </c>
      <c r="E132" s="10">
        <v>200000</v>
      </c>
      <c r="F132" s="10">
        <v>2100000</v>
      </c>
      <c r="G132" s="22">
        <f t="shared" si="4"/>
        <v>1000000</v>
      </c>
      <c r="H132" s="97">
        <v>0</v>
      </c>
    </row>
    <row r="133" spans="1:8" x14ac:dyDescent="0.35">
      <c r="A133" s="210" t="s">
        <v>973</v>
      </c>
      <c r="B133" s="7" t="s">
        <v>983</v>
      </c>
      <c r="C133" s="249">
        <v>3300000</v>
      </c>
      <c r="D133" s="248">
        <v>0</v>
      </c>
      <c r="E133" s="10">
        <v>200000</v>
      </c>
      <c r="F133" s="10">
        <v>2100000</v>
      </c>
      <c r="G133" s="22">
        <f t="shared" si="4"/>
        <v>1000000</v>
      </c>
      <c r="H133" s="97">
        <v>0</v>
      </c>
    </row>
    <row r="134" spans="1:8" x14ac:dyDescent="0.35">
      <c r="A134" s="210" t="s">
        <v>977</v>
      </c>
      <c r="B134" s="7" t="s">
        <v>980</v>
      </c>
      <c r="C134" s="249">
        <v>3300000</v>
      </c>
      <c r="D134" s="248">
        <v>0</v>
      </c>
      <c r="E134" s="10">
        <v>200000</v>
      </c>
      <c r="F134" s="10">
        <v>2100000</v>
      </c>
      <c r="G134" s="22">
        <f t="shared" si="4"/>
        <v>1000000</v>
      </c>
      <c r="H134" s="97">
        <v>0</v>
      </c>
    </row>
    <row r="135" spans="1:8" x14ac:dyDescent="0.35">
      <c r="A135" s="210" t="s">
        <v>978</v>
      </c>
      <c r="B135" s="7" t="s">
        <v>989</v>
      </c>
      <c r="C135" s="249">
        <v>3300000</v>
      </c>
      <c r="D135" s="248">
        <v>0</v>
      </c>
      <c r="E135" s="10">
        <v>200000</v>
      </c>
      <c r="F135" s="10">
        <v>2100000</v>
      </c>
      <c r="G135" s="22">
        <f t="shared" si="4"/>
        <v>1000000</v>
      </c>
      <c r="H135" s="97">
        <v>0</v>
      </c>
    </row>
    <row r="136" spans="1:8" x14ac:dyDescent="0.35">
      <c r="A136" s="210" t="s">
        <v>979</v>
      </c>
      <c r="B136" s="7" t="s">
        <v>992</v>
      </c>
      <c r="C136" s="249">
        <v>3300000</v>
      </c>
      <c r="D136" s="248">
        <v>0</v>
      </c>
      <c r="E136" s="10">
        <v>200000</v>
      </c>
      <c r="F136" s="10">
        <v>2100000</v>
      </c>
      <c r="G136" s="22">
        <f t="shared" si="4"/>
        <v>1000000</v>
      </c>
      <c r="H136" s="97">
        <v>0</v>
      </c>
    </row>
    <row r="137" spans="1:8" x14ac:dyDescent="0.35">
      <c r="A137" s="2"/>
      <c r="B137" s="2"/>
      <c r="C137" s="130">
        <f>SUM(C4:C136)</f>
        <v>1094463772.9944062</v>
      </c>
      <c r="D137" s="130">
        <f t="shared" ref="D137:H137" si="5">SUM(D4:D136)</f>
        <v>22485996.994405948</v>
      </c>
      <c r="E137" s="130">
        <f t="shared" si="5"/>
        <v>26600000</v>
      </c>
      <c r="F137" s="130">
        <f t="shared" si="5"/>
        <v>279200000</v>
      </c>
      <c r="G137" s="130">
        <f>SUM(G4:G136)</f>
        <v>313500000</v>
      </c>
      <c r="H137" s="130">
        <f t="shared" si="5"/>
        <v>475163772.99440593</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9DD63-E572-423D-85F4-47B4CB990886}">
  <dimension ref="A1:AM170"/>
  <sheetViews>
    <sheetView topLeftCell="G132" workbookViewId="0">
      <selection activeCell="N16" sqref="N16"/>
    </sheetView>
  </sheetViews>
  <sheetFormatPr defaultColWidth="8.81640625" defaultRowHeight="14.5" x14ac:dyDescent="0.35"/>
  <cols>
    <col min="1" max="1" width="27.54296875" bestFit="1" customWidth="1"/>
    <col min="2" max="2" width="31.7265625" bestFit="1" customWidth="1"/>
    <col min="3" max="3" width="12.1796875" style="619" bestFit="1" customWidth="1"/>
    <col min="4" max="4" width="8.54296875" style="526" bestFit="1" customWidth="1"/>
    <col min="5" max="5" width="6.7265625" style="526" customWidth="1"/>
    <col min="6" max="6" width="9.08984375" style="526" bestFit="1" customWidth="1"/>
    <col min="7" max="7" width="7.08984375" style="526" customWidth="1"/>
    <col min="8" max="8" width="6.453125" style="526" bestFit="1" customWidth="1"/>
    <col min="9" max="9" width="6.54296875" style="526" customWidth="1"/>
    <col min="10" max="10" width="6.08984375" style="526" customWidth="1"/>
    <col min="11" max="11" width="6.453125" style="526" customWidth="1"/>
    <col min="12" max="12" width="7.6328125" style="526" customWidth="1"/>
    <col min="13" max="13" width="6.1796875" style="526" customWidth="1"/>
    <col min="14" max="14" width="9.08984375" style="646" bestFit="1" customWidth="1"/>
    <col min="15" max="15" width="12.08984375" bestFit="1" customWidth="1"/>
    <col min="16" max="16" width="1.81640625" bestFit="1" customWidth="1"/>
    <col min="17" max="20" width="14.453125" customWidth="1"/>
    <col min="36" max="37" width="5.54296875" bestFit="1" customWidth="1"/>
    <col min="39" max="39" width="5.54296875" bestFit="1" customWidth="1"/>
    <col min="16354" max="16384" width="12.81640625" customWidth="1"/>
  </cols>
  <sheetData>
    <row r="1" spans="1:39" ht="24" thickBot="1" x14ac:dyDescent="0.6">
      <c r="A1" s="609"/>
      <c r="B1" s="609"/>
      <c r="C1" s="610"/>
    </row>
    <row r="2" spans="1:39" ht="24.5" x14ac:dyDescent="0.35">
      <c r="A2" s="611" t="s">
        <v>190</v>
      </c>
      <c r="B2" s="612" t="s">
        <v>221</v>
      </c>
      <c r="C2" s="613" t="s">
        <v>137</v>
      </c>
      <c r="D2" s="647" t="s">
        <v>375</v>
      </c>
      <c r="E2" s="647" t="s">
        <v>376</v>
      </c>
      <c r="F2" s="647" t="s">
        <v>377</v>
      </c>
      <c r="G2" s="647" t="s">
        <v>378</v>
      </c>
      <c r="H2" s="647" t="s">
        <v>379</v>
      </c>
      <c r="I2" s="647" t="s">
        <v>380</v>
      </c>
      <c r="J2" s="647" t="s">
        <v>381</v>
      </c>
      <c r="K2" s="647" t="s">
        <v>1064</v>
      </c>
      <c r="L2" s="647" t="s">
        <v>1065</v>
      </c>
      <c r="M2" s="647" t="s">
        <v>1066</v>
      </c>
      <c r="N2" s="647" t="s">
        <v>163</v>
      </c>
    </row>
    <row r="3" spans="1:39" ht="14.5" customHeight="1" x14ac:dyDescent="0.4">
      <c r="A3" s="614" t="str">
        <f>'[2]DETAILS (sorted)'!A41</f>
        <v>ILS24-F00039</v>
      </c>
      <c r="B3" s="615" t="str">
        <f>'[2]DETAILS (sorted)'!B41</f>
        <v>Abdillahi Moshi</v>
      </c>
      <c r="C3" s="616"/>
      <c r="D3" s="648"/>
      <c r="E3" s="648"/>
      <c r="F3" s="648"/>
      <c r="G3" s="648"/>
      <c r="H3" s="648">
        <v>15000</v>
      </c>
      <c r="I3" s="648"/>
      <c r="J3" s="648"/>
      <c r="K3" s="648"/>
      <c r="L3" s="648"/>
      <c r="M3" s="648"/>
      <c r="N3" s="649">
        <f t="shared" ref="N3:N34" si="0">SUM(D3:M3)</f>
        <v>15000</v>
      </c>
      <c r="O3" s="617"/>
      <c r="P3" s="617"/>
      <c r="Q3" s="617"/>
      <c r="R3" s="617"/>
      <c r="S3" s="617"/>
      <c r="T3" s="617"/>
      <c r="U3" s="617"/>
      <c r="V3" s="617"/>
      <c r="W3" s="617"/>
      <c r="X3" s="617"/>
      <c r="Y3" s="617"/>
      <c r="Z3" s="617"/>
      <c r="AA3" s="617"/>
      <c r="AB3" s="617"/>
      <c r="AC3" s="617"/>
      <c r="AD3" s="617"/>
      <c r="AE3" s="617"/>
      <c r="AF3" s="617"/>
      <c r="AG3" s="617"/>
      <c r="AH3" s="617"/>
      <c r="AI3" s="617"/>
      <c r="AJ3" s="617"/>
      <c r="AK3" s="617"/>
      <c r="AL3" s="617"/>
      <c r="AM3" s="617"/>
    </row>
    <row r="4" spans="1:39" ht="14.5" customHeight="1" x14ac:dyDescent="0.4">
      <c r="A4" s="614" t="str">
        <f>'[2]DETAILS (sorted)'!A46</f>
        <v>ILS24-F00044</v>
      </c>
      <c r="B4" s="615" t="str">
        <f>'[2]DETAILS (sorted)'!B46</f>
        <v>Abduel Kitururu</v>
      </c>
      <c r="C4" s="616"/>
      <c r="D4" s="648"/>
      <c r="E4" s="648"/>
      <c r="F4" s="648">
        <v>15000</v>
      </c>
      <c r="G4" s="648">
        <v>15000</v>
      </c>
      <c r="H4" s="648"/>
      <c r="I4" s="648"/>
      <c r="J4" s="648"/>
      <c r="K4" s="648"/>
      <c r="L4" s="648"/>
      <c r="M4" s="648"/>
      <c r="N4" s="649">
        <f t="shared" si="0"/>
        <v>30000</v>
      </c>
      <c r="O4" s="617"/>
      <c r="P4" s="617"/>
      <c r="Q4" s="617"/>
      <c r="R4" s="617"/>
      <c r="S4" s="617"/>
      <c r="T4" s="617"/>
      <c r="U4" s="617"/>
      <c r="V4" s="617"/>
      <c r="W4" s="617"/>
      <c r="X4" s="617"/>
      <c r="Y4" s="617"/>
      <c r="Z4" s="617"/>
      <c r="AA4" s="617"/>
      <c r="AB4" s="617"/>
      <c r="AC4" s="617"/>
      <c r="AD4" s="617"/>
      <c r="AE4" s="617"/>
      <c r="AF4" s="617"/>
      <c r="AG4" s="617"/>
      <c r="AH4" s="617"/>
      <c r="AI4" s="617"/>
      <c r="AJ4" s="617"/>
      <c r="AK4" s="617"/>
      <c r="AL4" s="617"/>
      <c r="AM4" s="617"/>
    </row>
    <row r="5" spans="1:39" ht="14.5" customHeight="1" x14ac:dyDescent="0.4">
      <c r="A5" s="614" t="str">
        <f>'[2]DETAILS (sorted)'!A36</f>
        <v>ILS24-F00034</v>
      </c>
      <c r="B5" s="615" t="str">
        <f>'[2]DETAILS (sorted)'!B36</f>
        <v>Abraham Alex Assenga</v>
      </c>
      <c r="C5" s="616"/>
      <c r="D5" s="648"/>
      <c r="E5" s="648"/>
      <c r="F5" s="648"/>
      <c r="G5" s="648"/>
      <c r="H5" s="648"/>
      <c r="I5" s="648"/>
      <c r="J5" s="648"/>
      <c r="K5" s="648"/>
      <c r="L5" s="648"/>
      <c r="M5" s="648"/>
      <c r="N5" s="649">
        <f t="shared" si="0"/>
        <v>0</v>
      </c>
      <c r="O5" s="617"/>
      <c r="P5" s="617"/>
      <c r="Q5" s="617"/>
      <c r="R5" s="617"/>
      <c r="S5" s="617"/>
      <c r="T5" s="617"/>
      <c r="U5" s="617"/>
      <c r="V5" s="617"/>
      <c r="W5" s="617"/>
      <c r="X5" s="617"/>
      <c r="Y5" s="617"/>
      <c r="Z5" s="617"/>
      <c r="AA5" s="617"/>
      <c r="AB5" s="617"/>
      <c r="AC5" s="617"/>
      <c r="AD5" s="617"/>
      <c r="AE5" s="617"/>
      <c r="AF5" s="617"/>
      <c r="AG5" s="617"/>
      <c r="AH5" s="617"/>
      <c r="AI5" s="617"/>
      <c r="AJ5" s="617"/>
      <c r="AK5" s="617"/>
      <c r="AL5" s="617"/>
      <c r="AM5" s="617"/>
    </row>
    <row r="6" spans="1:39" ht="14.5" customHeight="1" x14ac:dyDescent="0.4">
      <c r="A6" s="614" t="str">
        <f>'[2]DETAILS (sorted)'!A92</f>
        <v>ILS24-F00090</v>
      </c>
      <c r="B6" s="615" t="str">
        <f>'[2]DETAILS (sorted)'!B92</f>
        <v>Adam Lyson Mwaipungu</v>
      </c>
      <c r="C6" s="616"/>
      <c r="D6" s="648"/>
      <c r="E6" s="648"/>
      <c r="F6" s="648"/>
      <c r="G6" s="648"/>
      <c r="H6" s="648"/>
      <c r="I6" s="648"/>
      <c r="J6" s="648"/>
      <c r="K6" s="648"/>
      <c r="L6" s="648"/>
      <c r="M6" s="648"/>
      <c r="N6" s="649">
        <f t="shared" si="0"/>
        <v>0</v>
      </c>
      <c r="O6" s="618"/>
      <c r="P6" s="618"/>
      <c r="Q6" s="618"/>
      <c r="R6" s="618"/>
      <c r="S6" s="618"/>
      <c r="T6" s="618"/>
      <c r="U6" s="618"/>
      <c r="V6" s="618"/>
      <c r="W6" s="618"/>
      <c r="X6" s="618"/>
      <c r="Y6" s="618"/>
      <c r="Z6" s="618"/>
      <c r="AA6" s="618"/>
      <c r="AB6" s="618"/>
      <c r="AC6" s="618"/>
      <c r="AD6" s="618"/>
      <c r="AE6" s="618"/>
      <c r="AF6" s="618"/>
      <c r="AG6" s="618"/>
      <c r="AH6" s="618"/>
      <c r="AI6" s="618"/>
      <c r="AJ6" s="618"/>
      <c r="AK6" s="618"/>
      <c r="AL6" s="618"/>
      <c r="AM6" s="618"/>
    </row>
    <row r="7" spans="1:39" ht="14.5" customHeight="1" thickBot="1" x14ac:dyDescent="0.45">
      <c r="A7" s="614" t="str">
        <f>'[2]DETAILS (sorted)'!A44</f>
        <v>ILS24-F00042</v>
      </c>
      <c r="B7" s="615" t="str">
        <f>'[2]DETAILS (sorted)'!B44</f>
        <v xml:space="preserve">Adamu Urassa </v>
      </c>
      <c r="C7" s="616"/>
      <c r="D7" s="648"/>
      <c r="E7" s="648"/>
      <c r="F7" s="648"/>
      <c r="G7" s="648"/>
      <c r="H7" s="648"/>
      <c r="I7" s="648"/>
      <c r="J7" s="648"/>
      <c r="K7" s="648"/>
      <c r="L7" s="648"/>
      <c r="M7" s="648"/>
      <c r="N7" s="649">
        <f t="shared" si="0"/>
        <v>0</v>
      </c>
      <c r="O7" s="619"/>
      <c r="P7" s="619"/>
      <c r="Q7" s="619"/>
      <c r="R7" s="619"/>
      <c r="S7" s="619"/>
      <c r="T7" s="619"/>
      <c r="U7" s="619"/>
      <c r="V7" s="619"/>
      <c r="W7" s="619"/>
      <c r="X7" s="619"/>
      <c r="Y7" s="619"/>
      <c r="Z7" s="619"/>
      <c r="AA7" s="619"/>
      <c r="AB7" s="619"/>
      <c r="AC7" s="619"/>
      <c r="AD7" s="619"/>
      <c r="AE7" s="619"/>
      <c r="AF7" s="619"/>
      <c r="AG7" s="619"/>
      <c r="AH7" s="619"/>
      <c r="AI7" s="619"/>
      <c r="AJ7" s="619"/>
      <c r="AK7" s="619"/>
      <c r="AL7" s="619"/>
      <c r="AM7" s="619"/>
    </row>
    <row r="8" spans="1:39" ht="14.5" customHeight="1" x14ac:dyDescent="0.4">
      <c r="A8" s="620" t="str">
        <f>'[2]DETAILS (sorted)'!A48</f>
        <v>ILS24-F00046</v>
      </c>
      <c r="B8" s="621" t="str">
        <f>'[2]DETAILS (sorted)'!B48</f>
        <v>Adolph William Ndeabura</v>
      </c>
      <c r="C8" s="622"/>
      <c r="D8" s="650">
        <v>15000</v>
      </c>
      <c r="E8" s="650"/>
      <c r="F8" s="650"/>
      <c r="G8" s="650">
        <v>15000</v>
      </c>
      <c r="H8" s="650"/>
      <c r="I8" s="650"/>
      <c r="J8" s="650"/>
      <c r="K8" s="650"/>
      <c r="L8" s="650"/>
      <c r="M8" s="650"/>
      <c r="N8" s="649">
        <f t="shared" si="0"/>
        <v>30000</v>
      </c>
      <c r="O8" s="617"/>
      <c r="P8" s="617"/>
      <c r="Q8" s="617"/>
      <c r="R8" s="617"/>
      <c r="S8" s="617"/>
      <c r="T8" s="617"/>
      <c r="U8" s="617"/>
      <c r="V8" s="617"/>
      <c r="W8" s="617"/>
      <c r="X8" s="617"/>
      <c r="Y8" s="617"/>
      <c r="Z8" s="617"/>
      <c r="AA8" s="617"/>
      <c r="AB8" s="617"/>
      <c r="AC8" s="617"/>
      <c r="AD8" s="617"/>
      <c r="AE8" s="617"/>
      <c r="AF8" s="617"/>
      <c r="AG8" s="617"/>
      <c r="AH8" s="617"/>
      <c r="AI8" s="617"/>
      <c r="AJ8" s="617"/>
      <c r="AK8" s="617"/>
      <c r="AL8" s="617"/>
      <c r="AM8" s="617"/>
    </row>
    <row r="9" spans="1:39" ht="14.5" customHeight="1" x14ac:dyDescent="0.4">
      <c r="A9" s="614" t="str">
        <f>'[2]DETAILS (sorted)'!A131</f>
        <v>ILS24-F00129</v>
      </c>
      <c r="B9" s="615" t="str">
        <f>'[2]DETAILS (sorted)'!B131</f>
        <v>Africa Jumanne Bwamkuu</v>
      </c>
      <c r="C9" s="616"/>
      <c r="D9" s="648"/>
      <c r="E9" s="648"/>
      <c r="F9" s="648"/>
      <c r="G9" s="648"/>
      <c r="H9" s="648"/>
      <c r="I9" s="648"/>
      <c r="J9" s="648"/>
      <c r="K9" s="648"/>
      <c r="L9" s="648"/>
      <c r="M9" s="648"/>
      <c r="N9" s="649">
        <f t="shared" si="0"/>
        <v>0</v>
      </c>
      <c r="O9" s="617"/>
      <c r="P9" s="617"/>
      <c r="Q9" s="617"/>
      <c r="R9" s="617"/>
      <c r="S9" s="617"/>
      <c r="T9" s="617"/>
      <c r="U9" s="617"/>
      <c r="V9" s="617"/>
      <c r="W9" s="617"/>
      <c r="X9" s="617"/>
      <c r="Y9" s="617"/>
      <c r="Z9" s="617"/>
      <c r="AA9" s="617"/>
      <c r="AB9" s="617"/>
      <c r="AC9" s="617"/>
      <c r="AD9" s="617"/>
      <c r="AE9" s="617"/>
      <c r="AF9" s="617"/>
      <c r="AG9" s="617"/>
      <c r="AH9" s="617"/>
      <c r="AI9" s="617"/>
      <c r="AJ9" s="617"/>
      <c r="AK9" s="617"/>
      <c r="AL9" s="617"/>
      <c r="AM9" s="617"/>
    </row>
    <row r="10" spans="1:39" ht="14.5" customHeight="1" x14ac:dyDescent="0.4">
      <c r="A10" s="614" t="str">
        <f>'[2]DETAILS (sorted)'!A64</f>
        <v>ILS24-F00062</v>
      </c>
      <c r="B10" s="615" t="str">
        <f>'[2]DETAILS (sorted)'!B64</f>
        <v xml:space="preserve">Africa Silayo </v>
      </c>
      <c r="C10" s="616"/>
      <c r="D10" s="651"/>
      <c r="E10" s="651"/>
      <c r="F10" s="651"/>
      <c r="G10" s="648"/>
      <c r="H10" s="648"/>
      <c r="I10" s="651"/>
      <c r="J10" s="651"/>
      <c r="K10" s="651"/>
      <c r="L10" s="651"/>
      <c r="M10" s="651"/>
      <c r="N10" s="649">
        <f t="shared" si="0"/>
        <v>0</v>
      </c>
      <c r="O10" s="617"/>
      <c r="P10" s="617"/>
      <c r="Q10" s="617"/>
      <c r="R10" s="617"/>
      <c r="S10" s="617"/>
      <c r="T10" s="617"/>
      <c r="U10" s="617"/>
      <c r="V10" s="617"/>
      <c r="W10" s="617"/>
      <c r="X10" s="617"/>
      <c r="Y10" s="617"/>
      <c r="Z10" s="617"/>
      <c r="AA10" s="617"/>
      <c r="AB10" s="617"/>
      <c r="AC10" s="617"/>
      <c r="AD10" s="617"/>
      <c r="AE10" s="617"/>
      <c r="AF10" s="617"/>
      <c r="AG10" s="617"/>
      <c r="AH10" s="617"/>
      <c r="AI10" s="617"/>
      <c r="AJ10" s="617"/>
      <c r="AK10" s="617"/>
      <c r="AL10" s="617"/>
      <c r="AM10" s="617"/>
    </row>
    <row r="11" spans="1:39" ht="14.5" customHeight="1" x14ac:dyDescent="0.4">
      <c r="A11" s="614" t="str">
        <f>'[2]DETAILS (sorted)'!A42</f>
        <v>ILS24-F00040</v>
      </c>
      <c r="B11" s="615" t="str">
        <f>'[2]DETAILS (sorted)'!B42</f>
        <v>Ahmad Yahya (MOHAMED)</v>
      </c>
      <c r="C11" s="616"/>
      <c r="D11" s="648"/>
      <c r="E11" s="648"/>
      <c r="F11" s="648"/>
      <c r="G11" s="648"/>
      <c r="H11" s="648"/>
      <c r="I11" s="648"/>
      <c r="J11" s="648"/>
      <c r="K11" s="648"/>
      <c r="L11" s="648"/>
      <c r="M11" s="648"/>
      <c r="N11" s="649">
        <f t="shared" si="0"/>
        <v>0</v>
      </c>
      <c r="O11" s="617"/>
      <c r="P11" s="617"/>
      <c r="Q11" s="617"/>
      <c r="R11" s="617"/>
      <c r="S11" s="617"/>
      <c r="T11" s="617"/>
      <c r="U11" s="617"/>
      <c r="V11" s="617"/>
      <c r="W11" s="617"/>
      <c r="X11" s="617"/>
      <c r="Y11" s="617"/>
      <c r="Z11" s="617"/>
      <c r="AA11" s="617"/>
      <c r="AB11" s="617"/>
      <c r="AC11" s="617"/>
      <c r="AD11" s="617"/>
      <c r="AE11" s="617"/>
      <c r="AF11" s="617"/>
      <c r="AG11" s="617"/>
      <c r="AH11" s="617"/>
      <c r="AI11" s="617"/>
      <c r="AJ11" s="617"/>
      <c r="AK11" s="617"/>
      <c r="AL11" s="617"/>
      <c r="AM11" s="617"/>
    </row>
    <row r="12" spans="1:39" ht="14.5" customHeight="1" x14ac:dyDescent="0.4">
      <c r="A12" s="614" t="str">
        <f>'[2]DETAILS (sorted)'!A20</f>
        <v>ILS24-F00018</v>
      </c>
      <c r="B12" s="615" t="str">
        <f>'[2]DETAILS (sorted)'!B20</f>
        <v xml:space="preserve">Alban Robert Kimario </v>
      </c>
      <c r="C12" s="616"/>
      <c r="D12" s="648"/>
      <c r="E12" s="648"/>
      <c r="F12" s="648">
        <v>15000</v>
      </c>
      <c r="G12" s="648"/>
      <c r="H12" s="648"/>
      <c r="I12" s="648"/>
      <c r="J12" s="648"/>
      <c r="K12" s="648"/>
      <c r="L12" s="648"/>
      <c r="M12" s="648"/>
      <c r="N12" s="649">
        <f t="shared" si="0"/>
        <v>15000</v>
      </c>
      <c r="O12" s="617"/>
      <c r="P12" s="617"/>
      <c r="Q12" s="617"/>
      <c r="R12" s="617"/>
      <c r="S12" s="617"/>
      <c r="T12" s="617"/>
      <c r="U12" s="617"/>
      <c r="V12" s="617"/>
      <c r="W12" s="617"/>
      <c r="X12" s="617"/>
      <c r="Y12" s="617"/>
      <c r="Z12" s="617"/>
      <c r="AA12" s="617"/>
      <c r="AB12" s="617"/>
      <c r="AC12" s="617"/>
      <c r="AD12" s="617"/>
      <c r="AE12" s="617"/>
      <c r="AF12" s="617"/>
      <c r="AG12" s="617"/>
      <c r="AH12" s="617"/>
      <c r="AI12" s="617"/>
      <c r="AJ12" s="617"/>
      <c r="AK12" s="617"/>
      <c r="AL12" s="617"/>
      <c r="AM12" s="617"/>
    </row>
    <row r="13" spans="1:39" ht="14.5" customHeight="1" x14ac:dyDescent="0.4">
      <c r="A13" s="614" t="str">
        <f>'[2]DETAILS (sorted)'!A80</f>
        <v>ILS24-F00078</v>
      </c>
      <c r="B13" s="615" t="str">
        <f>'[2]DETAILS (sorted)'!B80</f>
        <v xml:space="preserve">Alcard Mumwi </v>
      </c>
      <c r="C13" s="616"/>
      <c r="D13" s="648"/>
      <c r="E13" s="648"/>
      <c r="F13" s="648"/>
      <c r="G13" s="648"/>
      <c r="H13" s="648"/>
      <c r="I13" s="648"/>
      <c r="J13" s="648"/>
      <c r="K13" s="648"/>
      <c r="L13" s="648"/>
      <c r="M13" s="648"/>
      <c r="N13" s="649">
        <f t="shared" si="0"/>
        <v>0</v>
      </c>
      <c r="O13" s="617"/>
      <c r="P13" s="617"/>
      <c r="Q13" s="617"/>
      <c r="R13" s="617"/>
      <c r="S13" s="617"/>
      <c r="T13" s="617"/>
      <c r="U13" s="617"/>
      <c r="V13" s="617"/>
      <c r="W13" s="617"/>
      <c r="X13" s="617"/>
      <c r="Y13" s="617"/>
      <c r="Z13" s="617"/>
      <c r="AA13" s="617"/>
      <c r="AB13" s="617"/>
      <c r="AC13" s="617"/>
      <c r="AD13" s="617"/>
      <c r="AE13" s="617"/>
      <c r="AF13" s="617"/>
      <c r="AG13" s="617"/>
      <c r="AH13" s="617"/>
      <c r="AI13" s="617"/>
      <c r="AJ13" s="617"/>
      <c r="AK13" s="617"/>
      <c r="AL13" s="617"/>
      <c r="AM13" s="617"/>
    </row>
    <row r="14" spans="1:39" ht="14.5" customHeight="1" x14ac:dyDescent="0.4">
      <c r="A14" s="614" t="str">
        <f>'[2]DETAILS (sorted)'!A108</f>
        <v>ILS24-F00106</v>
      </c>
      <c r="B14" s="615" t="str">
        <f>'[2]DETAILS (sorted)'!B108</f>
        <v xml:space="preserve">Alex Gerald Heruka </v>
      </c>
      <c r="C14" s="616"/>
      <c r="D14" s="648"/>
      <c r="E14" s="648"/>
      <c r="F14" s="648"/>
      <c r="G14" s="648"/>
      <c r="H14" s="648"/>
      <c r="I14" s="648"/>
      <c r="J14" s="648"/>
      <c r="K14" s="648"/>
      <c r="L14" s="648"/>
      <c r="M14" s="648"/>
      <c r="N14" s="649">
        <f t="shared" si="0"/>
        <v>0</v>
      </c>
      <c r="O14" s="617"/>
      <c r="P14" s="617"/>
      <c r="Q14" s="617"/>
      <c r="R14" s="617"/>
      <c r="S14" s="617"/>
      <c r="T14" s="617"/>
      <c r="U14" s="617"/>
      <c r="V14" s="617"/>
      <c r="W14" s="617"/>
      <c r="X14" s="617"/>
      <c r="Y14" s="617"/>
      <c r="Z14" s="617"/>
      <c r="AA14" s="617"/>
      <c r="AB14" s="617"/>
      <c r="AC14" s="617"/>
      <c r="AD14" s="617"/>
      <c r="AE14" s="617"/>
      <c r="AF14" s="617"/>
      <c r="AG14" s="617"/>
      <c r="AH14" s="617"/>
      <c r="AI14" s="617"/>
      <c r="AJ14" s="617"/>
      <c r="AK14" s="617"/>
      <c r="AL14" s="617"/>
      <c r="AM14" s="617"/>
    </row>
    <row r="15" spans="1:39" ht="14.5" customHeight="1" x14ac:dyDescent="0.4">
      <c r="A15" s="623" t="str">
        <f>'[2]DETAILS (sorted)'!A134</f>
        <v>ILS24-F00132</v>
      </c>
      <c r="B15" s="623" t="str">
        <f>'[2]DETAILS (sorted)'!B134</f>
        <v xml:space="preserve">Alfred Stephen Kishe </v>
      </c>
      <c r="C15" s="624"/>
      <c r="D15" s="652"/>
      <c r="E15" s="652"/>
      <c r="F15" s="652"/>
      <c r="G15" s="652"/>
      <c r="H15" s="652"/>
      <c r="I15" s="652"/>
      <c r="J15" s="652"/>
      <c r="K15" s="652"/>
      <c r="L15" s="652"/>
      <c r="M15" s="652"/>
      <c r="N15" s="649">
        <f t="shared" si="0"/>
        <v>0</v>
      </c>
      <c r="O15" s="617"/>
      <c r="P15" s="617"/>
      <c r="Q15" s="617"/>
      <c r="R15" s="617"/>
      <c r="S15" s="617"/>
      <c r="T15" s="617"/>
      <c r="U15" s="617"/>
      <c r="V15" s="617"/>
      <c r="W15" s="617"/>
      <c r="X15" s="617"/>
      <c r="Y15" s="617"/>
      <c r="Z15" s="617"/>
      <c r="AA15" s="617"/>
      <c r="AB15" s="617"/>
      <c r="AC15" s="617"/>
      <c r="AD15" s="617"/>
      <c r="AE15" s="617"/>
      <c r="AF15" s="617"/>
      <c r="AG15" s="617"/>
      <c r="AH15" s="617"/>
      <c r="AI15" s="617"/>
      <c r="AJ15" s="617" t="e">
        <f>#REF!+C15+#REF!+#REF!+#REF!+#REF!+#REF!+#REF!+#REF!+#REF!+#REF!+P15+M15+S15+V15+Y15+AB15+AH15+AE15</f>
        <v>#REF!</v>
      </c>
      <c r="AK15" s="617"/>
      <c r="AL15" s="617"/>
      <c r="AM15" s="617"/>
    </row>
    <row r="16" spans="1:39" ht="14.5" customHeight="1" x14ac:dyDescent="0.4">
      <c r="A16" s="614" t="str">
        <f>'[2]DETAILS (sorted)'!A67</f>
        <v>ILS24-F00065</v>
      </c>
      <c r="B16" s="615" t="str">
        <f>'[2]DETAILS (sorted)'!B67</f>
        <v>Aminiel Kabby Kabura</v>
      </c>
      <c r="C16" s="616"/>
      <c r="D16" s="648"/>
      <c r="E16" s="648"/>
      <c r="F16" s="648"/>
      <c r="G16" s="648"/>
      <c r="H16" s="648"/>
      <c r="I16" s="648"/>
      <c r="J16" s="648"/>
      <c r="K16" s="648"/>
      <c r="L16" s="648"/>
      <c r="M16" s="648"/>
      <c r="N16" s="649">
        <f t="shared" si="0"/>
        <v>0</v>
      </c>
      <c r="O16" s="617"/>
      <c r="P16" s="617"/>
      <c r="Q16" s="617"/>
      <c r="R16" s="617"/>
      <c r="S16" s="617"/>
      <c r="T16" s="617"/>
      <c r="U16" s="617"/>
      <c r="V16" s="617"/>
      <c r="W16" s="617"/>
      <c r="X16" s="617"/>
      <c r="Y16" s="617"/>
      <c r="Z16" s="617"/>
      <c r="AA16" s="617"/>
      <c r="AB16" s="617"/>
      <c r="AC16" s="617"/>
      <c r="AD16" s="617"/>
      <c r="AE16" s="617"/>
      <c r="AF16" s="617"/>
      <c r="AG16" s="617"/>
      <c r="AH16" s="617"/>
      <c r="AI16" s="617"/>
      <c r="AJ16" s="617"/>
      <c r="AK16" s="617"/>
      <c r="AL16" s="617"/>
      <c r="AM16" s="617"/>
    </row>
    <row r="17" spans="1:39" ht="14.5" customHeight="1" x14ac:dyDescent="0.4">
      <c r="A17" s="614" t="str">
        <f>'[2]DETAILS (sorted)'!A25</f>
        <v>ILS24-F00023</v>
      </c>
      <c r="B17" s="615" t="str">
        <f>'[2]DETAILS (sorted)'!B25</f>
        <v xml:space="preserve">Amos Nungu </v>
      </c>
      <c r="C17" s="616"/>
      <c r="D17" s="648"/>
      <c r="E17" s="648"/>
      <c r="F17" s="648"/>
      <c r="G17" s="648"/>
      <c r="H17" s="648"/>
      <c r="I17" s="648"/>
      <c r="J17" s="648"/>
      <c r="K17" s="648"/>
      <c r="L17" s="648"/>
      <c r="M17" s="648"/>
      <c r="N17" s="649">
        <f t="shared" si="0"/>
        <v>0</v>
      </c>
      <c r="O17" s="617"/>
      <c r="P17" s="617"/>
      <c r="Q17" s="617"/>
      <c r="R17" s="617"/>
      <c r="S17" s="617"/>
      <c r="T17" s="617"/>
      <c r="U17" s="617"/>
      <c r="V17" s="617"/>
      <c r="W17" s="617"/>
      <c r="X17" s="617"/>
      <c r="Y17" s="617"/>
      <c r="Z17" s="617"/>
      <c r="AA17" s="617"/>
      <c r="AB17" s="617"/>
      <c r="AC17" s="617"/>
      <c r="AD17" s="617"/>
      <c r="AE17" s="617"/>
      <c r="AF17" s="617"/>
      <c r="AG17" s="617"/>
      <c r="AH17" s="617"/>
      <c r="AI17" s="617"/>
      <c r="AJ17" s="617"/>
      <c r="AK17" s="617"/>
      <c r="AL17" s="617"/>
      <c r="AM17" s="617"/>
    </row>
    <row r="18" spans="1:39" ht="14.5" customHeight="1" x14ac:dyDescent="0.4">
      <c r="A18" s="614" t="str">
        <f>'[2]DETAILS (sorted)'!A82</f>
        <v>ILS24-F00080</v>
      </c>
      <c r="B18" s="615" t="str">
        <f>'[2]DETAILS (sorted)'!B82</f>
        <v xml:space="preserve">Asha Baby Selemani (Aisha Babu) </v>
      </c>
      <c r="C18" s="616"/>
      <c r="D18" s="648"/>
      <c r="E18" s="648"/>
      <c r="F18" s="648"/>
      <c r="G18" s="648">
        <v>15000</v>
      </c>
      <c r="H18" s="648"/>
      <c r="I18" s="648"/>
      <c r="J18" s="648"/>
      <c r="K18" s="648"/>
      <c r="L18" s="648"/>
      <c r="M18" s="648"/>
      <c r="N18" s="649">
        <f t="shared" si="0"/>
        <v>15000</v>
      </c>
      <c r="O18" s="617"/>
      <c r="P18" s="617"/>
      <c r="Q18" s="617"/>
      <c r="R18" s="617"/>
      <c r="S18" s="617"/>
      <c r="T18" s="617"/>
      <c r="U18" s="617"/>
      <c r="V18" s="617"/>
      <c r="W18" s="617"/>
      <c r="X18" s="617"/>
      <c r="Y18" s="617"/>
      <c r="Z18" s="617"/>
      <c r="AA18" s="617"/>
      <c r="AB18" s="617"/>
      <c r="AC18" s="617"/>
      <c r="AD18" s="617"/>
      <c r="AE18" s="617"/>
      <c r="AF18" s="617"/>
      <c r="AG18" s="617"/>
      <c r="AH18" s="617"/>
      <c r="AI18" s="617"/>
      <c r="AJ18" s="617"/>
      <c r="AK18" s="617"/>
      <c r="AL18" s="617"/>
      <c r="AM18" s="617"/>
    </row>
    <row r="19" spans="1:39" ht="14.5" customHeight="1" x14ac:dyDescent="0.4">
      <c r="A19" s="614" t="str">
        <f>'[2]DETAILS (sorted)'!A26</f>
        <v>ILS24-F00024</v>
      </c>
      <c r="B19" s="615" t="str">
        <f>'[2]DETAILS (sorted)'!B26</f>
        <v>Athumani Mwasha</v>
      </c>
      <c r="C19" s="616"/>
      <c r="D19" s="648"/>
      <c r="E19" s="648"/>
      <c r="F19" s="648"/>
      <c r="G19" s="648"/>
      <c r="H19" s="648"/>
      <c r="I19" s="648"/>
      <c r="J19" s="648"/>
      <c r="K19" s="648"/>
      <c r="L19" s="648"/>
      <c r="M19" s="648"/>
      <c r="N19" s="649">
        <f t="shared" si="0"/>
        <v>0</v>
      </c>
      <c r="O19" s="617"/>
      <c r="P19" s="617"/>
      <c r="Q19" s="617"/>
      <c r="R19" s="617"/>
      <c r="S19" s="617"/>
      <c r="T19" s="617"/>
      <c r="U19" s="617"/>
      <c r="V19" s="617"/>
      <c r="W19" s="617"/>
      <c r="X19" s="617"/>
      <c r="Y19" s="617"/>
      <c r="Z19" s="617"/>
      <c r="AA19" s="617"/>
      <c r="AB19" s="617"/>
      <c r="AC19" s="617"/>
      <c r="AD19" s="617"/>
      <c r="AE19" s="617"/>
      <c r="AF19" s="617"/>
      <c r="AG19" s="617"/>
      <c r="AH19" s="617"/>
      <c r="AI19" s="617"/>
      <c r="AJ19" s="617"/>
      <c r="AK19" s="617"/>
      <c r="AL19" s="617"/>
      <c r="AM19" s="617"/>
    </row>
    <row r="20" spans="1:39" ht="14.5" customHeight="1" x14ac:dyDescent="0.4">
      <c r="A20" s="614" t="str">
        <f>'[2]DETAILS (sorted)'!A38</f>
        <v>ILS24-F00036</v>
      </c>
      <c r="B20" s="615" t="str">
        <f>'[2]DETAILS (sorted)'!B38</f>
        <v xml:space="preserve">Bakari Mchila Hemedi </v>
      </c>
      <c r="C20" s="616"/>
      <c r="D20" s="648"/>
      <c r="E20" s="648"/>
      <c r="F20" s="648"/>
      <c r="G20" s="648"/>
      <c r="H20" s="648"/>
      <c r="I20" s="648"/>
      <c r="J20" s="648"/>
      <c r="K20" s="648"/>
      <c r="L20" s="648"/>
      <c r="M20" s="648"/>
      <c r="N20" s="649">
        <f t="shared" si="0"/>
        <v>0</v>
      </c>
      <c r="O20" s="617"/>
      <c r="P20" s="617"/>
      <c r="Q20" s="617"/>
      <c r="R20" s="617"/>
      <c r="S20" s="617"/>
      <c r="T20" s="617"/>
      <c r="U20" s="617"/>
      <c r="V20" s="617"/>
      <c r="W20" s="617"/>
      <c r="X20" s="617"/>
      <c r="Y20" s="617"/>
      <c r="Z20" s="617"/>
      <c r="AA20" s="617"/>
      <c r="AB20" s="617"/>
      <c r="AC20" s="617"/>
      <c r="AD20" s="617"/>
      <c r="AE20" s="617"/>
      <c r="AF20" s="617"/>
      <c r="AG20" s="617"/>
      <c r="AH20" s="617"/>
      <c r="AI20" s="617"/>
      <c r="AJ20" s="617"/>
      <c r="AK20" s="617"/>
      <c r="AL20" s="617"/>
      <c r="AM20" s="617"/>
    </row>
    <row r="21" spans="1:39" ht="14.5" customHeight="1" x14ac:dyDescent="0.4">
      <c r="A21" s="614" t="str">
        <f>'[2]DETAILS (sorted)'!A107</f>
        <v>ILS24-F00105</v>
      </c>
      <c r="B21" s="615" t="str">
        <f>'[2]DETAILS (sorted)'!B107</f>
        <v xml:space="preserve">Baltazar Thomas Mrosso </v>
      </c>
      <c r="C21" s="616"/>
      <c r="D21" s="648"/>
      <c r="E21" s="648"/>
      <c r="F21" s="648"/>
      <c r="G21" s="648"/>
      <c r="H21" s="648"/>
      <c r="I21" s="648"/>
      <c r="J21" s="648"/>
      <c r="K21" s="648"/>
      <c r="L21" s="648"/>
      <c r="M21" s="648"/>
      <c r="N21" s="649">
        <f t="shared" si="0"/>
        <v>0</v>
      </c>
      <c r="O21" s="617"/>
      <c r="P21" s="617"/>
      <c r="Q21" s="617"/>
      <c r="R21" s="617"/>
      <c r="S21" s="617"/>
      <c r="T21" s="617"/>
      <c r="U21" s="617"/>
      <c r="V21" s="617"/>
      <c r="W21" s="617"/>
      <c r="X21" s="617"/>
      <c r="Y21" s="617"/>
      <c r="Z21" s="617"/>
      <c r="AA21" s="617"/>
      <c r="AB21" s="617"/>
      <c r="AC21" s="617"/>
      <c r="AD21" s="617"/>
      <c r="AE21" s="617"/>
      <c r="AF21" s="617"/>
      <c r="AG21" s="617"/>
      <c r="AH21" s="617"/>
      <c r="AI21" s="617"/>
      <c r="AJ21" s="617"/>
      <c r="AK21" s="617"/>
      <c r="AL21" s="617"/>
      <c r="AM21" s="617"/>
    </row>
    <row r="22" spans="1:39" ht="14.5" customHeight="1" x14ac:dyDescent="0.4">
      <c r="A22" s="614" t="str">
        <f>'[2]DETAILS (sorted)'!A132</f>
        <v>ILS24-F00130</v>
      </c>
      <c r="B22" s="615" t="str">
        <f>'[2]DETAILS (sorted)'!B132</f>
        <v>Bavo Emanuel Mzee</v>
      </c>
      <c r="C22" s="616"/>
      <c r="D22" s="648"/>
      <c r="E22" s="648"/>
      <c r="F22" s="648"/>
      <c r="G22" s="648"/>
      <c r="H22" s="648"/>
      <c r="I22" s="648"/>
      <c r="J22" s="648"/>
      <c r="K22" s="648"/>
      <c r="L22" s="648"/>
      <c r="M22" s="648"/>
      <c r="N22" s="649">
        <f t="shared" si="0"/>
        <v>0</v>
      </c>
      <c r="O22" s="617"/>
      <c r="P22" s="617"/>
      <c r="Q22" s="617"/>
      <c r="R22" s="617"/>
      <c r="S22" s="617"/>
      <c r="T22" s="617"/>
      <c r="U22" s="617"/>
      <c r="V22" s="617"/>
      <c r="W22" s="617"/>
      <c r="X22" s="617"/>
      <c r="Y22" s="617"/>
      <c r="Z22" s="617"/>
      <c r="AA22" s="617"/>
      <c r="AB22" s="617"/>
      <c r="AC22" s="617"/>
      <c r="AD22" s="617"/>
      <c r="AE22" s="617"/>
      <c r="AF22" s="617"/>
      <c r="AG22" s="617"/>
      <c r="AH22" s="617"/>
      <c r="AI22" s="617"/>
      <c r="AJ22" s="617"/>
      <c r="AK22" s="617"/>
      <c r="AL22" s="617"/>
      <c r="AM22" s="617"/>
    </row>
    <row r="23" spans="1:39" ht="14.5" customHeight="1" x14ac:dyDescent="0.4">
      <c r="A23" s="615" t="str">
        <f>'[2]DETAILS (sorted)'!A62</f>
        <v>ILS24-F00060</v>
      </c>
      <c r="B23" s="625" t="str">
        <f>'[2]DETAILS (sorted)'!B62</f>
        <v>Beatus Adrian Rwegalulira</v>
      </c>
      <c r="C23" s="616"/>
      <c r="D23" s="648"/>
      <c r="E23" s="648"/>
      <c r="F23" s="648"/>
      <c r="G23" s="648"/>
      <c r="H23" s="648"/>
      <c r="I23" s="648"/>
      <c r="J23" s="648"/>
      <c r="K23" s="648"/>
      <c r="L23" s="648"/>
      <c r="M23" s="648"/>
      <c r="N23" s="649">
        <f t="shared" si="0"/>
        <v>0</v>
      </c>
      <c r="O23" s="619"/>
      <c r="P23" s="619"/>
      <c r="Q23" s="619"/>
      <c r="R23" s="619"/>
      <c r="S23" s="619"/>
      <c r="T23" s="619"/>
      <c r="U23" s="619"/>
      <c r="V23" s="619"/>
      <c r="W23" s="619"/>
      <c r="X23" s="619"/>
      <c r="Y23" s="619"/>
      <c r="Z23" s="619"/>
      <c r="AA23" s="619"/>
      <c r="AB23" s="619"/>
      <c r="AC23" s="619"/>
      <c r="AD23" s="619"/>
      <c r="AE23" s="619"/>
      <c r="AF23" s="619"/>
      <c r="AG23" s="619"/>
      <c r="AH23" s="619"/>
      <c r="AI23" s="619"/>
      <c r="AJ23" s="619"/>
      <c r="AK23" s="619"/>
      <c r="AL23" s="619"/>
      <c r="AM23" s="619"/>
    </row>
    <row r="24" spans="1:39" ht="14.5" customHeight="1" x14ac:dyDescent="0.4">
      <c r="A24" s="614" t="str">
        <f>'[2]DETAILS (sorted)'!A37</f>
        <v>ILS24-F00035</v>
      </c>
      <c r="B24" s="615" t="str">
        <f>'[2]DETAILS (sorted)'!B37</f>
        <v xml:space="preserve">Best Magoma </v>
      </c>
      <c r="C24" s="616"/>
      <c r="D24" s="648"/>
      <c r="E24" s="648"/>
      <c r="F24" s="648"/>
      <c r="G24" s="648"/>
      <c r="H24" s="648"/>
      <c r="I24" s="648"/>
      <c r="J24" s="648"/>
      <c r="K24" s="648"/>
      <c r="L24" s="648"/>
      <c r="M24" s="648"/>
      <c r="N24" s="649">
        <f t="shared" si="0"/>
        <v>0</v>
      </c>
      <c r="O24" s="619"/>
      <c r="P24" s="619"/>
      <c r="Q24" s="619"/>
      <c r="R24" s="619"/>
      <c r="S24" s="619"/>
      <c r="T24" s="619"/>
      <c r="U24" s="619"/>
      <c r="V24" s="619"/>
      <c r="W24" s="619"/>
      <c r="X24" s="619"/>
      <c r="Y24" s="619"/>
      <c r="Z24" s="619"/>
      <c r="AA24" s="619"/>
      <c r="AB24" s="619"/>
      <c r="AC24" s="619"/>
      <c r="AD24" s="619"/>
      <c r="AE24" s="619"/>
      <c r="AF24" s="619"/>
      <c r="AG24" s="619"/>
      <c r="AH24" s="619"/>
      <c r="AI24" s="619"/>
      <c r="AJ24" s="619"/>
      <c r="AK24" s="619"/>
      <c r="AL24" s="619"/>
      <c r="AM24" s="619"/>
    </row>
    <row r="25" spans="1:39" ht="14.5" customHeight="1" x14ac:dyDescent="0.4">
      <c r="A25" s="614" t="str">
        <f>'[2]DETAILS (sorted)'!A76</f>
        <v>ILS24-F00074</v>
      </c>
      <c r="B25" s="615" t="str">
        <f>'[2]DETAILS (sorted)'!B76</f>
        <v xml:space="preserve">Boniface Joseph </v>
      </c>
      <c r="C25" s="616"/>
      <c r="D25" s="648"/>
      <c r="E25" s="648"/>
      <c r="F25" s="648"/>
      <c r="G25" s="648"/>
      <c r="H25" s="648"/>
      <c r="I25" s="648"/>
      <c r="J25" s="648"/>
      <c r="K25" s="648"/>
      <c r="L25" s="648"/>
      <c r="M25" s="648"/>
      <c r="N25" s="649">
        <f t="shared" si="0"/>
        <v>0</v>
      </c>
      <c r="O25" s="619"/>
      <c r="P25" s="619"/>
      <c r="Q25" s="619"/>
      <c r="R25" s="619"/>
      <c r="S25" s="619"/>
      <c r="T25" s="619"/>
      <c r="U25" s="619"/>
      <c r="V25" s="619"/>
      <c r="W25" s="619"/>
      <c r="X25" s="619"/>
      <c r="Y25" s="619"/>
      <c r="Z25" s="619"/>
      <c r="AA25" s="619"/>
      <c r="AB25" s="619"/>
      <c r="AC25" s="619"/>
      <c r="AD25" s="619"/>
      <c r="AE25" s="619"/>
      <c r="AF25" s="619"/>
      <c r="AG25" s="619"/>
      <c r="AH25" s="619"/>
      <c r="AI25" s="619"/>
      <c r="AJ25" s="619"/>
      <c r="AK25" s="619"/>
      <c r="AL25" s="619"/>
      <c r="AM25" s="619"/>
    </row>
    <row r="26" spans="1:39" ht="14.5" customHeight="1" x14ac:dyDescent="0.4">
      <c r="A26" s="614" t="str">
        <f>'[2]DETAILS (sorted)'!A114</f>
        <v>ILS24-F00112</v>
      </c>
      <c r="B26" s="615" t="str">
        <f>'[2]DETAILS (sorted)'!B114</f>
        <v>Bruno Sunguya</v>
      </c>
      <c r="C26" s="616"/>
      <c r="D26" s="648"/>
      <c r="E26" s="648"/>
      <c r="F26" s="648"/>
      <c r="G26" s="648"/>
      <c r="H26" s="648"/>
      <c r="I26" s="648"/>
      <c r="J26" s="648"/>
      <c r="K26" s="648"/>
      <c r="L26" s="648"/>
      <c r="M26" s="648"/>
      <c r="N26" s="649">
        <f t="shared" si="0"/>
        <v>0</v>
      </c>
      <c r="O26" s="619"/>
      <c r="P26" s="619"/>
      <c r="Q26" s="619"/>
      <c r="R26" s="619"/>
      <c r="S26" s="619"/>
      <c r="T26" s="619"/>
      <c r="U26" s="619"/>
      <c r="V26" s="619"/>
      <c r="W26" s="619"/>
      <c r="X26" s="619"/>
      <c r="Y26" s="619"/>
      <c r="Z26" s="619"/>
      <c r="AA26" s="619"/>
      <c r="AB26" s="619"/>
      <c r="AC26" s="619"/>
      <c r="AD26" s="619"/>
      <c r="AE26" s="619"/>
      <c r="AF26" s="619"/>
      <c r="AG26" s="619"/>
      <c r="AH26" s="619"/>
      <c r="AI26" s="619"/>
      <c r="AJ26" s="619"/>
      <c r="AK26" s="619"/>
      <c r="AL26" s="619"/>
      <c r="AM26" s="619"/>
    </row>
    <row r="27" spans="1:39" ht="14.5" customHeight="1" x14ac:dyDescent="0.4">
      <c r="A27" s="614" t="str">
        <f>'[2]DETAILS (sorted)'!A117</f>
        <v>ILS24-F00115</v>
      </c>
      <c r="B27" s="615" t="str">
        <f>'[2]DETAILS (sorted)'!B117</f>
        <v>Calvin Francis Masao</v>
      </c>
      <c r="C27" s="616"/>
      <c r="D27" s="648"/>
      <c r="E27" s="648"/>
      <c r="F27" s="648"/>
      <c r="G27" s="648"/>
      <c r="H27" s="648"/>
      <c r="I27" s="648"/>
      <c r="J27" s="648"/>
      <c r="K27" s="648"/>
      <c r="L27" s="648"/>
      <c r="M27" s="648"/>
      <c r="N27" s="649">
        <f t="shared" si="0"/>
        <v>0</v>
      </c>
      <c r="O27" s="619"/>
      <c r="P27" s="619"/>
      <c r="Q27" s="619"/>
      <c r="R27" s="619"/>
      <c r="S27" s="619"/>
      <c r="T27" s="619"/>
      <c r="U27" s="619"/>
      <c r="V27" s="619"/>
      <c r="W27" s="619"/>
      <c r="X27" s="619"/>
      <c r="Y27" s="619"/>
      <c r="Z27" s="619"/>
      <c r="AA27" s="619"/>
      <c r="AB27" s="619"/>
      <c r="AC27" s="619"/>
      <c r="AD27" s="619"/>
      <c r="AE27" s="619"/>
      <c r="AF27" s="619"/>
      <c r="AG27" s="619"/>
      <c r="AH27" s="619"/>
      <c r="AI27" s="619"/>
      <c r="AJ27" s="619"/>
      <c r="AK27" s="619"/>
      <c r="AL27" s="619"/>
      <c r="AM27" s="619"/>
    </row>
    <row r="28" spans="1:39" ht="14.5" customHeight="1" x14ac:dyDescent="0.4">
      <c r="A28" s="614" t="str">
        <f>'[2]DETAILS (sorted)'!A40</f>
        <v>ILS24-F00038</v>
      </c>
      <c r="B28" s="615" t="str">
        <f>'[2]DETAILS (sorted)'!B40</f>
        <v>Charles Suka Jangu</v>
      </c>
      <c r="C28" s="616"/>
      <c r="D28" s="648"/>
      <c r="E28" s="648"/>
      <c r="F28" s="648"/>
      <c r="G28" s="648"/>
      <c r="H28" s="648"/>
      <c r="I28" s="648"/>
      <c r="J28" s="648"/>
      <c r="K28" s="648"/>
      <c r="L28" s="648"/>
      <c r="M28" s="648"/>
      <c r="N28" s="649">
        <f t="shared" si="0"/>
        <v>0</v>
      </c>
      <c r="O28" s="619"/>
      <c r="P28" s="619"/>
      <c r="Q28" s="619"/>
      <c r="R28" s="619"/>
      <c r="S28" s="619"/>
      <c r="T28" s="619"/>
      <c r="U28" s="619"/>
      <c r="V28" s="619"/>
      <c r="W28" s="619"/>
      <c r="X28" s="619"/>
      <c r="Y28" s="619"/>
      <c r="Z28" s="619"/>
      <c r="AA28" s="619"/>
      <c r="AB28" s="619"/>
      <c r="AC28" s="619"/>
      <c r="AD28" s="619"/>
      <c r="AE28" s="619"/>
      <c r="AF28" s="619"/>
      <c r="AG28" s="619"/>
      <c r="AH28" s="619"/>
      <c r="AI28" s="619"/>
      <c r="AJ28" s="619"/>
      <c r="AK28" s="619"/>
      <c r="AL28" s="619"/>
      <c r="AM28" s="619"/>
    </row>
    <row r="29" spans="1:39" ht="14.5" customHeight="1" x14ac:dyDescent="0.4">
      <c r="A29" s="615" t="str">
        <f>'[2]DETAILS (sorted)'!A141</f>
        <v>ILS24-F00139</v>
      </c>
      <c r="B29" s="615" t="str">
        <f>'[2]DETAILS (sorted)'!B141</f>
        <v xml:space="preserve">Claverfred Mhidze </v>
      </c>
      <c r="C29" s="616"/>
      <c r="D29" s="648"/>
      <c r="E29" s="648"/>
      <c r="F29" s="648"/>
      <c r="G29" s="648"/>
      <c r="H29" s="648"/>
      <c r="I29" s="648"/>
      <c r="J29" s="648"/>
      <c r="K29" s="648"/>
      <c r="L29" s="648"/>
      <c r="M29" s="648"/>
      <c r="N29" s="649">
        <f t="shared" si="0"/>
        <v>0</v>
      </c>
      <c r="O29" s="619"/>
      <c r="P29" s="619"/>
      <c r="Q29" s="619"/>
      <c r="R29" s="619"/>
      <c r="S29" s="619"/>
      <c r="T29" s="619"/>
      <c r="U29" s="619"/>
      <c r="V29" s="619"/>
      <c r="W29" s="619"/>
      <c r="X29" s="619"/>
      <c r="Y29" s="619"/>
      <c r="Z29" s="619"/>
      <c r="AA29" s="619"/>
      <c r="AB29" s="619"/>
      <c r="AC29" s="619"/>
      <c r="AD29" s="619"/>
      <c r="AE29" s="619"/>
      <c r="AF29" s="619"/>
      <c r="AG29" s="619"/>
      <c r="AH29" s="619"/>
      <c r="AI29" s="619"/>
      <c r="AJ29" s="619"/>
      <c r="AK29" s="619"/>
      <c r="AL29" s="619"/>
      <c r="AM29" s="619"/>
    </row>
    <row r="30" spans="1:39" ht="14.5" customHeight="1" x14ac:dyDescent="0.4">
      <c r="A30" s="626" t="str">
        <f>'[2]DETAILS (sorted)'!A90</f>
        <v>ILS24-F00088</v>
      </c>
      <c r="B30" s="627" t="str">
        <f>'[2]DETAILS (sorted)'!B90</f>
        <v>CPA Emmanuel Wanjara Marero</v>
      </c>
      <c r="C30" s="628"/>
      <c r="D30" s="653"/>
      <c r="E30" s="653"/>
      <c r="F30" s="653"/>
      <c r="G30" s="653"/>
      <c r="H30" s="653">
        <v>15000</v>
      </c>
      <c r="I30" s="653"/>
      <c r="J30" s="653"/>
      <c r="K30" s="653"/>
      <c r="L30" s="653"/>
      <c r="M30" s="653"/>
      <c r="N30" s="649">
        <f t="shared" si="0"/>
        <v>15000</v>
      </c>
      <c r="O30" s="619"/>
      <c r="P30" s="619"/>
      <c r="Q30" s="619"/>
      <c r="R30" s="619"/>
      <c r="S30" s="619"/>
      <c r="T30" s="619"/>
      <c r="U30" s="619"/>
      <c r="V30" s="619"/>
      <c r="W30" s="619"/>
      <c r="X30" s="619"/>
      <c r="Y30" s="619"/>
      <c r="Z30" s="619"/>
      <c r="AA30" s="619"/>
      <c r="AB30" s="619"/>
      <c r="AC30" s="619"/>
      <c r="AD30" s="619"/>
      <c r="AE30" s="619"/>
      <c r="AF30" s="619"/>
      <c r="AG30" s="619"/>
      <c r="AH30" s="619"/>
      <c r="AI30" s="619"/>
      <c r="AJ30" s="619"/>
      <c r="AK30" s="619"/>
      <c r="AL30" s="619"/>
      <c r="AM30" s="619"/>
    </row>
    <row r="31" spans="1:39" ht="14.5" customHeight="1" x14ac:dyDescent="0.4">
      <c r="A31" s="614" t="str">
        <f>'[2]DETAILS (sorted)'!A140</f>
        <v>ILS24-F00138</v>
      </c>
      <c r="B31" s="615" t="str">
        <f>'[2]DETAILS (sorted)'!B140</f>
        <v xml:space="preserve">Daniel Mchegere </v>
      </c>
      <c r="C31" s="616"/>
      <c r="D31" s="648"/>
      <c r="E31" s="648"/>
      <c r="F31" s="648"/>
      <c r="G31" s="648"/>
      <c r="H31" s="648"/>
      <c r="I31" s="648"/>
      <c r="J31" s="648"/>
      <c r="K31" s="648"/>
      <c r="L31" s="648"/>
      <c r="M31" s="648"/>
      <c r="N31" s="649">
        <f t="shared" si="0"/>
        <v>0</v>
      </c>
      <c r="O31" s="619"/>
      <c r="P31" s="619"/>
      <c r="Q31" s="619"/>
      <c r="R31" s="619"/>
      <c r="S31" s="619"/>
      <c r="T31" s="619"/>
      <c r="U31" s="619"/>
      <c r="V31" s="619"/>
      <c r="W31" s="619"/>
      <c r="X31" s="619"/>
      <c r="Y31" s="619"/>
      <c r="Z31" s="619"/>
      <c r="AA31" s="619"/>
      <c r="AB31" s="619"/>
      <c r="AC31" s="619"/>
      <c r="AD31" s="619"/>
      <c r="AE31" s="619"/>
      <c r="AF31" s="619"/>
      <c r="AG31" s="619"/>
      <c r="AH31" s="619"/>
      <c r="AI31" s="619"/>
      <c r="AJ31" s="619"/>
      <c r="AK31" s="619"/>
      <c r="AL31" s="619"/>
      <c r="AM31" s="619"/>
    </row>
    <row r="32" spans="1:39" ht="14.5" customHeight="1" x14ac:dyDescent="0.4">
      <c r="A32" s="614" t="str">
        <f>'[2]DETAILS (sorted)'!A100</f>
        <v>ILS24-F00098</v>
      </c>
      <c r="B32" s="615" t="str">
        <f>'[2]DETAILS (sorted)'!B100</f>
        <v xml:space="preserve">Daniel Mdachi </v>
      </c>
      <c r="C32" s="616"/>
      <c r="D32" s="648"/>
      <c r="E32" s="648"/>
      <c r="F32" s="648"/>
      <c r="G32" s="648"/>
      <c r="H32" s="648"/>
      <c r="I32" s="648"/>
      <c r="J32" s="648"/>
      <c r="K32" s="648"/>
      <c r="L32" s="648"/>
      <c r="M32" s="648"/>
      <c r="N32" s="649">
        <f t="shared" si="0"/>
        <v>0</v>
      </c>
      <c r="O32" s="619"/>
      <c r="P32" s="619"/>
      <c r="Q32" s="619"/>
      <c r="R32" s="619"/>
      <c r="S32" s="619"/>
      <c r="T32" s="619"/>
      <c r="U32" s="619"/>
      <c r="V32" s="619"/>
      <c r="W32" s="619"/>
      <c r="X32" s="619"/>
      <c r="Y32" s="619"/>
      <c r="Z32" s="619"/>
      <c r="AA32" s="619"/>
      <c r="AB32" s="619"/>
      <c r="AC32" s="619"/>
      <c r="AD32" s="619"/>
      <c r="AE32" s="619"/>
      <c r="AF32" s="619"/>
      <c r="AG32" s="619"/>
      <c r="AH32" s="619"/>
      <c r="AI32" s="619"/>
      <c r="AJ32" s="619"/>
      <c r="AK32" s="619"/>
      <c r="AL32" s="619"/>
      <c r="AM32" s="619"/>
    </row>
    <row r="33" spans="1:39" ht="14.5" customHeight="1" x14ac:dyDescent="0.4">
      <c r="A33" s="614" t="str">
        <f>'[2]DETAILS (sorted)'!A78</f>
        <v>ILS24-F00076</v>
      </c>
      <c r="B33" s="615" t="str">
        <f>'[2]DETAILS (sorted)'!B78</f>
        <v xml:space="preserve">Daniel Michael Kisaka </v>
      </c>
      <c r="C33" s="616"/>
      <c r="D33" s="648"/>
      <c r="E33" s="648"/>
      <c r="F33" s="648"/>
      <c r="G33" s="648"/>
      <c r="H33" s="648"/>
      <c r="I33" s="648"/>
      <c r="J33" s="648"/>
      <c r="K33" s="648"/>
      <c r="L33" s="648"/>
      <c r="M33" s="648"/>
      <c r="N33" s="649">
        <f t="shared" si="0"/>
        <v>0</v>
      </c>
      <c r="O33" s="619"/>
      <c r="P33" s="619"/>
      <c r="Q33" s="619"/>
      <c r="R33" s="619"/>
      <c r="S33" s="619"/>
      <c r="T33" s="619"/>
      <c r="U33" s="619"/>
      <c r="V33" s="619"/>
      <c r="W33" s="619"/>
      <c r="X33" s="619"/>
      <c r="Y33" s="619"/>
      <c r="Z33" s="619"/>
      <c r="AA33" s="619"/>
      <c r="AB33" s="619"/>
      <c r="AC33" s="619"/>
      <c r="AD33" s="619"/>
      <c r="AE33" s="619"/>
      <c r="AF33" s="619"/>
      <c r="AG33" s="619"/>
      <c r="AH33" s="619"/>
      <c r="AI33" s="619"/>
      <c r="AJ33" s="619" t="e">
        <f>#REF!+C33+#REF!+#REF!+#REF!+#REF!+#REF!+#REF!+#REF!+#REF!+#REF!+P33+M33+S33+V33+Y33+AB33+AH33</f>
        <v>#REF!</v>
      </c>
      <c r="AK33" s="619"/>
      <c r="AL33" s="619"/>
      <c r="AM33" s="619"/>
    </row>
    <row r="34" spans="1:39" ht="14.5" customHeight="1" x14ac:dyDescent="0.4">
      <c r="A34" s="614" t="str">
        <f>'[2]DETAILS (sorted)'!A75</f>
        <v>ILS24-F00073</v>
      </c>
      <c r="B34" s="615" t="str">
        <f>'[2]DETAILS (sorted)'!B75</f>
        <v xml:space="preserve">David Isack Mushi </v>
      </c>
      <c r="C34" s="616"/>
      <c r="D34" s="648"/>
      <c r="E34" s="648"/>
      <c r="F34" s="648"/>
      <c r="G34" s="648"/>
      <c r="H34" s="648"/>
      <c r="I34" s="648"/>
      <c r="J34" s="648"/>
      <c r="K34" s="648"/>
      <c r="L34" s="648"/>
      <c r="M34" s="648"/>
      <c r="N34" s="649">
        <f t="shared" si="0"/>
        <v>0</v>
      </c>
      <c r="O34" s="619"/>
      <c r="P34" s="619"/>
      <c r="Q34" s="619"/>
      <c r="R34" s="619"/>
      <c r="S34" s="619"/>
      <c r="T34" s="619"/>
      <c r="U34" s="619"/>
      <c r="V34" s="619"/>
      <c r="W34" s="619"/>
      <c r="X34" s="619"/>
      <c r="Y34" s="619"/>
      <c r="Z34" s="619"/>
      <c r="AA34" s="619"/>
      <c r="AB34" s="619"/>
      <c r="AC34" s="619"/>
      <c r="AD34" s="619"/>
      <c r="AE34" s="619"/>
      <c r="AF34" s="619"/>
      <c r="AG34" s="619"/>
      <c r="AH34" s="619"/>
      <c r="AI34" s="619"/>
      <c r="AJ34" s="619"/>
      <c r="AK34" s="619"/>
      <c r="AL34" s="619"/>
      <c r="AM34" s="619"/>
    </row>
    <row r="35" spans="1:39" ht="14.5" customHeight="1" x14ac:dyDescent="0.4">
      <c r="A35" s="614" t="str">
        <f>'[2]DETAILS (sorted)'!A110</f>
        <v>ILS24-F00108</v>
      </c>
      <c r="B35" s="615" t="str">
        <f>'[2]DETAILS (sorted)'!B110</f>
        <v>David J. Msechu</v>
      </c>
      <c r="C35" s="616"/>
      <c r="D35" s="648"/>
      <c r="E35" s="648"/>
      <c r="F35" s="648"/>
      <c r="G35" s="648"/>
      <c r="H35" s="648"/>
      <c r="I35" s="648"/>
      <c r="J35" s="648"/>
      <c r="K35" s="648"/>
      <c r="L35" s="648"/>
      <c r="M35" s="648"/>
      <c r="N35" s="649">
        <f t="shared" ref="N35:N66" si="1">SUM(D35:M35)</f>
        <v>0</v>
      </c>
      <c r="O35" s="619"/>
      <c r="P35" s="619"/>
      <c r="Q35" s="619"/>
      <c r="R35" s="619"/>
      <c r="S35" s="619"/>
      <c r="T35" s="619"/>
      <c r="U35" s="619"/>
      <c r="V35" s="619"/>
      <c r="W35" s="619"/>
      <c r="X35" s="619"/>
      <c r="Y35" s="619"/>
      <c r="Z35" s="619"/>
      <c r="AA35" s="619"/>
      <c r="AB35" s="619"/>
      <c r="AC35" s="619"/>
      <c r="AD35" s="619"/>
      <c r="AE35" s="619"/>
      <c r="AF35" s="619"/>
      <c r="AG35" s="619"/>
      <c r="AH35" s="619"/>
      <c r="AI35" s="619"/>
      <c r="AJ35" s="619"/>
      <c r="AK35" s="619"/>
      <c r="AL35" s="619"/>
      <c r="AM35" s="619"/>
    </row>
    <row r="36" spans="1:39" ht="14.5" customHeight="1" x14ac:dyDescent="0.4">
      <c r="A36" s="614" t="str">
        <f>'[2]DETAILS (sorted)'!A61</f>
        <v>ILS24-F00059</v>
      </c>
      <c r="B36" s="615" t="str">
        <f>'[2]DETAILS (sorted)'!B61</f>
        <v>David Koillah</v>
      </c>
      <c r="C36" s="616"/>
      <c r="D36" s="648"/>
      <c r="E36" s="648"/>
      <c r="F36" s="648"/>
      <c r="G36" s="648"/>
      <c r="H36" s="648">
        <v>15000</v>
      </c>
      <c r="I36" s="648"/>
      <c r="J36" s="648"/>
      <c r="K36" s="648"/>
      <c r="L36" s="648"/>
      <c r="M36" s="648"/>
      <c r="N36" s="649">
        <f t="shared" si="1"/>
        <v>15000</v>
      </c>
      <c r="O36" s="619"/>
      <c r="P36" s="619"/>
      <c r="Q36" s="619"/>
      <c r="R36" s="619"/>
      <c r="S36" s="619"/>
      <c r="T36" s="619"/>
      <c r="U36" s="619"/>
      <c r="V36" s="619"/>
      <c r="W36" s="619"/>
      <c r="X36" s="619"/>
      <c r="Y36" s="619"/>
      <c r="Z36" s="619"/>
      <c r="AA36" s="619"/>
      <c r="AB36" s="619"/>
      <c r="AC36" s="619"/>
      <c r="AD36" s="619"/>
      <c r="AE36" s="619"/>
      <c r="AF36" s="619"/>
      <c r="AG36" s="619"/>
      <c r="AH36" s="619"/>
      <c r="AI36" s="619"/>
      <c r="AJ36" s="619"/>
      <c r="AK36" s="619"/>
      <c r="AL36" s="619"/>
      <c r="AM36" s="619"/>
    </row>
    <row r="37" spans="1:39" ht="14.5" customHeight="1" x14ac:dyDescent="0.4">
      <c r="A37" s="614" t="str">
        <f>'[2]DETAILS (sorted)'!A123</f>
        <v>ILS24-F00121</v>
      </c>
      <c r="B37" s="615" t="str">
        <f>'[2]DETAILS (sorted)'!B123</f>
        <v>Deodati Kaishe Donati</v>
      </c>
      <c r="C37" s="616"/>
      <c r="D37" s="648"/>
      <c r="E37" s="648"/>
      <c r="F37" s="648"/>
      <c r="G37" s="648"/>
      <c r="H37" s="648"/>
      <c r="I37" s="648"/>
      <c r="J37" s="648"/>
      <c r="K37" s="648"/>
      <c r="L37" s="648"/>
      <c r="M37" s="648"/>
      <c r="N37" s="649">
        <f t="shared" si="1"/>
        <v>0</v>
      </c>
      <c r="O37" s="619"/>
      <c r="P37" s="619"/>
      <c r="Q37" s="619"/>
      <c r="R37" s="619"/>
      <c r="S37" s="619"/>
      <c r="T37" s="619"/>
      <c r="U37" s="619"/>
      <c r="V37" s="619"/>
      <c r="W37" s="619"/>
      <c r="X37" s="619"/>
      <c r="Y37" s="619"/>
      <c r="Z37" s="619"/>
      <c r="AA37" s="619"/>
      <c r="AB37" s="619"/>
      <c r="AC37" s="619"/>
      <c r="AD37" s="619"/>
      <c r="AE37" s="619"/>
      <c r="AF37" s="619"/>
      <c r="AG37" s="619"/>
      <c r="AH37" s="619"/>
      <c r="AI37" s="619"/>
      <c r="AJ37" s="619"/>
      <c r="AK37" s="619"/>
      <c r="AL37" s="619"/>
      <c r="AM37" s="619"/>
    </row>
    <row r="38" spans="1:39" ht="14.5" customHeight="1" x14ac:dyDescent="0.4">
      <c r="A38" s="614" t="str">
        <f>'[2]DETAILS (sorted)'!A66</f>
        <v>ILS24-F00064</v>
      </c>
      <c r="B38" s="615" t="str">
        <f>'[2]DETAILS (sorted)'!B66</f>
        <v>Deogratius Mathew Lashayo</v>
      </c>
      <c r="C38" s="616"/>
      <c r="D38" s="648"/>
      <c r="E38" s="648"/>
      <c r="F38" s="648"/>
      <c r="G38" s="648"/>
      <c r="H38" s="648"/>
      <c r="I38" s="648"/>
      <c r="J38" s="648"/>
      <c r="K38" s="648"/>
      <c r="L38" s="648"/>
      <c r="M38" s="648"/>
      <c r="N38" s="649">
        <f t="shared" si="1"/>
        <v>0</v>
      </c>
      <c r="O38" s="619"/>
      <c r="P38" s="619"/>
      <c r="Q38" s="619"/>
      <c r="R38" s="619"/>
      <c r="S38" s="619"/>
      <c r="T38" s="619"/>
      <c r="U38" s="619"/>
      <c r="V38" s="619"/>
      <c r="W38" s="619"/>
      <c r="X38" s="619"/>
      <c r="Y38" s="619"/>
      <c r="Z38" s="619"/>
      <c r="AA38" s="619"/>
      <c r="AB38" s="619"/>
      <c r="AC38" s="619"/>
      <c r="AD38" s="619"/>
      <c r="AE38" s="619"/>
      <c r="AF38" s="619"/>
      <c r="AG38" s="619"/>
      <c r="AH38" s="619"/>
      <c r="AI38" s="619"/>
      <c r="AJ38" s="619"/>
      <c r="AK38" s="619"/>
      <c r="AL38" s="619"/>
      <c r="AM38" s="619"/>
    </row>
    <row r="39" spans="1:39" ht="14.5" customHeight="1" x14ac:dyDescent="0.4">
      <c r="A39" s="614" t="str">
        <f>'[2]DETAILS (sorted)'!A83</f>
        <v>ILS24-F00081</v>
      </c>
      <c r="B39" s="615" t="str">
        <f>'[2]DETAILS (sorted)'!B83</f>
        <v>Diocles Mlashani Ishengoma</v>
      </c>
      <c r="C39" s="616"/>
      <c r="D39" s="648"/>
      <c r="E39" s="648"/>
      <c r="F39" s="648"/>
      <c r="G39" s="648"/>
      <c r="H39" s="648"/>
      <c r="I39" s="648"/>
      <c r="J39" s="648"/>
      <c r="K39" s="648"/>
      <c r="L39" s="648"/>
      <c r="M39" s="648"/>
      <c r="N39" s="649">
        <f t="shared" si="1"/>
        <v>0</v>
      </c>
      <c r="O39" s="617"/>
      <c r="P39" s="617"/>
      <c r="Q39" s="617"/>
      <c r="R39" s="617"/>
      <c r="S39" s="617"/>
      <c r="T39" s="617"/>
      <c r="U39" s="617"/>
      <c r="V39" s="617"/>
      <c r="W39" s="617"/>
      <c r="X39" s="617"/>
      <c r="Y39" s="617"/>
      <c r="Z39" s="617"/>
      <c r="AA39" s="617"/>
      <c r="AB39" s="617"/>
      <c r="AC39" s="617"/>
      <c r="AD39" s="617"/>
      <c r="AE39" s="617"/>
      <c r="AF39" s="617"/>
      <c r="AG39" s="617"/>
      <c r="AH39" s="617"/>
      <c r="AI39" s="617"/>
      <c r="AJ39" s="617"/>
      <c r="AK39" s="617"/>
      <c r="AL39" s="617"/>
      <c r="AM39" s="617"/>
    </row>
    <row r="40" spans="1:39" ht="14.5" customHeight="1" x14ac:dyDescent="0.4">
      <c r="A40" s="614" t="str">
        <f>'[2]DETAILS (sorted)'!A124</f>
        <v>ILS24-F00122</v>
      </c>
      <c r="B40" s="615" t="str">
        <f>'[2]DETAILS (sorted)'!B124</f>
        <v xml:space="preserve">Dismas Prosper Batiri </v>
      </c>
      <c r="C40" s="616"/>
      <c r="D40" s="648"/>
      <c r="E40" s="648"/>
      <c r="F40" s="648"/>
      <c r="G40" s="648"/>
      <c r="H40" s="648"/>
      <c r="I40" s="648"/>
      <c r="J40" s="648"/>
      <c r="K40" s="648"/>
      <c r="L40" s="648"/>
      <c r="M40" s="648"/>
      <c r="N40" s="649">
        <f t="shared" si="1"/>
        <v>0</v>
      </c>
      <c r="O40" s="619"/>
      <c r="P40" s="619"/>
      <c r="Q40" s="619"/>
      <c r="R40" s="619"/>
      <c r="S40" s="619"/>
      <c r="T40" s="619"/>
      <c r="U40" s="619"/>
      <c r="V40" s="619"/>
      <c r="W40" s="619"/>
      <c r="X40" s="619"/>
      <c r="Y40" s="619"/>
      <c r="Z40" s="619"/>
      <c r="AA40" s="619"/>
      <c r="AB40" s="619"/>
      <c r="AC40" s="619"/>
      <c r="AD40" s="619"/>
      <c r="AE40" s="619"/>
      <c r="AF40" s="619"/>
      <c r="AG40" s="619"/>
      <c r="AH40" s="619"/>
      <c r="AI40" s="619"/>
      <c r="AJ40" s="619"/>
      <c r="AK40" s="619"/>
      <c r="AL40" s="619"/>
      <c r="AM40" s="619"/>
    </row>
    <row r="41" spans="1:39" ht="14.5" customHeight="1" x14ac:dyDescent="0.4">
      <c r="A41" s="614" t="str">
        <f>'[2]DETAILS (sorted)'!A84</f>
        <v>ILS24-F00082</v>
      </c>
      <c r="B41" s="615" t="str">
        <f>'[2]DETAILS (sorted)'!B84</f>
        <v xml:space="preserve">Edson Pascal Rwechungura </v>
      </c>
      <c r="C41" s="616"/>
      <c r="D41" s="648"/>
      <c r="E41" s="648"/>
      <c r="F41" s="648"/>
      <c r="G41" s="648"/>
      <c r="H41" s="648"/>
      <c r="I41" s="648"/>
      <c r="J41" s="648"/>
      <c r="K41" s="648"/>
      <c r="L41" s="648"/>
      <c r="M41" s="648"/>
      <c r="N41" s="649">
        <f t="shared" si="1"/>
        <v>0</v>
      </c>
      <c r="O41" s="619"/>
      <c r="P41" s="619"/>
      <c r="Q41" s="619"/>
      <c r="R41" s="619"/>
      <c r="S41" s="619"/>
      <c r="T41" s="619"/>
      <c r="U41" s="619"/>
      <c r="V41" s="619"/>
      <c r="W41" s="619"/>
      <c r="X41" s="619"/>
      <c r="Y41" s="619"/>
      <c r="Z41" s="619"/>
      <c r="AA41" s="619"/>
      <c r="AB41" s="619"/>
      <c r="AC41" s="619"/>
      <c r="AD41" s="619"/>
      <c r="AE41" s="619"/>
      <c r="AF41" s="619"/>
      <c r="AG41" s="619"/>
      <c r="AH41" s="619"/>
      <c r="AI41" s="619"/>
      <c r="AJ41" s="619"/>
      <c r="AK41" s="619"/>
      <c r="AL41" s="619"/>
      <c r="AM41" s="619"/>
    </row>
    <row r="42" spans="1:39" ht="14.5" customHeight="1" x14ac:dyDescent="0.4">
      <c r="A42" s="626" t="str">
        <f>'[2]DETAILS (sorted)'!A96</f>
        <v>ILS24-F00094</v>
      </c>
      <c r="B42" s="627" t="str">
        <f>'[2]DETAILS (sorted)'!B96</f>
        <v>Edwin Banyenza Mwombeki</v>
      </c>
      <c r="C42" s="628"/>
      <c r="D42" s="653"/>
      <c r="E42" s="653"/>
      <c r="F42" s="653"/>
      <c r="G42" s="653"/>
      <c r="H42" s="653"/>
      <c r="I42" s="653"/>
      <c r="J42" s="653"/>
      <c r="K42" s="653"/>
      <c r="L42" s="653"/>
      <c r="M42" s="653"/>
      <c r="N42" s="649">
        <f t="shared" si="1"/>
        <v>0</v>
      </c>
      <c r="O42" s="619"/>
      <c r="P42" s="619"/>
      <c r="Q42" s="619"/>
      <c r="R42" s="619"/>
      <c r="S42" s="619"/>
      <c r="T42" s="619"/>
      <c r="U42" s="619"/>
      <c r="V42" s="619"/>
      <c r="W42" s="619"/>
      <c r="X42" s="619"/>
      <c r="Y42" s="619"/>
      <c r="Z42" s="619"/>
      <c r="AA42" s="619"/>
      <c r="AB42" s="619"/>
      <c r="AC42" s="619"/>
      <c r="AD42" s="619"/>
      <c r="AE42" s="619"/>
      <c r="AF42" s="619"/>
      <c r="AG42" s="619"/>
      <c r="AH42" s="619"/>
      <c r="AI42" s="619"/>
      <c r="AJ42" s="619"/>
      <c r="AK42" s="619"/>
      <c r="AL42" s="619"/>
      <c r="AM42" s="619"/>
    </row>
    <row r="43" spans="1:39" ht="14.5" customHeight="1" x14ac:dyDescent="0.4">
      <c r="A43" s="614" t="str">
        <f>'[2]DETAILS (sorted)'!A116</f>
        <v>ILS24-F00114</v>
      </c>
      <c r="B43" s="615" t="str">
        <f>'[2]DETAILS (sorted)'!B116</f>
        <v>Edwin Francis Kordun</v>
      </c>
      <c r="C43" s="616"/>
      <c r="D43" s="648"/>
      <c r="E43" s="648"/>
      <c r="F43" s="648"/>
      <c r="G43" s="648">
        <v>15000</v>
      </c>
      <c r="H43" s="648"/>
      <c r="I43" s="648"/>
      <c r="J43" s="648"/>
      <c r="K43" s="648"/>
      <c r="L43" s="648"/>
      <c r="M43" s="648"/>
      <c r="N43" s="649">
        <f t="shared" si="1"/>
        <v>15000</v>
      </c>
      <c r="O43" s="617"/>
      <c r="P43" s="617"/>
      <c r="Q43" s="617"/>
      <c r="R43" s="617"/>
      <c r="S43" s="617"/>
      <c r="T43" s="617"/>
      <c r="U43" s="617"/>
      <c r="V43" s="617"/>
      <c r="W43" s="617"/>
      <c r="X43" s="617"/>
      <c r="Y43" s="617"/>
      <c r="Z43" s="617"/>
      <c r="AA43" s="617"/>
      <c r="AB43" s="617"/>
      <c r="AC43" s="617"/>
      <c r="AD43" s="617"/>
      <c r="AE43" s="617"/>
      <c r="AF43" s="617"/>
      <c r="AG43" s="617"/>
      <c r="AH43" s="617"/>
      <c r="AI43" s="617"/>
      <c r="AJ43" s="617"/>
      <c r="AK43" s="617"/>
      <c r="AL43" s="617"/>
      <c r="AM43" s="617"/>
    </row>
    <row r="44" spans="1:39" ht="14.5" customHeight="1" thickBot="1" x14ac:dyDescent="0.45">
      <c r="A44" s="614" t="str">
        <f>'[2]DETAILS (sorted)'!A7</f>
        <v>ILS24-F00005</v>
      </c>
      <c r="B44" s="615" t="str">
        <f>'[2]DETAILS (sorted)'!B7</f>
        <v>Elianshasaria Munisi</v>
      </c>
      <c r="C44" s="616"/>
      <c r="D44" s="648"/>
      <c r="E44" s="648">
        <v>15000</v>
      </c>
      <c r="F44" s="648"/>
      <c r="G44" s="648"/>
      <c r="H44" s="648"/>
      <c r="I44" s="648"/>
      <c r="J44" s="648"/>
      <c r="K44" s="648"/>
      <c r="L44" s="648"/>
      <c r="M44" s="648"/>
      <c r="N44" s="649">
        <f t="shared" si="1"/>
        <v>15000</v>
      </c>
      <c r="O44" s="619"/>
      <c r="P44" s="619"/>
      <c r="Q44" s="619"/>
      <c r="R44" s="619"/>
      <c r="S44" s="619"/>
      <c r="T44" s="619"/>
      <c r="U44" s="619"/>
      <c r="V44" s="619"/>
      <c r="W44" s="619"/>
      <c r="X44" s="619"/>
      <c r="Y44" s="619"/>
      <c r="Z44" s="619"/>
      <c r="AA44" s="619"/>
      <c r="AB44" s="619"/>
      <c r="AC44" s="619"/>
      <c r="AD44" s="619"/>
      <c r="AE44" s="619"/>
      <c r="AF44" s="619"/>
      <c r="AG44" s="619"/>
      <c r="AH44" s="619"/>
      <c r="AI44" s="619"/>
      <c r="AJ44" s="619"/>
      <c r="AK44" s="619"/>
      <c r="AL44" s="619"/>
      <c r="AM44" s="619"/>
    </row>
    <row r="45" spans="1:39" ht="14.5" customHeight="1" x14ac:dyDescent="0.4">
      <c r="A45" s="620" t="str">
        <f>'[2]DETAILS (sorted)'!A39</f>
        <v>ILS24-F00037</v>
      </c>
      <c r="B45" s="621" t="str">
        <f>'[2]DETAILS (sorted)'!B39</f>
        <v>Elibariki Mkumbo</v>
      </c>
      <c r="C45" s="622"/>
      <c r="D45" s="650"/>
      <c r="E45" s="650"/>
      <c r="F45" s="650"/>
      <c r="G45" s="650"/>
      <c r="H45" s="650"/>
      <c r="I45" s="650"/>
      <c r="J45" s="650"/>
      <c r="K45" s="650"/>
      <c r="L45" s="650"/>
      <c r="M45" s="650"/>
      <c r="N45" s="649">
        <f t="shared" si="1"/>
        <v>0</v>
      </c>
      <c r="O45" s="619"/>
      <c r="P45" s="619"/>
      <c r="Q45" s="619"/>
      <c r="R45" s="619"/>
      <c r="S45" s="619"/>
      <c r="T45" s="619"/>
      <c r="U45" s="619"/>
      <c r="V45" s="619"/>
      <c r="W45" s="619"/>
      <c r="X45" s="619"/>
      <c r="Y45" s="619"/>
      <c r="Z45" s="619"/>
      <c r="AA45" s="619"/>
      <c r="AB45" s="619"/>
      <c r="AC45" s="619"/>
      <c r="AD45" s="619"/>
      <c r="AE45" s="619"/>
      <c r="AF45" s="619"/>
      <c r="AG45" s="619"/>
      <c r="AH45" s="619"/>
      <c r="AI45" s="619"/>
      <c r="AJ45" s="619"/>
      <c r="AK45" s="619"/>
      <c r="AL45" s="619"/>
      <c r="AM45" s="619"/>
    </row>
    <row r="46" spans="1:39" ht="14.5" customHeight="1" x14ac:dyDescent="0.4">
      <c r="A46" s="614" t="str">
        <f>'[2]DETAILS (sorted)'!A73</f>
        <v>ILS24-F00071</v>
      </c>
      <c r="B46" s="615" t="str">
        <f>'[2]DETAILS (sorted)'!B73</f>
        <v>Eliud Hezron Massaga</v>
      </c>
      <c r="C46" s="616"/>
      <c r="D46" s="648"/>
      <c r="E46" s="648"/>
      <c r="F46" s="648"/>
      <c r="G46" s="648"/>
      <c r="H46" s="648"/>
      <c r="I46" s="648"/>
      <c r="J46" s="648"/>
      <c r="K46" s="648"/>
      <c r="L46" s="648"/>
      <c r="M46" s="648"/>
      <c r="N46" s="649">
        <f t="shared" si="1"/>
        <v>0</v>
      </c>
      <c r="O46" s="619"/>
      <c r="P46" s="619"/>
      <c r="Q46" s="619"/>
      <c r="R46" s="619"/>
      <c r="S46" s="619"/>
      <c r="T46" s="619"/>
      <c r="U46" s="619"/>
      <c r="V46" s="619"/>
      <c r="W46" s="619"/>
      <c r="X46" s="619"/>
      <c r="Y46" s="619"/>
      <c r="Z46" s="619"/>
      <c r="AA46" s="619"/>
      <c r="AB46" s="619"/>
      <c r="AC46" s="619"/>
      <c r="AD46" s="619"/>
      <c r="AE46" s="619"/>
      <c r="AF46" s="619"/>
      <c r="AG46" s="619"/>
      <c r="AH46" s="619"/>
      <c r="AI46" s="619"/>
      <c r="AJ46" s="619"/>
      <c r="AK46" s="619" t="e">
        <f>#REF!+#REF!</f>
        <v>#REF!</v>
      </c>
      <c r="AL46" s="619"/>
      <c r="AM46" s="619" t="e">
        <f>C46+#REF!</f>
        <v>#REF!</v>
      </c>
    </row>
    <row r="47" spans="1:39" ht="14.5" customHeight="1" x14ac:dyDescent="0.4">
      <c r="A47" s="614" t="str">
        <f>'[2]DETAILS (sorted)'!A31</f>
        <v>ILS24-F00029</v>
      </c>
      <c r="B47" s="615" t="str">
        <f>'[2]DETAILS (sorted)'!B31</f>
        <v>Emanuel Moshi</v>
      </c>
      <c r="C47" s="616"/>
      <c r="D47" s="648"/>
      <c r="E47" s="648"/>
      <c r="F47" s="648"/>
      <c r="G47" s="648"/>
      <c r="H47" s="648"/>
      <c r="I47" s="648"/>
      <c r="J47" s="648"/>
      <c r="K47" s="648"/>
      <c r="L47" s="648"/>
      <c r="M47" s="648"/>
      <c r="N47" s="649">
        <f t="shared" si="1"/>
        <v>0</v>
      </c>
      <c r="O47" s="619"/>
      <c r="P47" s="619"/>
      <c r="Q47" s="619"/>
      <c r="R47" s="619"/>
      <c r="S47" s="619"/>
      <c r="T47" s="619"/>
      <c r="U47" s="619"/>
      <c r="V47" s="619"/>
      <c r="W47" s="619"/>
      <c r="X47" s="619"/>
      <c r="Y47" s="619"/>
      <c r="Z47" s="619"/>
      <c r="AA47" s="619"/>
      <c r="AB47" s="619"/>
      <c r="AC47" s="619"/>
      <c r="AD47" s="619"/>
      <c r="AE47" s="619"/>
      <c r="AF47" s="619"/>
      <c r="AG47" s="619"/>
      <c r="AH47" s="619"/>
      <c r="AI47" s="619"/>
      <c r="AJ47" s="619"/>
      <c r="AK47" s="619"/>
      <c r="AL47" s="619"/>
      <c r="AM47" s="619"/>
    </row>
    <row r="48" spans="1:39" ht="14.5" customHeight="1" x14ac:dyDescent="0.4">
      <c r="A48" s="614" t="str">
        <f>'[2]DETAILS (sorted)'!A91</f>
        <v>ILS24-F00089</v>
      </c>
      <c r="B48" s="615" t="str">
        <f>'[2]DETAILS (sorted)'!B91</f>
        <v>Emmanuel Jonas Mungure</v>
      </c>
      <c r="C48" s="616"/>
      <c r="D48" s="648"/>
      <c r="E48" s="648"/>
      <c r="F48" s="648"/>
      <c r="G48" s="648"/>
      <c r="H48" s="648"/>
      <c r="I48" s="648"/>
      <c r="J48" s="648"/>
      <c r="K48" s="648"/>
      <c r="L48" s="648"/>
      <c r="M48" s="648"/>
      <c r="N48" s="649">
        <f t="shared" si="1"/>
        <v>0</v>
      </c>
      <c r="O48" s="619"/>
      <c r="P48" s="619"/>
      <c r="Q48" s="619"/>
      <c r="R48" s="619"/>
      <c r="S48" s="619"/>
      <c r="T48" s="619"/>
      <c r="U48" s="619"/>
      <c r="V48" s="619"/>
      <c r="W48" s="619"/>
      <c r="X48" s="619"/>
      <c r="Y48" s="619"/>
      <c r="Z48" s="619"/>
      <c r="AA48" s="619"/>
      <c r="AB48" s="619"/>
      <c r="AC48" s="619"/>
      <c r="AD48" s="619"/>
      <c r="AE48" s="619"/>
      <c r="AF48" s="619"/>
      <c r="AG48" s="619"/>
      <c r="AH48" s="619"/>
      <c r="AI48" s="619"/>
      <c r="AJ48" s="619"/>
      <c r="AK48" s="619"/>
      <c r="AL48" s="619"/>
      <c r="AM48" s="619"/>
    </row>
    <row r="49" spans="1:39" ht="14.5" customHeight="1" x14ac:dyDescent="0.4">
      <c r="A49" s="614" t="str">
        <f>'[2]DETAILS (sorted)'!A15</f>
        <v>ILS24-F00013</v>
      </c>
      <c r="B49" s="615" t="str">
        <f>'[2]DETAILS (sorted)'!B15</f>
        <v xml:space="preserve">Emmanuel Matechi </v>
      </c>
      <c r="C49" s="616"/>
      <c r="D49" s="648"/>
      <c r="E49" s="648"/>
      <c r="F49" s="648"/>
      <c r="G49" s="648"/>
      <c r="H49" s="648"/>
      <c r="I49" s="648"/>
      <c r="J49" s="648"/>
      <c r="K49" s="648"/>
      <c r="L49" s="648"/>
      <c r="M49" s="648"/>
      <c r="N49" s="649">
        <f t="shared" si="1"/>
        <v>0</v>
      </c>
      <c r="O49" s="619"/>
      <c r="P49" s="619"/>
      <c r="Q49" s="619"/>
      <c r="R49" s="619"/>
      <c r="S49" s="619"/>
      <c r="T49" s="619"/>
      <c r="U49" s="619"/>
      <c r="V49" s="619"/>
      <c r="W49" s="619"/>
      <c r="X49" s="619"/>
      <c r="Y49" s="619"/>
      <c r="Z49" s="619"/>
      <c r="AA49" s="619"/>
      <c r="AB49" s="619"/>
      <c r="AC49" s="619"/>
      <c r="AD49" s="619"/>
      <c r="AE49" s="619"/>
      <c r="AF49" s="619"/>
      <c r="AG49" s="619"/>
      <c r="AH49" s="619"/>
      <c r="AI49" s="619"/>
      <c r="AJ49" s="619"/>
      <c r="AK49" s="619"/>
      <c r="AL49" s="619"/>
      <c r="AM49" s="619"/>
    </row>
    <row r="50" spans="1:39" ht="14.5" customHeight="1" x14ac:dyDescent="0.4">
      <c r="A50" s="614" t="str">
        <f>'[2]DETAILS (sorted)'!A8</f>
        <v>ILS24-F00006</v>
      </c>
      <c r="B50" s="615" t="str">
        <f>'[2]DETAILS (sorted)'!B8</f>
        <v>Emmanuel Matee</v>
      </c>
      <c r="C50" s="616"/>
      <c r="D50" s="648"/>
      <c r="E50" s="648"/>
      <c r="F50" s="648"/>
      <c r="G50" s="648"/>
      <c r="H50" s="648"/>
      <c r="I50" s="648"/>
      <c r="J50" s="648"/>
      <c r="K50" s="648"/>
      <c r="L50" s="648"/>
      <c r="M50" s="648"/>
      <c r="N50" s="649">
        <f t="shared" si="1"/>
        <v>0</v>
      </c>
      <c r="O50" s="619"/>
      <c r="P50" s="619"/>
      <c r="Q50" s="619"/>
      <c r="R50" s="619"/>
      <c r="S50" s="619"/>
      <c r="T50" s="619"/>
      <c r="U50" s="619"/>
      <c r="V50" s="619"/>
      <c r="W50" s="619"/>
      <c r="X50" s="619"/>
      <c r="Y50" s="619"/>
      <c r="Z50" s="619"/>
      <c r="AA50" s="619"/>
      <c r="AB50" s="619"/>
      <c r="AC50" s="619"/>
      <c r="AD50" s="619"/>
      <c r="AE50" s="619"/>
      <c r="AF50" s="619"/>
      <c r="AG50" s="619"/>
      <c r="AH50" s="619"/>
      <c r="AI50" s="619"/>
      <c r="AJ50" s="619"/>
      <c r="AK50" s="619"/>
      <c r="AL50" s="619"/>
      <c r="AM50" s="619"/>
    </row>
    <row r="51" spans="1:39" ht="14.5" customHeight="1" x14ac:dyDescent="0.4">
      <c r="A51" s="614" t="str">
        <f>'[2]DETAILS (sorted)'!A63</f>
        <v>ILS24-F00061</v>
      </c>
      <c r="B51" s="615" t="str">
        <f>'[2]DETAILS (sorted)'!B63</f>
        <v xml:space="preserve">Emmanuel Metta </v>
      </c>
      <c r="C51" s="616"/>
      <c r="D51" s="648"/>
      <c r="E51" s="648"/>
      <c r="F51" s="648"/>
      <c r="G51" s="648">
        <v>15000</v>
      </c>
      <c r="H51" s="648"/>
      <c r="I51" s="648"/>
      <c r="J51" s="648"/>
      <c r="K51" s="648"/>
      <c r="L51" s="648"/>
      <c r="M51" s="648"/>
      <c r="N51" s="649">
        <f t="shared" si="1"/>
        <v>15000</v>
      </c>
      <c r="O51" s="619"/>
      <c r="P51" s="619"/>
      <c r="Q51" s="619"/>
      <c r="R51" s="619"/>
      <c r="S51" s="619"/>
      <c r="T51" s="619"/>
      <c r="U51" s="619"/>
      <c r="V51" s="619"/>
      <c r="W51" s="619"/>
      <c r="X51" s="619"/>
      <c r="Y51" s="619"/>
      <c r="Z51" s="619"/>
      <c r="AA51" s="619"/>
      <c r="AB51" s="619"/>
      <c r="AC51" s="619"/>
      <c r="AD51" s="619"/>
      <c r="AE51" s="619"/>
      <c r="AF51" s="619"/>
      <c r="AG51" s="619"/>
      <c r="AH51" s="619"/>
      <c r="AI51" s="619"/>
      <c r="AJ51" s="619"/>
      <c r="AK51" s="619"/>
      <c r="AL51" s="619"/>
      <c r="AM51" s="619"/>
    </row>
    <row r="52" spans="1:39" ht="14.5" customHeight="1" x14ac:dyDescent="0.4">
      <c r="A52" s="614" t="str">
        <f>'[2]DETAILS (sorted)'!A19</f>
        <v>ILS24-F00017</v>
      </c>
      <c r="B52" s="615" t="str">
        <f>'[2]DETAILS (sorted)'!B19</f>
        <v>Emmanuel Mmari</v>
      </c>
      <c r="C52" s="616"/>
      <c r="D52" s="648"/>
      <c r="E52" s="648"/>
      <c r="F52" s="648">
        <v>15000</v>
      </c>
      <c r="G52" s="648"/>
      <c r="H52" s="648"/>
      <c r="I52" s="648"/>
      <c r="J52" s="648"/>
      <c r="K52" s="648"/>
      <c r="L52" s="648"/>
      <c r="M52" s="648"/>
      <c r="N52" s="649">
        <f t="shared" si="1"/>
        <v>15000</v>
      </c>
      <c r="O52" s="619"/>
      <c r="P52" s="619"/>
      <c r="Q52" s="619"/>
      <c r="R52" s="619"/>
      <c r="S52" s="619"/>
      <c r="T52" s="619"/>
      <c r="U52" s="619"/>
      <c r="V52" s="619"/>
      <c r="W52" s="619"/>
      <c r="X52" s="619"/>
      <c r="Y52" s="619"/>
      <c r="Z52" s="619"/>
      <c r="AA52" s="619"/>
      <c r="AB52" s="619"/>
      <c r="AC52" s="619"/>
      <c r="AD52" s="619"/>
      <c r="AE52" s="619"/>
      <c r="AF52" s="619"/>
      <c r="AG52" s="619"/>
      <c r="AH52" s="619"/>
      <c r="AI52" s="619"/>
      <c r="AJ52" s="619"/>
      <c r="AK52" s="619"/>
      <c r="AL52" s="619"/>
      <c r="AM52" s="619"/>
    </row>
    <row r="53" spans="1:39" ht="14.5" customHeight="1" x14ac:dyDescent="0.4">
      <c r="A53" s="615" t="str">
        <f>'[2]DETAILS (sorted)'!A49</f>
        <v>ILS24-F00047</v>
      </c>
      <c r="B53" s="615" t="str">
        <f>'[2]DETAILS (sorted)'!B49</f>
        <v xml:space="preserve">Emmanuel Msaki </v>
      </c>
      <c r="C53" s="616"/>
      <c r="D53" s="648"/>
      <c r="E53" s="648"/>
      <c r="F53" s="648"/>
      <c r="G53" s="648"/>
      <c r="H53" s="648"/>
      <c r="I53" s="648"/>
      <c r="J53" s="648"/>
      <c r="K53" s="648"/>
      <c r="L53" s="648"/>
      <c r="M53" s="648"/>
      <c r="N53" s="649">
        <f t="shared" si="1"/>
        <v>0</v>
      </c>
      <c r="O53" s="619"/>
      <c r="P53" s="619"/>
      <c r="Q53" s="619"/>
      <c r="R53" s="619"/>
      <c r="S53" s="619"/>
      <c r="T53" s="619"/>
      <c r="U53" s="619"/>
      <c r="V53" s="619"/>
      <c r="W53" s="619"/>
      <c r="X53" s="619"/>
      <c r="Y53" s="619"/>
      <c r="Z53" s="619"/>
      <c r="AA53" s="619"/>
      <c r="AB53" s="619"/>
      <c r="AC53" s="619"/>
      <c r="AD53" s="619"/>
      <c r="AE53" s="619"/>
      <c r="AF53" s="619"/>
      <c r="AG53" s="619"/>
      <c r="AH53" s="619"/>
      <c r="AI53" s="619"/>
      <c r="AJ53" s="619"/>
      <c r="AK53" s="619"/>
      <c r="AL53" s="619"/>
      <c r="AM53" s="619"/>
    </row>
    <row r="54" spans="1:39" ht="14.5" customHeight="1" x14ac:dyDescent="0.4">
      <c r="A54" s="614" t="str">
        <f>'[2]DETAILS (sorted)'!A81</f>
        <v>ILS24-F00079</v>
      </c>
      <c r="B54" s="615" t="str">
        <f>'[2]DETAILS (sorted)'!B81</f>
        <v>Emmanuel Simforian Massawe</v>
      </c>
      <c r="C54" s="616"/>
      <c r="D54" s="648"/>
      <c r="E54" s="648"/>
      <c r="F54" s="648"/>
      <c r="G54" s="648"/>
      <c r="H54" s="648">
        <v>15000</v>
      </c>
      <c r="I54" s="648"/>
      <c r="J54" s="648"/>
      <c r="K54" s="648"/>
      <c r="L54" s="648"/>
      <c r="M54" s="648"/>
      <c r="N54" s="649">
        <f t="shared" si="1"/>
        <v>15000</v>
      </c>
      <c r="O54" s="619"/>
      <c r="P54" s="619"/>
      <c r="Q54" s="619"/>
      <c r="R54" s="619"/>
      <c r="S54" s="619"/>
      <c r="T54" s="619"/>
      <c r="U54" s="619"/>
      <c r="V54" s="619"/>
      <c r="W54" s="619"/>
      <c r="X54" s="619"/>
      <c r="Y54" s="619"/>
      <c r="Z54" s="619"/>
      <c r="AA54" s="619"/>
      <c r="AB54" s="619"/>
      <c r="AC54" s="619"/>
      <c r="AD54" s="619"/>
      <c r="AE54" s="619"/>
      <c r="AF54" s="619"/>
      <c r="AG54" s="619"/>
      <c r="AH54" s="619"/>
      <c r="AI54" s="619"/>
      <c r="AJ54" s="619"/>
      <c r="AK54" s="619"/>
      <c r="AL54" s="619"/>
      <c r="AM54" s="619"/>
    </row>
    <row r="55" spans="1:39" ht="14.5" customHeight="1" x14ac:dyDescent="0.4">
      <c r="A55" s="614" t="str">
        <f>'[2]DETAILS (sorted)'!A9</f>
        <v>ILS24-F00007</v>
      </c>
      <c r="B55" s="615" t="str">
        <f>'[2]DETAILS (sorted)'!B9</f>
        <v xml:space="preserve">Erick Kitali </v>
      </c>
      <c r="C55" s="616"/>
      <c r="D55" s="648"/>
      <c r="E55" s="648"/>
      <c r="F55" s="648"/>
      <c r="G55" s="648"/>
      <c r="H55" s="648"/>
      <c r="I55" s="648"/>
      <c r="J55" s="648"/>
      <c r="K55" s="648"/>
      <c r="L55" s="648"/>
      <c r="M55" s="648"/>
      <c r="N55" s="649">
        <f t="shared" si="1"/>
        <v>0</v>
      </c>
      <c r="O55" s="619"/>
      <c r="P55" s="619"/>
      <c r="Q55" s="619"/>
      <c r="R55" s="619"/>
      <c r="S55" s="619"/>
      <c r="T55" s="619"/>
      <c r="U55" s="619"/>
      <c r="V55" s="619"/>
      <c r="W55" s="619"/>
      <c r="X55" s="619"/>
      <c r="Y55" s="619"/>
      <c r="Z55" s="619"/>
      <c r="AA55" s="619"/>
      <c r="AB55" s="619"/>
      <c r="AC55" s="619"/>
      <c r="AD55" s="619"/>
      <c r="AE55" s="619"/>
      <c r="AF55" s="619"/>
      <c r="AG55" s="619"/>
      <c r="AH55" s="619"/>
      <c r="AI55" s="619"/>
      <c r="AJ55" s="619"/>
      <c r="AK55" s="619"/>
      <c r="AL55" s="619"/>
      <c r="AM55" s="619"/>
    </row>
    <row r="56" spans="1:39" ht="14.5" customHeight="1" x14ac:dyDescent="0.4">
      <c r="A56" s="614" t="str">
        <f>'[2]DETAILS (sorted)'!A47</f>
        <v>ILS24-F00045</v>
      </c>
      <c r="B56" s="615" t="str">
        <f>'[2]DETAILS (sorted)'!B47</f>
        <v xml:space="preserve">Ernest Phelician Shirima </v>
      </c>
      <c r="C56" s="616"/>
      <c r="D56" s="648"/>
      <c r="E56" s="648"/>
      <c r="F56" s="648"/>
      <c r="G56" s="648">
        <v>15000</v>
      </c>
      <c r="H56" s="648"/>
      <c r="I56" s="648"/>
      <c r="J56" s="648"/>
      <c r="K56" s="648"/>
      <c r="L56" s="648"/>
      <c r="M56" s="648"/>
      <c r="N56" s="649">
        <f t="shared" si="1"/>
        <v>15000</v>
      </c>
      <c r="O56" s="619"/>
      <c r="P56" s="619"/>
      <c r="Q56" s="619"/>
      <c r="R56" s="619"/>
      <c r="S56" s="619"/>
      <c r="T56" s="619"/>
      <c r="U56" s="619"/>
      <c r="V56" s="619"/>
      <c r="W56" s="619"/>
      <c r="X56" s="619"/>
      <c r="Y56" s="619"/>
      <c r="Z56" s="619"/>
      <c r="AA56" s="619"/>
      <c r="AB56" s="619"/>
      <c r="AC56" s="619"/>
      <c r="AD56" s="619"/>
      <c r="AE56" s="619"/>
      <c r="AF56" s="619"/>
      <c r="AG56" s="619"/>
      <c r="AH56" s="619"/>
      <c r="AI56" s="619"/>
      <c r="AJ56" s="619"/>
      <c r="AK56" s="619"/>
      <c r="AL56" s="619"/>
      <c r="AM56" s="619"/>
    </row>
    <row r="57" spans="1:39" ht="14.5" customHeight="1" x14ac:dyDescent="0.4">
      <c r="A57" s="614" t="str">
        <f>'[2]DETAILS (sorted)'!A30</f>
        <v>ILS24-F00028</v>
      </c>
      <c r="B57" s="615" t="str">
        <f>'[2]DETAILS (sorted)'!B30</f>
        <v xml:space="preserve">Evance Mori </v>
      </c>
      <c r="C57" s="616"/>
      <c r="D57" s="648"/>
      <c r="E57" s="648"/>
      <c r="F57" s="648"/>
      <c r="G57" s="648"/>
      <c r="H57" s="648"/>
      <c r="I57" s="648"/>
      <c r="J57" s="648"/>
      <c r="K57" s="648"/>
      <c r="L57" s="648"/>
      <c r="M57" s="648"/>
      <c r="N57" s="649">
        <f t="shared" si="1"/>
        <v>0</v>
      </c>
      <c r="O57" s="619"/>
      <c r="P57" s="619"/>
      <c r="Q57" s="619"/>
      <c r="R57" s="619"/>
      <c r="S57" s="619"/>
      <c r="T57" s="619"/>
      <c r="U57" s="619"/>
      <c r="V57" s="619"/>
      <c r="W57" s="619"/>
      <c r="X57" s="619"/>
      <c r="Y57" s="619"/>
      <c r="Z57" s="619"/>
      <c r="AA57" s="619"/>
      <c r="AB57" s="619"/>
      <c r="AC57" s="619"/>
      <c r="AD57" s="619"/>
      <c r="AE57" s="619"/>
      <c r="AF57" s="619"/>
      <c r="AG57" s="619"/>
      <c r="AH57" s="619"/>
      <c r="AI57" s="619"/>
      <c r="AJ57" s="619"/>
      <c r="AK57" s="619"/>
      <c r="AL57" s="619"/>
      <c r="AM57" s="619"/>
    </row>
    <row r="58" spans="1:39" ht="14.5" customHeight="1" x14ac:dyDescent="0.4">
      <c r="A58" s="614" t="str">
        <f>'[2]DETAILS (sorted)'!A6</f>
        <v>ILS24-F00004</v>
      </c>
      <c r="B58" s="615" t="str">
        <f>'[2]DETAILS (sorted)'!B6</f>
        <v xml:space="preserve">Evarest Exavery Francisco </v>
      </c>
      <c r="C58" s="616"/>
      <c r="D58" s="648"/>
      <c r="E58" s="648"/>
      <c r="F58" s="648"/>
      <c r="G58" s="648"/>
      <c r="H58" s="648"/>
      <c r="I58" s="648"/>
      <c r="J58" s="648"/>
      <c r="K58" s="648"/>
      <c r="L58" s="648"/>
      <c r="M58" s="648"/>
      <c r="N58" s="649">
        <f t="shared" si="1"/>
        <v>0</v>
      </c>
      <c r="O58" s="619"/>
      <c r="P58" s="619"/>
      <c r="Q58" s="619"/>
      <c r="R58" s="619"/>
      <c r="S58" s="619"/>
      <c r="T58" s="619"/>
      <c r="U58" s="619"/>
      <c r="V58" s="619"/>
      <c r="W58" s="619"/>
      <c r="X58" s="619"/>
      <c r="Y58" s="619"/>
      <c r="Z58" s="619"/>
      <c r="AA58" s="619"/>
      <c r="AB58" s="619"/>
      <c r="AC58" s="619"/>
      <c r="AD58" s="619"/>
      <c r="AE58" s="619"/>
      <c r="AF58" s="619"/>
      <c r="AG58" s="619"/>
      <c r="AH58" s="619"/>
      <c r="AI58" s="619"/>
      <c r="AJ58" s="619"/>
      <c r="AK58" s="619"/>
      <c r="AL58" s="619"/>
      <c r="AM58" s="619"/>
    </row>
    <row r="59" spans="1:39" ht="14.5" customHeight="1" x14ac:dyDescent="0.4">
      <c r="A59" s="614" t="str">
        <f>'[2]DETAILS (sorted)'!A93</f>
        <v>ILS24-F00091</v>
      </c>
      <c r="B59" s="615" t="str">
        <f>'[2]DETAILS (sorted)'!B93</f>
        <v>Everest Thadei Sikilo</v>
      </c>
      <c r="C59" s="616"/>
      <c r="D59" s="648"/>
      <c r="E59" s="648"/>
      <c r="F59" s="648"/>
      <c r="G59" s="648"/>
      <c r="H59" s="648"/>
      <c r="I59" s="648"/>
      <c r="J59" s="648"/>
      <c r="K59" s="648"/>
      <c r="L59" s="648"/>
      <c r="M59" s="648"/>
      <c r="N59" s="649">
        <f t="shared" si="1"/>
        <v>0</v>
      </c>
      <c r="O59" s="619"/>
      <c r="P59" s="619"/>
      <c r="Q59" s="619"/>
      <c r="R59" s="619"/>
      <c r="S59" s="619"/>
      <c r="T59" s="619"/>
      <c r="U59" s="619"/>
      <c r="V59" s="619"/>
      <c r="W59" s="619"/>
      <c r="X59" s="619"/>
      <c r="Y59" s="619"/>
      <c r="Z59" s="619"/>
      <c r="AA59" s="619"/>
      <c r="AB59" s="619"/>
      <c r="AC59" s="619"/>
      <c r="AD59" s="619"/>
      <c r="AE59" s="619"/>
      <c r="AF59" s="619"/>
      <c r="AG59" s="619"/>
      <c r="AH59" s="619"/>
      <c r="AI59" s="619"/>
      <c r="AJ59" s="619"/>
      <c r="AK59" s="619"/>
      <c r="AL59" s="619"/>
      <c r="AM59" s="619"/>
    </row>
    <row r="60" spans="1:39" ht="14.5" customHeight="1" x14ac:dyDescent="0.4">
      <c r="A60" s="614" t="str">
        <f>'[2]DETAILS (sorted)'!A10</f>
        <v>ILS24-F00008</v>
      </c>
      <c r="B60" s="615" t="str">
        <f>'[2]DETAILS (sorted)'!B10</f>
        <v>Felix Daniel</v>
      </c>
      <c r="C60" s="616"/>
      <c r="D60" s="648"/>
      <c r="E60" s="648"/>
      <c r="F60" s="648"/>
      <c r="G60" s="648">
        <v>15000</v>
      </c>
      <c r="H60" s="648"/>
      <c r="I60" s="648"/>
      <c r="J60" s="648"/>
      <c r="K60" s="648"/>
      <c r="L60" s="648"/>
      <c r="M60" s="648"/>
      <c r="N60" s="649">
        <f t="shared" si="1"/>
        <v>15000</v>
      </c>
      <c r="O60" s="619"/>
      <c r="P60" s="619"/>
      <c r="Q60" s="619"/>
      <c r="R60" s="619"/>
      <c r="S60" s="619"/>
      <c r="T60" s="619"/>
      <c r="U60" s="619"/>
      <c r="V60" s="619"/>
      <c r="W60" s="619"/>
      <c r="X60" s="619"/>
      <c r="Y60" s="619"/>
      <c r="Z60" s="619"/>
      <c r="AA60" s="619"/>
      <c r="AB60" s="619"/>
      <c r="AC60" s="619"/>
      <c r="AD60" s="619"/>
      <c r="AE60" s="619"/>
      <c r="AF60" s="619"/>
      <c r="AG60" s="619"/>
      <c r="AH60" s="619"/>
      <c r="AI60" s="619"/>
      <c r="AJ60" s="619"/>
      <c r="AK60" s="619"/>
      <c r="AL60" s="619"/>
      <c r="AM60" s="619"/>
    </row>
    <row r="61" spans="1:39" ht="14.5" customHeight="1" x14ac:dyDescent="0.4">
      <c r="A61" s="615" t="str">
        <f>'[2]DETAILS (sorted)'!A138</f>
        <v>ILS24-F00136</v>
      </c>
      <c r="B61" s="615" t="str">
        <f>'[2]DETAILS (sorted)'!B138</f>
        <v xml:space="preserve">Fortunatus Mhambe </v>
      </c>
      <c r="C61" s="616"/>
      <c r="D61" s="648"/>
      <c r="E61" s="648"/>
      <c r="F61" s="648"/>
      <c r="G61" s="648"/>
      <c r="H61" s="648"/>
      <c r="I61" s="648"/>
      <c r="J61" s="648"/>
      <c r="K61" s="648"/>
      <c r="L61" s="648"/>
      <c r="M61" s="648"/>
      <c r="N61" s="649">
        <f t="shared" si="1"/>
        <v>0</v>
      </c>
      <c r="O61" s="619"/>
      <c r="P61" s="619"/>
      <c r="Q61" s="619"/>
      <c r="R61" s="619"/>
      <c r="S61" s="619"/>
      <c r="T61" s="619"/>
      <c r="U61" s="619"/>
      <c r="V61" s="619"/>
      <c r="W61" s="619"/>
      <c r="X61" s="619"/>
      <c r="Y61" s="619"/>
      <c r="Z61" s="619"/>
      <c r="AA61" s="619"/>
      <c r="AB61" s="619"/>
      <c r="AC61" s="619"/>
      <c r="AD61" s="619"/>
      <c r="AE61" s="619"/>
      <c r="AF61" s="619"/>
      <c r="AG61" s="619"/>
      <c r="AH61" s="619"/>
      <c r="AI61" s="619"/>
      <c r="AJ61" s="619"/>
      <c r="AK61" s="619"/>
      <c r="AL61" s="619"/>
      <c r="AM61" s="619"/>
    </row>
    <row r="62" spans="1:39" ht="14.5" customHeight="1" x14ac:dyDescent="0.4">
      <c r="A62" s="614" t="str">
        <f>'[2]DETAILS (sorted)'!A109</f>
        <v>ILS24-F00107</v>
      </c>
      <c r="B62" s="615" t="str">
        <f>'[2]DETAILS (sorted)'!B109</f>
        <v>Francis Mwasilu</v>
      </c>
      <c r="C62" s="616"/>
      <c r="D62" s="648"/>
      <c r="E62" s="648"/>
      <c r="F62" s="648"/>
      <c r="G62" s="648"/>
      <c r="H62" s="648"/>
      <c r="I62" s="648"/>
      <c r="J62" s="648"/>
      <c r="K62" s="648"/>
      <c r="L62" s="648"/>
      <c r="M62" s="648"/>
      <c r="N62" s="649">
        <f t="shared" si="1"/>
        <v>0</v>
      </c>
      <c r="O62" s="619"/>
      <c r="P62" s="619"/>
      <c r="Q62" s="619"/>
      <c r="R62" s="619"/>
      <c r="S62" s="619"/>
      <c r="T62" s="619"/>
      <c r="U62" s="619"/>
      <c r="V62" s="619"/>
      <c r="W62" s="619"/>
      <c r="X62" s="619"/>
      <c r="Y62" s="619"/>
      <c r="Z62" s="619"/>
      <c r="AA62" s="619"/>
      <c r="AB62" s="619"/>
      <c r="AC62" s="619"/>
      <c r="AD62" s="619"/>
      <c r="AE62" s="619"/>
      <c r="AF62" s="619"/>
      <c r="AG62" s="619"/>
      <c r="AH62" s="619"/>
      <c r="AI62" s="619"/>
      <c r="AJ62" s="619"/>
      <c r="AK62" s="619"/>
      <c r="AL62" s="619"/>
      <c r="AM62" s="619"/>
    </row>
    <row r="63" spans="1:39" ht="14.5" customHeight="1" x14ac:dyDescent="0.4">
      <c r="A63" s="614" t="str">
        <f>'[2]DETAILS (sorted)'!A105</f>
        <v>ILS24-F00103</v>
      </c>
      <c r="B63" s="615" t="str">
        <f>'[2]DETAILS (sorted)'!B105</f>
        <v xml:space="preserve">Fredrick Mjema </v>
      </c>
      <c r="C63" s="616"/>
      <c r="D63" s="648"/>
      <c r="E63" s="648"/>
      <c r="F63" s="648"/>
      <c r="G63" s="648"/>
      <c r="H63" s="648"/>
      <c r="I63" s="648"/>
      <c r="J63" s="648"/>
      <c r="K63" s="648"/>
      <c r="L63" s="648"/>
      <c r="M63" s="648"/>
      <c r="N63" s="649">
        <f t="shared" si="1"/>
        <v>0</v>
      </c>
      <c r="O63" s="619"/>
      <c r="P63" s="619"/>
      <c r="Q63" s="619"/>
      <c r="R63" s="619"/>
      <c r="S63" s="619"/>
      <c r="T63" s="619"/>
      <c r="U63" s="619"/>
      <c r="V63" s="619"/>
      <c r="W63" s="619"/>
      <c r="X63" s="619"/>
      <c r="Y63" s="619"/>
      <c r="Z63" s="619"/>
      <c r="AA63" s="619"/>
      <c r="AB63" s="619"/>
      <c r="AC63" s="619"/>
      <c r="AD63" s="619"/>
      <c r="AE63" s="619"/>
      <c r="AF63" s="619"/>
      <c r="AG63" s="619"/>
      <c r="AH63" s="619"/>
      <c r="AI63" s="619"/>
      <c r="AJ63" s="619"/>
      <c r="AK63" s="619"/>
      <c r="AL63" s="619"/>
      <c r="AM63" s="619"/>
    </row>
    <row r="64" spans="1:39" ht="14.5" customHeight="1" x14ac:dyDescent="0.4">
      <c r="A64" s="614" t="str">
        <f>'[2]DETAILS (sorted)'!A35</f>
        <v>ILS24-F00033</v>
      </c>
      <c r="B64" s="615" t="str">
        <f>'[2]DETAILS (sorted)'!B35</f>
        <v xml:space="preserve">Fredrick Ndosi </v>
      </c>
      <c r="C64" s="616"/>
      <c r="D64" s="648"/>
      <c r="E64" s="648"/>
      <c r="F64" s="648"/>
      <c r="G64" s="648"/>
      <c r="H64" s="648"/>
      <c r="I64" s="648"/>
      <c r="J64" s="648"/>
      <c r="K64" s="648"/>
      <c r="L64" s="648"/>
      <c r="M64" s="648"/>
      <c r="N64" s="649">
        <f t="shared" si="1"/>
        <v>0</v>
      </c>
      <c r="O64" s="619"/>
      <c r="P64" s="619"/>
      <c r="Q64" s="619"/>
      <c r="R64" s="619"/>
      <c r="S64" s="619"/>
      <c r="T64" s="619"/>
      <c r="U64" s="619"/>
      <c r="V64" s="619"/>
      <c r="W64" s="619"/>
      <c r="X64" s="619"/>
      <c r="Y64" s="619"/>
      <c r="Z64" s="619"/>
      <c r="AA64" s="619"/>
      <c r="AB64" s="619"/>
      <c r="AC64" s="619"/>
      <c r="AD64" s="619"/>
      <c r="AE64" s="619"/>
      <c r="AF64" s="619"/>
      <c r="AG64" s="619"/>
      <c r="AH64" s="619"/>
      <c r="AI64" s="619"/>
      <c r="AJ64" s="619"/>
      <c r="AK64" s="619"/>
      <c r="AL64" s="619"/>
      <c r="AM64" s="619"/>
    </row>
    <row r="65" spans="1:39" ht="14.5" customHeight="1" x14ac:dyDescent="0.4">
      <c r="A65" s="614" t="str">
        <f>'[2]DETAILS (sorted)'!A106</f>
        <v>ILS24-F00104</v>
      </c>
      <c r="B65" s="615" t="str">
        <f>'[2]DETAILS (sorted)'!B106</f>
        <v>Fulgence Thomas Massawe</v>
      </c>
      <c r="C65" s="616"/>
      <c r="D65" s="648"/>
      <c r="E65" s="648"/>
      <c r="F65" s="648"/>
      <c r="G65" s="648"/>
      <c r="H65" s="648"/>
      <c r="I65" s="648"/>
      <c r="J65" s="648"/>
      <c r="K65" s="648"/>
      <c r="L65" s="648"/>
      <c r="M65" s="648"/>
      <c r="N65" s="649">
        <f t="shared" si="1"/>
        <v>0</v>
      </c>
      <c r="O65" s="619"/>
      <c r="P65" s="619"/>
      <c r="Q65" s="619"/>
      <c r="R65" s="619"/>
      <c r="S65" s="619"/>
      <c r="T65" s="619"/>
      <c r="U65" s="619"/>
      <c r="V65" s="619"/>
      <c r="W65" s="619"/>
      <c r="X65" s="619"/>
      <c r="Y65" s="619"/>
      <c r="Z65" s="619"/>
      <c r="AA65" s="619"/>
      <c r="AB65" s="619"/>
      <c r="AC65" s="619"/>
      <c r="AD65" s="619"/>
      <c r="AE65" s="619"/>
      <c r="AF65" s="619"/>
      <c r="AG65" s="619"/>
      <c r="AH65" s="619"/>
      <c r="AI65" s="619"/>
      <c r="AJ65" s="619"/>
      <c r="AK65" s="619"/>
      <c r="AL65" s="619"/>
      <c r="AM65" s="619"/>
    </row>
    <row r="66" spans="1:39" ht="14.5" customHeight="1" x14ac:dyDescent="0.4">
      <c r="A66" s="614" t="str">
        <f>'[2]DETAILS (sorted)'!A11</f>
        <v>ILS24-F00009</v>
      </c>
      <c r="B66" s="615" t="str">
        <f>'[2]DETAILS (sorted)'!B11</f>
        <v>Gideon Gabriel</v>
      </c>
      <c r="C66" s="616"/>
      <c r="D66" s="648"/>
      <c r="E66" s="648"/>
      <c r="F66" s="648"/>
      <c r="G66" s="648">
        <v>15000</v>
      </c>
      <c r="H66" s="648"/>
      <c r="I66" s="648"/>
      <c r="J66" s="648"/>
      <c r="K66" s="648"/>
      <c r="L66" s="648"/>
      <c r="M66" s="648"/>
      <c r="N66" s="649">
        <f t="shared" si="1"/>
        <v>15000</v>
      </c>
      <c r="O66" s="619"/>
      <c r="P66" s="619"/>
      <c r="Q66" s="619"/>
      <c r="R66" s="619"/>
      <c r="S66" s="619"/>
      <c r="T66" s="619"/>
      <c r="U66" s="619"/>
      <c r="V66" s="619"/>
      <c r="W66" s="619"/>
      <c r="X66" s="619"/>
      <c r="Y66" s="619"/>
      <c r="Z66" s="619"/>
      <c r="AA66" s="619"/>
      <c r="AB66" s="619"/>
      <c r="AC66" s="619"/>
      <c r="AD66" s="619"/>
      <c r="AE66" s="619"/>
      <c r="AF66" s="619"/>
      <c r="AG66" s="619"/>
      <c r="AH66" s="619"/>
      <c r="AI66" s="619"/>
      <c r="AJ66" s="619"/>
      <c r="AK66" s="619"/>
      <c r="AL66" s="619"/>
      <c r="AM66" s="619"/>
    </row>
    <row r="67" spans="1:39" ht="14.5" customHeight="1" x14ac:dyDescent="0.4">
      <c r="A67" s="614" t="str">
        <f>'[2]DETAILS (sorted)'!A68</f>
        <v>ILS24-F00066</v>
      </c>
      <c r="B67" s="615" t="str">
        <f>'[2]DETAILS (sorted)'!B68</f>
        <v>Gilbert Z. Mrema</v>
      </c>
      <c r="C67" s="616"/>
      <c r="D67" s="648"/>
      <c r="E67" s="648"/>
      <c r="F67" s="648"/>
      <c r="G67" s="648"/>
      <c r="H67" s="648"/>
      <c r="I67" s="648"/>
      <c r="J67" s="648"/>
      <c r="K67" s="648"/>
      <c r="L67" s="648"/>
      <c r="M67" s="648"/>
      <c r="N67" s="649">
        <f t="shared" ref="N67:N98" si="2">SUM(D67:M67)</f>
        <v>0</v>
      </c>
      <c r="O67" s="619"/>
      <c r="P67" s="619"/>
      <c r="Q67" s="619"/>
      <c r="R67" s="619"/>
      <c r="S67" s="619"/>
      <c r="T67" s="619"/>
      <c r="U67" s="619"/>
      <c r="V67" s="619"/>
      <c r="W67" s="619"/>
      <c r="X67" s="619"/>
      <c r="Y67" s="619"/>
      <c r="Z67" s="619"/>
      <c r="AA67" s="619"/>
      <c r="AB67" s="619"/>
      <c r="AC67" s="619"/>
      <c r="AD67" s="619"/>
      <c r="AE67" s="619"/>
      <c r="AF67" s="619"/>
      <c r="AG67" s="619"/>
      <c r="AH67" s="619"/>
      <c r="AI67" s="619"/>
      <c r="AJ67" s="619"/>
      <c r="AK67" s="619"/>
      <c r="AL67" s="619"/>
      <c r="AM67" s="619"/>
    </row>
    <row r="68" spans="1:39" ht="14.5" customHeight="1" x14ac:dyDescent="0.4">
      <c r="A68" s="615" t="str">
        <f>'[2]DETAILS (sorted)'!A122</f>
        <v>ILS24-F00120</v>
      </c>
      <c r="B68" s="615" t="str">
        <f>'[2]DETAILS (sorted)'!B122</f>
        <v xml:space="preserve">Goodwil D. Nambaya </v>
      </c>
      <c r="C68" s="616"/>
      <c r="D68" s="648"/>
      <c r="E68" s="648"/>
      <c r="F68" s="648"/>
      <c r="G68" s="648">
        <v>15000</v>
      </c>
      <c r="H68" s="648"/>
      <c r="I68" s="648"/>
      <c r="J68" s="648"/>
      <c r="K68" s="648"/>
      <c r="L68" s="648"/>
      <c r="M68" s="648"/>
      <c r="N68" s="649">
        <f t="shared" si="2"/>
        <v>15000</v>
      </c>
      <c r="O68" s="619"/>
      <c r="P68" s="619"/>
      <c r="Q68" s="619"/>
      <c r="R68" s="619"/>
      <c r="S68" s="619"/>
      <c r="T68" s="619"/>
      <c r="U68" s="619"/>
      <c r="V68" s="619"/>
      <c r="W68" s="619"/>
      <c r="X68" s="619"/>
      <c r="Y68" s="619"/>
      <c r="Z68" s="619"/>
      <c r="AA68" s="619"/>
      <c r="AB68" s="619"/>
      <c r="AC68" s="619"/>
      <c r="AD68" s="619"/>
      <c r="AE68" s="619"/>
      <c r="AF68" s="619"/>
      <c r="AG68" s="619"/>
      <c r="AH68" s="619"/>
      <c r="AI68" s="619"/>
      <c r="AJ68" s="619"/>
      <c r="AK68" s="619"/>
      <c r="AL68" s="619"/>
      <c r="AM68" s="619"/>
    </row>
    <row r="69" spans="1:39" ht="14.5" customHeight="1" thickBot="1" x14ac:dyDescent="0.45">
      <c r="A69" s="629" t="str">
        <f>'[2]DETAILS (sorted)'!A126</f>
        <v>ILS24-F00124</v>
      </c>
      <c r="B69" s="630" t="str">
        <f>'[2]DETAILS (sorted)'!B126</f>
        <v>Hamad Habeeb Mansoor</v>
      </c>
      <c r="C69" s="631"/>
      <c r="D69" s="654"/>
      <c r="E69" s="654"/>
      <c r="F69" s="654"/>
      <c r="G69" s="654"/>
      <c r="H69" s="654"/>
      <c r="I69" s="654"/>
      <c r="J69" s="654"/>
      <c r="K69" s="654"/>
      <c r="L69" s="654"/>
      <c r="M69" s="654"/>
      <c r="N69" s="649">
        <f t="shared" si="2"/>
        <v>0</v>
      </c>
      <c r="O69" s="619"/>
      <c r="P69" s="619"/>
      <c r="Q69" s="619"/>
      <c r="R69" s="619"/>
      <c r="S69" s="619"/>
      <c r="T69" s="619"/>
      <c r="U69" s="619"/>
      <c r="V69" s="619"/>
      <c r="W69" s="619"/>
      <c r="X69" s="619"/>
      <c r="Y69" s="619"/>
      <c r="Z69" s="619"/>
      <c r="AA69" s="619"/>
      <c r="AB69" s="619"/>
      <c r="AC69" s="619"/>
      <c r="AD69" s="619"/>
      <c r="AE69" s="619"/>
      <c r="AF69" s="619"/>
      <c r="AG69" s="619"/>
      <c r="AH69" s="619"/>
      <c r="AI69" s="619"/>
      <c r="AJ69" s="619"/>
      <c r="AK69" s="619"/>
      <c r="AL69" s="619"/>
      <c r="AM69" s="619"/>
    </row>
    <row r="70" spans="1:39" ht="14.5" customHeight="1" x14ac:dyDescent="0.4">
      <c r="A70" s="614" t="str">
        <f>'[2]DETAILS (sorted)'!A27</f>
        <v>ILS24-F00025</v>
      </c>
      <c r="B70" s="615" t="str">
        <f>'[2]DETAILS (sorted)'!B27</f>
        <v xml:space="preserve">Hassan Matata </v>
      </c>
      <c r="C70" s="616"/>
      <c r="D70" s="648"/>
      <c r="E70" s="648"/>
      <c r="F70" s="648"/>
      <c r="G70" s="648"/>
      <c r="H70" s="648"/>
      <c r="I70" s="648"/>
      <c r="J70" s="648"/>
      <c r="K70" s="648"/>
      <c r="L70" s="648"/>
      <c r="M70" s="648"/>
      <c r="N70" s="649">
        <f t="shared" si="2"/>
        <v>0</v>
      </c>
      <c r="O70" s="619"/>
      <c r="P70" s="619"/>
      <c r="Q70" s="619"/>
      <c r="R70" s="619"/>
      <c r="S70" s="619"/>
      <c r="T70" s="619"/>
      <c r="U70" s="619"/>
      <c r="V70" s="619"/>
      <c r="W70" s="619"/>
      <c r="X70" s="619"/>
      <c r="Y70" s="619"/>
      <c r="Z70" s="619"/>
      <c r="AA70" s="619"/>
      <c r="AB70" s="619"/>
      <c r="AC70" s="619"/>
      <c r="AD70" s="619"/>
      <c r="AE70" s="619"/>
      <c r="AF70" s="619"/>
      <c r="AG70" s="619"/>
      <c r="AH70" s="619"/>
      <c r="AI70" s="619"/>
      <c r="AJ70" s="619"/>
      <c r="AK70" s="619"/>
      <c r="AL70" s="619"/>
      <c r="AM70" s="619"/>
    </row>
    <row r="71" spans="1:39" ht="14.5" customHeight="1" x14ac:dyDescent="0.4">
      <c r="A71" s="615" t="str">
        <f>'[2]DETAILS (sorted)'!A145</f>
        <v>ILS24-F00143</v>
      </c>
      <c r="B71" s="615" t="str">
        <f>'[2]DETAILS (sorted)'!B145</f>
        <v xml:space="preserve">Honest Tesha </v>
      </c>
      <c r="C71" s="616"/>
      <c r="D71" s="648"/>
      <c r="E71" s="648"/>
      <c r="F71" s="648"/>
      <c r="G71" s="648"/>
      <c r="H71" s="648"/>
      <c r="I71" s="648"/>
      <c r="J71" s="648"/>
      <c r="K71" s="648"/>
      <c r="L71" s="648"/>
      <c r="M71" s="648"/>
      <c r="N71" s="649">
        <f t="shared" si="2"/>
        <v>0</v>
      </c>
      <c r="O71" s="619"/>
      <c r="P71" s="619"/>
      <c r="Q71" s="619"/>
      <c r="R71" s="619"/>
      <c r="S71" s="619"/>
      <c r="T71" s="619"/>
      <c r="U71" s="619"/>
      <c r="V71" s="619"/>
      <c r="W71" s="619"/>
      <c r="X71" s="619"/>
      <c r="Y71" s="619"/>
      <c r="Z71" s="619"/>
      <c r="AA71" s="619"/>
      <c r="AB71" s="619"/>
      <c r="AC71" s="619"/>
      <c r="AD71" s="619"/>
      <c r="AE71" s="619"/>
      <c r="AF71" s="619"/>
      <c r="AG71" s="619"/>
      <c r="AH71" s="619"/>
      <c r="AI71" s="619"/>
      <c r="AJ71" s="619"/>
      <c r="AK71" s="619"/>
      <c r="AL71" s="619"/>
      <c r="AM71" s="619"/>
    </row>
    <row r="72" spans="1:39" ht="14.5" customHeight="1" x14ac:dyDescent="0.4">
      <c r="A72" s="614" t="str">
        <f>'[2]DETAILS (sorted)'!A148</f>
        <v>ILS24-F00146</v>
      </c>
      <c r="B72" s="615" t="str">
        <f>'[2]DETAILS (sorted)'!B148</f>
        <v>Hussein Hussein Shamdas</v>
      </c>
      <c r="C72" s="616"/>
      <c r="D72" s="648"/>
      <c r="E72" s="648"/>
      <c r="F72" s="648"/>
      <c r="G72" s="648"/>
      <c r="H72" s="648"/>
      <c r="I72" s="648"/>
      <c r="J72" s="648"/>
      <c r="K72" s="648"/>
      <c r="L72" s="648"/>
      <c r="M72" s="648"/>
      <c r="N72" s="649">
        <f t="shared" si="2"/>
        <v>0</v>
      </c>
      <c r="O72" s="619"/>
      <c r="P72" s="619"/>
      <c r="Q72" s="619"/>
      <c r="R72" s="619"/>
      <c r="S72" s="619"/>
      <c r="T72" s="619"/>
      <c r="U72" s="619"/>
      <c r="V72" s="619"/>
      <c r="W72" s="619"/>
      <c r="X72" s="619"/>
      <c r="Y72" s="619"/>
      <c r="Z72" s="619"/>
      <c r="AA72" s="619"/>
      <c r="AB72" s="619"/>
      <c r="AC72" s="619"/>
      <c r="AD72" s="619"/>
      <c r="AE72" s="619"/>
      <c r="AF72" s="619"/>
      <c r="AG72" s="619"/>
      <c r="AH72" s="619"/>
      <c r="AI72" s="619"/>
      <c r="AJ72" s="619"/>
      <c r="AK72" s="619"/>
      <c r="AL72" s="619"/>
      <c r="AM72" s="619"/>
    </row>
    <row r="73" spans="1:39" ht="14.5" customHeight="1" x14ac:dyDescent="0.4">
      <c r="A73" s="614" t="str">
        <f>'[2]DETAILS (sorted)'!A129</f>
        <v>ILS24-F00127</v>
      </c>
      <c r="B73" s="615" t="str">
        <f>'[2]DETAILS (sorted)'!B129</f>
        <v>Ignas Nicodemus Chilewa</v>
      </c>
      <c r="C73" s="616"/>
      <c r="D73" s="648"/>
      <c r="E73" s="648"/>
      <c r="F73" s="648"/>
      <c r="G73" s="648"/>
      <c r="H73" s="648"/>
      <c r="I73" s="648"/>
      <c r="J73" s="648"/>
      <c r="K73" s="648"/>
      <c r="L73" s="648"/>
      <c r="M73" s="648"/>
      <c r="N73" s="649">
        <f t="shared" si="2"/>
        <v>0</v>
      </c>
      <c r="O73" s="619"/>
      <c r="P73" s="619"/>
      <c r="Q73" s="619"/>
      <c r="R73" s="619"/>
      <c r="S73" s="619"/>
      <c r="T73" s="619"/>
      <c r="U73" s="619"/>
      <c r="V73" s="619"/>
      <c r="W73" s="619"/>
      <c r="X73" s="619"/>
      <c r="Y73" s="619"/>
      <c r="Z73" s="619"/>
      <c r="AA73" s="619"/>
      <c r="AB73" s="619"/>
      <c r="AC73" s="619"/>
      <c r="AD73" s="619"/>
      <c r="AE73" s="619"/>
      <c r="AF73" s="619"/>
      <c r="AG73" s="619"/>
      <c r="AH73" s="619"/>
      <c r="AI73" s="619"/>
      <c r="AJ73" s="619"/>
      <c r="AK73" s="619"/>
      <c r="AL73" s="619"/>
      <c r="AM73" s="619"/>
    </row>
    <row r="74" spans="1:39" ht="14.5" customHeight="1" x14ac:dyDescent="0.4">
      <c r="A74" s="614" t="str">
        <f>'[2]DETAILS (sorted)'!A24</f>
        <v>ILS24-F00022</v>
      </c>
      <c r="B74" s="615" t="str">
        <f>'[2]DETAILS (sorted)'!B24</f>
        <v>Innocent Mosha</v>
      </c>
      <c r="C74" s="616"/>
      <c r="D74" s="648"/>
      <c r="E74" s="648"/>
      <c r="F74" s="648"/>
      <c r="G74" s="648"/>
      <c r="H74" s="648"/>
      <c r="I74" s="648"/>
      <c r="J74" s="648"/>
      <c r="K74" s="648"/>
      <c r="L74" s="648"/>
      <c r="M74" s="648"/>
      <c r="N74" s="649">
        <f t="shared" si="2"/>
        <v>0</v>
      </c>
      <c r="O74" s="619"/>
      <c r="P74" s="619"/>
      <c r="Q74" s="619"/>
      <c r="R74" s="619"/>
      <c r="S74" s="619"/>
      <c r="T74" s="619"/>
      <c r="U74" s="619"/>
      <c r="V74" s="619"/>
      <c r="W74" s="619"/>
      <c r="X74" s="619"/>
      <c r="Y74" s="619"/>
      <c r="Z74" s="619"/>
      <c r="AA74" s="619"/>
      <c r="AB74" s="619"/>
      <c r="AC74" s="619"/>
      <c r="AD74" s="619"/>
      <c r="AE74" s="619"/>
      <c r="AF74" s="619"/>
      <c r="AG74" s="619"/>
      <c r="AH74" s="619"/>
      <c r="AI74" s="619"/>
      <c r="AJ74" s="619"/>
      <c r="AK74" s="619"/>
      <c r="AL74" s="619"/>
      <c r="AM74" s="619"/>
    </row>
    <row r="75" spans="1:39" ht="14.5" customHeight="1" x14ac:dyDescent="0.4">
      <c r="A75" s="614" t="str">
        <f>'[2]DETAILS (sorted)'!A45</f>
        <v>ILS24-F00043</v>
      </c>
      <c r="B75" s="615" t="str">
        <f>'[2]DETAILS (sorted)'!B45</f>
        <v xml:space="preserve">Innocent R. Kasigwa </v>
      </c>
      <c r="C75" s="616"/>
      <c r="D75" s="648"/>
      <c r="E75" s="648"/>
      <c r="F75" s="648"/>
      <c r="G75" s="648"/>
      <c r="H75" s="648"/>
      <c r="I75" s="648"/>
      <c r="J75" s="648"/>
      <c r="K75" s="648"/>
      <c r="L75" s="648"/>
      <c r="M75" s="648"/>
      <c r="N75" s="649">
        <f t="shared" si="2"/>
        <v>0</v>
      </c>
      <c r="O75" s="619"/>
      <c r="P75" s="619"/>
      <c r="Q75" s="619"/>
      <c r="R75" s="619"/>
      <c r="S75" s="619"/>
      <c r="T75" s="619"/>
      <c r="U75" s="619"/>
      <c r="V75" s="619"/>
      <c r="W75" s="619"/>
      <c r="X75" s="619"/>
      <c r="Y75" s="619"/>
      <c r="Z75" s="619"/>
      <c r="AA75" s="619"/>
      <c r="AB75" s="619"/>
      <c r="AC75" s="619"/>
      <c r="AD75" s="619"/>
      <c r="AE75" s="619"/>
      <c r="AF75" s="619"/>
      <c r="AG75" s="619"/>
      <c r="AH75" s="619"/>
      <c r="AI75" s="619"/>
      <c r="AJ75" s="619"/>
      <c r="AK75" s="619"/>
      <c r="AL75" s="619"/>
      <c r="AM75" s="619"/>
    </row>
    <row r="76" spans="1:39" ht="14.5" customHeight="1" x14ac:dyDescent="0.4">
      <c r="A76" s="614" t="str">
        <f>'[2]DETAILS (sorted)'!A103</f>
        <v>ILS24-F00101</v>
      </c>
      <c r="B76" s="615" t="str">
        <f>'[2]DETAILS (sorted)'!B103</f>
        <v xml:space="preserve">Is-Haka Mkwawa </v>
      </c>
      <c r="C76" s="616"/>
      <c r="D76" s="648"/>
      <c r="E76" s="648"/>
      <c r="F76" s="648"/>
      <c r="G76" s="648"/>
      <c r="H76" s="648"/>
      <c r="I76" s="648"/>
      <c r="J76" s="648"/>
      <c r="K76" s="648"/>
      <c r="L76" s="648"/>
      <c r="M76" s="648"/>
      <c r="N76" s="649">
        <f t="shared" si="2"/>
        <v>0</v>
      </c>
      <c r="O76" s="619"/>
      <c r="P76" s="619"/>
      <c r="Q76" s="619"/>
      <c r="R76" s="619"/>
      <c r="S76" s="619"/>
      <c r="T76" s="619"/>
      <c r="U76" s="619"/>
      <c r="V76" s="619"/>
      <c r="W76" s="619"/>
      <c r="X76" s="619"/>
      <c r="Y76" s="619"/>
      <c r="Z76" s="619"/>
      <c r="AA76" s="619"/>
      <c r="AB76" s="619"/>
      <c r="AC76" s="619"/>
      <c r="AD76" s="619"/>
      <c r="AE76" s="619"/>
      <c r="AF76" s="619"/>
      <c r="AG76" s="619"/>
      <c r="AH76" s="619"/>
      <c r="AI76" s="619"/>
      <c r="AJ76" s="619"/>
      <c r="AK76" s="619"/>
      <c r="AL76" s="619"/>
      <c r="AM76" s="619"/>
    </row>
    <row r="77" spans="1:39" ht="14.5" customHeight="1" x14ac:dyDescent="0.4">
      <c r="A77" s="614" t="str">
        <f>'[2]DETAILS (sorted)'!A99</f>
        <v>ILS24-F00097</v>
      </c>
      <c r="B77" s="615" t="str">
        <f>'[2]DETAILS (sorted)'!B99</f>
        <v>Jackson N. Mmary</v>
      </c>
      <c r="C77" s="616"/>
      <c r="D77" s="648"/>
      <c r="E77" s="648"/>
      <c r="F77" s="648"/>
      <c r="G77" s="648"/>
      <c r="H77" s="648"/>
      <c r="I77" s="648"/>
      <c r="J77" s="648"/>
      <c r="K77" s="648"/>
      <c r="L77" s="648"/>
      <c r="M77" s="648"/>
      <c r="N77" s="649">
        <f t="shared" si="2"/>
        <v>0</v>
      </c>
      <c r="O77" s="619"/>
      <c r="P77" s="619"/>
      <c r="Q77" s="619"/>
      <c r="R77" s="619"/>
      <c r="S77" s="619"/>
      <c r="T77" s="619"/>
      <c r="U77" s="619"/>
      <c r="V77" s="619"/>
      <c r="W77" s="619"/>
      <c r="X77" s="619"/>
      <c r="Y77" s="619"/>
      <c r="Z77" s="619"/>
      <c r="AA77" s="619"/>
      <c r="AB77" s="619"/>
      <c r="AC77" s="619"/>
      <c r="AD77" s="619"/>
      <c r="AE77" s="619"/>
      <c r="AF77" s="619"/>
      <c r="AG77" s="619"/>
      <c r="AH77" s="619"/>
      <c r="AI77" s="619"/>
      <c r="AJ77" s="619"/>
      <c r="AK77" s="619"/>
      <c r="AL77" s="619"/>
      <c r="AM77" s="619"/>
    </row>
    <row r="78" spans="1:39" ht="14.5" customHeight="1" x14ac:dyDescent="0.4">
      <c r="A78" s="614" t="str">
        <f>'[2]DETAILS (sorted)'!A13</f>
        <v>ILS24-F00011</v>
      </c>
      <c r="B78" s="615" t="str">
        <f>'[2]DETAILS (sorted)'!B13</f>
        <v xml:space="preserve">Jacob Shabani Mangu </v>
      </c>
      <c r="C78" s="616"/>
      <c r="D78" s="648"/>
      <c r="E78" s="648"/>
      <c r="F78" s="648">
        <v>15000</v>
      </c>
      <c r="G78" s="648">
        <v>15000</v>
      </c>
      <c r="H78" s="648"/>
      <c r="I78" s="648"/>
      <c r="J78" s="648"/>
      <c r="K78" s="648"/>
      <c r="L78" s="648"/>
      <c r="M78" s="648"/>
      <c r="N78" s="649">
        <f t="shared" si="2"/>
        <v>30000</v>
      </c>
      <c r="O78" s="619"/>
      <c r="P78" s="619"/>
      <c r="Q78" s="619"/>
      <c r="R78" s="619"/>
      <c r="S78" s="619"/>
      <c r="T78" s="619"/>
      <c r="U78" s="619"/>
      <c r="V78" s="619"/>
      <c r="W78" s="619"/>
      <c r="X78" s="619"/>
      <c r="Y78" s="619"/>
      <c r="Z78" s="619"/>
      <c r="AA78" s="619"/>
      <c r="AB78" s="619"/>
      <c r="AC78" s="619"/>
      <c r="AD78" s="619"/>
      <c r="AE78" s="619"/>
      <c r="AF78" s="619"/>
      <c r="AG78" s="619"/>
      <c r="AH78" s="619"/>
      <c r="AI78" s="619"/>
      <c r="AJ78" s="619"/>
      <c r="AK78" s="619"/>
      <c r="AL78" s="619"/>
      <c r="AM78" s="619"/>
    </row>
    <row r="79" spans="1:39" ht="14.5" customHeight="1" x14ac:dyDescent="0.4">
      <c r="A79" s="614" t="str">
        <f>'[2]DETAILS (sorted)'!A147</f>
        <v>ILS24-F00145</v>
      </c>
      <c r="B79" s="615" t="str">
        <f>'[2]DETAILS (sorted)'!B147</f>
        <v>Jaha Kamugisha Mvuha</v>
      </c>
      <c r="C79" s="616"/>
      <c r="D79" s="648"/>
      <c r="E79" s="648"/>
      <c r="F79" s="648"/>
      <c r="G79" s="648"/>
      <c r="H79" s="648"/>
      <c r="I79" s="648"/>
      <c r="J79" s="648"/>
      <c r="K79" s="648"/>
      <c r="L79" s="648"/>
      <c r="M79" s="648"/>
      <c r="N79" s="649">
        <f t="shared" si="2"/>
        <v>0</v>
      </c>
      <c r="O79" s="619"/>
      <c r="P79" s="619"/>
      <c r="Q79" s="619"/>
      <c r="R79" s="619"/>
      <c r="S79" s="619"/>
      <c r="T79" s="619"/>
      <c r="U79" s="619"/>
      <c r="V79" s="619"/>
      <c r="W79" s="619"/>
      <c r="X79" s="619"/>
      <c r="Y79" s="619"/>
      <c r="Z79" s="619"/>
      <c r="AA79" s="619"/>
      <c r="AB79" s="619"/>
      <c r="AC79" s="619"/>
      <c r="AD79" s="619"/>
      <c r="AE79" s="619"/>
      <c r="AF79" s="619"/>
      <c r="AG79" s="619"/>
      <c r="AH79" s="619"/>
      <c r="AI79" s="619"/>
      <c r="AJ79" s="619"/>
      <c r="AK79" s="619"/>
      <c r="AL79" s="619"/>
      <c r="AM79" s="619"/>
    </row>
    <row r="80" spans="1:39" ht="14.5" customHeight="1" x14ac:dyDescent="0.4">
      <c r="A80" s="614" t="str">
        <f>'[2]DETAILS (sorted)'!A104</f>
        <v>ILS24-F00102</v>
      </c>
      <c r="B80" s="615" t="str">
        <f>'[2]DETAILS (sorted)'!B104</f>
        <v>James Ignas Koola</v>
      </c>
      <c r="C80" s="616"/>
      <c r="D80" s="648"/>
      <c r="E80" s="648"/>
      <c r="F80" s="648"/>
      <c r="G80" s="648"/>
      <c r="H80" s="648"/>
      <c r="I80" s="648"/>
      <c r="J80" s="648"/>
      <c r="K80" s="648"/>
      <c r="L80" s="648"/>
      <c r="M80" s="648"/>
      <c r="N80" s="649">
        <f t="shared" si="2"/>
        <v>0</v>
      </c>
      <c r="O80" s="619"/>
      <c r="P80" s="619"/>
      <c r="Q80" s="619"/>
      <c r="R80" s="619"/>
      <c r="S80" s="619"/>
      <c r="T80" s="619"/>
      <c r="U80" s="619"/>
      <c r="V80" s="619"/>
      <c r="W80" s="619"/>
      <c r="X80" s="619"/>
      <c r="Y80" s="619"/>
      <c r="Z80" s="619"/>
      <c r="AA80" s="619"/>
      <c r="AB80" s="619"/>
      <c r="AC80" s="619"/>
      <c r="AD80" s="619"/>
      <c r="AE80" s="619"/>
      <c r="AF80" s="619"/>
      <c r="AG80" s="619"/>
      <c r="AH80" s="619"/>
      <c r="AI80" s="619"/>
      <c r="AJ80" s="619"/>
      <c r="AK80" s="619"/>
      <c r="AL80" s="619"/>
      <c r="AM80" s="619"/>
    </row>
    <row r="81" spans="1:39" ht="14.5" customHeight="1" x14ac:dyDescent="0.4">
      <c r="A81" s="614" t="str">
        <f>'[2]DETAILS (sorted)'!A60</f>
        <v>ILS24-F00058</v>
      </c>
      <c r="B81" s="615" t="str">
        <f>'[2]DETAILS (sorted)'!B60</f>
        <v>Jocobs Casthom Mwambegele</v>
      </c>
      <c r="C81" s="616"/>
      <c r="D81" s="648"/>
      <c r="E81" s="648"/>
      <c r="F81" s="648"/>
      <c r="G81" s="648"/>
      <c r="H81" s="648"/>
      <c r="I81" s="648"/>
      <c r="J81" s="648"/>
      <c r="K81" s="648"/>
      <c r="L81" s="648"/>
      <c r="M81" s="648"/>
      <c r="N81" s="649">
        <f t="shared" si="2"/>
        <v>0</v>
      </c>
      <c r="O81" s="619"/>
      <c r="P81" s="619"/>
      <c r="Q81" s="619"/>
      <c r="R81" s="619"/>
      <c r="S81" s="619"/>
      <c r="T81" s="619"/>
      <c r="U81" s="619"/>
      <c r="V81" s="619"/>
      <c r="W81" s="619"/>
      <c r="X81" s="619"/>
      <c r="Y81" s="619"/>
      <c r="Z81" s="619"/>
      <c r="AA81" s="619"/>
      <c r="AB81" s="619"/>
      <c r="AC81" s="619"/>
      <c r="AD81" s="619"/>
      <c r="AE81" s="619"/>
      <c r="AF81" s="619"/>
      <c r="AG81" s="619"/>
      <c r="AH81" s="619"/>
      <c r="AI81" s="619"/>
      <c r="AJ81" s="619"/>
      <c r="AK81" s="619"/>
      <c r="AL81" s="619"/>
      <c r="AM81" s="619"/>
    </row>
    <row r="82" spans="1:39" ht="14.5" customHeight="1" x14ac:dyDescent="0.4">
      <c r="A82" s="614" t="str">
        <f>'[2]DETAILS (sorted)'!A22</f>
        <v>ILS24-F00020</v>
      </c>
      <c r="B82" s="615" t="str">
        <f>'[2]DETAILS (sorted)'!B22</f>
        <v xml:space="preserve">John Arbogast Massawe </v>
      </c>
      <c r="C82" s="616"/>
      <c r="D82" s="648"/>
      <c r="E82" s="648"/>
      <c r="F82" s="648"/>
      <c r="G82" s="648"/>
      <c r="H82" s="648"/>
      <c r="I82" s="648"/>
      <c r="J82" s="648"/>
      <c r="K82" s="648"/>
      <c r="L82" s="648"/>
      <c r="M82" s="648"/>
      <c r="N82" s="649">
        <f t="shared" si="2"/>
        <v>0</v>
      </c>
      <c r="O82" s="619"/>
      <c r="P82" s="619"/>
      <c r="Q82" s="619"/>
      <c r="R82" s="619"/>
      <c r="S82" s="619"/>
      <c r="T82" s="619"/>
      <c r="U82" s="619"/>
      <c r="V82" s="619"/>
      <c r="W82" s="619"/>
      <c r="X82" s="619"/>
      <c r="Y82" s="619"/>
      <c r="Z82" s="619"/>
      <c r="AA82" s="619"/>
      <c r="AB82" s="619"/>
      <c r="AC82" s="619"/>
      <c r="AD82" s="619"/>
      <c r="AE82" s="619"/>
      <c r="AF82" s="619"/>
      <c r="AG82" s="619"/>
      <c r="AH82" s="619"/>
      <c r="AI82" s="619"/>
      <c r="AJ82" s="619"/>
      <c r="AK82" s="619"/>
      <c r="AL82" s="619"/>
      <c r="AM82" s="619"/>
    </row>
    <row r="83" spans="1:39" ht="14.5" customHeight="1" x14ac:dyDescent="0.4">
      <c r="A83" s="614" t="str">
        <f>'[2]DETAILS (sorted)'!A95</f>
        <v>ILS24-F00093</v>
      </c>
      <c r="B83" s="615" t="str">
        <f>'[2]DETAILS (sorted)'!B95</f>
        <v xml:space="preserve">Jonas Mgundulwa Mwano </v>
      </c>
      <c r="C83" s="616"/>
      <c r="D83" s="648"/>
      <c r="E83" s="648"/>
      <c r="F83" s="648"/>
      <c r="G83" s="648"/>
      <c r="H83" s="648"/>
      <c r="I83" s="648"/>
      <c r="J83" s="648"/>
      <c r="K83" s="648"/>
      <c r="L83" s="648"/>
      <c r="M83" s="648"/>
      <c r="N83" s="649">
        <f t="shared" si="2"/>
        <v>0</v>
      </c>
    </row>
    <row r="84" spans="1:39" ht="14.5" customHeight="1" x14ac:dyDescent="0.4">
      <c r="A84" s="614" t="str">
        <f>'[2]DETAILS (sorted)'!A113</f>
        <v>ILS24-F00111</v>
      </c>
      <c r="B84" s="615" t="str">
        <f>'[2]DETAILS (sorted)'!B113</f>
        <v xml:space="preserve">Joseph Albin Swai </v>
      </c>
      <c r="C84" s="616"/>
      <c r="D84" s="648"/>
      <c r="E84" s="648"/>
      <c r="F84" s="648"/>
      <c r="G84" s="648"/>
      <c r="H84" s="648"/>
      <c r="I84" s="648"/>
      <c r="J84" s="648"/>
      <c r="K84" s="648"/>
      <c r="L84" s="648"/>
      <c r="M84" s="648"/>
      <c r="N84" s="649">
        <f t="shared" si="2"/>
        <v>0</v>
      </c>
    </row>
    <row r="85" spans="1:39" ht="14.5" customHeight="1" x14ac:dyDescent="0.4">
      <c r="A85" s="614" t="str">
        <f>'[2]DETAILS (sorted)'!A88</f>
        <v>ILS24-F00086</v>
      </c>
      <c r="B85" s="615" t="str">
        <f>'[2]DETAILS (sorted)'!B88</f>
        <v>Joseph Placid Njuu</v>
      </c>
      <c r="C85" s="616"/>
      <c r="D85" s="648"/>
      <c r="E85" s="648"/>
      <c r="F85" s="648"/>
      <c r="G85" s="648"/>
      <c r="H85" s="648"/>
      <c r="I85" s="648"/>
      <c r="J85" s="648"/>
      <c r="K85" s="648"/>
      <c r="L85" s="648"/>
      <c r="M85" s="648"/>
      <c r="N85" s="649">
        <f t="shared" si="2"/>
        <v>0</v>
      </c>
    </row>
    <row r="86" spans="1:39" ht="14.5" customHeight="1" x14ac:dyDescent="0.4">
      <c r="A86" s="614" t="str">
        <f>'[2]DETAILS (sorted)'!A71</f>
        <v>ILS24-F00069</v>
      </c>
      <c r="B86" s="615" t="str">
        <f>'[2]DETAILS (sorted)'!B71</f>
        <v>Judica William Nassary</v>
      </c>
      <c r="C86" s="616"/>
      <c r="D86" s="648"/>
      <c r="E86" s="648"/>
      <c r="F86" s="648"/>
      <c r="G86" s="648"/>
      <c r="H86" s="648"/>
      <c r="I86" s="648"/>
      <c r="J86" s="648"/>
      <c r="K86" s="648"/>
      <c r="L86" s="648"/>
      <c r="M86" s="648"/>
      <c r="N86" s="649">
        <f t="shared" si="2"/>
        <v>0</v>
      </c>
      <c r="O86" s="619"/>
      <c r="P86" s="619"/>
      <c r="Q86" s="619"/>
      <c r="R86" s="619"/>
      <c r="S86" s="619"/>
      <c r="T86" s="619"/>
      <c r="U86" s="619"/>
      <c r="V86" s="619"/>
      <c r="W86" s="619"/>
      <c r="X86" s="619"/>
      <c r="Y86" s="619"/>
      <c r="Z86" s="619"/>
      <c r="AA86" s="619"/>
      <c r="AB86" s="619"/>
      <c r="AC86" s="619"/>
      <c r="AD86" s="619"/>
      <c r="AE86" s="619"/>
      <c r="AF86" s="619"/>
      <c r="AG86" s="619"/>
      <c r="AH86" s="619"/>
      <c r="AI86" s="619"/>
      <c r="AJ86" s="619"/>
      <c r="AK86" s="619"/>
      <c r="AL86" s="619"/>
      <c r="AM86" s="619"/>
    </row>
    <row r="87" spans="1:39" ht="14.5" customHeight="1" x14ac:dyDescent="0.4">
      <c r="A87" s="614" t="str">
        <f>'[2]DETAILS (sorted)'!A149</f>
        <v>ILS24-F00147</v>
      </c>
      <c r="B87" s="615" t="str">
        <f>'[2]DETAILS (sorted)'!B149</f>
        <v xml:space="preserve">Julius Chacha Mwita </v>
      </c>
      <c r="C87" s="616"/>
      <c r="D87" s="648"/>
      <c r="E87" s="648"/>
      <c r="F87" s="648"/>
      <c r="G87" s="648"/>
      <c r="H87" s="648"/>
      <c r="I87" s="648"/>
      <c r="J87" s="648"/>
      <c r="K87" s="648"/>
      <c r="L87" s="648"/>
      <c r="M87" s="648"/>
      <c r="N87" s="649">
        <f t="shared" si="2"/>
        <v>0</v>
      </c>
    </row>
    <row r="88" spans="1:39" ht="14.5" customHeight="1" x14ac:dyDescent="0.4">
      <c r="A88" s="614" t="str">
        <f>'[2]DETAILS (sorted)'!A102</f>
        <v>ILS24-F00100</v>
      </c>
      <c r="B88" s="615" t="str">
        <f>'[2]DETAILS (sorted)'!B102</f>
        <v xml:space="preserve">Juma Selemani Nantubwi </v>
      </c>
      <c r="C88" s="616"/>
      <c r="D88" s="648"/>
      <c r="E88" s="648"/>
      <c r="F88" s="648"/>
      <c r="G88" s="648"/>
      <c r="H88" s="648"/>
      <c r="I88" s="648"/>
      <c r="J88" s="648"/>
      <c r="K88" s="648"/>
      <c r="L88" s="648"/>
      <c r="M88" s="648"/>
      <c r="N88" s="649">
        <f t="shared" si="2"/>
        <v>0</v>
      </c>
    </row>
    <row r="89" spans="1:39" ht="14.5" customHeight="1" x14ac:dyDescent="0.4">
      <c r="A89" s="615" t="str">
        <f>'[2]DETAILS (sorted)'!A28</f>
        <v>ILS24-F00026</v>
      </c>
      <c r="B89" s="656" t="str">
        <f>'DETAILS (sorted)'!B27</f>
        <v>Plasduce Mkeli Mbossa</v>
      </c>
      <c r="C89" s="616"/>
      <c r="D89" s="648"/>
      <c r="E89" s="648"/>
      <c r="F89" s="648"/>
      <c r="G89" s="648"/>
      <c r="H89" s="648"/>
      <c r="I89" s="648"/>
      <c r="J89" s="648"/>
      <c r="K89" s="648"/>
      <c r="L89" s="648"/>
      <c r="M89" s="648"/>
      <c r="N89" s="649">
        <f t="shared" si="2"/>
        <v>0</v>
      </c>
    </row>
    <row r="90" spans="1:39" ht="14.5" customHeight="1" x14ac:dyDescent="0.4">
      <c r="A90" s="614" t="str">
        <f>'[2]DETAILS (sorted)'!A94</f>
        <v>ILS24-F00092</v>
      </c>
      <c r="B90" s="615" t="str">
        <f>'[2]DETAILS (sorted)'!B94</f>
        <v xml:space="preserve">Kaanaeli Gabriel Nko </v>
      </c>
      <c r="C90" s="616"/>
      <c r="D90" s="648"/>
      <c r="E90" s="648"/>
      <c r="F90" s="648"/>
      <c r="G90" s="648"/>
      <c r="H90" s="648"/>
      <c r="I90" s="648"/>
      <c r="J90" s="648"/>
      <c r="K90" s="648"/>
      <c r="L90" s="648"/>
      <c r="M90" s="648"/>
      <c r="N90" s="649">
        <f t="shared" si="2"/>
        <v>0</v>
      </c>
    </row>
    <row r="91" spans="1:39" ht="14.5" customHeight="1" x14ac:dyDescent="0.4">
      <c r="A91" s="614" t="str">
        <f>'[2]DETAILS (sorted)'!A119</f>
        <v>ILS24-F00117</v>
      </c>
      <c r="B91" s="615" t="str">
        <f>'[2]DETAILS (sorted)'!B119</f>
        <v xml:space="preserve">Kajiru Gad Kilonzo </v>
      </c>
      <c r="C91" s="616"/>
      <c r="D91" s="648"/>
      <c r="E91" s="648"/>
      <c r="F91" s="648"/>
      <c r="G91" s="648"/>
      <c r="H91" s="648"/>
      <c r="I91" s="648"/>
      <c r="J91" s="648"/>
      <c r="K91" s="648"/>
      <c r="L91" s="648"/>
      <c r="M91" s="648"/>
      <c r="N91" s="649">
        <f t="shared" si="2"/>
        <v>0</v>
      </c>
    </row>
    <row r="92" spans="1:39" ht="14.5" customHeight="1" x14ac:dyDescent="0.4">
      <c r="A92" s="614" t="str">
        <f>'[2]DETAILS (sorted)'!A16</f>
        <v>ILS24-F00014</v>
      </c>
      <c r="B92" s="615" t="str">
        <f>'[2]DETAILS (sorted)'!B16</f>
        <v xml:space="preserve">Kanuti Simba </v>
      </c>
      <c r="C92" s="616"/>
      <c r="D92" s="648"/>
      <c r="E92" s="648"/>
      <c r="F92" s="648"/>
      <c r="G92" s="648"/>
      <c r="H92" s="648"/>
      <c r="I92" s="648"/>
      <c r="J92" s="648"/>
      <c r="K92" s="648"/>
      <c r="L92" s="648"/>
      <c r="M92" s="648"/>
      <c r="N92" s="649">
        <f t="shared" si="2"/>
        <v>0</v>
      </c>
    </row>
    <row r="93" spans="1:39" ht="14.5" customHeight="1" x14ac:dyDescent="0.4">
      <c r="A93" s="615" t="str">
        <f>'[2]DETAILS (sorted)'!A43</f>
        <v>ILS24-F00041</v>
      </c>
      <c r="B93" s="615" t="str">
        <f>'[2]DETAILS (sorted)'!B43</f>
        <v>Khalifa Sushy</v>
      </c>
      <c r="C93" s="616"/>
      <c r="D93" s="648"/>
      <c r="E93" s="648"/>
      <c r="F93" s="648"/>
      <c r="G93" s="648"/>
      <c r="H93" s="648"/>
      <c r="I93" s="648"/>
      <c r="J93" s="648"/>
      <c r="K93" s="648"/>
      <c r="L93" s="648"/>
      <c r="M93" s="648"/>
      <c r="N93" s="649">
        <f t="shared" si="2"/>
        <v>0</v>
      </c>
    </row>
    <row r="94" spans="1:39" ht="14.5" customHeight="1" x14ac:dyDescent="0.4">
      <c r="A94" s="614" t="str">
        <f>'[2]DETAILS (sorted)'!A72</f>
        <v>ILS24-F00070</v>
      </c>
      <c r="B94" s="615" t="str">
        <f>'[2]DETAILS (sorted)'!B72</f>
        <v xml:space="preserve">Kusirye Boniface Ukio </v>
      </c>
      <c r="C94" s="616"/>
      <c r="D94" s="648"/>
      <c r="E94" s="648"/>
      <c r="F94" s="648"/>
      <c r="G94" s="648"/>
      <c r="H94" s="648"/>
      <c r="I94" s="648"/>
      <c r="J94" s="648"/>
      <c r="K94" s="648"/>
      <c r="L94" s="648"/>
      <c r="M94" s="648"/>
      <c r="N94" s="649">
        <f t="shared" si="2"/>
        <v>0</v>
      </c>
    </row>
    <row r="95" spans="1:39" ht="14.5" customHeight="1" x14ac:dyDescent="0.4">
      <c r="A95" s="614" t="str">
        <f>'[2]DETAILS (sorted)'!A21</f>
        <v>ILS24-F00019</v>
      </c>
      <c r="B95" s="615" t="str">
        <f>'[2]DETAILS (sorted)'!B21</f>
        <v xml:space="preserve">Laurian Gidoyi </v>
      </c>
      <c r="C95" s="616"/>
      <c r="D95" s="648"/>
      <c r="E95" s="648"/>
      <c r="F95" s="648"/>
      <c r="G95" s="648"/>
      <c r="H95" s="648"/>
      <c r="I95" s="648"/>
      <c r="J95" s="648"/>
      <c r="K95" s="648"/>
      <c r="L95" s="648"/>
      <c r="M95" s="648"/>
      <c r="N95" s="649">
        <f t="shared" si="2"/>
        <v>0</v>
      </c>
    </row>
    <row r="96" spans="1:39" ht="14.5" customHeight="1" x14ac:dyDescent="0.4">
      <c r="A96" s="614" t="str">
        <f>'[2]DETAILS (sorted)'!A51</f>
        <v>ILS24-F00049</v>
      </c>
      <c r="B96" s="615" t="str">
        <f>'[2]DETAILS (sorted)'!B51</f>
        <v xml:space="preserve">Liggyle Vumilia </v>
      </c>
      <c r="C96" s="616"/>
      <c r="D96" s="648"/>
      <c r="E96" s="648"/>
      <c r="F96" s="648"/>
      <c r="G96" s="648"/>
      <c r="H96" s="648"/>
      <c r="I96" s="648"/>
      <c r="J96" s="648"/>
      <c r="K96" s="648"/>
      <c r="L96" s="648"/>
      <c r="M96" s="648"/>
      <c r="N96" s="649">
        <f t="shared" si="2"/>
        <v>0</v>
      </c>
    </row>
    <row r="97" spans="1:14" ht="14.5" customHeight="1" x14ac:dyDescent="0.4">
      <c r="A97" s="614" t="str">
        <f>'[2]DETAILS (sorted)'!A125</f>
        <v>ILS24-F00123</v>
      </c>
      <c r="B97" s="615" t="str">
        <f>'[2]DETAILS (sorted)'!B125</f>
        <v>Limbu Malongo Limbu</v>
      </c>
      <c r="C97" s="616"/>
      <c r="D97" s="648"/>
      <c r="E97" s="648"/>
      <c r="F97" s="648"/>
      <c r="G97" s="648"/>
      <c r="H97" s="648"/>
      <c r="I97" s="648"/>
      <c r="J97" s="648"/>
      <c r="K97" s="648"/>
      <c r="L97" s="648"/>
      <c r="M97" s="648"/>
      <c r="N97" s="649">
        <f t="shared" si="2"/>
        <v>0</v>
      </c>
    </row>
    <row r="98" spans="1:14" ht="14.5" customHeight="1" x14ac:dyDescent="0.4">
      <c r="A98" s="614" t="str">
        <f>'[2]DETAILS (sorted)'!A74</f>
        <v>ILS24-F00072</v>
      </c>
      <c r="B98" s="615" t="str">
        <f>'[2]DETAILS (sorted)'!B74</f>
        <v xml:space="preserve">Ludovic Jacob Swai </v>
      </c>
      <c r="C98" s="616"/>
      <c r="D98" s="648"/>
      <c r="E98" s="648"/>
      <c r="F98" s="648"/>
      <c r="G98" s="648"/>
      <c r="H98" s="648"/>
      <c r="I98" s="648"/>
      <c r="J98" s="648"/>
      <c r="K98" s="648"/>
      <c r="L98" s="648"/>
      <c r="M98" s="648"/>
      <c r="N98" s="649">
        <f t="shared" si="2"/>
        <v>0</v>
      </c>
    </row>
    <row r="99" spans="1:14" ht="14.5" customHeight="1" x14ac:dyDescent="0.4">
      <c r="A99" s="615" t="str">
        <f>'[2]DETAILS (sorted)'!A139</f>
        <v>ILS24-F00137</v>
      </c>
      <c r="B99" s="615" t="str">
        <f>'[2]DETAILS (sorted)'!B139</f>
        <v xml:space="preserve">Marcel John Kisoka </v>
      </c>
      <c r="C99" s="616"/>
      <c r="D99" s="648"/>
      <c r="E99" s="648"/>
      <c r="F99" s="648"/>
      <c r="G99" s="648"/>
      <c r="H99" s="648"/>
      <c r="I99" s="648"/>
      <c r="J99" s="648"/>
      <c r="K99" s="648"/>
      <c r="L99" s="648"/>
      <c r="M99" s="648"/>
      <c r="N99" s="649">
        <f t="shared" ref="N99:N130" si="3">SUM(D99:M99)</f>
        <v>0</v>
      </c>
    </row>
    <row r="100" spans="1:14" ht="14.5" customHeight="1" x14ac:dyDescent="0.4">
      <c r="A100" s="614" t="str">
        <f>'[2]DETAILS (sorted)'!A135</f>
        <v>ILS24-F00133</v>
      </c>
      <c r="B100" s="615" t="str">
        <f>'[2]DETAILS (sorted)'!B135</f>
        <v>Martin Nasuzwa Kidili</v>
      </c>
      <c r="C100" s="616"/>
      <c r="D100" s="648"/>
      <c r="E100" s="648"/>
      <c r="F100" s="648"/>
      <c r="G100" s="648"/>
      <c r="H100" s="648"/>
      <c r="I100" s="648"/>
      <c r="J100" s="648"/>
      <c r="K100" s="648"/>
      <c r="L100" s="648"/>
      <c r="M100" s="648"/>
      <c r="N100" s="649">
        <f t="shared" si="3"/>
        <v>0</v>
      </c>
    </row>
    <row r="101" spans="1:14" ht="14.5" customHeight="1" x14ac:dyDescent="0.4">
      <c r="A101" s="614" t="str">
        <f>'[2]DETAILS (sorted)'!A23</f>
        <v>ILS24-F00021</v>
      </c>
      <c r="B101" s="615" t="str">
        <f>'[2]DETAILS (sorted)'!B23</f>
        <v xml:space="preserve">Masale Rajabu Masale </v>
      </c>
      <c r="C101" s="616"/>
      <c r="D101" s="648"/>
      <c r="E101" s="648"/>
      <c r="F101" s="648"/>
      <c r="G101" s="648"/>
      <c r="H101" s="648"/>
      <c r="I101" s="648"/>
      <c r="J101" s="648"/>
      <c r="K101" s="648"/>
      <c r="L101" s="648"/>
      <c r="M101" s="648"/>
      <c r="N101" s="649">
        <f t="shared" si="3"/>
        <v>0</v>
      </c>
    </row>
    <row r="102" spans="1:14" ht="14.5" customHeight="1" x14ac:dyDescent="0.4">
      <c r="A102" s="626" t="str">
        <f>'[2]DETAILS (sorted)'!A85</f>
        <v>ILS24-F00083</v>
      </c>
      <c r="B102" s="627" t="str">
        <f>'[2]DETAILS (sorted)'!B85</f>
        <v>Mathew J. Mndeme</v>
      </c>
      <c r="C102" s="628"/>
      <c r="D102" s="653"/>
      <c r="E102" s="653"/>
      <c r="F102" s="653"/>
      <c r="G102" s="653">
        <v>15000</v>
      </c>
      <c r="H102" s="653"/>
      <c r="I102" s="653"/>
      <c r="J102" s="653"/>
      <c r="K102" s="653"/>
      <c r="L102" s="653"/>
      <c r="M102" s="653"/>
      <c r="N102" s="649">
        <f t="shared" si="3"/>
        <v>15000</v>
      </c>
    </row>
    <row r="103" spans="1:14" ht="14.5" customHeight="1" x14ac:dyDescent="0.4">
      <c r="A103" s="614" t="str">
        <f>'[2]DETAILS (sorted)'!A14</f>
        <v>ILS24-F00012</v>
      </c>
      <c r="B103" s="615" t="str">
        <f>'[2]DETAILS (sorted)'!B14</f>
        <v>Mlindwa Kashindye</v>
      </c>
      <c r="C103" s="616"/>
      <c r="D103" s="648"/>
      <c r="E103" s="648"/>
      <c r="F103" s="648"/>
      <c r="G103" s="648"/>
      <c r="H103" s="648"/>
      <c r="I103" s="648"/>
      <c r="J103" s="648"/>
      <c r="K103" s="648"/>
      <c r="L103" s="648"/>
      <c r="M103" s="648"/>
      <c r="N103" s="649">
        <f t="shared" si="3"/>
        <v>0</v>
      </c>
    </row>
    <row r="104" spans="1:14" ht="14.5" customHeight="1" x14ac:dyDescent="0.4">
      <c r="A104" s="614" t="str">
        <f>'[2]DETAILS (sorted)'!A130</f>
        <v>ILS24-F00128</v>
      </c>
      <c r="B104" s="615" t="str">
        <f>'[2]DETAILS (sorted)'!B130</f>
        <v>Mohamed Abdallah Muanda</v>
      </c>
      <c r="C104" s="616"/>
      <c r="D104" s="648"/>
      <c r="E104" s="648"/>
      <c r="F104" s="648"/>
      <c r="G104" s="648"/>
      <c r="H104" s="648"/>
      <c r="I104" s="648"/>
      <c r="J104" s="648"/>
      <c r="K104" s="648"/>
      <c r="L104" s="648"/>
      <c r="M104" s="648"/>
      <c r="N104" s="649">
        <f t="shared" si="3"/>
        <v>0</v>
      </c>
    </row>
    <row r="105" spans="1:14" ht="14.5" customHeight="1" x14ac:dyDescent="0.4">
      <c r="A105" s="614" t="str">
        <f>'[2]DETAILS (sorted)'!A17</f>
        <v>ILS24-F00015</v>
      </c>
      <c r="B105" s="615" t="str">
        <f>'[2]DETAILS (sorted)'!B17</f>
        <v>Mohamed Khalfan Mohamed</v>
      </c>
      <c r="C105" s="616"/>
      <c r="D105" s="648"/>
      <c r="E105" s="648"/>
      <c r="F105" s="648"/>
      <c r="G105" s="648"/>
      <c r="H105" s="648"/>
      <c r="I105" s="648"/>
      <c r="J105" s="648"/>
      <c r="K105" s="648"/>
      <c r="L105" s="648"/>
      <c r="M105" s="648"/>
      <c r="N105" s="649">
        <f t="shared" si="3"/>
        <v>0</v>
      </c>
    </row>
    <row r="106" spans="1:14" ht="14.5" customHeight="1" x14ac:dyDescent="0.4">
      <c r="A106" s="614" t="str">
        <f>'[2]DETAILS (sorted)'!A12</f>
        <v>ILS24-F00010</v>
      </c>
      <c r="B106" s="615" t="str">
        <f>'[2]DETAILS (sorted)'!B12</f>
        <v>Mosses Makoko</v>
      </c>
      <c r="C106" s="616"/>
      <c r="D106" s="648"/>
      <c r="E106" s="648">
        <v>15000</v>
      </c>
      <c r="F106" s="648"/>
      <c r="G106" s="648"/>
      <c r="H106" s="648"/>
      <c r="I106" s="648"/>
      <c r="J106" s="648"/>
      <c r="K106" s="648"/>
      <c r="L106" s="648"/>
      <c r="M106" s="648"/>
      <c r="N106" s="649">
        <f t="shared" si="3"/>
        <v>15000</v>
      </c>
    </row>
    <row r="107" spans="1:14" ht="14.5" customHeight="1" x14ac:dyDescent="0.4">
      <c r="A107" s="615" t="str">
        <f>'[2]DETAILS (sorted)'!A142</f>
        <v>ILS24-F00140</v>
      </c>
      <c r="B107" s="615" t="str">
        <f>'[2]DETAILS (sorted)'!B142</f>
        <v>Mwombeki Florian Fabian</v>
      </c>
      <c r="C107" s="616"/>
      <c r="D107" s="648"/>
      <c r="E107" s="648"/>
      <c r="F107" s="648"/>
      <c r="G107" s="648"/>
      <c r="H107" s="648"/>
      <c r="I107" s="648"/>
      <c r="J107" s="648"/>
      <c r="K107" s="648"/>
      <c r="L107" s="648"/>
      <c r="M107" s="648"/>
      <c r="N107" s="649">
        <f t="shared" si="3"/>
        <v>0</v>
      </c>
    </row>
    <row r="108" spans="1:14" ht="14.5" customHeight="1" x14ac:dyDescent="0.4">
      <c r="A108" s="614" t="str">
        <f>'[2]DETAILS (sorted)'!A53</f>
        <v>ILS24-F00051</v>
      </c>
      <c r="B108" s="615" t="str">
        <f>'[2]DETAILS (sorted)'!B53</f>
        <v xml:space="preserve">Nalogwa Kiula </v>
      </c>
      <c r="C108" s="616"/>
      <c r="D108" s="648"/>
      <c r="E108" s="648"/>
      <c r="F108" s="648"/>
      <c r="G108" s="648"/>
      <c r="H108" s="648"/>
      <c r="I108" s="648"/>
      <c r="J108" s="648"/>
      <c r="K108" s="648"/>
      <c r="L108" s="648"/>
      <c r="M108" s="648"/>
      <c r="N108" s="649">
        <f t="shared" si="3"/>
        <v>0</v>
      </c>
    </row>
    <row r="109" spans="1:14" ht="14.5" customHeight="1" x14ac:dyDescent="0.4">
      <c r="A109" s="614" t="str">
        <f>'[2]DETAILS (sorted)'!A115</f>
        <v>ILS24-F00113</v>
      </c>
      <c r="B109" s="615" t="str">
        <f>'[2]DETAILS (sorted)'!B115</f>
        <v xml:space="preserve">Nicholaus Abdon Killinga </v>
      </c>
      <c r="C109" s="616"/>
      <c r="D109" s="648"/>
      <c r="E109" s="648"/>
      <c r="F109" s="648"/>
      <c r="G109" s="648"/>
      <c r="H109" s="648"/>
      <c r="I109" s="648"/>
      <c r="J109" s="648"/>
      <c r="K109" s="648"/>
      <c r="L109" s="648"/>
      <c r="M109" s="648"/>
      <c r="N109" s="649">
        <f t="shared" si="3"/>
        <v>0</v>
      </c>
    </row>
    <row r="110" spans="1:14" ht="14.5" customHeight="1" thickBot="1" x14ac:dyDescent="0.45">
      <c r="A110" s="614" t="str">
        <f>'[2]DETAILS (sorted)'!A50</f>
        <v>ILS24-F00048</v>
      </c>
      <c r="B110" s="615" t="str">
        <f>'[2]DETAILS (sorted)'!B50</f>
        <v xml:space="preserve">Nixon Billiam Matowo </v>
      </c>
      <c r="C110" s="616"/>
      <c r="D110" s="648"/>
      <c r="E110" s="648"/>
      <c r="F110" s="648"/>
      <c r="G110" s="648"/>
      <c r="H110" s="648"/>
      <c r="I110" s="648"/>
      <c r="J110" s="648"/>
      <c r="K110" s="648"/>
      <c r="L110" s="648"/>
      <c r="M110" s="648"/>
      <c r="N110" s="649">
        <f t="shared" si="3"/>
        <v>0</v>
      </c>
    </row>
    <row r="111" spans="1:14" ht="14.5" customHeight="1" x14ac:dyDescent="0.4">
      <c r="A111" s="620" t="str">
        <f>'[2]DETAILS (sorted)'!A5</f>
        <v>ILS24-F00003</v>
      </c>
      <c r="B111" s="621" t="str">
        <f>'[2]DETAILS (sorted)'!B5</f>
        <v>Norbert Massay</v>
      </c>
      <c r="C111" s="622"/>
      <c r="D111" s="650"/>
      <c r="E111" s="650"/>
      <c r="F111" s="650">
        <v>15000</v>
      </c>
      <c r="G111" s="650">
        <v>15000</v>
      </c>
      <c r="H111" s="650"/>
      <c r="I111" s="650"/>
      <c r="J111" s="650"/>
      <c r="K111" s="650"/>
      <c r="L111" s="650"/>
      <c r="M111" s="650"/>
      <c r="N111" s="649">
        <f t="shared" si="3"/>
        <v>30000</v>
      </c>
    </row>
    <row r="112" spans="1:14" ht="14.5" customHeight="1" x14ac:dyDescent="0.4">
      <c r="A112" s="615" t="str">
        <f>'[2]DETAILS (sorted)'!A137</f>
        <v>ILS24-F00135</v>
      </c>
      <c r="B112" s="615" t="str">
        <f>'[2]DETAILS (sorted)'!B137</f>
        <v>Novat Adam Moshi</v>
      </c>
      <c r="C112" s="616"/>
      <c r="D112" s="648"/>
      <c r="E112" s="648"/>
      <c r="F112" s="648"/>
      <c r="G112" s="648"/>
      <c r="H112" s="648"/>
      <c r="I112" s="648"/>
      <c r="J112" s="648"/>
      <c r="K112" s="648"/>
      <c r="L112" s="648"/>
      <c r="M112" s="648"/>
      <c r="N112" s="649">
        <f t="shared" si="3"/>
        <v>0</v>
      </c>
    </row>
    <row r="113" spans="1:14" ht="14.5" customHeight="1" x14ac:dyDescent="0.4">
      <c r="A113" s="614" t="str">
        <f>'[2]DETAILS (sorted)'!A3</f>
        <v>ILS24-F00001</v>
      </c>
      <c r="B113" s="615" t="str">
        <f>'[2]DETAILS (sorted)'!B3</f>
        <v xml:space="preserve">Nsanyiwa Kiloba </v>
      </c>
      <c r="C113" s="616"/>
      <c r="D113" s="648"/>
      <c r="E113" s="648">
        <v>15000</v>
      </c>
      <c r="F113" s="648"/>
      <c r="G113" s="648">
        <v>15000</v>
      </c>
      <c r="H113" s="648"/>
      <c r="I113" s="648"/>
      <c r="J113" s="648"/>
      <c r="K113" s="648"/>
      <c r="L113" s="648"/>
      <c r="M113" s="648"/>
      <c r="N113" s="649">
        <f t="shared" si="3"/>
        <v>30000</v>
      </c>
    </row>
    <row r="114" spans="1:14" ht="14.5" customHeight="1" x14ac:dyDescent="0.4">
      <c r="A114" s="614" t="str">
        <f>'[2]DETAILS (sorted)'!A97</f>
        <v>ILS24-F00095</v>
      </c>
      <c r="B114" s="615" t="str">
        <f>'[2]DETAILS (sorted)'!B97</f>
        <v>Nuhu Manase Ngangaji</v>
      </c>
      <c r="C114" s="616"/>
      <c r="D114" s="648"/>
      <c r="E114" s="648"/>
      <c r="F114" s="648"/>
      <c r="G114" s="648"/>
      <c r="H114" s="648"/>
      <c r="I114" s="648"/>
      <c r="J114" s="648"/>
      <c r="K114" s="648"/>
      <c r="L114" s="648"/>
      <c r="M114" s="648"/>
      <c r="N114" s="649">
        <f t="shared" si="3"/>
        <v>0</v>
      </c>
    </row>
    <row r="115" spans="1:14" ht="14.5" customHeight="1" thickBot="1" x14ac:dyDescent="0.45">
      <c r="A115" s="614" t="str">
        <f>'[2]DETAILS (sorted)'!A118</f>
        <v>ILS24-F00116</v>
      </c>
      <c r="B115" s="615" t="str">
        <f>'[2]DETAILS (sorted)'!B118</f>
        <v>Nyirabu Zablon Musira</v>
      </c>
      <c r="C115" s="616"/>
      <c r="D115" s="648"/>
      <c r="E115" s="648"/>
      <c r="F115" s="648"/>
      <c r="G115" s="648"/>
      <c r="H115" s="648"/>
      <c r="I115" s="648"/>
      <c r="J115" s="648"/>
      <c r="K115" s="648"/>
      <c r="L115" s="648"/>
      <c r="M115" s="648"/>
      <c r="N115" s="649">
        <f t="shared" si="3"/>
        <v>0</v>
      </c>
    </row>
    <row r="116" spans="1:14" ht="14.5" customHeight="1" x14ac:dyDescent="0.4">
      <c r="A116" s="620" t="str">
        <f>'[2]DETAILS (sorted)'!A54</f>
        <v>ILS24-F00052</v>
      </c>
      <c r="B116" s="621" t="str">
        <f>'[2]DETAILS (sorted)'!B54</f>
        <v xml:space="preserve">Omary Mwasema </v>
      </c>
      <c r="C116" s="622"/>
      <c r="D116" s="650"/>
      <c r="E116" s="650"/>
      <c r="F116" s="650"/>
      <c r="G116" s="650"/>
      <c r="H116" s="650"/>
      <c r="I116" s="650"/>
      <c r="J116" s="650"/>
      <c r="K116" s="650"/>
      <c r="L116" s="650"/>
      <c r="M116" s="650"/>
      <c r="N116" s="649">
        <f t="shared" si="3"/>
        <v>0</v>
      </c>
    </row>
    <row r="117" spans="1:14" ht="14.5" customHeight="1" x14ac:dyDescent="0.4">
      <c r="A117" s="614" t="str">
        <f>'[2]DETAILS (sorted)'!A59</f>
        <v>ILS24-F00057</v>
      </c>
      <c r="B117" s="615" t="str">
        <f>'[2]DETAILS (sorted)'!B59</f>
        <v>Patiens Buberwa Rweyemamu</v>
      </c>
      <c r="C117" s="616"/>
      <c r="D117" s="648"/>
      <c r="E117" s="648"/>
      <c r="F117" s="648"/>
      <c r="G117" s="648"/>
      <c r="H117" s="648"/>
      <c r="I117" s="648"/>
      <c r="J117" s="648"/>
      <c r="K117" s="648"/>
      <c r="L117" s="648"/>
      <c r="M117" s="648"/>
      <c r="N117" s="649">
        <f t="shared" si="3"/>
        <v>0</v>
      </c>
    </row>
    <row r="118" spans="1:14" ht="14.5" customHeight="1" x14ac:dyDescent="0.4">
      <c r="A118" s="615" t="str">
        <f>'[2]DETAILS (sorted)'!A143</f>
        <v>ILS24-F00141</v>
      </c>
      <c r="B118" s="615" t="str">
        <f>'[2]DETAILS (sorted)'!B143</f>
        <v xml:space="preserve">Patrick Mbosa </v>
      </c>
      <c r="C118" s="616"/>
      <c r="D118" s="648"/>
      <c r="E118" s="648"/>
      <c r="F118" s="648"/>
      <c r="G118" s="648"/>
      <c r="H118" s="648"/>
      <c r="I118" s="648"/>
      <c r="J118" s="648"/>
      <c r="K118" s="648"/>
      <c r="L118" s="648"/>
      <c r="M118" s="648"/>
      <c r="N118" s="649">
        <f t="shared" si="3"/>
        <v>0</v>
      </c>
    </row>
    <row r="119" spans="1:14" ht="14.5" customHeight="1" x14ac:dyDescent="0.4">
      <c r="A119" s="614" t="str">
        <f>'[2]DETAILS (sorted)'!A32</f>
        <v>ILS24-F00030</v>
      </c>
      <c r="B119" s="615" t="str">
        <f>'[2]DETAILS (sorted)'!B32</f>
        <v xml:space="preserve">Patrick S. Kiani </v>
      </c>
      <c r="C119" s="616"/>
      <c r="D119" s="648"/>
      <c r="E119" s="648"/>
      <c r="F119" s="648"/>
      <c r="G119" s="648"/>
      <c r="H119" s="648"/>
      <c r="I119" s="648"/>
      <c r="J119" s="648"/>
      <c r="K119" s="648"/>
      <c r="L119" s="648"/>
      <c r="M119" s="648"/>
      <c r="N119" s="649">
        <f t="shared" si="3"/>
        <v>0</v>
      </c>
    </row>
    <row r="120" spans="1:14" ht="14.5" customHeight="1" x14ac:dyDescent="0.4">
      <c r="A120" s="615" t="str">
        <f>'[2]DETAILS (sorted)'!A58</f>
        <v>ILS24-F00056</v>
      </c>
      <c r="B120" s="625" t="str">
        <f>'[2]DETAILS (sorted)'!B58</f>
        <v xml:space="preserve">Paul Metili </v>
      </c>
      <c r="C120" s="616"/>
      <c r="D120" s="648"/>
      <c r="E120" s="648"/>
      <c r="F120" s="648"/>
      <c r="G120" s="648"/>
      <c r="H120" s="648"/>
      <c r="I120" s="648"/>
      <c r="J120" s="648"/>
      <c r="K120" s="648"/>
      <c r="L120" s="648"/>
      <c r="M120" s="648"/>
      <c r="N120" s="649">
        <f t="shared" si="3"/>
        <v>0</v>
      </c>
    </row>
    <row r="121" spans="1:14" ht="14.5" customHeight="1" x14ac:dyDescent="0.4">
      <c r="A121" s="614" t="str">
        <f>'[2]DETAILS (sorted)'!A77</f>
        <v>ILS24-F00075</v>
      </c>
      <c r="B121" s="615" t="str">
        <f>'[2]DETAILS (sorted)'!B77</f>
        <v>Paul Sifael Edwin Mikongoti</v>
      </c>
      <c r="C121" s="616"/>
      <c r="D121" s="648"/>
      <c r="E121" s="648"/>
      <c r="F121" s="648"/>
      <c r="G121" s="648"/>
      <c r="H121" s="648"/>
      <c r="I121" s="648"/>
      <c r="J121" s="648"/>
      <c r="K121" s="648"/>
      <c r="L121" s="648"/>
      <c r="M121" s="648"/>
      <c r="N121" s="649">
        <f t="shared" si="3"/>
        <v>0</v>
      </c>
    </row>
    <row r="122" spans="1:14" ht="14.5" customHeight="1" x14ac:dyDescent="0.4">
      <c r="A122" s="614" t="str">
        <f>'[2]DETAILS (sorted)'!A98</f>
        <v>ILS24-F00096</v>
      </c>
      <c r="B122" s="615" t="str">
        <f>'[2]DETAILS (sorted)'!B98</f>
        <v>Paul Silas Masatu</v>
      </c>
      <c r="C122" s="616"/>
      <c r="D122" s="648"/>
      <c r="E122" s="648"/>
      <c r="F122" s="648"/>
      <c r="G122" s="648"/>
      <c r="H122" s="648"/>
      <c r="I122" s="648"/>
      <c r="J122" s="648"/>
      <c r="K122" s="648"/>
      <c r="L122" s="648"/>
      <c r="M122" s="648"/>
      <c r="N122" s="649">
        <f t="shared" si="3"/>
        <v>0</v>
      </c>
    </row>
    <row r="123" spans="1:14" ht="14.5" customHeight="1" x14ac:dyDescent="0.4">
      <c r="A123" s="614" t="str">
        <f>'[2]DETAILS (sorted)'!A128</f>
        <v>ILS24-F00126</v>
      </c>
      <c r="B123" s="615" t="str">
        <f>'[2]DETAILS (sorted)'!B128</f>
        <v>Peter Anthon Sobe</v>
      </c>
      <c r="C123" s="616"/>
      <c r="D123" s="648"/>
      <c r="E123" s="648"/>
      <c r="F123" s="648"/>
      <c r="G123" s="648"/>
      <c r="H123" s="648"/>
      <c r="I123" s="648"/>
      <c r="J123" s="648"/>
      <c r="K123" s="648"/>
      <c r="L123" s="648"/>
      <c r="M123" s="648"/>
      <c r="N123" s="649">
        <f t="shared" si="3"/>
        <v>0</v>
      </c>
    </row>
    <row r="124" spans="1:14" ht="14.5" customHeight="1" x14ac:dyDescent="0.4">
      <c r="A124" s="614" t="str">
        <f>'[2]DETAILS (sorted)'!A69</f>
        <v>ILS24-F00067</v>
      </c>
      <c r="B124" s="615" t="str">
        <f>'[2]DETAILS (sorted)'!B69</f>
        <v>Philemon Barabojick</v>
      </c>
      <c r="C124" s="616"/>
      <c r="D124" s="648"/>
      <c r="E124" s="648"/>
      <c r="F124" s="648"/>
      <c r="G124" s="648"/>
      <c r="H124" s="648"/>
      <c r="I124" s="648"/>
      <c r="J124" s="648"/>
      <c r="K124" s="648"/>
      <c r="L124" s="648"/>
      <c r="M124" s="648"/>
      <c r="N124" s="649">
        <f t="shared" si="3"/>
        <v>0</v>
      </c>
    </row>
    <row r="125" spans="1:14" ht="14.5" customHeight="1" x14ac:dyDescent="0.4">
      <c r="A125" s="626" t="str">
        <f>'[2]DETAILS (sorted)'!A121</f>
        <v>ILS24-F00119</v>
      </c>
      <c r="B125" s="627" t="str">
        <f>'[2]DETAILS (sorted)'!B121</f>
        <v>Prosper Gunze Nambaya</v>
      </c>
      <c r="C125" s="628"/>
      <c r="D125" s="653"/>
      <c r="E125" s="653"/>
      <c r="F125" s="653"/>
      <c r="G125" s="653"/>
      <c r="H125" s="653"/>
      <c r="I125" s="653"/>
      <c r="J125" s="653"/>
      <c r="K125" s="653"/>
      <c r="L125" s="653"/>
      <c r="M125" s="653"/>
      <c r="N125" s="649">
        <f t="shared" si="3"/>
        <v>0</v>
      </c>
    </row>
    <row r="126" spans="1:14" ht="14.5" customHeight="1" x14ac:dyDescent="0.4">
      <c r="A126" s="614" t="str">
        <f>'[2]DETAILS (sorted)'!A55</f>
        <v>ILS24-F00053</v>
      </c>
      <c r="B126" s="615" t="str">
        <f>'[2]DETAILS (sorted)'!B55</f>
        <v xml:space="preserve">Robert Masegese </v>
      </c>
      <c r="C126" s="616"/>
      <c r="D126" s="648"/>
      <c r="E126" s="648"/>
      <c r="F126" s="648"/>
      <c r="G126" s="648"/>
      <c r="H126" s="648">
        <v>15000</v>
      </c>
      <c r="I126" s="648"/>
      <c r="J126" s="648"/>
      <c r="K126" s="648"/>
      <c r="L126" s="648"/>
      <c r="M126" s="648"/>
      <c r="N126" s="649">
        <f t="shared" si="3"/>
        <v>15000</v>
      </c>
    </row>
    <row r="127" spans="1:14" ht="14.5" customHeight="1" x14ac:dyDescent="0.4">
      <c r="A127" s="614" t="str">
        <f>'[2]DETAILS (sorted)'!A29</f>
        <v>ILS24-F00027</v>
      </c>
      <c r="B127" s="615" t="str">
        <f>'[2]DETAILS (sorted)'!B29</f>
        <v>Saidi Ramadhani Mdee</v>
      </c>
      <c r="C127" s="616"/>
      <c r="D127" s="648"/>
      <c r="E127" s="648"/>
      <c r="F127" s="648"/>
      <c r="G127" s="648"/>
      <c r="H127" s="648"/>
      <c r="I127" s="648"/>
      <c r="J127" s="648"/>
      <c r="K127" s="648"/>
      <c r="L127" s="648"/>
      <c r="M127" s="648"/>
      <c r="N127" s="649">
        <f t="shared" si="3"/>
        <v>0</v>
      </c>
    </row>
    <row r="128" spans="1:14" ht="14.5" customHeight="1" x14ac:dyDescent="0.4">
      <c r="A128" s="614" t="str">
        <f>'[2]DETAILS (sorted)'!A111</f>
        <v>ILS24-F00109</v>
      </c>
      <c r="B128" s="615" t="str">
        <f>'[2]DETAILS (sorted)'!B111</f>
        <v>Salum Masudi Hassan</v>
      </c>
      <c r="C128" s="616"/>
      <c r="D128" s="648"/>
      <c r="E128" s="648"/>
      <c r="F128" s="648"/>
      <c r="G128" s="648"/>
      <c r="H128" s="648"/>
      <c r="I128" s="648"/>
      <c r="J128" s="648"/>
      <c r="K128" s="648"/>
      <c r="L128" s="648"/>
      <c r="M128" s="648"/>
      <c r="N128" s="649">
        <f t="shared" si="3"/>
        <v>0</v>
      </c>
    </row>
    <row r="129" spans="1:14" ht="14.5" customHeight="1" x14ac:dyDescent="0.4">
      <c r="A129" s="614" t="str">
        <f>'[2]DETAILS (sorted)'!A101</f>
        <v>ILS24-F00099</v>
      </c>
      <c r="B129" s="615" t="str">
        <f>'[2]DETAILS (sorted)'!B101</f>
        <v xml:space="preserve">Salum Miraji Mwegero </v>
      </c>
      <c r="C129" s="616"/>
      <c r="D129" s="648"/>
      <c r="E129" s="648"/>
      <c r="F129" s="648"/>
      <c r="G129" s="648"/>
      <c r="H129" s="648"/>
      <c r="I129" s="648"/>
      <c r="J129" s="648"/>
      <c r="K129" s="648"/>
      <c r="L129" s="648"/>
      <c r="M129" s="648"/>
      <c r="N129" s="649">
        <f t="shared" si="3"/>
        <v>0</v>
      </c>
    </row>
    <row r="130" spans="1:14" ht="14.5" customHeight="1" x14ac:dyDescent="0.4">
      <c r="A130" s="615" t="str">
        <f>'[2]DETAILS (sorted)'!A144</f>
        <v>ILS24-F00142</v>
      </c>
      <c r="B130" s="615" t="str">
        <f>'[2]DETAILS (sorted)'!B144</f>
        <v>Selemani Pongolani Ahmadi</v>
      </c>
      <c r="C130" s="616"/>
      <c r="D130" s="648"/>
      <c r="E130" s="648"/>
      <c r="F130" s="648"/>
      <c r="G130" s="648"/>
      <c r="H130" s="648"/>
      <c r="I130" s="648"/>
      <c r="J130" s="648"/>
      <c r="K130" s="648"/>
      <c r="L130" s="648"/>
      <c r="M130" s="648"/>
      <c r="N130" s="649">
        <f t="shared" si="3"/>
        <v>0</v>
      </c>
    </row>
    <row r="131" spans="1:14" ht="14.5" customHeight="1" x14ac:dyDescent="0.4">
      <c r="A131" s="632" t="str">
        <f>'[2]DETAILS (sorted)'!A127</f>
        <v>ILS24-F00125</v>
      </c>
      <c r="B131" s="623" t="str">
        <f>'[2]DETAILS (sorted)'!B127</f>
        <v>Shabani Juma Ndosi</v>
      </c>
      <c r="C131" s="624"/>
      <c r="D131" s="652"/>
      <c r="E131" s="652"/>
      <c r="F131" s="652"/>
      <c r="G131" s="652"/>
      <c r="H131" s="652"/>
      <c r="I131" s="652"/>
      <c r="J131" s="652"/>
      <c r="K131" s="652"/>
      <c r="L131" s="652"/>
      <c r="M131" s="652"/>
      <c r="N131" s="649">
        <f t="shared" ref="N131:N157" si="4">SUM(D131:M131)</f>
        <v>0</v>
      </c>
    </row>
    <row r="132" spans="1:14" ht="14.5" customHeight="1" x14ac:dyDescent="0.4">
      <c r="A132" s="614" t="str">
        <f>'[2]DETAILS (sorted)'!A34</f>
        <v>ILS24-F00032</v>
      </c>
      <c r="B132" s="615" t="str">
        <f>'[2]DETAILS (sorted)'!B34</f>
        <v>Shabani Salim</v>
      </c>
      <c r="C132" s="616"/>
      <c r="D132" s="648"/>
      <c r="E132" s="648"/>
      <c r="F132" s="648"/>
      <c r="G132" s="648"/>
      <c r="H132" s="648"/>
      <c r="I132" s="648"/>
      <c r="J132" s="648"/>
      <c r="K132" s="648"/>
      <c r="L132" s="648"/>
      <c r="M132" s="648"/>
      <c r="N132" s="649">
        <f t="shared" si="4"/>
        <v>0</v>
      </c>
    </row>
    <row r="133" spans="1:14" ht="14.5" customHeight="1" x14ac:dyDescent="0.4">
      <c r="A133" s="614" t="str">
        <f>'[2]DETAILS (sorted)'!A79</f>
        <v>ILS24-F00077</v>
      </c>
      <c r="B133" s="615" t="str">
        <f>'[2]DETAILS (sorted)'!B79</f>
        <v>Shililiandumi Naiman</v>
      </c>
      <c r="C133" s="616"/>
      <c r="D133" s="648"/>
      <c r="E133" s="648"/>
      <c r="F133" s="648"/>
      <c r="G133" s="648"/>
      <c r="H133" s="648"/>
      <c r="I133" s="648"/>
      <c r="J133" s="648"/>
      <c r="K133" s="648"/>
      <c r="L133" s="648"/>
      <c r="M133" s="648"/>
      <c r="N133" s="649">
        <f t="shared" si="4"/>
        <v>0</v>
      </c>
    </row>
    <row r="134" spans="1:14" ht="14.5" customHeight="1" x14ac:dyDescent="0.4">
      <c r="A134" s="614" t="str">
        <f>'[2]DETAILS (sorted)'!A87</f>
        <v>ILS24-F00085</v>
      </c>
      <c r="B134" s="615" t="str">
        <f>'[2]DETAILS (sorted)'!B87</f>
        <v xml:space="preserve">Shukuru Willson Ndosi </v>
      </c>
      <c r="C134" s="616"/>
      <c r="D134" s="648"/>
      <c r="E134" s="648"/>
      <c r="F134" s="648"/>
      <c r="G134" s="648"/>
      <c r="H134" s="648"/>
      <c r="I134" s="648"/>
      <c r="J134" s="648"/>
      <c r="K134" s="648"/>
      <c r="L134" s="648"/>
      <c r="M134" s="648"/>
      <c r="N134" s="649">
        <f t="shared" si="4"/>
        <v>0</v>
      </c>
    </row>
    <row r="135" spans="1:14" ht="14.5" customHeight="1" x14ac:dyDescent="0.4">
      <c r="A135" s="615" t="str">
        <f>'[2]DETAILS (sorted)'!A52</f>
        <v>ILS24-F00050</v>
      </c>
      <c r="B135" s="615" t="str">
        <f>'[2]DETAILS (sorted)'!B52</f>
        <v xml:space="preserve">Shumbi Mkumbo </v>
      </c>
      <c r="C135" s="616"/>
      <c r="D135" s="648"/>
      <c r="E135" s="648"/>
      <c r="F135" s="648"/>
      <c r="G135" s="648"/>
      <c r="H135" s="648"/>
      <c r="I135" s="648"/>
      <c r="J135" s="648"/>
      <c r="K135" s="648"/>
      <c r="L135" s="648"/>
      <c r="M135" s="648"/>
      <c r="N135" s="649">
        <f t="shared" si="4"/>
        <v>0</v>
      </c>
    </row>
    <row r="136" spans="1:14" ht="14.5" customHeight="1" x14ac:dyDescent="0.4">
      <c r="A136" s="614" t="str">
        <f>'[2]DETAILS (sorted)'!A57</f>
        <v>ILS24-F00055</v>
      </c>
      <c r="B136" s="615" t="str">
        <f>'[2]DETAILS (sorted)'!B57</f>
        <v>Sifuni Mchome</v>
      </c>
      <c r="C136" s="616"/>
      <c r="D136" s="648"/>
      <c r="E136" s="648"/>
      <c r="F136" s="648"/>
      <c r="G136" s="648"/>
      <c r="H136" s="648"/>
      <c r="I136" s="648"/>
      <c r="J136" s="648"/>
      <c r="K136" s="648"/>
      <c r="L136" s="648"/>
      <c r="M136" s="648"/>
      <c r="N136" s="649">
        <f t="shared" si="4"/>
        <v>0</v>
      </c>
    </row>
    <row r="137" spans="1:14" ht="14.5" customHeight="1" x14ac:dyDescent="0.4">
      <c r="A137" s="614" t="str">
        <f>'[2]DETAILS (sorted)'!A56</f>
        <v>ILS24-F00054</v>
      </c>
      <c r="B137" s="615" t="str">
        <f>'[2]DETAILS (sorted)'!B56</f>
        <v>Stanslaus Senani Nyembea</v>
      </c>
      <c r="C137" s="616"/>
      <c r="D137" s="648"/>
      <c r="E137" s="648">
        <f>15000+15000</f>
        <v>30000</v>
      </c>
      <c r="F137" s="648"/>
      <c r="G137" s="648">
        <v>15000</v>
      </c>
      <c r="H137" s="648"/>
      <c r="I137" s="648"/>
      <c r="J137" s="648"/>
      <c r="K137" s="648"/>
      <c r="L137" s="648"/>
      <c r="M137" s="648"/>
      <c r="N137" s="649">
        <f t="shared" si="4"/>
        <v>45000</v>
      </c>
    </row>
    <row r="138" spans="1:14" ht="14.5" customHeight="1" x14ac:dyDescent="0.4">
      <c r="A138" s="614" t="str">
        <f>'[2]DETAILS (sorted)'!A89</f>
        <v>ILS24-F00087</v>
      </c>
      <c r="B138" s="615" t="str">
        <f>'[2]DETAILS (sorted)'!B89</f>
        <v>Stephano Migire Lolloo</v>
      </c>
      <c r="C138" s="616"/>
      <c r="D138" s="648"/>
      <c r="E138" s="648"/>
      <c r="F138" s="648"/>
      <c r="G138" s="648"/>
      <c r="H138" s="648"/>
      <c r="I138" s="648"/>
      <c r="J138" s="648"/>
      <c r="K138" s="648"/>
      <c r="L138" s="648"/>
      <c r="M138" s="648"/>
      <c r="N138" s="649">
        <f t="shared" si="4"/>
        <v>0</v>
      </c>
    </row>
    <row r="139" spans="1:14" ht="14.5" customHeight="1" x14ac:dyDescent="0.4">
      <c r="A139" s="614" t="str">
        <f>'[2]DETAILS (sorted)'!A33</f>
        <v>ILS24-F00031</v>
      </c>
      <c r="B139" s="615" t="str">
        <f>'[2]DETAILS (sorted)'!B33</f>
        <v>Stephen Nkurlu</v>
      </c>
      <c r="C139" s="616"/>
      <c r="D139" s="648"/>
      <c r="E139" s="648"/>
      <c r="F139" s="648"/>
      <c r="G139" s="648">
        <v>15000</v>
      </c>
      <c r="H139" s="648"/>
      <c r="I139" s="648"/>
      <c r="J139" s="648"/>
      <c r="K139" s="648"/>
      <c r="L139" s="648"/>
      <c r="M139" s="648"/>
      <c r="N139" s="649">
        <f t="shared" si="4"/>
        <v>15000</v>
      </c>
    </row>
    <row r="140" spans="1:14" ht="14.5" customHeight="1" x14ac:dyDescent="0.4">
      <c r="A140" s="615" t="str">
        <f>'[2]DETAILS (sorted)'!A146</f>
        <v>ILS24-F00144</v>
      </c>
      <c r="B140" s="615" t="str">
        <f>'[2]DETAILS (sorted)'!B146</f>
        <v xml:space="preserve">Steven Silvester Chihwallo </v>
      </c>
      <c r="C140" s="616"/>
      <c r="D140" s="648"/>
      <c r="E140" s="648"/>
      <c r="F140" s="648"/>
      <c r="G140" s="648"/>
      <c r="H140" s="648"/>
      <c r="I140" s="648"/>
      <c r="J140" s="648"/>
      <c r="K140" s="648"/>
      <c r="L140" s="648"/>
      <c r="M140" s="648"/>
      <c r="N140" s="649">
        <f t="shared" si="4"/>
        <v>0</v>
      </c>
    </row>
    <row r="141" spans="1:14" ht="14.5" customHeight="1" x14ac:dyDescent="0.4">
      <c r="A141" s="614" t="str">
        <f>'[2]DETAILS (sorted)'!A65</f>
        <v>ILS24-F00063</v>
      </c>
      <c r="B141" s="615" t="str">
        <f>'[2]DETAILS (sorted)'!B65</f>
        <v>Ted Frank Silkiluwasha</v>
      </c>
      <c r="C141" s="616"/>
      <c r="D141" s="648"/>
      <c r="E141" s="648"/>
      <c r="F141" s="648"/>
      <c r="G141" s="648"/>
      <c r="H141" s="648"/>
      <c r="I141" s="648"/>
      <c r="J141" s="648"/>
      <c r="K141" s="648"/>
      <c r="L141" s="648"/>
      <c r="M141" s="648"/>
      <c r="N141" s="649">
        <f t="shared" si="4"/>
        <v>0</v>
      </c>
    </row>
    <row r="142" spans="1:14" ht="14.5" customHeight="1" thickBot="1" x14ac:dyDescent="0.45">
      <c r="A142" s="629" t="str">
        <f>'[2]DETAILS (sorted)'!A133</f>
        <v>ILS24-F00131</v>
      </c>
      <c r="B142" s="630" t="str">
        <f>'[2]DETAILS (sorted)'!B133</f>
        <v>Titus Moses Safari</v>
      </c>
      <c r="C142" s="631"/>
      <c r="D142" s="654"/>
      <c r="E142" s="654"/>
      <c r="F142" s="654"/>
      <c r="G142" s="654"/>
      <c r="H142" s="654"/>
      <c r="I142" s="654"/>
      <c r="J142" s="654"/>
      <c r="K142" s="654"/>
      <c r="L142" s="654"/>
      <c r="M142" s="654"/>
      <c r="N142" s="649">
        <f t="shared" si="4"/>
        <v>0</v>
      </c>
    </row>
    <row r="143" spans="1:14" ht="14.5" customHeight="1" x14ac:dyDescent="0.4">
      <c r="A143" s="614" t="str">
        <f>'[2]DETAILS (sorted)'!A136</f>
        <v>ILS24-F00134</v>
      </c>
      <c r="B143" s="615" t="str">
        <f>'[2]DETAILS (sorted)'!B136</f>
        <v>Tumwesige David Mujwauzi</v>
      </c>
      <c r="C143" s="616"/>
      <c r="D143" s="648"/>
      <c r="E143" s="648"/>
      <c r="F143" s="648"/>
      <c r="G143" s="648"/>
      <c r="H143" s="648"/>
      <c r="I143" s="648"/>
      <c r="J143" s="648"/>
      <c r="K143" s="648"/>
      <c r="L143" s="648"/>
      <c r="M143" s="648"/>
      <c r="N143" s="649">
        <f t="shared" si="4"/>
        <v>0</v>
      </c>
    </row>
    <row r="144" spans="1:14" ht="14.5" customHeight="1" thickBot="1" x14ac:dyDescent="0.45">
      <c r="A144" s="614" t="str">
        <f>'[2]DETAILS (sorted)'!A120</f>
        <v>ILS24-F00118</v>
      </c>
      <c r="B144" s="615" t="str">
        <f>'[2]DETAILS (sorted)'!B120</f>
        <v>Vicent Athumani Tango</v>
      </c>
      <c r="C144" s="616"/>
      <c r="D144" s="648"/>
      <c r="E144" s="648"/>
      <c r="F144" s="648"/>
      <c r="G144" s="648"/>
      <c r="H144" s="648"/>
      <c r="I144" s="648"/>
      <c r="J144" s="648"/>
      <c r="K144" s="648"/>
      <c r="L144" s="648"/>
      <c r="M144" s="648"/>
      <c r="N144" s="649">
        <f t="shared" si="4"/>
        <v>0</v>
      </c>
    </row>
    <row r="145" spans="1:16" ht="14.5" customHeight="1" x14ac:dyDescent="0.4">
      <c r="A145" s="620" t="str">
        <f>'[2]DETAILS (sorted)'!A18</f>
        <v>ILS24-F00016</v>
      </c>
      <c r="B145" s="621" t="str">
        <f>'[2]DETAILS (sorted)'!B18</f>
        <v xml:space="preserve">Walter Salema </v>
      </c>
      <c r="C145" s="622"/>
      <c r="D145" s="650"/>
      <c r="E145" s="650"/>
      <c r="F145" s="650"/>
      <c r="G145" s="650"/>
      <c r="H145" s="650"/>
      <c r="I145" s="650"/>
      <c r="J145" s="650"/>
      <c r="K145" s="650"/>
      <c r="L145" s="650"/>
      <c r="M145" s="650"/>
      <c r="N145" s="649">
        <f t="shared" si="4"/>
        <v>0</v>
      </c>
    </row>
    <row r="146" spans="1:16" ht="14.5" customHeight="1" x14ac:dyDescent="0.4">
      <c r="A146" s="614" t="str">
        <f>'[2]DETAILS (sorted)'!A86</f>
        <v>ILS24-F00084</v>
      </c>
      <c r="B146" s="615" t="str">
        <f>'[2]DETAILS (sorted)'!B86</f>
        <v>Wariael Samile Ayo</v>
      </c>
      <c r="C146" s="616"/>
      <c r="D146" s="648"/>
      <c r="E146" s="648"/>
      <c r="F146" s="648"/>
      <c r="G146" s="648"/>
      <c r="H146" s="648"/>
      <c r="I146" s="648"/>
      <c r="J146" s="648"/>
      <c r="K146" s="648"/>
      <c r="L146" s="648"/>
      <c r="M146" s="648"/>
      <c r="N146" s="649">
        <f t="shared" si="4"/>
        <v>0</v>
      </c>
    </row>
    <row r="147" spans="1:16" ht="14.5" customHeight="1" x14ac:dyDescent="0.4">
      <c r="A147" s="614" t="str">
        <f>'[2]DETAILS (sorted)'!A70</f>
        <v>ILS24-F00068</v>
      </c>
      <c r="B147" s="615" t="str">
        <f>'[2]DETAILS (sorted)'!B70</f>
        <v>Wasia Issa Mushi</v>
      </c>
      <c r="C147" s="616"/>
      <c r="D147" s="648"/>
      <c r="E147" s="648"/>
      <c r="F147" s="648"/>
      <c r="G147" s="648"/>
      <c r="H147" s="648"/>
      <c r="I147" s="648"/>
      <c r="J147" s="648"/>
      <c r="K147" s="648"/>
      <c r="L147" s="648"/>
      <c r="M147" s="648"/>
      <c r="N147" s="649">
        <f t="shared" si="4"/>
        <v>0</v>
      </c>
    </row>
    <row r="148" spans="1:16" ht="14.5" customHeight="1" x14ac:dyDescent="0.4">
      <c r="A148" s="614" t="str">
        <f>'[2]DETAILS (sorted)'!A4</f>
        <v>ILS24-F00002</v>
      </c>
      <c r="B148" s="615" t="str">
        <f>'[2]DETAILS (sorted)'!B4</f>
        <v xml:space="preserve">Werema Msongo </v>
      </c>
      <c r="C148" s="616"/>
      <c r="D148" s="648">
        <v>15000</v>
      </c>
      <c r="E148" s="648"/>
      <c r="F148" s="648"/>
      <c r="G148" s="648"/>
      <c r="H148" s="648"/>
      <c r="I148" s="648"/>
      <c r="J148" s="648"/>
      <c r="K148" s="648"/>
      <c r="L148" s="648"/>
      <c r="M148" s="648"/>
      <c r="N148" s="649">
        <f t="shared" si="4"/>
        <v>15000</v>
      </c>
    </row>
    <row r="149" spans="1:16" ht="14.5" customHeight="1" x14ac:dyDescent="0.4">
      <c r="A149" s="614" t="str">
        <f>'[2]DETAILS (sorted)'!A112</f>
        <v>ILS24-F00110</v>
      </c>
      <c r="B149" s="615" t="str">
        <f>'[2]DETAILS (sorted)'!B112</f>
        <v>William Baraka Tigahwa</v>
      </c>
      <c r="C149" s="616"/>
      <c r="D149" s="648"/>
      <c r="E149" s="648"/>
      <c r="F149" s="648"/>
      <c r="G149" s="648"/>
      <c r="H149" s="648"/>
      <c r="I149" s="648"/>
      <c r="J149" s="648"/>
      <c r="K149" s="648"/>
      <c r="L149" s="648"/>
      <c r="M149" s="648"/>
      <c r="N149" s="649">
        <f t="shared" si="4"/>
        <v>0</v>
      </c>
    </row>
    <row r="150" spans="1:16" ht="16" x14ac:dyDescent="0.4">
      <c r="A150" s="614"/>
      <c r="B150" s="615"/>
      <c r="C150" s="616"/>
      <c r="D150" s="648"/>
      <c r="E150" s="648"/>
      <c r="F150" s="648"/>
      <c r="G150" s="648"/>
      <c r="H150" s="648"/>
      <c r="I150" s="648"/>
      <c r="J150" s="648"/>
      <c r="K150" s="648"/>
      <c r="L150" s="648"/>
      <c r="M150" s="648"/>
      <c r="N150" s="649">
        <f t="shared" si="4"/>
        <v>0</v>
      </c>
    </row>
    <row r="151" spans="1:16" ht="16" x14ac:dyDescent="0.4">
      <c r="A151" s="614" t="s">
        <v>1067</v>
      </c>
      <c r="B151" s="615"/>
      <c r="C151" s="616"/>
      <c r="D151" s="648">
        <v>21378</v>
      </c>
      <c r="E151" s="648"/>
      <c r="F151" s="648"/>
      <c r="G151" s="648"/>
      <c r="H151" s="648"/>
      <c r="I151" s="648"/>
      <c r="J151" s="648"/>
      <c r="K151" s="648"/>
      <c r="L151" s="648"/>
      <c r="M151" s="648"/>
      <c r="N151" s="649">
        <f t="shared" si="4"/>
        <v>21378</v>
      </c>
    </row>
    <row r="152" spans="1:16" ht="16" x14ac:dyDescent="0.4">
      <c r="A152" s="614" t="s">
        <v>1068</v>
      </c>
      <c r="B152" s="615"/>
      <c r="C152" s="616"/>
      <c r="D152" s="648">
        <v>800000</v>
      </c>
      <c r="E152" s="648"/>
      <c r="F152" s="648"/>
      <c r="G152" s="648"/>
      <c r="H152" s="648"/>
      <c r="I152" s="648"/>
      <c r="J152" s="648"/>
      <c r="K152" s="648"/>
      <c r="L152" s="648"/>
      <c r="M152" s="648"/>
      <c r="N152" s="649">
        <f t="shared" si="4"/>
        <v>800000</v>
      </c>
    </row>
    <row r="153" spans="1:16" ht="16" x14ac:dyDescent="0.4">
      <c r="A153" s="614" t="s">
        <v>1069</v>
      </c>
      <c r="B153" s="615"/>
      <c r="C153" s="616"/>
      <c r="D153" s="648">
        <v>500000</v>
      </c>
      <c r="E153" s="648"/>
      <c r="F153" s="648"/>
      <c r="G153" s="648"/>
      <c r="H153" s="648"/>
      <c r="I153" s="648"/>
      <c r="J153" s="648"/>
      <c r="K153" s="648"/>
      <c r="L153" s="648"/>
      <c r="M153" s="648"/>
      <c r="N153" s="649">
        <f t="shared" si="4"/>
        <v>500000</v>
      </c>
    </row>
    <row r="154" spans="1:16" ht="16" x14ac:dyDescent="0.4">
      <c r="A154" s="614" t="s">
        <v>1070</v>
      </c>
      <c r="B154" s="615"/>
      <c r="C154" s="616"/>
      <c r="D154" s="648">
        <v>250000</v>
      </c>
      <c r="E154" s="648"/>
      <c r="F154" s="648"/>
      <c r="G154" s="648"/>
      <c r="H154" s="648"/>
      <c r="I154" s="648"/>
      <c r="J154" s="648"/>
      <c r="K154" s="648"/>
      <c r="L154" s="648"/>
      <c r="M154" s="648"/>
      <c r="N154" s="649">
        <f t="shared" si="4"/>
        <v>250000</v>
      </c>
    </row>
    <row r="155" spans="1:16" ht="32" x14ac:dyDescent="0.4">
      <c r="A155" s="645" t="s">
        <v>658</v>
      </c>
      <c r="B155" s="615"/>
      <c r="C155" s="616"/>
      <c r="D155" s="648"/>
      <c r="E155" s="648"/>
      <c r="F155" s="648">
        <v>-2800000</v>
      </c>
      <c r="G155" s="648"/>
      <c r="H155" s="648"/>
      <c r="I155" s="648"/>
      <c r="J155" s="648"/>
      <c r="K155" s="648"/>
      <c r="L155" s="648"/>
      <c r="M155" s="648"/>
      <c r="N155" s="649">
        <f t="shared" si="4"/>
        <v>-2800000</v>
      </c>
    </row>
    <row r="156" spans="1:16" ht="16" x14ac:dyDescent="0.4">
      <c r="A156" s="614" t="s">
        <v>1071</v>
      </c>
      <c r="B156" s="615"/>
      <c r="C156" s="616"/>
      <c r="D156" s="648"/>
      <c r="E156" s="648"/>
      <c r="F156" s="648">
        <v>-244500</v>
      </c>
      <c r="G156" s="648"/>
      <c r="H156" s="648"/>
      <c r="I156" s="648"/>
      <c r="J156" s="648"/>
      <c r="K156" s="648"/>
      <c r="L156" s="648"/>
      <c r="M156" s="648"/>
      <c r="N156" s="649">
        <f t="shared" si="4"/>
        <v>-244500</v>
      </c>
    </row>
    <row r="157" spans="1:16" ht="16" x14ac:dyDescent="0.4">
      <c r="A157" s="614"/>
      <c r="B157" s="615"/>
      <c r="C157" s="616"/>
      <c r="D157" s="648"/>
      <c r="E157" s="648"/>
      <c r="F157" s="648"/>
      <c r="G157" s="648"/>
      <c r="H157" s="648"/>
      <c r="I157" s="648"/>
      <c r="J157" s="648"/>
      <c r="K157" s="648"/>
      <c r="L157" s="648"/>
      <c r="M157" s="648"/>
      <c r="N157" s="649">
        <f t="shared" si="4"/>
        <v>0</v>
      </c>
    </row>
    <row r="158" spans="1:16" ht="16" x14ac:dyDescent="0.4">
      <c r="A158" s="615"/>
      <c r="B158" s="615"/>
      <c r="C158" s="616"/>
      <c r="D158" s="649">
        <f t="shared" ref="D158:J158" si="5">SUM(D3:D157)</f>
        <v>1601378</v>
      </c>
      <c r="E158" s="649">
        <f t="shared" si="5"/>
        <v>75000</v>
      </c>
      <c r="F158" s="649">
        <f t="shared" si="5"/>
        <v>-2969500</v>
      </c>
      <c r="G158" s="649">
        <f t="shared" si="5"/>
        <v>225000</v>
      </c>
      <c r="H158" s="649">
        <f t="shared" si="5"/>
        <v>75000</v>
      </c>
      <c r="I158" s="649">
        <f t="shared" si="5"/>
        <v>0</v>
      </c>
      <c r="J158" s="649">
        <f t="shared" si="5"/>
        <v>0</v>
      </c>
      <c r="K158" s="649">
        <f>SUM(K3:K157)</f>
        <v>0</v>
      </c>
      <c r="L158" s="649">
        <f>SUM(L3:L157)</f>
        <v>0</v>
      </c>
      <c r="M158" s="649">
        <f>SUM(M3:M157)</f>
        <v>0</v>
      </c>
      <c r="N158" s="649">
        <f>SUM(D158:M158)</f>
        <v>-993122</v>
      </c>
      <c r="O158" s="633">
        <f>SUM(N3:N157)</f>
        <v>-993122</v>
      </c>
      <c r="P158">
        <f>O158-N158</f>
        <v>0</v>
      </c>
    </row>
    <row r="159" spans="1:16" ht="16" hidden="1" x14ac:dyDescent="0.4">
      <c r="A159" s="758" t="s">
        <v>625</v>
      </c>
      <c r="B159" s="758"/>
      <c r="C159" s="634"/>
      <c r="D159" s="484"/>
      <c r="E159" s="484"/>
      <c r="F159" s="484"/>
      <c r="G159" s="484"/>
      <c r="H159" s="484"/>
      <c r="I159" s="484"/>
      <c r="J159" s="484"/>
      <c r="N159" s="526"/>
    </row>
    <row r="160" spans="1:16" ht="14.25" hidden="1" customHeight="1" x14ac:dyDescent="0.4">
      <c r="A160" s="759" t="s">
        <v>226</v>
      </c>
      <c r="B160" s="759"/>
      <c r="C160" s="635">
        <f>C93</f>
        <v>0</v>
      </c>
      <c r="D160" s="484"/>
      <c r="E160" s="484"/>
      <c r="F160" s="484"/>
      <c r="G160" s="484"/>
      <c r="H160" s="484"/>
      <c r="I160" s="484"/>
      <c r="J160" s="484"/>
      <c r="N160" s="526"/>
    </row>
    <row r="161" spans="1:14" ht="16" hidden="1" x14ac:dyDescent="0.4">
      <c r="A161" s="759" t="s">
        <v>626</v>
      </c>
      <c r="B161" s="759"/>
      <c r="C161" s="635">
        <f>C122</f>
        <v>0</v>
      </c>
      <c r="D161" s="484"/>
      <c r="E161" s="484"/>
      <c r="F161" s="484"/>
      <c r="G161" s="484"/>
      <c r="H161" s="484"/>
      <c r="I161" s="484"/>
      <c r="J161" s="484"/>
      <c r="N161" s="526"/>
    </row>
    <row r="162" spans="1:14" ht="16" hidden="1" x14ac:dyDescent="0.4">
      <c r="A162" s="759" t="s">
        <v>627</v>
      </c>
      <c r="B162" s="759"/>
      <c r="C162" s="635">
        <f>C75</f>
        <v>0</v>
      </c>
      <c r="D162" s="484"/>
      <c r="E162" s="484"/>
      <c r="F162" s="484"/>
      <c r="G162" s="484"/>
      <c r="H162" s="484"/>
      <c r="I162" s="484"/>
      <c r="J162" s="484"/>
      <c r="N162" s="526"/>
    </row>
    <row r="163" spans="1:14" ht="23.25" hidden="1" customHeight="1" x14ac:dyDescent="0.35">
      <c r="A163" s="636" t="s">
        <v>430</v>
      </c>
      <c r="B163" s="636" t="s">
        <v>431</v>
      </c>
      <c r="C163" s="636">
        <v>100000000</v>
      </c>
      <c r="D163" s="655"/>
      <c r="E163" s="655"/>
      <c r="F163" s="655"/>
      <c r="G163" s="655"/>
      <c r="H163" s="655"/>
      <c r="I163" s="655"/>
      <c r="J163" s="655"/>
      <c r="N163" s="526"/>
    </row>
    <row r="164" spans="1:14" ht="16" hidden="1" x14ac:dyDescent="0.4">
      <c r="A164" s="637" t="s">
        <v>432</v>
      </c>
      <c r="B164" s="637"/>
      <c r="C164" s="638">
        <v>0</v>
      </c>
      <c r="D164" s="655"/>
      <c r="E164" s="655"/>
      <c r="F164" s="655"/>
      <c r="G164" s="655"/>
      <c r="H164" s="655"/>
      <c r="I164" s="655"/>
      <c r="J164" s="655"/>
      <c r="N164" s="526"/>
    </row>
    <row r="165" spans="1:14" hidden="1" x14ac:dyDescent="0.35">
      <c r="A165" s="636" t="s">
        <v>433</v>
      </c>
      <c r="B165" s="636" t="s">
        <v>434</v>
      </c>
      <c r="C165" s="636">
        <v>200000000</v>
      </c>
      <c r="D165" s="484"/>
      <c r="E165" s="484"/>
      <c r="F165" s="484"/>
      <c r="G165" s="484"/>
      <c r="H165" s="484"/>
      <c r="I165" s="484"/>
      <c r="J165" s="484"/>
      <c r="N165" s="526"/>
    </row>
    <row r="166" spans="1:14" ht="16" hidden="1" x14ac:dyDescent="0.4">
      <c r="A166" s="639" t="s">
        <v>435</v>
      </c>
      <c r="B166" s="640"/>
      <c r="C166" s="641">
        <v>0</v>
      </c>
      <c r="D166" s="484"/>
      <c r="E166" s="484"/>
      <c r="F166" s="484"/>
      <c r="G166" s="484"/>
      <c r="H166" s="484"/>
      <c r="I166" s="484"/>
      <c r="J166" s="484"/>
      <c r="N166" s="526"/>
    </row>
    <row r="167" spans="1:14" ht="16" hidden="1" x14ac:dyDescent="0.4">
      <c r="A167" s="642" t="s">
        <v>437</v>
      </c>
      <c r="B167" s="636" t="s">
        <v>438</v>
      </c>
      <c r="C167" s="636">
        <v>500000000</v>
      </c>
      <c r="D167" s="655"/>
      <c r="E167" s="655"/>
      <c r="F167" s="655"/>
      <c r="G167" s="655"/>
      <c r="H167" s="655"/>
      <c r="I167" s="655"/>
      <c r="J167" s="655"/>
      <c r="N167" s="526"/>
    </row>
    <row r="168" spans="1:14" ht="21.75" hidden="1" customHeight="1" x14ac:dyDescent="0.4">
      <c r="A168" s="643" t="s">
        <v>439</v>
      </c>
      <c r="B168" s="644"/>
      <c r="C168" s="643">
        <v>0</v>
      </c>
      <c r="D168" s="484"/>
      <c r="E168" s="484"/>
      <c r="F168" s="484"/>
      <c r="G168" s="484"/>
      <c r="H168" s="484"/>
      <c r="I168" s="484"/>
      <c r="J168" s="484"/>
      <c r="N168" s="526"/>
    </row>
    <row r="170" spans="1:14" x14ac:dyDescent="0.35">
      <c r="N170" s="646">
        <v>1044121</v>
      </c>
    </row>
  </sheetData>
  <autoFilter ref="A2:N2" xr:uid="{ED89DD63-E572-423D-85F4-47B4CB990886}"/>
  <mergeCells count="4">
    <mergeCell ref="A159:B159"/>
    <mergeCell ref="A160:B160"/>
    <mergeCell ref="A161:B161"/>
    <mergeCell ref="A162:B16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4449D-B324-416C-99A6-C08505649063}">
  <dimension ref="A1:C52"/>
  <sheetViews>
    <sheetView topLeftCell="A35" workbookViewId="0">
      <selection activeCell="C51" sqref="C51"/>
    </sheetView>
  </sheetViews>
  <sheetFormatPr defaultRowHeight="14.5" x14ac:dyDescent="0.35"/>
  <cols>
    <col min="2" max="2" width="52.6328125" bestFit="1" customWidth="1"/>
    <col min="3" max="3" width="11.90625" bestFit="1" customWidth="1"/>
  </cols>
  <sheetData>
    <row r="1" spans="1:3" x14ac:dyDescent="0.35">
      <c r="A1" t="s">
        <v>765</v>
      </c>
    </row>
    <row r="3" spans="1:3" ht="16" x14ac:dyDescent="0.4">
      <c r="B3" s="658" t="s">
        <v>1097</v>
      </c>
      <c r="C3" s="658" t="s">
        <v>446</v>
      </c>
    </row>
    <row r="4" spans="1:3" ht="16" x14ac:dyDescent="0.4">
      <c r="B4" s="195" t="s">
        <v>1109</v>
      </c>
      <c r="C4" s="393">
        <v>225000</v>
      </c>
    </row>
    <row r="5" spans="1:3" ht="16" x14ac:dyDescent="0.4">
      <c r="B5" s="195" t="s">
        <v>1110</v>
      </c>
      <c r="C5" s="393">
        <v>450000</v>
      </c>
    </row>
    <row r="6" spans="1:3" ht="16" x14ac:dyDescent="0.4">
      <c r="B6" s="195" t="s">
        <v>1111</v>
      </c>
      <c r="C6" s="393">
        <v>90000</v>
      </c>
    </row>
    <row r="7" spans="1:3" ht="16" x14ac:dyDescent="0.4">
      <c r="B7" s="195" t="s">
        <v>1112</v>
      </c>
      <c r="C7" s="393">
        <v>450000</v>
      </c>
    </row>
    <row r="8" spans="1:3" ht="16" x14ac:dyDescent="0.4">
      <c r="B8" s="195" t="s">
        <v>1113</v>
      </c>
      <c r="C8" s="393">
        <v>1891500</v>
      </c>
    </row>
    <row r="9" spans="1:3" ht="16" x14ac:dyDescent="0.4">
      <c r="B9" s="195" t="s">
        <v>1114</v>
      </c>
      <c r="C9" s="393">
        <v>453375</v>
      </c>
    </row>
    <row r="10" spans="1:3" ht="16" x14ac:dyDescent="0.4">
      <c r="B10" s="430" t="s">
        <v>1115</v>
      </c>
      <c r="C10" s="431">
        <v>100000</v>
      </c>
    </row>
    <row r="11" spans="1:3" x14ac:dyDescent="0.35">
      <c r="B11" s="185" t="s">
        <v>187</v>
      </c>
      <c r="C11" s="429">
        <f>SUM(C4:C10)</f>
        <v>3659875</v>
      </c>
    </row>
    <row r="12" spans="1:3" ht="16" x14ac:dyDescent="0.4">
      <c r="B12" s="147" t="s">
        <v>1116</v>
      </c>
      <c r="C12" s="265">
        <v>2410373.4899999499</v>
      </c>
    </row>
    <row r="13" spans="1:3" ht="16" x14ac:dyDescent="0.4">
      <c r="B13" s="432" t="s">
        <v>697</v>
      </c>
      <c r="C13" s="433">
        <f>C11+C12</f>
        <v>6070248.4899999499</v>
      </c>
    </row>
    <row r="14" spans="1:3" x14ac:dyDescent="0.35">
      <c r="B14" s="185"/>
      <c r="C14" s="429"/>
    </row>
    <row r="17" spans="2:3" ht="16" x14ac:dyDescent="0.4">
      <c r="B17" s="658" t="s">
        <v>1098</v>
      </c>
      <c r="C17" s="658" t="s">
        <v>446</v>
      </c>
    </row>
    <row r="18" spans="2:3" ht="16" x14ac:dyDescent="0.4">
      <c r="B18" s="195" t="s">
        <v>1273</v>
      </c>
      <c r="C18" s="441">
        <v>350000</v>
      </c>
    </row>
    <row r="19" spans="2:3" ht="16" x14ac:dyDescent="0.4">
      <c r="B19" s="195" t="s">
        <v>1274</v>
      </c>
      <c r="C19" s="441">
        <v>42000</v>
      </c>
    </row>
    <row r="20" spans="2:3" ht="16" x14ac:dyDescent="0.4">
      <c r="B20" s="195" t="s">
        <v>1275</v>
      </c>
      <c r="C20" s="441">
        <v>645000</v>
      </c>
    </row>
    <row r="21" spans="2:3" ht="16" x14ac:dyDescent="0.4">
      <c r="B21" s="195" t="s">
        <v>1276</v>
      </c>
      <c r="C21" s="441">
        <v>156750</v>
      </c>
    </row>
    <row r="22" spans="2:3" ht="16" x14ac:dyDescent="0.4">
      <c r="B22" s="195" t="s">
        <v>1277</v>
      </c>
      <c r="C22" s="441">
        <v>75900</v>
      </c>
    </row>
    <row r="23" spans="2:3" ht="16" x14ac:dyDescent="0.4">
      <c r="B23" s="195" t="s">
        <v>1278</v>
      </c>
      <c r="C23" s="441">
        <v>225000</v>
      </c>
    </row>
    <row r="24" spans="2:3" ht="16" x14ac:dyDescent="0.4">
      <c r="B24" s="195" t="s">
        <v>1279</v>
      </c>
      <c r="C24" s="441">
        <v>450000</v>
      </c>
    </row>
    <row r="25" spans="2:3" ht="16" x14ac:dyDescent="0.4">
      <c r="B25" s="441" t="s">
        <v>1280</v>
      </c>
      <c r="C25" s="441">
        <v>160000</v>
      </c>
    </row>
    <row r="26" spans="2:3" ht="16" x14ac:dyDescent="0.4">
      <c r="B26" s="441" t="s">
        <v>1281</v>
      </c>
      <c r="C26" s="441">
        <v>198378</v>
      </c>
    </row>
    <row r="27" spans="2:3" ht="16" x14ac:dyDescent="0.4">
      <c r="B27" s="195" t="s">
        <v>1282</v>
      </c>
      <c r="C27" s="441">
        <v>120000</v>
      </c>
    </row>
    <row r="28" spans="2:3" ht="16" x14ac:dyDescent="0.4">
      <c r="B28" s="195" t="s">
        <v>1283</v>
      </c>
      <c r="C28" s="441">
        <v>90000</v>
      </c>
    </row>
    <row r="29" spans="2:3" ht="16" x14ac:dyDescent="0.4">
      <c r="B29" s="195" t="s">
        <v>1284</v>
      </c>
      <c r="C29" s="441">
        <v>30000</v>
      </c>
    </row>
    <row r="30" spans="2:3" ht="16" x14ac:dyDescent="0.4">
      <c r="B30" s="195" t="s">
        <v>1285</v>
      </c>
      <c r="C30" s="441">
        <v>363600</v>
      </c>
    </row>
    <row r="31" spans="2:3" ht="16" x14ac:dyDescent="0.4">
      <c r="B31" s="185" t="s">
        <v>1272</v>
      </c>
      <c r="C31" s="657">
        <f>SUM(C18:C30)</f>
        <v>2906628</v>
      </c>
    </row>
    <row r="32" spans="2:3" ht="16" x14ac:dyDescent="0.4">
      <c r="B32" s="147" t="s">
        <v>1108</v>
      </c>
      <c r="C32" s="147">
        <v>9705208.5899999738</v>
      </c>
    </row>
    <row r="33" spans="2:3" ht="16" x14ac:dyDescent="0.4">
      <c r="B33" s="432" t="s">
        <v>1090</v>
      </c>
      <c r="C33" s="433">
        <f>SUM(C31:C32)</f>
        <v>12611836.589999974</v>
      </c>
    </row>
    <row r="36" spans="2:3" ht="16" x14ac:dyDescent="0.4">
      <c r="B36" s="658" t="s">
        <v>1356</v>
      </c>
      <c r="C36" s="658" t="s">
        <v>446</v>
      </c>
    </row>
    <row r="37" spans="2:3" ht="16" x14ac:dyDescent="0.4">
      <c r="B37" s="195" t="s">
        <v>1313</v>
      </c>
      <c r="C37" s="699">
        <v>12930375</v>
      </c>
    </row>
    <row r="38" spans="2:3" ht="16" x14ac:dyDescent="0.4">
      <c r="B38" s="195" t="s">
        <v>1319</v>
      </c>
      <c r="C38" s="699">
        <v>77000</v>
      </c>
    </row>
    <row r="39" spans="2:3" ht="16" x14ac:dyDescent="0.4">
      <c r="B39" s="195" t="s">
        <v>1320</v>
      </c>
      <c r="C39" s="699">
        <v>585000</v>
      </c>
    </row>
    <row r="40" spans="2:3" ht="16" x14ac:dyDescent="0.4">
      <c r="B40" s="195" t="s">
        <v>1321</v>
      </c>
      <c r="C40" s="699">
        <v>225000</v>
      </c>
    </row>
    <row r="41" spans="2:3" ht="16" x14ac:dyDescent="0.4">
      <c r="B41" s="195" t="s">
        <v>1322</v>
      </c>
      <c r="C41" s="699">
        <v>450000</v>
      </c>
    </row>
    <row r="42" spans="2:3" ht="16" x14ac:dyDescent="0.4">
      <c r="B42" s="195" t="s">
        <v>1339</v>
      </c>
      <c r="C42" s="699">
        <v>61377</v>
      </c>
    </row>
    <row r="43" spans="2:3" ht="16" x14ac:dyDescent="0.4">
      <c r="B43" s="195" t="s">
        <v>1340</v>
      </c>
      <c r="C43" s="699">
        <v>450000</v>
      </c>
    </row>
    <row r="44" spans="2:3" ht="16" x14ac:dyDescent="0.4">
      <c r="B44" s="195" t="s">
        <v>1341</v>
      </c>
      <c r="C44" s="699">
        <v>54000</v>
      </c>
    </row>
    <row r="45" spans="2:3" ht="16" x14ac:dyDescent="0.4">
      <c r="B45" s="195" t="s">
        <v>1346</v>
      </c>
      <c r="C45" s="699">
        <v>78000</v>
      </c>
    </row>
    <row r="46" spans="2:3" ht="16" x14ac:dyDescent="0.4">
      <c r="B46" s="195" t="s">
        <v>1347</v>
      </c>
      <c r="C46" s="699">
        <f>150000+37333</f>
        <v>187333</v>
      </c>
    </row>
    <row r="47" spans="2:3" ht="16" x14ac:dyDescent="0.4">
      <c r="B47" s="195" t="s">
        <v>1345</v>
      </c>
      <c r="C47" s="699">
        <v>450000</v>
      </c>
    </row>
    <row r="48" spans="2:3" ht="16" x14ac:dyDescent="0.4">
      <c r="B48" s="195" t="s">
        <v>1354</v>
      </c>
      <c r="C48" s="699">
        <v>100960</v>
      </c>
    </row>
    <row r="49" spans="2:3" ht="16" x14ac:dyDescent="0.4">
      <c r="B49" s="195" t="s">
        <v>1353</v>
      </c>
      <c r="C49" s="699">
        <v>450000</v>
      </c>
    </row>
    <row r="50" spans="2:3" ht="16" x14ac:dyDescent="0.4">
      <c r="B50" s="185" t="s">
        <v>1272</v>
      </c>
      <c r="C50" s="657">
        <f>SUM(C37:C49)</f>
        <v>16099045</v>
      </c>
    </row>
    <row r="51" spans="2:3" ht="16" x14ac:dyDescent="0.4">
      <c r="B51" s="147" t="s">
        <v>1342</v>
      </c>
      <c r="C51" s="147">
        <v>4484337.4800000191</v>
      </c>
    </row>
    <row r="52" spans="2:3" ht="16" x14ac:dyDescent="0.4">
      <c r="B52" s="432" t="s">
        <v>1355</v>
      </c>
      <c r="C52" s="433">
        <f>SUM(C50:C51)</f>
        <v>20583382.480000019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D84A5-4BA4-4F40-8A41-8E9D0C6CD417}">
  <dimension ref="B2:J34"/>
  <sheetViews>
    <sheetView topLeftCell="B15" workbookViewId="0">
      <selection activeCell="G17" sqref="G17"/>
    </sheetView>
  </sheetViews>
  <sheetFormatPr defaultRowHeight="14.5" x14ac:dyDescent="0.35"/>
  <cols>
    <col min="2" max="2" width="30.6328125" bestFit="1" customWidth="1"/>
    <col min="3" max="3" width="20.6328125" customWidth="1"/>
    <col min="4" max="4" width="18.81640625" style="1" bestFit="1" customWidth="1"/>
    <col min="5" max="5" width="20.54296875" customWidth="1"/>
    <col min="6" max="6" width="14.81640625" bestFit="1" customWidth="1"/>
    <col min="9" max="9" width="27.08984375" style="526" customWidth="1"/>
    <col min="10" max="10" width="13.81640625" style="526" bestFit="1" customWidth="1"/>
  </cols>
  <sheetData>
    <row r="2" spans="2:10" x14ac:dyDescent="0.35">
      <c r="E2" s="74" t="s">
        <v>786</v>
      </c>
      <c r="F2" s="74"/>
      <c r="G2" s="2"/>
    </row>
    <row r="3" spans="2:10" x14ac:dyDescent="0.35">
      <c r="B3" s="2" t="s">
        <v>694</v>
      </c>
      <c r="C3" s="2">
        <v>147</v>
      </c>
      <c r="E3" s="424" t="s">
        <v>677</v>
      </c>
      <c r="F3" s="395" t="s">
        <v>568</v>
      </c>
      <c r="G3" s="2" t="s">
        <v>785</v>
      </c>
      <c r="I3" s="484" t="s">
        <v>694</v>
      </c>
      <c r="J3" s="484">
        <v>147</v>
      </c>
    </row>
    <row r="4" spans="2:10" x14ac:dyDescent="0.35">
      <c r="B4" s="2" t="s">
        <v>689</v>
      </c>
      <c r="C4" s="3">
        <f>'DETAILS (sorted)'!DS156</f>
        <v>63633670</v>
      </c>
      <c r="E4" s="425" t="s">
        <v>712</v>
      </c>
      <c r="F4" s="418">
        <f>'Summary2 (sorted)'!C356</f>
        <v>71924000</v>
      </c>
      <c r="G4" s="475">
        <f>F4/$F$12*100%</f>
        <v>4.5231272975225542E-2</v>
      </c>
      <c r="I4" s="484" t="s">
        <v>689</v>
      </c>
      <c r="J4" s="557">
        <v>106000000</v>
      </c>
    </row>
    <row r="5" spans="2:10" x14ac:dyDescent="0.35">
      <c r="B5" s="2" t="s">
        <v>418</v>
      </c>
      <c r="C5" s="3">
        <f>MIKOPO!E134</f>
        <v>483900000</v>
      </c>
      <c r="E5" s="425" t="s">
        <v>713</v>
      </c>
      <c r="F5" s="418">
        <f>'Summary2 (sorted)'!C357</f>
        <v>90064135</v>
      </c>
      <c r="G5" s="475">
        <f>F5/$F$12*100%</f>
        <v>5.6639167391448822E-2</v>
      </c>
      <c r="I5" s="484" t="s">
        <v>418</v>
      </c>
      <c r="J5" s="557">
        <f>C5</f>
        <v>483900000</v>
      </c>
    </row>
    <row r="6" spans="2:10" x14ac:dyDescent="0.35">
      <c r="B6" s="2" t="s">
        <v>693</v>
      </c>
      <c r="C6" s="3">
        <f>MIKOPO!F134</f>
        <v>37461563.519999996</v>
      </c>
      <c r="E6" s="425" t="s">
        <v>672</v>
      </c>
      <c r="F6" s="418">
        <f>'Summary2 (sorted)'!C358</f>
        <v>163024721</v>
      </c>
      <c r="G6" s="475">
        <f>F6/$F$12*100%</f>
        <v>0.10252232435989356</v>
      </c>
      <c r="I6" s="484" t="s">
        <v>693</v>
      </c>
      <c r="J6" s="557">
        <v>30000000</v>
      </c>
    </row>
    <row r="7" spans="2:10" x14ac:dyDescent="0.35">
      <c r="B7" s="2" t="s">
        <v>692</v>
      </c>
      <c r="C7" s="3">
        <f>'Summary2 (sorted)'!C216</f>
        <v>335263945</v>
      </c>
      <c r="E7" s="425" t="s">
        <v>673</v>
      </c>
      <c r="F7" s="418">
        <f>'Summary2 (sorted)'!C359</f>
        <v>160345033</v>
      </c>
      <c r="G7" s="475">
        <f>F7/$F$12*100%</f>
        <v>0.10083713305495451</v>
      </c>
      <c r="I7" s="484" t="s">
        <v>692</v>
      </c>
      <c r="J7" s="557">
        <f t="shared" ref="J7" si="0">C7</f>
        <v>335263945</v>
      </c>
    </row>
    <row r="8" spans="2:10" x14ac:dyDescent="0.35">
      <c r="B8" s="2" t="s">
        <v>688</v>
      </c>
      <c r="C8" s="3">
        <f>UTT!D22</f>
        <v>822292446.89999998</v>
      </c>
      <c r="E8" s="425" t="s">
        <v>377</v>
      </c>
      <c r="F8" s="418">
        <f>'Summary2 (sorted)'!C360</f>
        <v>146311173</v>
      </c>
      <c r="G8" s="475">
        <f>F8/$F$12*100%</f>
        <v>9.2011576181642421E-2</v>
      </c>
      <c r="I8" s="484" t="s">
        <v>688</v>
      </c>
      <c r="J8" s="557">
        <v>625000000</v>
      </c>
    </row>
    <row r="9" spans="2:10" x14ac:dyDescent="0.35">
      <c r="B9" s="2" t="s">
        <v>685</v>
      </c>
      <c r="C9" s="3">
        <f>'Summary2 (sorted)'!C264</f>
        <v>26088612.75999999</v>
      </c>
      <c r="E9" s="425" t="s">
        <v>678</v>
      </c>
      <c r="F9" s="418">
        <f>'Summary2 (sorted)'!C361</f>
        <v>452396672</v>
      </c>
      <c r="G9" s="475">
        <f>F9/$F$12*100%</f>
        <v>0.28450138151820775</v>
      </c>
      <c r="I9" s="484" t="s">
        <v>685</v>
      </c>
      <c r="J9" s="557">
        <v>15000000</v>
      </c>
    </row>
    <row r="10" spans="2:10" x14ac:dyDescent="0.35">
      <c r="B10" s="2" t="s">
        <v>690</v>
      </c>
      <c r="C10" s="3">
        <f>F12</f>
        <v>1590138752.8800001</v>
      </c>
      <c r="E10" s="690" t="s">
        <v>1032</v>
      </c>
      <c r="F10" s="247">
        <f>'DETAILS (sorted)'!CH153</f>
        <v>447535380</v>
      </c>
      <c r="G10" s="475">
        <f>F10/$F$12*100%</f>
        <v>0.28144423195110524</v>
      </c>
      <c r="I10" s="484" t="s">
        <v>690</v>
      </c>
      <c r="J10" s="557">
        <v>1000000000</v>
      </c>
    </row>
    <row r="11" spans="2:10" x14ac:dyDescent="0.35">
      <c r="B11" s="2" t="s">
        <v>691</v>
      </c>
      <c r="C11" s="3">
        <f>'Summary2 (sorted)'!C319</f>
        <v>0</v>
      </c>
      <c r="E11" s="425" t="s">
        <v>676</v>
      </c>
      <c r="F11" s="418">
        <f>'Summary2 (sorted)'!C363</f>
        <v>56904160.759999998</v>
      </c>
      <c r="G11" s="475">
        <f>F11/$F$12*100%</f>
        <v>3.5785657482365799E-2</v>
      </c>
      <c r="I11" s="484" t="s">
        <v>932</v>
      </c>
      <c r="J11" s="557">
        <v>2000000000</v>
      </c>
    </row>
    <row r="12" spans="2:10" x14ac:dyDescent="0.35">
      <c r="B12" s="2" t="s">
        <v>695</v>
      </c>
      <c r="C12" s="434">
        <v>1.4999999999999999E-2</v>
      </c>
      <c r="E12" s="473" t="s">
        <v>187</v>
      </c>
      <c r="F12" s="474">
        <f>D15</f>
        <v>1590138752.8800001</v>
      </c>
      <c r="I12" s="484" t="s">
        <v>695</v>
      </c>
      <c r="J12" s="572">
        <v>1.4999999999999999E-2</v>
      </c>
    </row>
    <row r="13" spans="2:10" x14ac:dyDescent="0.35">
      <c r="B13" s="772"/>
      <c r="C13" s="773"/>
      <c r="I13" s="774"/>
      <c r="J13" s="775"/>
    </row>
    <row r="15" spans="2:10" ht="16" x14ac:dyDescent="0.4">
      <c r="B15" s="597" t="s">
        <v>429</v>
      </c>
      <c r="C15" s="134" t="s">
        <v>1045</v>
      </c>
      <c r="D15" s="598">
        <f>'Summary2 (sorted)'!C311</f>
        <v>1590138752.8800001</v>
      </c>
      <c r="E15" s="82"/>
      <c r="I15" s="573">
        <f>J10-J8</f>
        <v>375000000</v>
      </c>
    </row>
    <row r="16" spans="2:10" ht="16" x14ac:dyDescent="0.4">
      <c r="B16" s="263" t="s">
        <v>430</v>
      </c>
      <c r="C16" s="263" t="s">
        <v>431</v>
      </c>
      <c r="D16" s="599">
        <v>100000000</v>
      </c>
      <c r="E16" s="600" t="s">
        <v>527</v>
      </c>
    </row>
    <row r="17" spans="2:10" ht="16" x14ac:dyDescent="0.4">
      <c r="B17" s="341" t="s">
        <v>432</v>
      </c>
      <c r="C17" s="341"/>
      <c r="D17" s="601">
        <v>0</v>
      </c>
      <c r="E17" s="602"/>
    </row>
    <row r="18" spans="2:10" ht="16" x14ac:dyDescent="0.4">
      <c r="B18" s="263" t="s">
        <v>433</v>
      </c>
      <c r="C18" s="263" t="s">
        <v>434</v>
      </c>
      <c r="D18" s="599">
        <v>200000000</v>
      </c>
      <c r="E18" s="599" t="s">
        <v>526</v>
      </c>
      <c r="I18" s="526" t="s">
        <v>733</v>
      </c>
      <c r="J18" s="526">
        <f>165000+23500</f>
        <v>188500</v>
      </c>
    </row>
    <row r="19" spans="2:10" ht="16" x14ac:dyDescent="0.4">
      <c r="B19" s="334" t="s">
        <v>435</v>
      </c>
      <c r="C19" s="242"/>
      <c r="D19" s="603">
        <v>0</v>
      </c>
      <c r="E19" s="603"/>
      <c r="I19" s="526" t="s">
        <v>734</v>
      </c>
      <c r="J19" s="526">
        <v>200000</v>
      </c>
    </row>
    <row r="20" spans="2:10" ht="16" x14ac:dyDescent="0.4">
      <c r="B20" s="263" t="s">
        <v>437</v>
      </c>
      <c r="C20" s="263" t="s">
        <v>438</v>
      </c>
      <c r="D20" s="599">
        <v>500000000</v>
      </c>
      <c r="E20" s="599" t="s">
        <v>525</v>
      </c>
      <c r="I20" s="526" t="s">
        <v>735</v>
      </c>
      <c r="J20" s="574">
        <f>20000+50000</f>
        <v>70000</v>
      </c>
    </row>
    <row r="21" spans="2:10" ht="16" x14ac:dyDescent="0.4">
      <c r="B21" s="256" t="s">
        <v>439</v>
      </c>
      <c r="C21" s="262"/>
      <c r="D21" s="259">
        <v>0</v>
      </c>
      <c r="E21" s="259"/>
      <c r="I21" s="526" t="s">
        <v>736</v>
      </c>
      <c r="J21" s="526">
        <v>300000</v>
      </c>
    </row>
    <row r="22" spans="2:10" ht="16" x14ac:dyDescent="0.4">
      <c r="B22" s="599" t="s">
        <v>441</v>
      </c>
      <c r="C22" s="599" t="s">
        <v>554</v>
      </c>
      <c r="D22" s="599">
        <v>1000000000</v>
      </c>
      <c r="E22" s="599" t="s">
        <v>761</v>
      </c>
      <c r="J22" s="526">
        <f>SUM(J18:J21)</f>
        <v>758500</v>
      </c>
    </row>
    <row r="23" spans="2:10" ht="16" x14ac:dyDescent="0.4">
      <c r="B23" s="604" t="s">
        <v>442</v>
      </c>
      <c r="C23" s="604"/>
      <c r="D23" s="598">
        <v>0</v>
      </c>
      <c r="E23" s="364"/>
    </row>
    <row r="24" spans="2:10" ht="16" x14ac:dyDescent="0.4">
      <c r="B24" s="606"/>
      <c r="C24" s="606"/>
      <c r="D24" s="607"/>
      <c r="E24" s="608"/>
    </row>
    <row r="25" spans="2:10" ht="16" x14ac:dyDescent="0.4">
      <c r="B25" s="74" t="s">
        <v>1054</v>
      </c>
      <c r="C25" s="74" t="s">
        <v>1052</v>
      </c>
      <c r="D25" s="81" t="s">
        <v>446</v>
      </c>
      <c r="E25" s="82" t="s">
        <v>1053</v>
      </c>
    </row>
    <row r="26" spans="2:10" ht="16" x14ac:dyDescent="0.4">
      <c r="B26" s="74" t="s">
        <v>1051</v>
      </c>
      <c r="C26" s="2"/>
      <c r="D26" s="81">
        <f>F12</f>
        <v>1590138752.8800001</v>
      </c>
      <c r="E26" s="86"/>
    </row>
    <row r="27" spans="2:10" ht="32" x14ac:dyDescent="0.4">
      <c r="B27" s="686" t="s">
        <v>990</v>
      </c>
      <c r="C27" s="687" t="s">
        <v>1296</v>
      </c>
      <c r="D27" s="688">
        <v>1250000000</v>
      </c>
      <c r="E27" s="689">
        <v>0</v>
      </c>
    </row>
    <row r="28" spans="2:10" ht="16" x14ac:dyDescent="0.4">
      <c r="B28" s="686" t="s">
        <v>1046</v>
      </c>
      <c r="C28" s="687" t="s">
        <v>554</v>
      </c>
      <c r="D28" s="688">
        <v>1500000000</v>
      </c>
      <c r="E28" s="689">
        <v>0</v>
      </c>
    </row>
    <row r="29" spans="2:10" ht="16" x14ac:dyDescent="0.4">
      <c r="B29" s="86" t="s">
        <v>1047</v>
      </c>
      <c r="C29" s="86" t="s">
        <v>1048</v>
      </c>
      <c r="D29" s="80">
        <v>1750000000</v>
      </c>
      <c r="E29" s="605">
        <f>D26-D29</f>
        <v>-159861247.11999989</v>
      </c>
      <c r="I29" s="526">
        <f>25*4500+50000</f>
        <v>162500</v>
      </c>
    </row>
    <row r="30" spans="2:10" ht="16" x14ac:dyDescent="0.4">
      <c r="B30" s="86" t="s">
        <v>1049</v>
      </c>
      <c r="C30" s="86" t="s">
        <v>1050</v>
      </c>
      <c r="D30" s="80">
        <v>2000000000</v>
      </c>
      <c r="E30" s="605">
        <f>D26-D30</f>
        <v>-409861247.11999989</v>
      </c>
    </row>
    <row r="34" spans="3:3" x14ac:dyDescent="0.35">
      <c r="C34" s="47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624C-1C2A-4B4F-9C78-51CB15FA1CE8}">
  <dimension ref="B3:D12"/>
  <sheetViews>
    <sheetView workbookViewId="0">
      <selection activeCell="N16" sqref="N16"/>
    </sheetView>
  </sheetViews>
  <sheetFormatPr defaultRowHeight="14.5" x14ac:dyDescent="0.35"/>
  <cols>
    <col min="2" max="2" width="21.1796875" bestFit="1" customWidth="1"/>
    <col min="3" max="3" width="14.81640625" style="1" bestFit="1" customWidth="1"/>
    <col min="4" max="4" width="11.1796875" bestFit="1" customWidth="1"/>
  </cols>
  <sheetData>
    <row r="3" spans="2:4" x14ac:dyDescent="0.35">
      <c r="B3" s="1"/>
    </row>
    <row r="4" spans="2:4" x14ac:dyDescent="0.35">
      <c r="B4" s="3" t="s">
        <v>1323</v>
      </c>
      <c r="C4" s="3">
        <v>334000000</v>
      </c>
    </row>
    <row r="5" spans="2:4" x14ac:dyDescent="0.35">
      <c r="B5" s="3" t="s">
        <v>1324</v>
      </c>
      <c r="C5" s="3">
        <v>4912200</v>
      </c>
    </row>
    <row r="6" spans="2:4" x14ac:dyDescent="0.35">
      <c r="B6" s="191" t="s">
        <v>1325</v>
      </c>
      <c r="C6" s="191">
        <f>SUM(C4:C5)</f>
        <v>338912200</v>
      </c>
    </row>
    <row r="8" spans="2:4" x14ac:dyDescent="0.35">
      <c r="B8" s="7" t="s">
        <v>1326</v>
      </c>
      <c r="C8" s="3">
        <v>200000000</v>
      </c>
      <c r="D8" s="122">
        <f>C8/C6</f>
        <v>0.59012334167964442</v>
      </c>
    </row>
    <row r="9" spans="2:4" x14ac:dyDescent="0.35">
      <c r="B9" s="7" t="s">
        <v>1327</v>
      </c>
      <c r="C9" s="3">
        <f>C6-C8</f>
        <v>138912200</v>
      </c>
      <c r="D9" s="122">
        <f>C9/C6</f>
        <v>0.40987665832035552</v>
      </c>
    </row>
    <row r="11" spans="2:4" ht="29" x14ac:dyDescent="0.35">
      <c r="B11" s="493" t="s">
        <v>1328</v>
      </c>
      <c r="C11" s="3">
        <f>131294795+5000000+5000000</f>
        <v>141294795</v>
      </c>
    </row>
    <row r="12" spans="2:4" x14ac:dyDescent="0.35">
      <c r="B12" s="74" t="s">
        <v>1329</v>
      </c>
      <c r="C12" s="191">
        <f>C9-C11</f>
        <v>-2382595</v>
      </c>
      <c r="D12" s="2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D5BA-E06D-4423-AA4C-AC33CDA684FA}">
  <dimension ref="B3:G39"/>
  <sheetViews>
    <sheetView topLeftCell="A19" workbookViewId="0">
      <selection activeCell="N16" sqref="N16"/>
    </sheetView>
  </sheetViews>
  <sheetFormatPr defaultRowHeight="14.5" x14ac:dyDescent="0.35"/>
  <cols>
    <col min="2" max="2" width="26.81640625" bestFit="1" customWidth="1"/>
    <col min="3" max="3" width="16.08984375" bestFit="1" customWidth="1"/>
    <col min="4" max="4" width="18.90625" customWidth="1"/>
    <col min="5" max="5" width="10.1796875" bestFit="1" customWidth="1"/>
    <col min="6" max="6" width="14.81640625" bestFit="1" customWidth="1"/>
    <col min="7" max="7" width="12.7265625" bestFit="1" customWidth="1"/>
  </cols>
  <sheetData>
    <row r="3" spans="2:4" x14ac:dyDescent="0.35">
      <c r="B3" s="246" t="s">
        <v>567</v>
      </c>
      <c r="C3" s="246" t="s">
        <v>570</v>
      </c>
      <c r="D3" s="246" t="s">
        <v>568</v>
      </c>
    </row>
    <row r="4" spans="2:4" ht="16" x14ac:dyDescent="0.4">
      <c r="B4" s="378" t="s">
        <v>581</v>
      </c>
      <c r="C4" s="378" t="s">
        <v>571</v>
      </c>
      <c r="D4" s="254">
        <v>50500000</v>
      </c>
    </row>
    <row r="5" spans="2:4" ht="16" x14ac:dyDescent="0.4">
      <c r="B5" s="378" t="s">
        <v>582</v>
      </c>
      <c r="C5" s="378" t="s">
        <v>333</v>
      </c>
      <c r="D5" s="254">
        <v>12700000</v>
      </c>
    </row>
    <row r="6" spans="2:4" ht="16" x14ac:dyDescent="0.4">
      <c r="B6" s="378" t="s">
        <v>583</v>
      </c>
      <c r="C6" s="378" t="s">
        <v>572</v>
      </c>
      <c r="D6" s="254">
        <v>5500000</v>
      </c>
    </row>
    <row r="7" spans="2:4" ht="16" x14ac:dyDescent="0.4">
      <c r="B7" s="378" t="s">
        <v>338</v>
      </c>
      <c r="C7" s="378" t="s">
        <v>573</v>
      </c>
      <c r="D7" s="254">
        <v>13500000</v>
      </c>
    </row>
    <row r="8" spans="2:4" ht="16" x14ac:dyDescent="0.4">
      <c r="B8" s="378" t="s">
        <v>341</v>
      </c>
      <c r="C8" s="378" t="s">
        <v>574</v>
      </c>
      <c r="D8" s="254">
        <v>16700000</v>
      </c>
    </row>
    <row r="9" spans="2:4" ht="16" x14ac:dyDescent="0.4">
      <c r="B9" s="378" t="s">
        <v>584</v>
      </c>
      <c r="C9" s="378" t="s">
        <v>576</v>
      </c>
      <c r="D9" s="254">
        <v>6000000</v>
      </c>
    </row>
    <row r="10" spans="2:4" ht="16" x14ac:dyDescent="0.4">
      <c r="B10" s="378" t="s">
        <v>585</v>
      </c>
      <c r="C10" s="378" t="s">
        <v>471</v>
      </c>
      <c r="D10" s="254">
        <v>21600000</v>
      </c>
    </row>
    <row r="11" spans="2:4" ht="16" x14ac:dyDescent="0.4">
      <c r="B11" s="378" t="s">
        <v>586</v>
      </c>
      <c r="C11" s="378" t="s">
        <v>577</v>
      </c>
      <c r="D11" s="254">
        <v>80235000</v>
      </c>
    </row>
    <row r="12" spans="2:4" ht="16" x14ac:dyDescent="0.4">
      <c r="B12" s="378" t="s">
        <v>587</v>
      </c>
      <c r="C12" s="378" t="s">
        <v>575</v>
      </c>
      <c r="D12" s="254">
        <v>15000000</v>
      </c>
    </row>
    <row r="13" spans="2:4" ht="16" x14ac:dyDescent="0.4">
      <c r="B13" s="378" t="s">
        <v>588</v>
      </c>
      <c r="C13" s="378" t="s">
        <v>578</v>
      </c>
      <c r="D13" s="254">
        <v>20060000</v>
      </c>
    </row>
    <row r="14" spans="2:4" ht="16" x14ac:dyDescent="0.4">
      <c r="B14" s="378" t="s">
        <v>589</v>
      </c>
      <c r="C14" s="378" t="s">
        <v>579</v>
      </c>
      <c r="D14" s="254">
        <v>42565551.899999999</v>
      </c>
    </row>
    <row r="15" spans="2:4" ht="16" x14ac:dyDescent="0.4">
      <c r="B15" s="378" t="s">
        <v>590</v>
      </c>
      <c r="C15" s="378" t="s">
        <v>580</v>
      </c>
      <c r="D15" s="254">
        <v>50860000</v>
      </c>
    </row>
    <row r="16" spans="2:4" ht="16" x14ac:dyDescent="0.4">
      <c r="B16" s="195" t="s">
        <v>647</v>
      </c>
      <c r="C16" s="378" t="s">
        <v>645</v>
      </c>
      <c r="D16" s="393">
        <v>57677806</v>
      </c>
    </row>
    <row r="17" spans="2:6" ht="16" x14ac:dyDescent="0.4">
      <c r="B17" s="195" t="s">
        <v>648</v>
      </c>
      <c r="C17" s="378" t="s">
        <v>646</v>
      </c>
      <c r="D17" s="393">
        <v>15200000</v>
      </c>
    </row>
    <row r="18" spans="2:6" ht="16" x14ac:dyDescent="0.4">
      <c r="B18" s="195" t="s">
        <v>745</v>
      </c>
      <c r="C18" s="378" t="s">
        <v>746</v>
      </c>
      <c r="D18" s="393">
        <v>155000000</v>
      </c>
    </row>
    <row r="19" spans="2:6" ht="16" x14ac:dyDescent="0.4">
      <c r="B19" s="195" t="s">
        <v>1084</v>
      </c>
      <c r="C19" s="378" t="s">
        <v>500</v>
      </c>
      <c r="D19" s="393">
        <v>61000000</v>
      </c>
    </row>
    <row r="20" spans="2:6" ht="16" x14ac:dyDescent="0.4">
      <c r="B20" s="195" t="s">
        <v>1085</v>
      </c>
      <c r="C20" s="378" t="s">
        <v>1010</v>
      </c>
      <c r="D20" s="393">
        <v>130816979</v>
      </c>
    </row>
    <row r="21" spans="2:6" ht="16" x14ac:dyDescent="0.4">
      <c r="B21" s="195" t="s">
        <v>1086</v>
      </c>
      <c r="C21" s="378" t="s">
        <v>501</v>
      </c>
      <c r="D21" s="393">
        <v>67377110</v>
      </c>
    </row>
    <row r="22" spans="2:6" ht="16" x14ac:dyDescent="0.4">
      <c r="B22" s="345" t="s">
        <v>411</v>
      </c>
      <c r="C22" s="345"/>
      <c r="D22" s="297">
        <f>SUM(D4:D21)</f>
        <v>822292446.89999998</v>
      </c>
      <c r="F22" s="633"/>
    </row>
    <row r="23" spans="2:6" x14ac:dyDescent="0.35">
      <c r="F23" s="176"/>
    </row>
    <row r="25" spans="2:6" ht="16" x14ac:dyDescent="0.4">
      <c r="B25" s="379" t="s">
        <v>569</v>
      </c>
      <c r="C25" s="379" t="s">
        <v>448</v>
      </c>
      <c r="D25" s="379" t="s">
        <v>568</v>
      </c>
    </row>
    <row r="26" spans="2:6" ht="16" x14ac:dyDescent="0.4">
      <c r="B26" s="195" t="s">
        <v>594</v>
      </c>
      <c r="C26" s="195"/>
      <c r="D26" s="254">
        <v>1069216.7900000066</v>
      </c>
    </row>
    <row r="27" spans="2:6" ht="16" x14ac:dyDescent="0.4">
      <c r="B27" s="195" t="s">
        <v>595</v>
      </c>
      <c r="C27" s="195"/>
      <c r="D27" s="254">
        <v>1311318.5099999905</v>
      </c>
    </row>
    <row r="28" spans="2:6" ht="16" x14ac:dyDescent="0.4">
      <c r="B28" s="195" t="s">
        <v>596</v>
      </c>
      <c r="C28" s="195" t="s">
        <v>591</v>
      </c>
      <c r="D28" s="254">
        <v>2021245.700000003</v>
      </c>
    </row>
    <row r="29" spans="2:6" ht="16" x14ac:dyDescent="0.4">
      <c r="B29" s="195" t="s">
        <v>597</v>
      </c>
      <c r="C29" s="195" t="s">
        <v>592</v>
      </c>
      <c r="D29" s="254">
        <v>3157441.2700000405</v>
      </c>
    </row>
    <row r="30" spans="2:6" ht="16" x14ac:dyDescent="0.4">
      <c r="B30" s="195" t="s">
        <v>598</v>
      </c>
      <c r="C30" s="195" t="s">
        <v>593</v>
      </c>
      <c r="D30" s="254">
        <v>1929470.9300000072</v>
      </c>
    </row>
    <row r="31" spans="2:6" ht="16" x14ac:dyDescent="0.4">
      <c r="B31" s="195" t="s">
        <v>686</v>
      </c>
      <c r="C31" s="195" t="s">
        <v>687</v>
      </c>
      <c r="D31" s="254">
        <v>2410373.4899999499</v>
      </c>
    </row>
    <row r="32" spans="2:6" ht="16" x14ac:dyDescent="0.4">
      <c r="B32" s="195" t="s">
        <v>1089</v>
      </c>
      <c r="C32" s="195" t="s">
        <v>738</v>
      </c>
      <c r="D32" s="254">
        <v>9705208.5899999738</v>
      </c>
    </row>
    <row r="33" spans="2:7" ht="16" x14ac:dyDescent="0.4">
      <c r="B33" s="195" t="s">
        <v>1344</v>
      </c>
      <c r="C33" s="195" t="s">
        <v>553</v>
      </c>
      <c r="D33" s="254">
        <v>4484337.4800000191</v>
      </c>
      <c r="F33" s="28">
        <f>F34-D34</f>
        <v>-3076373.2599999905</v>
      </c>
    </row>
    <row r="34" spans="2:7" ht="16" x14ac:dyDescent="0.4">
      <c r="B34" s="345" t="s">
        <v>420</v>
      </c>
      <c r="C34" s="345"/>
      <c r="D34" s="297">
        <f>SUM(D26:D33)</f>
        <v>26088612.75999999</v>
      </c>
      <c r="F34">
        <v>23012239.5</v>
      </c>
      <c r="G34" t="s">
        <v>1303</v>
      </c>
    </row>
    <row r="35" spans="2:7" x14ac:dyDescent="0.35">
      <c r="D35" s="176"/>
    </row>
    <row r="37" spans="2:7" ht="16" x14ac:dyDescent="0.4">
      <c r="B37" s="125" t="s">
        <v>599</v>
      </c>
      <c r="C37" s="125"/>
      <c r="D37" s="196">
        <f>D22+D34</f>
        <v>848381059.65999997</v>
      </c>
      <c r="F37" s="6">
        <v>848381059.65999997</v>
      </c>
      <c r="G37" s="176">
        <f>F37-D37</f>
        <v>0</v>
      </c>
    </row>
    <row r="38" spans="2:7" x14ac:dyDescent="0.35">
      <c r="D38" s="6"/>
      <c r="F38">
        <v>846010096.83000004</v>
      </c>
    </row>
    <row r="39" spans="2:7" x14ac:dyDescent="0.35">
      <c r="D39" s="28"/>
      <c r="F39" s="176">
        <f>F38-F37</f>
        <v>-2370962.8299999237</v>
      </c>
    </row>
  </sheetData>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E95C1-C24F-470F-9E54-9FFC23839747}">
  <dimension ref="A1:H98"/>
  <sheetViews>
    <sheetView workbookViewId="0">
      <selection activeCell="D63" sqref="D63"/>
    </sheetView>
  </sheetViews>
  <sheetFormatPr defaultRowHeight="14.5" x14ac:dyDescent="0.35"/>
  <cols>
    <col min="1" max="1" width="11.81640625" bestFit="1" customWidth="1"/>
    <col min="2" max="2" width="29.54296875" customWidth="1"/>
    <col min="3" max="3" width="13.81640625" style="1" customWidth="1"/>
    <col min="4" max="4" width="15.36328125" style="398" bestFit="1" customWidth="1"/>
    <col min="5" max="5" width="13.81640625" style="398" customWidth="1"/>
    <col min="6" max="6" width="11.1796875" bestFit="1" customWidth="1"/>
    <col min="7" max="7" width="14.81640625" style="6" bestFit="1" customWidth="1"/>
  </cols>
  <sheetData>
    <row r="1" spans="1:8" ht="43.5" x14ac:dyDescent="0.35">
      <c r="A1" s="74" t="str">
        <f>'Summary2 (sorted)'!A2</f>
        <v>ID</v>
      </c>
      <c r="B1" s="2" t="str">
        <f>'Summary2 (sorted)'!B2</f>
        <v>MEMBER NAME</v>
      </c>
      <c r="C1" s="287" t="s">
        <v>640</v>
      </c>
      <c r="D1" s="200" t="s">
        <v>639</v>
      </c>
      <c r="E1" s="401" t="s">
        <v>641</v>
      </c>
      <c r="F1" s="402" t="s">
        <v>642</v>
      </c>
    </row>
    <row r="2" spans="1:8" x14ac:dyDescent="0.35">
      <c r="A2" s="2" t="str">
        <f>'Summary2 (sorted)'!A6</f>
        <v>ILS24-F00016</v>
      </c>
      <c r="B2" s="2" t="str">
        <f>'Summary2 (sorted)'!B6</f>
        <v xml:space="preserve">Walter Salema </v>
      </c>
      <c r="C2" s="287">
        <f>'Summary2 (sorted)'!C6</f>
        <v>45696106.78383147</v>
      </c>
      <c r="D2" s="1">
        <v>50000000</v>
      </c>
      <c r="E2" s="122">
        <f t="shared" ref="E2:E33" si="0">C2/D2</f>
        <v>0.91392213567662939</v>
      </c>
      <c r="F2" s="122">
        <f t="shared" ref="F2:F33" si="1">100%-E2</f>
        <v>8.6077864323370612E-2</v>
      </c>
      <c r="G2" s="6">
        <f>'PERFORMANCE TARGET'!G3</f>
        <v>50000000</v>
      </c>
      <c r="H2" s="176">
        <f>D2-G2</f>
        <v>0</v>
      </c>
    </row>
    <row r="3" spans="1:8" x14ac:dyDescent="0.35">
      <c r="A3" s="2" t="str">
        <f>'Summary2 (sorted)'!A9</f>
        <v>ILS24-F00018</v>
      </c>
      <c r="B3" s="2" t="str">
        <f>'Summary2 (sorted)'!B9</f>
        <v xml:space="preserve">Alban Robert Kimario </v>
      </c>
      <c r="C3" s="287">
        <f>'Summary2 (sorted)'!C9</f>
        <v>33412761.497731984</v>
      </c>
      <c r="D3" s="1">
        <v>100000000</v>
      </c>
      <c r="E3" s="122">
        <f t="shared" si="0"/>
        <v>0.33412761497731985</v>
      </c>
      <c r="F3" s="122">
        <f t="shared" si="1"/>
        <v>0.6658723850226802</v>
      </c>
      <c r="G3" s="6">
        <f>'PERFORMANCE TARGET'!G4</f>
        <v>100000000</v>
      </c>
      <c r="H3" s="176">
        <f t="shared" ref="H3:H66" si="2">D3-G3</f>
        <v>0</v>
      </c>
    </row>
    <row r="4" spans="1:8" x14ac:dyDescent="0.35">
      <c r="A4" s="2" t="str">
        <f>'Summary2 (sorted)'!A4</f>
        <v>ILS24-F00003</v>
      </c>
      <c r="B4" s="2" t="str">
        <f>'Summary2 (sorted)'!B4</f>
        <v>Norbert Massay</v>
      </c>
      <c r="C4" s="287">
        <f>'Summary2 (sorted)'!C4</f>
        <v>83076480.964771852</v>
      </c>
      <c r="D4" s="1">
        <v>70000000</v>
      </c>
      <c r="E4" s="122">
        <f t="shared" si="0"/>
        <v>1.1868068709253121</v>
      </c>
      <c r="F4" s="122">
        <f t="shared" si="1"/>
        <v>-0.18680687092531212</v>
      </c>
      <c r="G4" s="6">
        <f>'PERFORMANCE TARGET'!G5</f>
        <v>70000000</v>
      </c>
      <c r="H4" s="176">
        <f t="shared" si="2"/>
        <v>0</v>
      </c>
    </row>
    <row r="5" spans="1:8" x14ac:dyDescent="0.35">
      <c r="A5" s="2" t="str">
        <f>'Summary2 (sorted)'!A41</f>
        <v>ILS24-F00026</v>
      </c>
      <c r="B5" s="2" t="str">
        <f>'Summary2 (sorted)'!B41</f>
        <v>Plasduce Mkeli Mbossa</v>
      </c>
      <c r="C5" s="287">
        <f>'Summary2 (sorted)'!C41</f>
        <v>12311149.342113942</v>
      </c>
      <c r="D5" s="1">
        <v>15000000</v>
      </c>
      <c r="E5" s="122">
        <f t="shared" si="0"/>
        <v>0.82074328947426278</v>
      </c>
      <c r="F5" s="122">
        <f t="shared" si="1"/>
        <v>0.17925671052573722</v>
      </c>
      <c r="G5" s="6">
        <f>'PERFORMANCE TARGET'!G6</f>
        <v>15000000</v>
      </c>
      <c r="H5" s="176">
        <f t="shared" si="2"/>
        <v>0</v>
      </c>
    </row>
    <row r="6" spans="1:8" x14ac:dyDescent="0.35">
      <c r="A6" s="2" t="str">
        <f>'Summary2 (sorted)'!A22</f>
        <v>ILS24-F00119</v>
      </c>
      <c r="B6" s="2" t="str">
        <f>'Summary2 (sorted)'!B22</f>
        <v>Prosper Gunze Nambaya</v>
      </c>
      <c r="C6" s="287">
        <f>'Summary2 (sorted)'!C22</f>
        <v>20380421.79120978</v>
      </c>
      <c r="D6" s="1">
        <v>30000000</v>
      </c>
      <c r="E6" s="122">
        <f t="shared" si="0"/>
        <v>0.67934739304032599</v>
      </c>
      <c r="F6" s="122">
        <f t="shared" si="1"/>
        <v>0.32065260695967401</v>
      </c>
      <c r="G6" s="6">
        <f>'PERFORMANCE TARGET'!G7</f>
        <v>30000000</v>
      </c>
      <c r="H6" s="176">
        <f t="shared" si="2"/>
        <v>0</v>
      </c>
    </row>
    <row r="7" spans="1:8" x14ac:dyDescent="0.35">
      <c r="A7" s="2" t="str">
        <f>'Summary2 (sorted)'!A17</f>
        <v>ILS24-F00068</v>
      </c>
      <c r="B7" s="2" t="str">
        <f>'Summary2 (sorted)'!B17</f>
        <v>Wasia Issa Mushi</v>
      </c>
      <c r="C7" s="287">
        <f>'Summary2 (sorted)'!C17</f>
        <v>21572773.410590589</v>
      </c>
      <c r="D7" s="1">
        <v>30000000</v>
      </c>
      <c r="E7" s="122">
        <f t="shared" si="0"/>
        <v>0.71909244701968633</v>
      </c>
      <c r="F7" s="122">
        <f t="shared" si="1"/>
        <v>0.28090755298031367</v>
      </c>
      <c r="G7" s="6">
        <f>'PERFORMANCE TARGET'!G8</f>
        <v>30000000</v>
      </c>
      <c r="H7" s="176">
        <f t="shared" si="2"/>
        <v>0</v>
      </c>
    </row>
    <row r="8" spans="1:8" x14ac:dyDescent="0.35">
      <c r="A8" s="2" t="str">
        <f>'Summary2 (sorted)'!A8</f>
        <v>ILS24-F00007</v>
      </c>
      <c r="B8" s="2" t="str">
        <f>'Summary2 (sorted)'!B8</f>
        <v xml:space="preserve">Erick Kitali </v>
      </c>
      <c r="C8" s="287">
        <f>'Summary2 (sorted)'!C8</f>
        <v>40727737.587595046</v>
      </c>
      <c r="D8" s="1">
        <v>50000000</v>
      </c>
      <c r="E8" s="122">
        <f t="shared" si="0"/>
        <v>0.81455475175190095</v>
      </c>
      <c r="F8" s="122">
        <f t="shared" si="1"/>
        <v>0.18544524824809905</v>
      </c>
      <c r="G8" s="6">
        <f>'PERFORMANCE TARGET'!G9</f>
        <v>50000000</v>
      </c>
      <c r="H8" s="176">
        <f t="shared" si="2"/>
        <v>0</v>
      </c>
    </row>
    <row r="9" spans="1:8" x14ac:dyDescent="0.35">
      <c r="A9" s="2" t="str">
        <f>'Summary2 (sorted)'!A71</f>
        <v>ILS24-F00049</v>
      </c>
      <c r="B9" s="2" t="str">
        <f>'Summary2 (sorted)'!B71</f>
        <v xml:space="preserve">Liggyle Vumilia </v>
      </c>
      <c r="C9" s="287">
        <f>'Summary2 (sorted)'!C71</f>
        <v>5682442.5703993607</v>
      </c>
      <c r="D9" s="1">
        <v>5000000</v>
      </c>
      <c r="E9" s="122">
        <f t="shared" si="0"/>
        <v>1.1364885140798722</v>
      </c>
      <c r="F9" s="122">
        <f t="shared" si="1"/>
        <v>-0.13648851407987217</v>
      </c>
      <c r="G9" s="6">
        <f>'PERFORMANCE TARGET'!G10</f>
        <v>5000000</v>
      </c>
      <c r="H9" s="176">
        <f t="shared" si="2"/>
        <v>0</v>
      </c>
    </row>
    <row r="10" spans="1:8" x14ac:dyDescent="0.35">
      <c r="A10" s="2" t="str">
        <f>'Summary2 (sorted)'!A80</f>
        <v>ILS24-F00130</v>
      </c>
      <c r="B10" s="2" t="str">
        <f>'Summary2 (sorted)'!B80</f>
        <v>Bavo Emanuel Mzee</v>
      </c>
      <c r="C10" s="287">
        <f>'Summary2 (sorted)'!C80</f>
        <v>5395345.225483275</v>
      </c>
      <c r="D10" s="1">
        <v>4000000</v>
      </c>
      <c r="E10" s="122">
        <f t="shared" si="0"/>
        <v>1.3488363063708189</v>
      </c>
      <c r="F10" s="122">
        <f t="shared" si="1"/>
        <v>-0.34883630637081886</v>
      </c>
      <c r="G10" s="6">
        <f>'PERFORMANCE TARGET'!G11</f>
        <v>4000000</v>
      </c>
      <c r="H10" s="176">
        <f t="shared" si="2"/>
        <v>0</v>
      </c>
    </row>
    <row r="11" spans="1:8" x14ac:dyDescent="0.35">
      <c r="A11" s="2" t="str">
        <f>'Summary2 (sorted)'!A10</f>
        <v>ILS24-F00083</v>
      </c>
      <c r="B11" s="2" t="str">
        <f>'Summary2 (sorted)'!B10</f>
        <v>Mathew J. Mndeme</v>
      </c>
      <c r="C11" s="287">
        <f>'Summary2 (sorted)'!C10</f>
        <v>31761556.748469815</v>
      </c>
      <c r="D11" s="1">
        <v>50000000</v>
      </c>
      <c r="E11" s="122">
        <f t="shared" si="0"/>
        <v>0.63523113496939632</v>
      </c>
      <c r="F11" s="122">
        <f t="shared" si="1"/>
        <v>0.36476886503060368</v>
      </c>
      <c r="G11" s="6">
        <f>'PERFORMANCE TARGET'!G12</f>
        <v>50000000</v>
      </c>
      <c r="H11" s="176">
        <f t="shared" si="2"/>
        <v>0</v>
      </c>
    </row>
    <row r="12" spans="1:8" x14ac:dyDescent="0.35">
      <c r="A12" s="2" t="str">
        <f>'Summary2 (sorted)'!A12</f>
        <v>ILS24-F00012</v>
      </c>
      <c r="B12" s="2" t="str">
        <f>'Summary2 (sorted)'!B12</f>
        <v>Mlindwa Kashindye</v>
      </c>
      <c r="C12" s="287">
        <f>'Summary2 (sorted)'!C12</f>
        <v>28367578.295165222</v>
      </c>
      <c r="D12" s="1">
        <v>30000000</v>
      </c>
      <c r="E12" s="122">
        <f t="shared" si="0"/>
        <v>0.94558594317217404</v>
      </c>
      <c r="F12" s="122">
        <f t="shared" si="1"/>
        <v>5.4414056827825963E-2</v>
      </c>
      <c r="G12" s="6">
        <f>'PERFORMANCE TARGET'!G13</f>
        <v>30000000</v>
      </c>
      <c r="H12" s="176">
        <f t="shared" si="2"/>
        <v>0</v>
      </c>
    </row>
    <row r="13" spans="1:8" x14ac:dyDescent="0.35">
      <c r="A13" s="2" t="str">
        <f>'Summary2 (sorted)'!A11</f>
        <v>ILS24-F00010</v>
      </c>
      <c r="B13" s="2" t="str">
        <f>'Summary2 (sorted)'!B11</f>
        <v>Mosses Makoko</v>
      </c>
      <c r="C13" s="287">
        <f>'Summary2 (sorted)'!C11</f>
        <v>31339395.065855179</v>
      </c>
      <c r="D13" s="1">
        <v>30000000</v>
      </c>
      <c r="E13" s="122">
        <f t="shared" si="0"/>
        <v>1.0446465021951727</v>
      </c>
      <c r="F13" s="122">
        <f t="shared" si="1"/>
        <v>-4.4646502195172744E-2</v>
      </c>
      <c r="G13" s="6">
        <f>'PERFORMANCE TARGET'!G14</f>
        <v>30000000</v>
      </c>
      <c r="H13" s="176">
        <f t="shared" si="2"/>
        <v>0</v>
      </c>
    </row>
    <row r="14" spans="1:8" x14ac:dyDescent="0.35">
      <c r="A14" s="2" t="str">
        <f>'Summary2 (sorted)'!A34</f>
        <v>ILS24-F00021</v>
      </c>
      <c r="B14" s="2" t="str">
        <f>'Summary2 (sorted)'!B34</f>
        <v xml:space="preserve">Masale Rajabu Masale </v>
      </c>
      <c r="C14" s="287">
        <f>'Summary2 (sorted)'!C34</f>
        <v>13412072.587400509</v>
      </c>
      <c r="D14" s="1">
        <v>15000000</v>
      </c>
      <c r="E14" s="122">
        <f t="shared" si="0"/>
        <v>0.89413817249336724</v>
      </c>
      <c r="F14" s="122">
        <f t="shared" si="1"/>
        <v>0.10586182750663276</v>
      </c>
      <c r="G14" s="6">
        <f>'PERFORMANCE TARGET'!G15</f>
        <v>15000000</v>
      </c>
      <c r="H14" s="176">
        <f t="shared" si="2"/>
        <v>0</v>
      </c>
    </row>
    <row r="15" spans="1:8" x14ac:dyDescent="0.35">
      <c r="A15" s="2" t="str">
        <f>'Summary2 (sorted)'!A48</f>
        <v>ILS24-F00109</v>
      </c>
      <c r="B15" s="2" t="str">
        <f>'Summary2 (sorted)'!B48</f>
        <v>Salum Masudi Hassan</v>
      </c>
      <c r="C15" s="287">
        <f>'Summary2 (sorted)'!C48</f>
        <v>10222561.402843853</v>
      </c>
      <c r="D15" s="1">
        <v>10000000</v>
      </c>
      <c r="E15" s="122">
        <f t="shared" si="0"/>
        <v>1.0222561402843853</v>
      </c>
      <c r="F15" s="122">
        <f t="shared" si="1"/>
        <v>-2.2256140284385273E-2</v>
      </c>
      <c r="G15" s="6">
        <f>'PERFORMANCE TARGET'!G16</f>
        <v>10000000</v>
      </c>
      <c r="H15" s="176">
        <f t="shared" si="2"/>
        <v>0</v>
      </c>
    </row>
    <row r="16" spans="1:8" x14ac:dyDescent="0.35">
      <c r="A16" s="2" t="str">
        <f>'Summary2 (sorted)'!A42</f>
        <v>ILS24-F00024</v>
      </c>
      <c r="B16" s="2" t="str">
        <f>'Summary2 (sorted)'!B42</f>
        <v>Athumani Mwasha</v>
      </c>
      <c r="C16" s="287">
        <f>'Summary2 (sorted)'!C42</f>
        <v>12051152.67215956</v>
      </c>
      <c r="D16" s="1">
        <v>10000000</v>
      </c>
      <c r="E16" s="122">
        <f t="shared" si="0"/>
        <v>1.205115267215956</v>
      </c>
      <c r="F16" s="122">
        <f t="shared" si="1"/>
        <v>-0.20511526721595597</v>
      </c>
      <c r="G16" s="6">
        <f>'PERFORMANCE TARGET'!G17</f>
        <v>10000000</v>
      </c>
      <c r="H16" s="176">
        <f t="shared" si="2"/>
        <v>0</v>
      </c>
    </row>
    <row r="17" spans="1:8" x14ac:dyDescent="0.35">
      <c r="A17" s="2" t="str">
        <f>'Summary2 (sorted)'!A7</f>
        <v>ILS24-F00001</v>
      </c>
      <c r="B17" s="2" t="str">
        <f>'Summary2 (sorted)'!B7</f>
        <v xml:space="preserve">Nsanyiwa Kiloba </v>
      </c>
      <c r="C17" s="287">
        <f>'Summary2 (sorted)'!C7</f>
        <v>42240068.399687767</v>
      </c>
      <c r="D17" s="1">
        <v>50000000</v>
      </c>
      <c r="E17" s="122">
        <f t="shared" si="0"/>
        <v>0.84480136799375538</v>
      </c>
      <c r="F17" s="122">
        <f t="shared" si="1"/>
        <v>0.15519863200624462</v>
      </c>
      <c r="G17" s="6">
        <f>'PERFORMANCE TARGET'!G18</f>
        <v>50000000</v>
      </c>
      <c r="H17" s="176">
        <f t="shared" si="2"/>
        <v>0</v>
      </c>
    </row>
    <row r="18" spans="1:8" x14ac:dyDescent="0.35">
      <c r="A18" s="2" t="str">
        <f>'Summary2 (sorted)'!A51</f>
        <v>ILS24-F00040</v>
      </c>
      <c r="B18" s="2" t="str">
        <f>'Summary2 (sorted)'!B51</f>
        <v xml:space="preserve">Ahmad Yahya </v>
      </c>
      <c r="C18" s="287">
        <f>'Summary2 (sorted)'!C51</f>
        <v>10151755.117282866</v>
      </c>
      <c r="D18" s="1">
        <v>10000000</v>
      </c>
      <c r="E18" s="122">
        <f t="shared" si="0"/>
        <v>1.0151755117282866</v>
      </c>
      <c r="F18" s="122">
        <f t="shared" si="1"/>
        <v>-1.5175511728286573E-2</v>
      </c>
      <c r="G18" s="6">
        <f>'PERFORMANCE TARGET'!G19</f>
        <v>10000000</v>
      </c>
      <c r="H18" s="176">
        <f t="shared" si="2"/>
        <v>0</v>
      </c>
    </row>
    <row r="19" spans="1:8" x14ac:dyDescent="0.35">
      <c r="A19" s="2" t="str">
        <f>'Summary2 (sorted)'!A16</f>
        <v>ILS24-F00023</v>
      </c>
      <c r="B19" s="2" t="str">
        <f>'Summary2 (sorted)'!B16</f>
        <v xml:space="preserve">Amos Nungu </v>
      </c>
      <c r="C19" s="287">
        <f>'Summary2 (sorted)'!C16</f>
        <v>22735258.844848908</v>
      </c>
      <c r="D19" s="1">
        <v>15000000</v>
      </c>
      <c r="E19" s="122">
        <f t="shared" si="0"/>
        <v>1.5156839229899273</v>
      </c>
      <c r="F19" s="122">
        <f t="shared" si="1"/>
        <v>-0.51568392298992727</v>
      </c>
      <c r="G19" s="6">
        <f>'PERFORMANCE TARGET'!G20</f>
        <v>30000000</v>
      </c>
      <c r="H19" s="176">
        <f t="shared" si="2"/>
        <v>-15000000</v>
      </c>
    </row>
    <row r="20" spans="1:8" x14ac:dyDescent="0.35">
      <c r="A20" s="2" t="str">
        <f>'Summary2 (sorted)'!A26</f>
        <v>ILS24-F00126</v>
      </c>
      <c r="B20" s="2" t="str">
        <f>'Summary2 (sorted)'!B26</f>
        <v>Peter Anthon Sobe</v>
      </c>
      <c r="C20" s="287">
        <f>'Summary2 (sorted)'!C26</f>
        <v>15255849.951291742</v>
      </c>
      <c r="D20" s="1">
        <v>15000000</v>
      </c>
      <c r="E20" s="122">
        <f t="shared" si="0"/>
        <v>1.0170566634194496</v>
      </c>
      <c r="F20" s="122">
        <f t="shared" si="1"/>
        <v>-1.7056663419449558E-2</v>
      </c>
      <c r="G20" s="6">
        <f>'PERFORMANCE TARGET'!G21</f>
        <v>15000000</v>
      </c>
      <c r="H20" s="176">
        <f t="shared" si="2"/>
        <v>0</v>
      </c>
    </row>
    <row r="21" spans="1:8" x14ac:dyDescent="0.35">
      <c r="A21" s="2" t="str">
        <f>'Summary2 (sorted)'!A18</f>
        <v>ILS24-F00011</v>
      </c>
      <c r="B21" s="2" t="str">
        <f>'Summary2 (sorted)'!B18</f>
        <v xml:space="preserve">Jacob Shabani Mangu </v>
      </c>
      <c r="C21" s="287">
        <f>'Summary2 (sorted)'!C18</f>
        <v>21275683.549250465</v>
      </c>
      <c r="D21" s="1">
        <v>20000000</v>
      </c>
      <c r="E21" s="122">
        <f t="shared" si="0"/>
        <v>1.0637841774625232</v>
      </c>
      <c r="F21" s="122">
        <f t="shared" si="1"/>
        <v>-6.3784177462523184E-2</v>
      </c>
      <c r="G21" s="6">
        <f>'PERFORMANCE TARGET'!G22</f>
        <v>20000000</v>
      </c>
      <c r="H21" s="176">
        <f t="shared" si="2"/>
        <v>0</v>
      </c>
    </row>
    <row r="22" spans="1:8" x14ac:dyDescent="0.35">
      <c r="A22" s="2" t="str">
        <f>'Summary2 (sorted)'!A29</f>
        <v>ILS24-F00105</v>
      </c>
      <c r="B22" s="2" t="str">
        <f>'Summary2 (sorted)'!B29</f>
        <v xml:space="preserve">Baltazar Thomas Mrosso </v>
      </c>
      <c r="C22" s="287">
        <f>'Summary2 (sorted)'!C29</f>
        <v>14020059.431288293</v>
      </c>
      <c r="D22" s="1">
        <v>30000000</v>
      </c>
      <c r="E22" s="122">
        <f t="shared" si="0"/>
        <v>0.4673353143762764</v>
      </c>
      <c r="F22" s="122">
        <f t="shared" si="1"/>
        <v>0.5326646856237236</v>
      </c>
      <c r="G22" s="6">
        <f>'PERFORMANCE TARGET'!G23</f>
        <v>15000000</v>
      </c>
      <c r="H22" s="176">
        <f t="shared" si="2"/>
        <v>15000000</v>
      </c>
    </row>
    <row r="23" spans="1:8" x14ac:dyDescent="0.35">
      <c r="A23" s="2" t="str">
        <f>'Summary2 (sorted)'!A39</f>
        <v>ILS24-F00029</v>
      </c>
      <c r="B23" s="2" t="str">
        <f>'Summary2 (sorted)'!B39</f>
        <v>Emanuel Ezekiah Moshi</v>
      </c>
      <c r="C23" s="287">
        <f>'Summary2 (sorted)'!C39</f>
        <v>12438989.814563684</v>
      </c>
      <c r="D23" s="1">
        <v>15000000</v>
      </c>
      <c r="E23" s="122">
        <f t="shared" si="0"/>
        <v>0.82926598763757897</v>
      </c>
      <c r="F23" s="122">
        <f t="shared" si="1"/>
        <v>0.17073401236242103</v>
      </c>
      <c r="G23" s="6">
        <f>'PERFORMANCE TARGET'!G24</f>
        <v>15000000</v>
      </c>
      <c r="H23" s="176">
        <f t="shared" si="2"/>
        <v>0</v>
      </c>
    </row>
    <row r="24" spans="1:8" x14ac:dyDescent="0.35">
      <c r="A24" s="2" t="str">
        <f>'Summary2 (sorted)'!A15</f>
        <v>ILS24-F00006</v>
      </c>
      <c r="B24" s="2" t="str">
        <f>'Summary2 (sorted)'!B15</f>
        <v>Emmanuel Matee</v>
      </c>
      <c r="C24" s="287">
        <f>'Summary2 (sorted)'!C15</f>
        <v>23301939.274148986</v>
      </c>
      <c r="D24" s="1">
        <v>30000000</v>
      </c>
      <c r="E24" s="122">
        <f t="shared" si="0"/>
        <v>0.77673130913829957</v>
      </c>
      <c r="F24" s="122">
        <f t="shared" si="1"/>
        <v>0.22326869086170043</v>
      </c>
      <c r="G24" s="6">
        <f>'PERFORMANCE TARGET'!G25</f>
        <v>30000000</v>
      </c>
      <c r="H24" s="176">
        <f t="shared" si="2"/>
        <v>0</v>
      </c>
    </row>
    <row r="25" spans="1:8" x14ac:dyDescent="0.35">
      <c r="A25" s="2" t="str">
        <f>'Summary2 (sorted)'!A31</f>
        <v>ILS24-F00075</v>
      </c>
      <c r="B25" s="2" t="str">
        <f>'Summary2 (sorted)'!B31</f>
        <v>Paul Sifael Edwin Mikongoti</v>
      </c>
      <c r="C25" s="287">
        <f>'Summary2 (sorted)'!C31</f>
        <v>13633161.778948316</v>
      </c>
      <c r="D25" s="1">
        <v>15000000</v>
      </c>
      <c r="E25" s="122">
        <f t="shared" si="0"/>
        <v>0.90887745192988778</v>
      </c>
      <c r="F25" s="122">
        <f t="shared" si="1"/>
        <v>9.1122548070112219E-2</v>
      </c>
      <c r="G25" s="6">
        <f>'PERFORMANCE TARGET'!G26</f>
        <v>15000000</v>
      </c>
      <c r="H25" s="176">
        <f t="shared" si="2"/>
        <v>0</v>
      </c>
    </row>
    <row r="26" spans="1:8" x14ac:dyDescent="0.35">
      <c r="A26" s="2" t="str">
        <f>'Summary2 (sorted)'!A79</f>
        <v>ILS24-F00141</v>
      </c>
      <c r="B26" s="2" t="str">
        <f>'Summary2 (sorted)'!B79</f>
        <v>Patrick Mbossa</v>
      </c>
      <c r="C26" s="287">
        <f>'Summary2 (sorted)'!C79</f>
        <v>5408473.0366206458</v>
      </c>
      <c r="D26" s="1">
        <v>4000000</v>
      </c>
      <c r="E26" s="122">
        <f t="shared" si="0"/>
        <v>1.3521182591551615</v>
      </c>
      <c r="F26" s="122">
        <f t="shared" si="1"/>
        <v>-0.35211825915516148</v>
      </c>
      <c r="G26" s="6">
        <f>'PERFORMANCE TARGET'!G27</f>
        <v>4000000</v>
      </c>
      <c r="H26" s="176">
        <f t="shared" si="2"/>
        <v>0</v>
      </c>
    </row>
    <row r="27" spans="1:8" x14ac:dyDescent="0.35">
      <c r="A27" s="2" t="str">
        <f>'Summary2 (sorted)'!A74</f>
        <v>ILS24-F00122</v>
      </c>
      <c r="B27" s="2" t="str">
        <f>'Summary2 (sorted)'!B74</f>
        <v xml:space="preserve">Dismas Prosper Batiri </v>
      </c>
      <c r="C27" s="287">
        <f>'Summary2 (sorted)'!C74</f>
        <v>5510964.4734190051</v>
      </c>
      <c r="D27" s="1">
        <v>4000000</v>
      </c>
      <c r="E27" s="122">
        <f t="shared" si="0"/>
        <v>1.3777411183547512</v>
      </c>
      <c r="F27" s="122">
        <f t="shared" si="1"/>
        <v>-0.37774111835475122</v>
      </c>
      <c r="G27" s="6">
        <f>'PERFORMANCE TARGET'!G28</f>
        <v>30000000</v>
      </c>
      <c r="H27" s="176">
        <f t="shared" si="2"/>
        <v>-26000000</v>
      </c>
    </row>
    <row r="28" spans="1:8" x14ac:dyDescent="0.35">
      <c r="A28" s="2" t="str">
        <f>'Summary2 (sorted)'!A32</f>
        <v>ILS24-F00121</v>
      </c>
      <c r="B28" s="2" t="str">
        <f>'Summary2 (sorted)'!B32</f>
        <v>Deodati Kaishe Donati</v>
      </c>
      <c r="C28" s="287">
        <f>'Summary2 (sorted)'!C32</f>
        <v>13557105.786050687</v>
      </c>
      <c r="D28" s="1">
        <v>20000000</v>
      </c>
      <c r="E28" s="122">
        <f t="shared" si="0"/>
        <v>0.67785528930253436</v>
      </c>
      <c r="F28" s="122">
        <f t="shared" si="1"/>
        <v>0.32214471069746564</v>
      </c>
      <c r="G28" s="6">
        <f>'PERFORMANCE TARGET'!G29</f>
        <v>4000000</v>
      </c>
      <c r="H28" s="176">
        <f t="shared" si="2"/>
        <v>16000000</v>
      </c>
    </row>
    <row r="29" spans="1:8" x14ac:dyDescent="0.35">
      <c r="A29" s="2" t="str">
        <f>'Summary2 (sorted)'!A20</f>
        <v>ILS24-F00020</v>
      </c>
      <c r="B29" s="2" t="str">
        <f>'Summary2 (sorted)'!B20</f>
        <v xml:space="preserve">John Arbogast Massawe </v>
      </c>
      <c r="C29" s="287">
        <f>'Summary2 (sorted)'!C20</f>
        <v>20623220.7075294</v>
      </c>
      <c r="D29" s="1">
        <v>15000000</v>
      </c>
      <c r="E29" s="122">
        <f t="shared" si="0"/>
        <v>1.37488138050196</v>
      </c>
      <c r="F29" s="122">
        <f t="shared" si="1"/>
        <v>-0.37488138050195996</v>
      </c>
      <c r="G29" s="6">
        <f>'PERFORMANCE TARGET'!G30</f>
        <v>15000000</v>
      </c>
      <c r="H29" s="176">
        <f t="shared" si="2"/>
        <v>0</v>
      </c>
    </row>
    <row r="30" spans="1:8" x14ac:dyDescent="0.35">
      <c r="A30" s="2" t="str">
        <f>'Summary2 (sorted)'!A25</f>
        <v>ILS24-F00070</v>
      </c>
      <c r="B30" s="2" t="str">
        <f>'Summary2 (sorted)'!B25</f>
        <v xml:space="preserve">Kusirye Boniface Ukio </v>
      </c>
      <c r="C30" s="287">
        <f>'Summary2 (sorted)'!C25</f>
        <v>15463177.878671918</v>
      </c>
      <c r="D30" s="1">
        <v>20000000</v>
      </c>
      <c r="E30" s="122">
        <f t="shared" si="0"/>
        <v>0.77315889393359594</v>
      </c>
      <c r="F30" s="122">
        <f t="shared" si="1"/>
        <v>0.22684110606640406</v>
      </c>
      <c r="G30" s="6">
        <f>'PERFORMANCE TARGET'!G31</f>
        <v>20000000</v>
      </c>
      <c r="H30" s="176">
        <f t="shared" si="2"/>
        <v>0</v>
      </c>
    </row>
    <row r="31" spans="1:8" x14ac:dyDescent="0.35">
      <c r="A31" s="2" t="str">
        <f>'Summary2 (sorted)'!A67</f>
        <v>ILS24-F00106</v>
      </c>
      <c r="B31" s="2" t="str">
        <f>'Summary2 (sorted)'!B67</f>
        <v xml:space="preserve">Alex Gerald Heruka </v>
      </c>
      <c r="C31" s="287">
        <f>'Summary2 (sorted)'!C67</f>
        <v>6129449.0612630416</v>
      </c>
      <c r="D31" s="1">
        <v>20000000</v>
      </c>
      <c r="E31" s="122">
        <f t="shared" si="0"/>
        <v>0.30647245306315207</v>
      </c>
      <c r="F31" s="122">
        <f t="shared" si="1"/>
        <v>0.69352754693684793</v>
      </c>
      <c r="G31" s="6">
        <f>'PERFORMANCE TARGET'!G32</f>
        <v>20000000</v>
      </c>
      <c r="H31" s="176">
        <f t="shared" si="2"/>
        <v>0</v>
      </c>
    </row>
    <row r="32" spans="1:8" x14ac:dyDescent="0.35">
      <c r="A32" s="2" t="str">
        <f>'Summary2 (sorted)'!A55</f>
        <v>ILS24-F00112</v>
      </c>
      <c r="B32" s="2" t="str">
        <f>'Summary2 (sorted)'!B55</f>
        <v>Bruno Sunguya</v>
      </c>
      <c r="C32" s="287">
        <f>'Summary2 (sorted)'!C55</f>
        <v>8447856.4700327553</v>
      </c>
      <c r="D32" s="1">
        <v>10000000</v>
      </c>
      <c r="E32" s="122">
        <f t="shared" si="0"/>
        <v>0.84478564700327552</v>
      </c>
      <c r="F32" s="122">
        <f t="shared" si="1"/>
        <v>0.15521435299672448</v>
      </c>
      <c r="G32" s="6">
        <f>'PERFORMANCE TARGET'!G33</f>
        <v>10000000</v>
      </c>
      <c r="H32" s="176">
        <f t="shared" si="2"/>
        <v>0</v>
      </c>
    </row>
    <row r="33" spans="1:8" x14ac:dyDescent="0.35">
      <c r="A33" s="2" t="str">
        <f>'Summary2 (sorted)'!A57</f>
        <v>ILS24-F00063</v>
      </c>
      <c r="B33" s="2" t="str">
        <f>'Summary2 (sorted)'!B57</f>
        <v>Ted Frank Silkiluwasha</v>
      </c>
      <c r="C33" s="287">
        <f>'Summary2 (sorted)'!C57</f>
        <v>8308067.6792666558</v>
      </c>
      <c r="D33" s="1">
        <v>10000000</v>
      </c>
      <c r="E33" s="122">
        <f t="shared" si="0"/>
        <v>0.83080676792666563</v>
      </c>
      <c r="F33" s="122">
        <f t="shared" si="1"/>
        <v>0.16919323207333437</v>
      </c>
      <c r="G33" s="6">
        <f>'PERFORMANCE TARGET'!G34</f>
        <v>10000000</v>
      </c>
      <c r="H33" s="176">
        <f t="shared" si="2"/>
        <v>0</v>
      </c>
    </row>
    <row r="34" spans="1:8" x14ac:dyDescent="0.35">
      <c r="A34" s="2" t="str">
        <f>'Summary2 (sorted)'!A75</f>
        <v>ILS24-F00078</v>
      </c>
      <c r="B34" s="2" t="str">
        <f>'Summary2 (sorted)'!B75</f>
        <v xml:space="preserve">Alcard Mumwi </v>
      </c>
      <c r="C34" s="287">
        <f>'Summary2 (sorted)'!C75</f>
        <v>5469238.7882350823</v>
      </c>
      <c r="D34" s="1">
        <v>10000000</v>
      </c>
      <c r="E34" s="122">
        <f t="shared" ref="E34:E65" si="3">C34/D34</f>
        <v>0.54692387882350824</v>
      </c>
      <c r="F34" s="122">
        <f t="shared" ref="F34:F65" si="4">100%-E34</f>
        <v>0.45307612117649176</v>
      </c>
      <c r="G34" s="6">
        <f>'PERFORMANCE TARGET'!G35</f>
        <v>10000000</v>
      </c>
      <c r="H34" s="176">
        <f t="shared" si="2"/>
        <v>0</v>
      </c>
    </row>
    <row r="35" spans="1:8" x14ac:dyDescent="0.35">
      <c r="A35" s="2" t="str">
        <f>'Summary2 (sorted)'!A62</f>
        <v>ILS24-F00097</v>
      </c>
      <c r="B35" s="2" t="str">
        <f>'Summary2 (sorted)'!B62</f>
        <v>Jackson N. Mmary</v>
      </c>
      <c r="C35" s="287">
        <f>'Summary2 (sorted)'!C62</f>
        <v>6928164.7533267001</v>
      </c>
      <c r="D35" s="1">
        <v>5000000</v>
      </c>
      <c r="E35" s="122">
        <f t="shared" si="3"/>
        <v>1.38563295066534</v>
      </c>
      <c r="F35" s="122">
        <f t="shared" si="4"/>
        <v>-0.38563295066533998</v>
      </c>
      <c r="G35" s="6">
        <f>'PERFORMANCE TARGET'!G36</f>
        <v>10000000</v>
      </c>
      <c r="H35" s="176">
        <f t="shared" si="2"/>
        <v>-5000000</v>
      </c>
    </row>
    <row r="36" spans="1:8" x14ac:dyDescent="0.35">
      <c r="A36" s="2" t="str">
        <f>'Summary2 (sorted)'!A50</f>
        <v>ILS24-F00117</v>
      </c>
      <c r="B36" s="2" t="str">
        <f>'Summary2 (sorted)'!B50</f>
        <v xml:space="preserve">Kajiru Gad Kilonzo </v>
      </c>
      <c r="C36" s="287">
        <f>'Summary2 (sorted)'!C50</f>
        <v>10190210.89560489</v>
      </c>
      <c r="D36" s="1">
        <v>10000000</v>
      </c>
      <c r="E36" s="122">
        <f t="shared" si="3"/>
        <v>1.019021089560489</v>
      </c>
      <c r="F36" s="122">
        <f t="shared" si="4"/>
        <v>-1.902108956048898E-2</v>
      </c>
      <c r="G36" s="6">
        <f>'PERFORMANCE TARGET'!G37</f>
        <v>10000000</v>
      </c>
      <c r="H36" s="176">
        <f t="shared" si="2"/>
        <v>0</v>
      </c>
    </row>
    <row r="37" spans="1:8" x14ac:dyDescent="0.35">
      <c r="A37" s="2" t="str">
        <f>'Summary2 (sorted)'!A33</f>
        <v>ILS24-F00030</v>
      </c>
      <c r="B37" s="2" t="str">
        <f>'Summary2 (sorted)'!B33</f>
        <v xml:space="preserve">Patrick Salum Kiani </v>
      </c>
      <c r="C37" s="287">
        <f>'Summary2 (sorted)'!C33</f>
        <v>13470562.048187941</v>
      </c>
      <c r="D37" s="1">
        <v>10000000</v>
      </c>
      <c r="E37" s="122">
        <f t="shared" si="3"/>
        <v>1.3470562048187942</v>
      </c>
      <c r="F37" s="122">
        <f t="shared" si="4"/>
        <v>-0.34705620481879418</v>
      </c>
      <c r="G37" s="6">
        <f>'PERFORMANCE TARGET'!G38</f>
        <v>10000000</v>
      </c>
      <c r="H37" s="176">
        <f t="shared" si="2"/>
        <v>0</v>
      </c>
    </row>
    <row r="38" spans="1:8" x14ac:dyDescent="0.35">
      <c r="A38" s="2" t="str">
        <f>'Summary2 (sorted)'!A38</f>
        <v>ILS24-F00019</v>
      </c>
      <c r="B38" s="2" t="str">
        <f>'Summary2 (sorted)'!B38</f>
        <v xml:space="preserve">Laurian Gidoyi </v>
      </c>
      <c r="C38" s="287">
        <f>'Summary2 (sorted)'!C38</f>
        <v>12556249.978378084</v>
      </c>
      <c r="D38" s="1">
        <v>15000000</v>
      </c>
      <c r="E38" s="122">
        <f t="shared" si="3"/>
        <v>0.83708333189187223</v>
      </c>
      <c r="F38" s="122">
        <f t="shared" si="4"/>
        <v>0.16291666810812777</v>
      </c>
      <c r="G38" s="6">
        <f>'PERFORMANCE TARGET'!G39</f>
        <v>20000000</v>
      </c>
      <c r="H38" s="176">
        <f t="shared" si="2"/>
        <v>-5000000</v>
      </c>
    </row>
    <row r="39" spans="1:8" x14ac:dyDescent="0.35">
      <c r="A39" s="2" t="str">
        <f>'Summary2 (sorted)'!A77</f>
        <v>ILS24-F00090</v>
      </c>
      <c r="B39" s="2" t="str">
        <f>'Summary2 (sorted)'!B77</f>
        <v>Adam Lyson Mwaipungu</v>
      </c>
      <c r="C39" s="287">
        <f>'Summary2 (sorted)'!C77</f>
        <v>5440072.5924482588</v>
      </c>
      <c r="D39" s="1">
        <v>15000000</v>
      </c>
      <c r="E39" s="122">
        <f t="shared" si="3"/>
        <v>0.36267150616321725</v>
      </c>
      <c r="F39" s="122">
        <f t="shared" si="4"/>
        <v>0.63732849383678269</v>
      </c>
      <c r="G39" s="6">
        <f>'PERFORMANCE TARGET'!G40</f>
        <v>15000000</v>
      </c>
      <c r="H39" s="176">
        <f t="shared" si="2"/>
        <v>0</v>
      </c>
    </row>
    <row r="40" spans="1:8" x14ac:dyDescent="0.35">
      <c r="A40" s="2" t="str">
        <f>'Summary2 (sorted)'!A43</f>
        <v>ILS24-F00146</v>
      </c>
      <c r="B40" s="2" t="str">
        <f>'Summary2 (sorted)'!B43</f>
        <v>Hussein Hussein Shamdas</v>
      </c>
      <c r="C40" s="287">
        <f>'Summary2 (sorted)'!C43</f>
        <v>11853595.390307231</v>
      </c>
      <c r="D40" s="1">
        <v>15000000</v>
      </c>
      <c r="E40" s="122">
        <f t="shared" si="3"/>
        <v>0.79023969268714878</v>
      </c>
      <c r="F40" s="122">
        <f t="shared" si="4"/>
        <v>0.20976030731285122</v>
      </c>
      <c r="G40" s="6">
        <f>'PERFORMANCE TARGET'!G41</f>
        <v>4000000</v>
      </c>
      <c r="H40" s="176">
        <f t="shared" si="2"/>
        <v>11000000</v>
      </c>
    </row>
    <row r="41" spans="1:8" x14ac:dyDescent="0.35">
      <c r="A41" s="2" t="str">
        <f>'Summary2 (sorted)'!A72</f>
        <v>ILS24-F00127</v>
      </c>
      <c r="B41" s="2" t="str">
        <f>'Summary2 (sorted)'!B72</f>
        <v>Ignas Nicodemus Chilewa</v>
      </c>
      <c r="C41" s="287">
        <f>'Summary2 (sorted)'!C72</f>
        <v>5615808.0886918893</v>
      </c>
      <c r="D41" s="1">
        <v>15000000</v>
      </c>
      <c r="E41" s="122">
        <f t="shared" si="3"/>
        <v>0.37438720591279262</v>
      </c>
      <c r="F41" s="122">
        <f t="shared" si="4"/>
        <v>0.62561279408720738</v>
      </c>
      <c r="G41" s="6">
        <f>'PERFORMANCE TARGET'!G42</f>
        <v>15000000</v>
      </c>
      <c r="H41" s="176">
        <f t="shared" si="2"/>
        <v>0</v>
      </c>
    </row>
    <row r="42" spans="1:8" x14ac:dyDescent="0.35">
      <c r="A42" s="2" t="str">
        <f>'Summary2 (sorted)'!A14</f>
        <v>ILS24-F00002</v>
      </c>
      <c r="B42" s="2" t="str">
        <f>'Summary2 (sorted)'!B14</f>
        <v xml:space="preserve">Werema Msongo </v>
      </c>
      <c r="C42" s="287">
        <f>'Summary2 (sorted)'!C14</f>
        <v>27339182.305427976</v>
      </c>
      <c r="D42" s="1">
        <v>30000000</v>
      </c>
      <c r="E42" s="122">
        <f t="shared" si="3"/>
        <v>0.91130607684759923</v>
      </c>
      <c r="F42" s="122">
        <f t="shared" si="4"/>
        <v>8.8693923152400767E-2</v>
      </c>
      <c r="G42" s="6">
        <f>'PERFORMANCE TARGET'!G43</f>
        <v>30000000</v>
      </c>
      <c r="H42" s="176">
        <f t="shared" si="2"/>
        <v>0</v>
      </c>
    </row>
    <row r="43" spans="1:8" x14ac:dyDescent="0.35">
      <c r="A43" s="2" t="str">
        <f>'Summary2 (sorted)'!A70</f>
        <v>ILS24-F00015</v>
      </c>
      <c r="B43" s="2" t="str">
        <f>'Summary2 (sorted)'!B70</f>
        <v>Mohamed Khalfan Mohamed</v>
      </c>
      <c r="C43" s="287">
        <f>'Summary2 (sorted)'!C70</f>
        <v>5729062.3909924934</v>
      </c>
      <c r="D43" s="1">
        <v>30000000</v>
      </c>
      <c r="E43" s="122">
        <f t="shared" si="3"/>
        <v>0.19096874636641645</v>
      </c>
      <c r="F43" s="122">
        <f t="shared" si="4"/>
        <v>0.80903125363358352</v>
      </c>
      <c r="G43" s="6">
        <f>'PERFORMANCE TARGET'!G44</f>
        <v>30000000</v>
      </c>
      <c r="H43" s="176">
        <f t="shared" si="2"/>
        <v>0</v>
      </c>
    </row>
    <row r="44" spans="1:8" x14ac:dyDescent="0.35">
      <c r="A44" s="2" t="str">
        <f>'Summary2 (sorted)'!A19</f>
        <v>ILS24-F00088</v>
      </c>
      <c r="B44" s="2" t="str">
        <f>'Summary2 (sorted)'!B19</f>
        <v>CPA Emmanuel Wanjara Marero</v>
      </c>
      <c r="C44" s="287">
        <f>'Summary2 (sorted)'!C19</f>
        <v>21254029.909172934</v>
      </c>
      <c r="D44" s="1">
        <v>30000000</v>
      </c>
      <c r="E44" s="122">
        <f t="shared" si="3"/>
        <v>0.70846766363909774</v>
      </c>
      <c r="F44" s="122">
        <f t="shared" si="4"/>
        <v>0.29153233636090226</v>
      </c>
      <c r="G44" s="6">
        <f>'PERFORMANCE TARGET'!G45</f>
        <v>10000000</v>
      </c>
      <c r="H44" s="176">
        <f t="shared" si="2"/>
        <v>20000000</v>
      </c>
    </row>
    <row r="45" spans="1:8" x14ac:dyDescent="0.35">
      <c r="A45" s="2" t="str">
        <f>'Summary2 (sorted)'!A56</f>
        <v>ILS24-F00038</v>
      </c>
      <c r="B45" s="2" t="str">
        <f>'Summary2 (sorted)'!B56</f>
        <v>Charles Suka Jangu</v>
      </c>
      <c r="C45" s="287">
        <f>'Summary2 (sorted)'!C56</f>
        <v>8429314.5161899924</v>
      </c>
      <c r="D45" s="1">
        <v>25000000</v>
      </c>
      <c r="E45" s="122">
        <f t="shared" si="3"/>
        <v>0.3371725806475997</v>
      </c>
      <c r="F45" s="122">
        <f t="shared" si="4"/>
        <v>0.6628274193524003</v>
      </c>
      <c r="G45" s="6">
        <f>'PERFORMANCE TARGET'!G46</f>
        <v>30000000</v>
      </c>
      <c r="H45" s="176">
        <f t="shared" si="2"/>
        <v>-5000000</v>
      </c>
    </row>
    <row r="46" spans="1:8" x14ac:dyDescent="0.35">
      <c r="A46" s="2" t="str">
        <f>'Summary2 (sorted)'!A61</f>
        <v>ILS24-F00092</v>
      </c>
      <c r="B46" s="2" t="str">
        <f>'Summary2 (sorted)'!B61</f>
        <v xml:space="preserve">Kaanaeli Gabriel Nko </v>
      </c>
      <c r="C46" s="287">
        <f>'Summary2 (sorted)'!C61</f>
        <v>7686857.7598770559</v>
      </c>
      <c r="D46" s="1">
        <v>10000000</v>
      </c>
      <c r="E46" s="122">
        <f t="shared" si="3"/>
        <v>0.7686857759877056</v>
      </c>
      <c r="F46" s="122">
        <f t="shared" si="4"/>
        <v>0.2313142240122944</v>
      </c>
      <c r="G46" s="6">
        <f>'PERFORMANCE TARGET'!G47</f>
        <v>10000000</v>
      </c>
      <c r="H46" s="176">
        <f t="shared" si="2"/>
        <v>0</v>
      </c>
    </row>
    <row r="47" spans="1:8" x14ac:dyDescent="0.35">
      <c r="A47" s="2" t="str">
        <f>'Summary2 (sorted)'!A87</f>
        <v>ILS24-F00104</v>
      </c>
      <c r="B47" s="2" t="str">
        <f>'Summary2 (sorted)'!B87</f>
        <v>Fulgence Thomas Massawe</v>
      </c>
      <c r="C47" s="287">
        <f>'Summary2 (sorted)'!C87</f>
        <v>5003221.9121656977</v>
      </c>
      <c r="D47" s="1">
        <v>10000000</v>
      </c>
      <c r="E47" s="122">
        <f t="shared" si="3"/>
        <v>0.50032219121656973</v>
      </c>
      <c r="F47" s="122">
        <f t="shared" si="4"/>
        <v>0.49967780878343027</v>
      </c>
      <c r="G47" s="6">
        <f>'PERFORMANCE TARGET'!G48</f>
        <v>10000000</v>
      </c>
      <c r="H47" s="176">
        <f t="shared" si="2"/>
        <v>0</v>
      </c>
    </row>
    <row r="48" spans="1:8" x14ac:dyDescent="0.35">
      <c r="A48" s="2" t="str">
        <f>'Summary2 (sorted)'!A73</f>
        <v>ILS24-F00055</v>
      </c>
      <c r="B48" s="2" t="str">
        <f>'Summary2 (sorted)'!B73</f>
        <v>Sifuni Ernest Mchome</v>
      </c>
      <c r="C48" s="287">
        <f>'Summary2 (sorted)'!C73</f>
        <v>5523203.1013964452</v>
      </c>
      <c r="D48" s="1">
        <v>4000000</v>
      </c>
      <c r="E48" s="122">
        <f t="shared" si="3"/>
        <v>1.3808007753491114</v>
      </c>
      <c r="F48" s="122">
        <f t="shared" si="4"/>
        <v>-0.38080077534911139</v>
      </c>
      <c r="G48" s="6">
        <f>'PERFORMANCE TARGET'!G49</f>
        <v>4000000</v>
      </c>
      <c r="H48" s="176">
        <f t="shared" si="2"/>
        <v>0</v>
      </c>
    </row>
    <row r="49" spans="1:8" x14ac:dyDescent="0.35">
      <c r="A49" s="2" t="str">
        <f>'Summary2 (sorted)'!A36</f>
        <v>ILS24-F00005</v>
      </c>
      <c r="B49" s="2" t="str">
        <f>'Summary2 (sorted)'!B36</f>
        <v>Elianshasaria Munisi</v>
      </c>
      <c r="C49" s="287">
        <f>'Summary2 (sorted)'!C36</f>
        <v>12961769.486828147</v>
      </c>
      <c r="D49" s="1">
        <v>15000000</v>
      </c>
      <c r="E49" s="122">
        <f t="shared" si="3"/>
        <v>0.86411796578854305</v>
      </c>
      <c r="F49" s="122">
        <f t="shared" si="4"/>
        <v>0.13588203421145695</v>
      </c>
      <c r="G49" s="6">
        <f>'PERFORMANCE TARGET'!G50</f>
        <v>5000000</v>
      </c>
      <c r="H49" s="176">
        <f t="shared" si="2"/>
        <v>10000000</v>
      </c>
    </row>
    <row r="50" spans="1:8" x14ac:dyDescent="0.35">
      <c r="A50" s="2" t="str">
        <f>'Summary2 (sorted)'!A81</f>
        <v>ILS24-F00076</v>
      </c>
      <c r="B50" s="2" t="str">
        <f>'Summary2 (sorted)'!B81</f>
        <v xml:space="preserve">Daniel Michael Kisaka </v>
      </c>
      <c r="C50" s="287">
        <f>'Summary2 (sorted)'!C81</f>
        <v>5359596.3143870281</v>
      </c>
      <c r="D50" s="1">
        <v>15000000</v>
      </c>
      <c r="E50" s="122">
        <f t="shared" si="3"/>
        <v>0.35730642095913523</v>
      </c>
      <c r="F50" s="122">
        <f t="shared" si="4"/>
        <v>0.64269357904086477</v>
      </c>
      <c r="G50" s="6">
        <f>'PERFORMANCE TARGET'!G51</f>
        <v>15000000</v>
      </c>
      <c r="H50" s="176">
        <f t="shared" si="2"/>
        <v>0</v>
      </c>
    </row>
    <row r="51" spans="1:8" x14ac:dyDescent="0.35">
      <c r="A51" s="2" t="str">
        <f>'Summary2 (sorted)'!A82</f>
        <v>ILS24-F00022</v>
      </c>
      <c r="B51" s="2" t="str">
        <f>'Summary2 (sorted)'!B82</f>
        <v>Innocent Mosha</v>
      </c>
      <c r="C51" s="287">
        <f>'Summary2 (sorted)'!C82</f>
        <v>5236902.6001982624</v>
      </c>
      <c r="D51" s="1">
        <v>4000000</v>
      </c>
      <c r="E51" s="122">
        <f t="shared" si="3"/>
        <v>1.3092256500495656</v>
      </c>
      <c r="F51" s="122">
        <f t="shared" si="4"/>
        <v>-0.30922565004956559</v>
      </c>
      <c r="G51" s="6">
        <f>'PERFORMANCE TARGET'!G52</f>
        <v>4000000</v>
      </c>
      <c r="H51" s="176">
        <f t="shared" si="2"/>
        <v>0</v>
      </c>
    </row>
    <row r="52" spans="1:8" x14ac:dyDescent="0.35">
      <c r="A52" s="2" t="str">
        <f>'Summary2 (sorted)'!A78</f>
        <v>ILS24-F00080</v>
      </c>
      <c r="B52" s="2" t="str">
        <f>'Summary2 (sorted)'!B78</f>
        <v xml:space="preserve">Aisha Babu </v>
      </c>
      <c r="C52" s="287">
        <f>'Summary2 (sorted)'!C78</f>
        <v>5434476.6504329043</v>
      </c>
      <c r="D52" s="1">
        <v>4000000</v>
      </c>
      <c r="E52" s="122">
        <f t="shared" si="3"/>
        <v>1.358619162608226</v>
      </c>
      <c r="F52" s="122">
        <f t="shared" si="4"/>
        <v>-0.35861916260822602</v>
      </c>
      <c r="G52" s="6">
        <f>'PERFORMANCE TARGET'!G53</f>
        <v>4000000</v>
      </c>
      <c r="H52" s="176">
        <f t="shared" si="2"/>
        <v>0</v>
      </c>
    </row>
    <row r="53" spans="1:8" x14ac:dyDescent="0.35">
      <c r="A53" s="2" t="str">
        <f>'Summary2 (sorted)'!A84</f>
        <v>ILS24-F00118</v>
      </c>
      <c r="B53" s="2" t="str">
        <f>'Summary2 (sorted)'!B84</f>
        <v>Vicent Athumani Tango</v>
      </c>
      <c r="C53" s="287">
        <f>'Summary2 (sorted)'!C84</f>
        <v>5124571.8399180379</v>
      </c>
      <c r="D53" s="1">
        <v>4000000</v>
      </c>
      <c r="E53" s="122">
        <f t="shared" si="3"/>
        <v>1.2811429599795094</v>
      </c>
      <c r="F53" s="122">
        <f t="shared" si="4"/>
        <v>-0.28114295997950944</v>
      </c>
      <c r="G53" s="6">
        <f>'PERFORMANCE TARGET'!G54</f>
        <v>10000000</v>
      </c>
      <c r="H53" s="176">
        <f t="shared" si="2"/>
        <v>-6000000</v>
      </c>
    </row>
    <row r="54" spans="1:8" x14ac:dyDescent="0.35">
      <c r="A54" s="2" t="str">
        <f>'Summary2 (sorted)'!A52</f>
        <v>ILS24-F00107</v>
      </c>
      <c r="B54" s="2" t="str">
        <f>'Summary2 (sorted)'!B52</f>
        <v>Francis Mwasilu</v>
      </c>
      <c r="C54" s="287">
        <f>'Summary2 (sorted)'!C52</f>
        <v>9159403.2491981611</v>
      </c>
      <c r="D54" s="1">
        <v>4000000</v>
      </c>
      <c r="E54" s="122">
        <f t="shared" si="3"/>
        <v>2.2898508122995405</v>
      </c>
      <c r="F54" s="122">
        <f t="shared" si="4"/>
        <v>-1.2898508122995405</v>
      </c>
      <c r="G54" s="6">
        <f>'PERFORMANCE TARGET'!G55</f>
        <v>4000000</v>
      </c>
      <c r="H54" s="176">
        <f t="shared" si="2"/>
        <v>0</v>
      </c>
    </row>
    <row r="55" spans="1:8" x14ac:dyDescent="0.35">
      <c r="A55" s="2" t="str">
        <f>'Summary2 (sorted)'!A92</f>
        <v>ILS24-F00091</v>
      </c>
      <c r="B55" s="2" t="str">
        <f>'Summary2 (sorted)'!B92</f>
        <v>Everest Thadei Sikilo</v>
      </c>
      <c r="C55" s="287">
        <f>'Summary2 (sorted)'!C92</f>
        <v>4541295.963706024</v>
      </c>
      <c r="D55" s="1">
        <v>10000000</v>
      </c>
      <c r="E55" s="122">
        <f t="shared" si="3"/>
        <v>0.45412959637060241</v>
      </c>
      <c r="F55" s="122">
        <f t="shared" si="4"/>
        <v>0.54587040362939754</v>
      </c>
      <c r="G55" s="6">
        <f>'PERFORMANCE TARGET'!G56</f>
        <v>10000000</v>
      </c>
      <c r="H55" s="176">
        <f t="shared" si="2"/>
        <v>0</v>
      </c>
    </row>
    <row r="56" spans="1:8" x14ac:dyDescent="0.35">
      <c r="A56" s="2" t="str">
        <f>'Summary2 (sorted)'!A93</f>
        <v>ILS24-F00052</v>
      </c>
      <c r="B56" s="2" t="str">
        <f>'Summary2 (sorted)'!B93</f>
        <v xml:space="preserve">Omary Mwasema </v>
      </c>
      <c r="C56" s="287">
        <f>'Summary2 (sorted)'!C93</f>
        <v>4408352.007749619</v>
      </c>
      <c r="D56" s="1">
        <v>4000000</v>
      </c>
      <c r="E56" s="122">
        <f t="shared" si="3"/>
        <v>1.1020880019374046</v>
      </c>
      <c r="F56" s="122">
        <f t="shared" si="4"/>
        <v>-0.10208800193740464</v>
      </c>
      <c r="G56" s="6">
        <f>'PERFORMANCE TARGET'!G57</f>
        <v>4000000</v>
      </c>
      <c r="H56" s="176">
        <f t="shared" si="2"/>
        <v>0</v>
      </c>
    </row>
    <row r="57" spans="1:8" x14ac:dyDescent="0.35">
      <c r="A57" s="2" t="str">
        <f>'Summary2 (sorted)'!A54</f>
        <v>ILS24-F00096</v>
      </c>
      <c r="B57" s="2" t="str">
        <f>'Summary2 (sorted)'!B54</f>
        <v>Paul Silas Masatu</v>
      </c>
      <c r="C57" s="287">
        <f>'Summary2 (sorted)'!C54</f>
        <v>8447856.4700327553</v>
      </c>
      <c r="D57" s="1">
        <v>10000000</v>
      </c>
      <c r="E57" s="122">
        <f t="shared" si="3"/>
        <v>0.84478564700327552</v>
      </c>
      <c r="F57" s="122">
        <f t="shared" si="4"/>
        <v>0.15521435299672448</v>
      </c>
      <c r="G57" s="6">
        <f>'PERFORMANCE TARGET'!G58</f>
        <v>10000000</v>
      </c>
      <c r="H57" s="176">
        <f t="shared" si="2"/>
        <v>0</v>
      </c>
    </row>
    <row r="58" spans="1:8" x14ac:dyDescent="0.35">
      <c r="A58" s="2" t="str">
        <f>'Summary2 (sorted)'!A90</f>
        <v>ILS24-F00133</v>
      </c>
      <c r="B58" s="2" t="str">
        <f>'Summary2 (sorted)'!B90</f>
        <v>Martin Nasuzwa Kidili</v>
      </c>
      <c r="C58" s="287">
        <f>'Summary2 (sorted)'!C90</f>
        <v>4600328.0990799963</v>
      </c>
      <c r="D58" s="1">
        <v>4000000</v>
      </c>
      <c r="E58" s="122">
        <f t="shared" si="3"/>
        <v>1.150082024769999</v>
      </c>
      <c r="F58" s="122">
        <f t="shared" si="4"/>
        <v>-0.15008202476999899</v>
      </c>
      <c r="G58" s="6">
        <f>'PERFORMANCE TARGET'!G59</f>
        <v>10000000</v>
      </c>
      <c r="H58" s="176">
        <f t="shared" si="2"/>
        <v>-6000000</v>
      </c>
    </row>
    <row r="59" spans="1:8" x14ac:dyDescent="0.35">
      <c r="A59" s="2" t="str">
        <f>'Summary2 (sorted)'!A85</f>
        <v>ILS24-F00143</v>
      </c>
      <c r="B59" s="2" t="str">
        <f>'Summary2 (sorted)'!B85</f>
        <v xml:space="preserve">Honest Tesha </v>
      </c>
      <c r="C59" s="287">
        <f>'Summary2 (sorted)'!C85</f>
        <v>5104534.693279434</v>
      </c>
      <c r="D59" s="1">
        <v>4000000</v>
      </c>
      <c r="E59" s="122">
        <f t="shared" si="3"/>
        <v>1.2761336733198585</v>
      </c>
      <c r="F59" s="122">
        <f t="shared" si="4"/>
        <v>-0.2761336733198585</v>
      </c>
      <c r="G59" s="6">
        <f>'PERFORMANCE TARGET'!G60</f>
        <v>4000000</v>
      </c>
      <c r="H59" s="176">
        <f t="shared" si="2"/>
        <v>0</v>
      </c>
    </row>
    <row r="60" spans="1:8" x14ac:dyDescent="0.35">
      <c r="A60" s="2" t="str">
        <f>'Summary2 (sorted)'!A5</f>
        <v>ILS24-F00058</v>
      </c>
      <c r="B60" s="2" t="str">
        <f>'Summary2 (sorted)'!B5</f>
        <v>Jacobs Casthom Mwambegele</v>
      </c>
      <c r="C60" s="287">
        <f>'Summary2 (sorted)'!C5</f>
        <v>73534021.629986867</v>
      </c>
      <c r="D60" s="1">
        <v>70000000</v>
      </c>
      <c r="E60" s="122">
        <f t="shared" si="3"/>
        <v>1.0504860232855266</v>
      </c>
      <c r="F60" s="122">
        <f t="shared" si="4"/>
        <v>-5.0486023285526649E-2</v>
      </c>
      <c r="G60" s="6">
        <f>'PERFORMANCE TARGET'!G61</f>
        <v>4000000</v>
      </c>
      <c r="H60" s="176">
        <f t="shared" si="2"/>
        <v>66000000</v>
      </c>
    </row>
    <row r="61" spans="1:8" x14ac:dyDescent="0.35">
      <c r="A61" s="2" t="str">
        <f>'Summary2 (sorted)'!A46</f>
        <v>ILS24-F00046</v>
      </c>
      <c r="B61" s="2" t="str">
        <f>'Summary2 (sorted)'!B46</f>
        <v>Adolph William Ndeabura</v>
      </c>
      <c r="C61" s="287">
        <f>'Summary2 (sorted)'!C46</f>
        <v>10767911.426271165</v>
      </c>
      <c r="D61" s="1">
        <v>15000000</v>
      </c>
      <c r="E61" s="122">
        <f t="shared" si="3"/>
        <v>0.717860761751411</v>
      </c>
      <c r="F61" s="122">
        <f t="shared" si="4"/>
        <v>0.282139238248589</v>
      </c>
      <c r="G61" s="6">
        <f>'PERFORMANCE TARGET'!G62</f>
        <v>20000000</v>
      </c>
      <c r="H61" s="176">
        <f t="shared" si="2"/>
        <v>-5000000</v>
      </c>
    </row>
    <row r="62" spans="1:8" x14ac:dyDescent="0.35">
      <c r="A62" s="2" t="str">
        <f>'Summary2 (sorted)'!A35</f>
        <v>ILS24-F00100</v>
      </c>
      <c r="B62" s="2" t="str">
        <f>'Summary2 (sorted)'!B35</f>
        <v xml:space="preserve">Juma Selemani Nantubwi </v>
      </c>
      <c r="C62" s="287">
        <f>'Summary2 (sorted)'!C35</f>
        <v>13323886.783786898</v>
      </c>
      <c r="D62" s="1">
        <v>15000000</v>
      </c>
      <c r="E62" s="122">
        <f t="shared" si="3"/>
        <v>0.88825911891912657</v>
      </c>
      <c r="F62" s="122">
        <f t="shared" si="4"/>
        <v>0.11174088108087343</v>
      </c>
      <c r="G62" s="6">
        <f>'PERFORMANCE TARGET'!G63</f>
        <v>70000000</v>
      </c>
      <c r="H62" s="176">
        <f t="shared" si="2"/>
        <v>-55000000</v>
      </c>
    </row>
    <row r="63" spans="1:8" x14ac:dyDescent="0.35">
      <c r="A63" s="2" t="str">
        <f>'Summary2 (sorted)'!A40</f>
        <v>ILS24-F00028</v>
      </c>
      <c r="B63" s="2" t="str">
        <f>'Summary2 (sorted)'!B40</f>
        <v xml:space="preserve">Evance Mori </v>
      </c>
      <c r="C63" s="287">
        <f>'Summary2 (sorted)'!C40</f>
        <v>12426098.598361038</v>
      </c>
      <c r="D63" s="1">
        <v>10000000</v>
      </c>
      <c r="E63" s="122">
        <f t="shared" si="3"/>
        <v>1.2426098598361037</v>
      </c>
      <c r="F63" s="122">
        <f t="shared" si="4"/>
        <v>-0.24260985983610373</v>
      </c>
      <c r="G63" s="6">
        <f>'PERFORMANCE TARGET'!G64</f>
        <v>10000000</v>
      </c>
      <c r="H63" s="176">
        <f t="shared" si="2"/>
        <v>0</v>
      </c>
    </row>
    <row r="64" spans="1:8" x14ac:dyDescent="0.35">
      <c r="A64" s="2" t="str">
        <f>'Summary2 (sorted)'!A28</f>
        <v>ILS24-F00013</v>
      </c>
      <c r="B64" s="2" t="str">
        <f>'Summary2 (sorted)'!B28</f>
        <v xml:space="preserve">Emmanuel Matechi </v>
      </c>
      <c r="C64" s="287">
        <f>'Summary2 (sorted)'!C28</f>
        <v>14506354.589453647</v>
      </c>
      <c r="D64" s="1">
        <v>20000000</v>
      </c>
      <c r="E64" s="122">
        <f t="shared" si="3"/>
        <v>0.72531772947268236</v>
      </c>
      <c r="F64" s="122">
        <f t="shared" si="4"/>
        <v>0.27468227052731764</v>
      </c>
      <c r="G64" s="6">
        <f>'PERFORMANCE TARGET'!G65</f>
        <v>15000000</v>
      </c>
      <c r="H64" s="176">
        <f t="shared" si="2"/>
        <v>5000000</v>
      </c>
    </row>
    <row r="65" spans="1:8" x14ac:dyDescent="0.35">
      <c r="A65" s="2" t="str">
        <f>'Summary2 (sorted)'!A24</f>
        <v>ILS24-F00037</v>
      </c>
      <c r="B65" s="2" t="str">
        <f>'Summary2 (sorted)'!B24</f>
        <v>Elibariki Mkumbo</v>
      </c>
      <c r="C65" s="287">
        <f>'Summary2 (sorted)'!C24</f>
        <v>18885840.560239132</v>
      </c>
      <c r="D65" s="1">
        <v>30000000</v>
      </c>
      <c r="E65" s="122">
        <f t="shared" si="3"/>
        <v>0.6295280186746377</v>
      </c>
      <c r="F65" s="122">
        <f t="shared" si="4"/>
        <v>0.3704719813253623</v>
      </c>
      <c r="G65" s="6">
        <f>'PERFORMANCE TARGET'!G66</f>
        <v>15000000</v>
      </c>
      <c r="H65" s="176">
        <f t="shared" si="2"/>
        <v>15000000</v>
      </c>
    </row>
    <row r="66" spans="1:8" x14ac:dyDescent="0.35">
      <c r="A66" s="2" t="str">
        <f>'Summary2 (sorted)'!A64</f>
        <v>ILS24-F00004</v>
      </c>
      <c r="B66" s="2" t="str">
        <f>'Summary2 (sorted)'!B64</f>
        <v xml:space="preserve">Everest Exavery Francisco </v>
      </c>
      <c r="C66" s="287">
        <f>'Summary2 (sorted)'!C64</f>
        <v>6320470.7539567789</v>
      </c>
      <c r="D66" s="1">
        <v>10000000</v>
      </c>
      <c r="E66" s="122">
        <f t="shared" ref="E66:E90" si="5">C66/D66</f>
        <v>0.63204707539567784</v>
      </c>
      <c r="F66" s="122">
        <f t="shared" ref="F66:F90" si="6">100%-E66</f>
        <v>0.36795292460432216</v>
      </c>
      <c r="G66" s="6">
        <f>'PERFORMANCE TARGET'!G67</f>
        <v>30000000</v>
      </c>
      <c r="H66" s="176">
        <f t="shared" si="2"/>
        <v>-20000000</v>
      </c>
    </row>
    <row r="67" spans="1:8" x14ac:dyDescent="0.35">
      <c r="A67" s="2" t="str">
        <f>'Summary2 (sorted)'!A13</f>
        <v>ILS24-F00044</v>
      </c>
      <c r="B67" s="2" t="str">
        <f>'Summary2 (sorted)'!B13</f>
        <v>Abduel Kitururu</v>
      </c>
      <c r="C67" s="287">
        <f>'Summary2 (sorted)'!C13</f>
        <v>28293742.550772849</v>
      </c>
      <c r="D67" s="1">
        <v>30000000</v>
      </c>
      <c r="E67" s="122">
        <f t="shared" si="5"/>
        <v>0.94312475169242826</v>
      </c>
      <c r="F67" s="122">
        <f t="shared" si="6"/>
        <v>5.6875248307571735E-2</v>
      </c>
      <c r="G67" s="6">
        <f>'PERFORMANCE TARGET'!G68</f>
        <v>30000000</v>
      </c>
      <c r="H67" s="176">
        <f t="shared" ref="H67:H90" si="7">D67-G67</f>
        <v>0</v>
      </c>
    </row>
    <row r="68" spans="1:8" x14ac:dyDescent="0.35">
      <c r="A68" s="2" t="str">
        <f>'Summary2 (sorted)'!A65</f>
        <v>ILS24-F00060</v>
      </c>
      <c r="B68" s="2" t="str">
        <f>'Summary2 (sorted)'!B65</f>
        <v>Beatus Adrian Rwegalulira</v>
      </c>
      <c r="C68" s="287">
        <f>'Summary2 (sorted)'!C65</f>
        <v>6193496.9316000231</v>
      </c>
      <c r="D68" s="1">
        <v>10000000</v>
      </c>
      <c r="E68" s="122">
        <f t="shared" si="5"/>
        <v>0.61934969316000232</v>
      </c>
      <c r="F68" s="122">
        <f t="shared" si="6"/>
        <v>0.38065030683999768</v>
      </c>
      <c r="G68" s="6">
        <f>'PERFORMANCE TARGET'!G69</f>
        <v>10000000</v>
      </c>
      <c r="H68" s="176">
        <f t="shared" si="7"/>
        <v>0</v>
      </c>
    </row>
    <row r="69" spans="1:8" x14ac:dyDescent="0.35">
      <c r="A69" s="2" t="str">
        <f>'Summary2 (sorted)'!A30</f>
        <v>ILS24-F00042</v>
      </c>
      <c r="B69" s="2" t="str">
        <f>'Summary2 (sorted)'!B30</f>
        <v xml:space="preserve">Adamu Urassa </v>
      </c>
      <c r="C69" s="287">
        <f>'Summary2 (sorted)'!C30</f>
        <v>13745601.146169009</v>
      </c>
      <c r="D69" s="1">
        <v>30000000</v>
      </c>
      <c r="E69" s="122">
        <f t="shared" si="5"/>
        <v>0.45818670487230029</v>
      </c>
      <c r="F69" s="122">
        <f t="shared" si="6"/>
        <v>0.54181329512769971</v>
      </c>
      <c r="G69" s="6">
        <f>'PERFORMANCE TARGET'!G70</f>
        <v>30000000</v>
      </c>
      <c r="H69" s="176">
        <f t="shared" si="7"/>
        <v>0</v>
      </c>
    </row>
    <row r="70" spans="1:8" x14ac:dyDescent="0.35">
      <c r="A70" s="2" t="str">
        <f>'Summary2 (sorted)'!A37</f>
        <v>ILS24-F00079</v>
      </c>
      <c r="B70" s="2" t="str">
        <f>'Summary2 (sorted)'!B37</f>
        <v>Emmanuel Simforian Massawe</v>
      </c>
      <c r="C70" s="287">
        <f>'Summary2 (sorted)'!C37</f>
        <v>12647570.449852392</v>
      </c>
      <c r="D70" s="1">
        <v>20000000</v>
      </c>
      <c r="E70" s="122">
        <f t="shared" si="5"/>
        <v>0.63237852249261961</v>
      </c>
      <c r="F70" s="122">
        <f t="shared" si="6"/>
        <v>0.36762147750738039</v>
      </c>
      <c r="G70" s="6">
        <f>'PERFORMANCE TARGET'!G71</f>
        <v>20000000</v>
      </c>
      <c r="H70" s="176">
        <f t="shared" si="7"/>
        <v>0</v>
      </c>
    </row>
    <row r="71" spans="1:8" x14ac:dyDescent="0.35">
      <c r="A71" s="2" t="str">
        <f>'Summary2 (sorted)'!A63</f>
        <v>ILS24-F00115</v>
      </c>
      <c r="B71" s="2" t="str">
        <f>'Summary2 (sorted)'!B63</f>
        <v>Calvin Francis Masao</v>
      </c>
      <c r="C71" s="287">
        <f>'Summary2 (sorted)'!C63</f>
        <v>6421600.8477580156</v>
      </c>
      <c r="D71" s="1">
        <v>10000000</v>
      </c>
      <c r="E71" s="122">
        <f t="shared" si="5"/>
        <v>0.64216008477580155</v>
      </c>
      <c r="F71" s="122">
        <f t="shared" si="6"/>
        <v>0.35783991522419845</v>
      </c>
      <c r="G71" s="6">
        <f>'PERFORMANCE TARGET'!G72</f>
        <v>50000000</v>
      </c>
      <c r="H71" s="176">
        <f t="shared" si="7"/>
        <v>-40000000</v>
      </c>
    </row>
    <row r="72" spans="1:8" x14ac:dyDescent="0.35">
      <c r="A72" s="2" t="str">
        <f>'Summary2 (sorted)'!A58</f>
        <v>ILS24-F00064</v>
      </c>
      <c r="B72" s="2" t="str">
        <f>'Summary2 (sorted)'!B58</f>
        <v>Deogratius Mathew Lashayo</v>
      </c>
      <c r="C72" s="287">
        <f>'Summary2 (sorted)'!C58</f>
        <v>8279168.2144382838</v>
      </c>
      <c r="D72" s="1">
        <v>15000000</v>
      </c>
      <c r="E72" s="122">
        <f t="shared" si="5"/>
        <v>0.55194454762921896</v>
      </c>
      <c r="F72" s="122">
        <f t="shared" si="6"/>
        <v>0.44805545237078104</v>
      </c>
      <c r="G72" s="6">
        <f>'PERFORMANCE TARGET'!G73</f>
        <v>15000000</v>
      </c>
      <c r="H72" s="176">
        <f t="shared" si="7"/>
        <v>0</v>
      </c>
    </row>
    <row r="73" spans="1:8" x14ac:dyDescent="0.35">
      <c r="A73" s="2" t="s">
        <v>321</v>
      </c>
      <c r="B73" s="7" t="s">
        <v>322</v>
      </c>
      <c r="C73" s="287">
        <f>'DETAILS (sorted)'!DS74</f>
        <v>3432274.1410848722</v>
      </c>
      <c r="D73" s="1">
        <v>10000000</v>
      </c>
      <c r="E73" s="122">
        <f t="shared" si="5"/>
        <v>0.34322741410848723</v>
      </c>
      <c r="F73" s="122">
        <f t="shared" si="6"/>
        <v>0.65677258589151277</v>
      </c>
      <c r="G73" s="6">
        <f>'PERFORMANCE TARGET'!G74</f>
        <v>10000000</v>
      </c>
      <c r="H73" s="176">
        <f t="shared" si="7"/>
        <v>0</v>
      </c>
    </row>
    <row r="74" spans="1:8" x14ac:dyDescent="0.35">
      <c r="A74" s="2" t="str">
        <f>'Summary2 (sorted)'!A66</f>
        <v>ILS24-F00071</v>
      </c>
      <c r="B74" s="2" t="str">
        <f>'Summary2 (sorted)'!B66</f>
        <v>Eliud Hezron Massaga</v>
      </c>
      <c r="C74" s="287">
        <f>'Summary2 (sorted)'!C66</f>
        <v>6150365.3254044717</v>
      </c>
      <c r="D74" s="1">
        <v>10000000</v>
      </c>
      <c r="E74" s="122">
        <f t="shared" si="5"/>
        <v>0.61503653254044721</v>
      </c>
      <c r="F74" s="122">
        <f t="shared" si="6"/>
        <v>0.38496346745955279</v>
      </c>
      <c r="G74" s="6">
        <f>'PERFORMANCE TARGET'!G75</f>
        <v>15000000</v>
      </c>
      <c r="H74" s="176">
        <f t="shared" si="7"/>
        <v>-5000000</v>
      </c>
    </row>
    <row r="75" spans="1:8" x14ac:dyDescent="0.35">
      <c r="A75" s="2" t="str">
        <f>'Summary2 (sorted)'!A23</f>
        <v>ILS24-F00065</v>
      </c>
      <c r="B75" s="2" t="str">
        <f>'Summary2 (sorted)'!B23</f>
        <v>Aminiel Kabby Kabura</v>
      </c>
      <c r="C75" s="287">
        <f>'Summary2 (sorted)'!C23</f>
        <v>20346790.945684433</v>
      </c>
      <c r="D75" s="1">
        <v>30000000</v>
      </c>
      <c r="E75" s="122">
        <f t="shared" si="5"/>
        <v>0.67822636485614773</v>
      </c>
      <c r="F75" s="122">
        <f t="shared" si="6"/>
        <v>0.32177363514385227</v>
      </c>
      <c r="G75" s="6">
        <f>'PERFORMANCE TARGET'!G76</f>
        <v>10000000</v>
      </c>
      <c r="H75" s="176">
        <f t="shared" si="7"/>
        <v>20000000</v>
      </c>
    </row>
    <row r="76" spans="1:8" x14ac:dyDescent="0.35">
      <c r="A76" s="2" t="str">
        <f>'Summary2 (sorted)'!A68</f>
        <v>ILS24-F00102</v>
      </c>
      <c r="B76" s="2" t="str">
        <f>'Summary2 (sorted)'!B68</f>
        <v>James Ignas Koola</v>
      </c>
      <c r="C76" s="287">
        <f>'Summary2 (sorted)'!C68</f>
        <v>6125913.09420917</v>
      </c>
      <c r="D76" s="1">
        <v>10000000</v>
      </c>
      <c r="E76" s="122">
        <f t="shared" si="5"/>
        <v>0.612591309420917</v>
      </c>
      <c r="F76" s="122">
        <f t="shared" si="6"/>
        <v>0.387408690579083</v>
      </c>
      <c r="G76" s="6">
        <f>'PERFORMANCE TARGET'!G77</f>
        <v>30000000</v>
      </c>
      <c r="H76" s="176">
        <f t="shared" si="7"/>
        <v>-20000000</v>
      </c>
    </row>
    <row r="77" spans="1:8" x14ac:dyDescent="0.35">
      <c r="A77" s="2" t="str">
        <f>'Summary2 (sorted)'!A86</f>
        <v>ILS24-F00150</v>
      </c>
      <c r="B77" s="2" t="str">
        <f>'Summary2 (sorted)'!B86</f>
        <v>Paulsen Patrick Aron</v>
      </c>
      <c r="C77" s="287">
        <f>'Summary2 (sorted)'!C86</f>
        <v>5065639.055686851</v>
      </c>
      <c r="D77" s="1">
        <v>4000000</v>
      </c>
      <c r="E77" s="122">
        <f t="shared" si="5"/>
        <v>1.2664097639217127</v>
      </c>
      <c r="F77" s="122">
        <f t="shared" si="6"/>
        <v>-0.26640976392171267</v>
      </c>
      <c r="G77" s="6">
        <f>'PERFORMANCE TARGET'!G78</f>
        <v>10000000</v>
      </c>
      <c r="H77" s="176">
        <f t="shared" si="7"/>
        <v>-6000000</v>
      </c>
    </row>
    <row r="78" spans="1:8" x14ac:dyDescent="0.35">
      <c r="A78" s="2" t="str">
        <f>'Summary2 (sorted)'!A59</f>
        <v>ILS24-F00082</v>
      </c>
      <c r="B78" s="2" t="str">
        <f>'Summary2 (sorted)'!B59</f>
        <v xml:space="preserve">Edson Pascal Rwechungura </v>
      </c>
      <c r="C78" s="287">
        <f>'Summary2 (sorted)'!C59</f>
        <v>8207708.8568918901</v>
      </c>
      <c r="D78" s="1">
        <v>4000000</v>
      </c>
      <c r="E78" s="122">
        <f t="shared" si="5"/>
        <v>2.0519272142229723</v>
      </c>
      <c r="F78" s="122">
        <f t="shared" si="6"/>
        <v>-1.0519272142229723</v>
      </c>
      <c r="G78" s="6">
        <f>'PERFORMANCE TARGET'!G79</f>
        <v>15000000</v>
      </c>
      <c r="H78" s="176">
        <f t="shared" si="7"/>
        <v>-11000000</v>
      </c>
    </row>
    <row r="79" spans="1:8" x14ac:dyDescent="0.35">
      <c r="A79" s="2" t="str">
        <f>'Summary2 (sorted)'!A21</f>
        <v>ILS24-F00066</v>
      </c>
      <c r="B79" s="2" t="str">
        <f>'Summary2 (sorted)'!B21</f>
        <v>Gilbert Z. Mrema</v>
      </c>
      <c r="C79" s="287">
        <f>'Summary2 (sorted)'!C21</f>
        <v>20581320.611616503</v>
      </c>
      <c r="D79" s="1">
        <v>10000000</v>
      </c>
      <c r="E79" s="122">
        <f t="shared" si="5"/>
        <v>2.0581320611616505</v>
      </c>
      <c r="F79" s="122">
        <f t="shared" si="6"/>
        <v>-1.0581320611616505</v>
      </c>
      <c r="G79" s="6">
        <f>'PERFORMANCE TARGET'!G80</f>
        <v>10000000</v>
      </c>
      <c r="H79" s="176">
        <f t="shared" si="7"/>
        <v>0</v>
      </c>
    </row>
    <row r="80" spans="1:8" x14ac:dyDescent="0.35">
      <c r="A80" s="2" t="str">
        <f>'Summary2 (sorted)'!A88</f>
        <v>ILS24-F00086</v>
      </c>
      <c r="B80" s="2" t="str">
        <f>'Summary2 (sorted)'!B88</f>
        <v>Joseph Placid Njuu</v>
      </c>
      <c r="C80" s="287">
        <f>'Summary2 (sorted)'!C88</f>
        <v>4633842.7795032235</v>
      </c>
      <c r="D80" s="1">
        <v>30000000</v>
      </c>
      <c r="E80" s="122">
        <f t="shared" si="5"/>
        <v>0.15446142598344079</v>
      </c>
      <c r="F80" s="122">
        <f t="shared" si="6"/>
        <v>0.84553857401655919</v>
      </c>
      <c r="G80" s="6">
        <f>'PERFORMANCE TARGET'!G81</f>
        <v>30000000</v>
      </c>
      <c r="H80" s="176">
        <f t="shared" si="7"/>
        <v>0</v>
      </c>
    </row>
    <row r="81" spans="1:8" x14ac:dyDescent="0.35">
      <c r="A81" s="2" t="str">
        <f>'Summary2 (sorted)'!A27</f>
        <v>ILS24-F00050</v>
      </c>
      <c r="B81" s="2" t="str">
        <f>'Summary2 (sorted)'!B27</f>
        <v xml:space="preserve">Innocent John Umbulla </v>
      </c>
      <c r="C81" s="287">
        <f>'Summary2 (sorted)'!C27</f>
        <v>15120028.682057185</v>
      </c>
      <c r="D81" s="1">
        <v>4000000</v>
      </c>
      <c r="E81" s="122">
        <f t="shared" si="5"/>
        <v>3.7800071705142964</v>
      </c>
      <c r="F81" s="122">
        <f t="shared" si="6"/>
        <v>-2.7800071705142964</v>
      </c>
      <c r="G81" s="6">
        <f>'PERFORMANCE TARGET'!G82</f>
        <v>4000000</v>
      </c>
      <c r="H81" s="176">
        <f t="shared" si="7"/>
        <v>0</v>
      </c>
    </row>
    <row r="82" spans="1:8" x14ac:dyDescent="0.35">
      <c r="A82" s="2" t="str">
        <f>'Summary2 (sorted)'!A45</f>
        <v>ILS24-F00077</v>
      </c>
      <c r="B82" s="2" t="str">
        <f>'Summary2 (sorted)'!B45</f>
        <v>Shililiandumi Naiman</v>
      </c>
      <c r="C82" s="287">
        <f>'Summary2 (sorted)'!C45</f>
        <v>11289226.752892096</v>
      </c>
      <c r="D82" s="1">
        <v>20000000</v>
      </c>
      <c r="E82" s="122">
        <f t="shared" si="5"/>
        <v>0.56446133764460482</v>
      </c>
      <c r="F82" s="122">
        <f t="shared" si="6"/>
        <v>0.43553866235539518</v>
      </c>
      <c r="G82" s="6">
        <f>'PERFORMANCE TARGET'!G83</f>
        <v>20000000</v>
      </c>
      <c r="H82" s="176">
        <f t="shared" si="7"/>
        <v>0</v>
      </c>
    </row>
    <row r="83" spans="1:8" x14ac:dyDescent="0.35">
      <c r="A83" s="2" t="str">
        <f>'Summary2 (sorted)'!A44</f>
        <v>ILS24-F00081</v>
      </c>
      <c r="B83" s="2" t="str">
        <f>'Summary2 (sorted)'!B44</f>
        <v>Diocles Mlashani Ishengoma</v>
      </c>
      <c r="C83" s="287">
        <f>'Summary2 (sorted)'!C44</f>
        <v>11656012.678117774</v>
      </c>
      <c r="D83" s="1">
        <v>15000000</v>
      </c>
      <c r="E83" s="122">
        <f t="shared" si="5"/>
        <v>0.77706751187451828</v>
      </c>
      <c r="F83" s="122">
        <f t="shared" si="6"/>
        <v>0.22293248812548172</v>
      </c>
      <c r="G83" s="6">
        <f>'PERFORMANCE TARGET'!G84</f>
        <v>15000000</v>
      </c>
      <c r="H83" s="176">
        <f t="shared" si="7"/>
        <v>0</v>
      </c>
    </row>
    <row r="84" spans="1:8" x14ac:dyDescent="0.35">
      <c r="A84" s="2" t="str">
        <f>'Summary2 (sorted)'!A83</f>
        <v>ILS24-F00062</v>
      </c>
      <c r="B84" s="2" t="str">
        <f>'Summary2 (sorted)'!B83</f>
        <v xml:space="preserve">Africa Silayo </v>
      </c>
      <c r="C84" s="287">
        <f>'Summary2 (sorted)'!C83</f>
        <v>5224156.1706417687</v>
      </c>
      <c r="D84" s="1">
        <v>15000000</v>
      </c>
      <c r="E84" s="122">
        <f t="shared" si="5"/>
        <v>0.34827707804278457</v>
      </c>
      <c r="F84" s="122">
        <f t="shared" si="6"/>
        <v>0.65172292195721537</v>
      </c>
      <c r="G84" s="6">
        <f>'PERFORMANCE TARGET'!G85</f>
        <v>30000000</v>
      </c>
      <c r="H84" s="176">
        <f t="shared" si="7"/>
        <v>-15000000</v>
      </c>
    </row>
    <row r="85" spans="1:8" x14ac:dyDescent="0.35">
      <c r="A85" s="2" t="str">
        <f>'Summary2 (sorted)'!A89</f>
        <v>ILS24-F00094</v>
      </c>
      <c r="B85" s="2" t="str">
        <f>'Summary2 (sorted)'!B89</f>
        <v>Edwin Banyenza Mwombeki</v>
      </c>
      <c r="C85" s="287">
        <f>'Summary2 (sorted)'!C89</f>
        <v>4612114.6559262332</v>
      </c>
      <c r="D85" s="1">
        <v>4000000</v>
      </c>
      <c r="E85" s="122">
        <f t="shared" si="5"/>
        <v>1.1530286639815583</v>
      </c>
      <c r="F85" s="122">
        <f t="shared" si="6"/>
        <v>-0.15302866398155834</v>
      </c>
      <c r="G85" s="6">
        <f>'PERFORMANCE TARGET'!G86</f>
        <v>4000000</v>
      </c>
      <c r="H85" s="176">
        <f t="shared" si="7"/>
        <v>0</v>
      </c>
    </row>
    <row r="86" spans="1:8" x14ac:dyDescent="0.35">
      <c r="A86" s="2" t="str">
        <f>'Summary2 (sorted)'!A53</f>
        <v>ILS24-F00041</v>
      </c>
      <c r="B86" s="2" t="str">
        <f>'Summary2 (sorted)'!B53</f>
        <v>Edgar Shumbusho</v>
      </c>
      <c r="C86" s="287">
        <f>'Summary2 (sorted)'!C53</f>
        <v>9118798.2763015889</v>
      </c>
      <c r="D86" s="1">
        <v>4000000</v>
      </c>
      <c r="E86" s="122">
        <f t="shared" si="5"/>
        <v>2.2796995690753974</v>
      </c>
      <c r="F86" s="122">
        <f t="shared" si="6"/>
        <v>-1.2796995690753974</v>
      </c>
      <c r="G86" s="6">
        <f>'PERFORMANCE TARGET'!G87</f>
        <v>4000000</v>
      </c>
      <c r="H86" s="176">
        <f t="shared" si="7"/>
        <v>0</v>
      </c>
    </row>
    <row r="87" spans="1:8" x14ac:dyDescent="0.35">
      <c r="A87" s="2" t="str">
        <f>'Summary2 (sorted)'!A69</f>
        <v>ILS24-F00148</v>
      </c>
      <c r="B87" s="2" t="str">
        <f>'Summary2 (sorted)'!B69</f>
        <v xml:space="preserve">Lameck Kasana </v>
      </c>
      <c r="C87" s="287">
        <f>'Summary2 (sorted)'!C69</f>
        <v>6078766.8668242218</v>
      </c>
      <c r="D87" s="1">
        <v>15000000</v>
      </c>
      <c r="E87" s="122">
        <f t="shared" si="5"/>
        <v>0.4052511244549481</v>
      </c>
      <c r="F87" s="122">
        <f t="shared" si="6"/>
        <v>0.59474887554505185</v>
      </c>
      <c r="G87" s="6">
        <f>'PERFORMANCE TARGET'!G88</f>
        <v>15000000</v>
      </c>
      <c r="H87" s="176">
        <f t="shared" si="7"/>
        <v>0</v>
      </c>
    </row>
    <row r="88" spans="1:8" x14ac:dyDescent="0.35">
      <c r="A88" s="2" t="str">
        <f>'Summary2 (sorted)'!A47</f>
        <v>ILS24-F00089</v>
      </c>
      <c r="B88" s="2" t="str">
        <f>'Summary2 (sorted)'!B47</f>
        <v>Emmanuel Jonas Mungure</v>
      </c>
      <c r="C88" s="287">
        <f>'Summary2 (sorted)'!C47</f>
        <v>10238089.010495214</v>
      </c>
      <c r="D88" s="1">
        <v>15000000</v>
      </c>
      <c r="E88" s="122">
        <f t="shared" si="5"/>
        <v>0.68253926736634762</v>
      </c>
      <c r="F88" s="122">
        <f t="shared" si="6"/>
        <v>0.31746073263365238</v>
      </c>
      <c r="G88" s="6">
        <f>'PERFORMANCE TARGET'!G89</f>
        <v>15000000</v>
      </c>
      <c r="H88" s="176">
        <f t="shared" si="7"/>
        <v>0</v>
      </c>
    </row>
    <row r="89" spans="1:8" x14ac:dyDescent="0.35">
      <c r="A89" s="2" t="str">
        <f>'Summary2 (sorted)'!A60</f>
        <v>ILS24-F00140</v>
      </c>
      <c r="B89" s="2" t="str">
        <f>'Summary2 (sorted)'!B60</f>
        <v>Mwombeki Florian Fabian</v>
      </c>
      <c r="C89" s="287">
        <f>'Summary2 (sorted)'!C60</f>
        <v>7989323.3927934663</v>
      </c>
      <c r="D89" s="1">
        <v>20000000</v>
      </c>
      <c r="E89" s="122">
        <f t="shared" si="5"/>
        <v>0.3994661696396733</v>
      </c>
      <c r="F89" s="122">
        <f t="shared" si="6"/>
        <v>0.6005338303603267</v>
      </c>
      <c r="G89" s="6">
        <f>'PERFORMANCE TARGET'!G90</f>
        <v>30000000</v>
      </c>
      <c r="H89" s="176">
        <f t="shared" si="7"/>
        <v>-10000000</v>
      </c>
    </row>
    <row r="90" spans="1:8" x14ac:dyDescent="0.35">
      <c r="A90" s="2" t="str">
        <f>'Summary2 (sorted)'!A49</f>
        <v>ILS24-F00101</v>
      </c>
      <c r="B90" s="2" t="str">
        <f>'Summary2 (sorted)'!B49</f>
        <v xml:space="preserve">Is-Haka Mkwawa </v>
      </c>
      <c r="C90" s="287">
        <f>'Summary2 (sorted)'!C49</f>
        <v>10190210.89560489</v>
      </c>
      <c r="D90" s="1">
        <v>15000000</v>
      </c>
      <c r="E90" s="122">
        <f t="shared" si="5"/>
        <v>0.67934739304032599</v>
      </c>
      <c r="F90" s="122">
        <f t="shared" si="6"/>
        <v>0.32065260695967401</v>
      </c>
      <c r="G90" s="6">
        <f>'PERFORMANCE TARGET'!G91</f>
        <v>15000000</v>
      </c>
      <c r="H90" s="176">
        <f t="shared" si="7"/>
        <v>0</v>
      </c>
    </row>
    <row r="91" spans="1:8" x14ac:dyDescent="0.35">
      <c r="A91" s="21"/>
      <c r="B91" s="21"/>
      <c r="C91" s="399"/>
      <c r="D91" s="400"/>
      <c r="E91" s="400"/>
      <c r="F91" s="94"/>
    </row>
    <row r="92" spans="1:8" x14ac:dyDescent="0.35">
      <c r="A92" s="2"/>
      <c r="B92" s="2"/>
      <c r="C92" s="287"/>
      <c r="D92" s="397"/>
      <c r="E92" s="397"/>
      <c r="F92" s="94"/>
    </row>
    <row r="93" spans="1:8" x14ac:dyDescent="0.35">
      <c r="A93" s="2"/>
      <c r="B93" s="2"/>
      <c r="C93" s="287"/>
      <c r="D93" s="397"/>
      <c r="E93" s="397"/>
      <c r="F93" s="94"/>
    </row>
    <row r="94" spans="1:8" x14ac:dyDescent="0.35">
      <c r="A94" s="2"/>
      <c r="B94" s="2"/>
      <c r="C94" s="287"/>
      <c r="D94" s="397"/>
      <c r="E94" s="397"/>
      <c r="F94" s="94"/>
    </row>
    <row r="95" spans="1:8" x14ac:dyDescent="0.35">
      <c r="A95" s="2"/>
      <c r="B95" s="2"/>
      <c r="C95" s="287"/>
      <c r="D95" s="397"/>
      <c r="E95" s="397"/>
      <c r="F95" s="94"/>
    </row>
    <row r="96" spans="1:8" x14ac:dyDescent="0.35">
      <c r="A96" s="2"/>
      <c r="B96" s="2"/>
      <c r="C96" s="287"/>
      <c r="D96" s="397"/>
      <c r="E96" s="397"/>
      <c r="F96" s="94"/>
    </row>
    <row r="97" spans="1:6" x14ac:dyDescent="0.35">
      <c r="A97" s="2"/>
      <c r="B97" s="2"/>
      <c r="C97" s="287"/>
      <c r="D97" s="397"/>
      <c r="E97" s="397"/>
      <c r="F97" s="94"/>
    </row>
    <row r="98" spans="1:6" x14ac:dyDescent="0.35">
      <c r="A98" s="2"/>
      <c r="B98" s="2"/>
      <c r="C98" s="287"/>
      <c r="D98" s="397"/>
      <c r="E98" s="397"/>
    </row>
  </sheetData>
  <sortState xmlns:xlrd2="http://schemas.microsoft.com/office/spreadsheetml/2017/richdata2" ref="A2:F90">
    <sortCondition ref="A2:A90"/>
  </sortState>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274D1-467A-41EC-B965-8F7EC2C27570}">
  <dimension ref="A2:O162"/>
  <sheetViews>
    <sheetView tabSelected="1" topLeftCell="C93" workbookViewId="0">
      <selection activeCell="F118" sqref="F118"/>
    </sheetView>
  </sheetViews>
  <sheetFormatPr defaultRowHeight="14.5" x14ac:dyDescent="0.35"/>
  <cols>
    <col min="1" max="1" width="4.08984375" bestFit="1" customWidth="1"/>
    <col min="2" max="2" width="13.1796875" bestFit="1" customWidth="1"/>
    <col min="3" max="3" width="13.453125" customWidth="1"/>
    <col min="4" max="4" width="22.81640625" bestFit="1" customWidth="1"/>
    <col min="5" max="5" width="14.1796875" style="6" customWidth="1"/>
    <col min="6" max="6" width="13" style="6" bestFit="1" customWidth="1"/>
    <col min="7" max="7" width="17.36328125" style="6" bestFit="1" customWidth="1"/>
    <col min="8" max="8" width="13.81640625" bestFit="1" customWidth="1"/>
    <col min="9" max="9" width="12.7265625" style="526" customWidth="1"/>
    <col min="10" max="10" width="16.7265625" style="526" customWidth="1"/>
    <col min="11" max="11" width="16.7265625" style="1" customWidth="1"/>
    <col min="12" max="12" width="16.7265625" style="6" customWidth="1"/>
    <col min="13" max="13" width="31" bestFit="1" customWidth="1"/>
    <col min="14" max="14" width="19.54296875" customWidth="1"/>
    <col min="15" max="15" width="16.54296875" customWidth="1"/>
  </cols>
  <sheetData>
    <row r="2" spans="1:15" ht="29" x14ac:dyDescent="0.35">
      <c r="A2" s="2"/>
      <c r="B2" s="662" t="s">
        <v>1269</v>
      </c>
      <c r="C2" s="74" t="s">
        <v>190</v>
      </c>
      <c r="D2" s="74" t="s">
        <v>449</v>
      </c>
      <c r="E2" s="63" t="s">
        <v>450</v>
      </c>
      <c r="F2" s="63" t="s">
        <v>451</v>
      </c>
      <c r="G2" s="63" t="s">
        <v>452</v>
      </c>
      <c r="H2" s="74" t="s">
        <v>453</v>
      </c>
      <c r="I2" s="544" t="s">
        <v>498</v>
      </c>
      <c r="J2" s="560" t="s">
        <v>454</v>
      </c>
      <c r="K2" s="191" t="s">
        <v>446</v>
      </c>
      <c r="L2" s="63" t="s">
        <v>455</v>
      </c>
      <c r="M2" s="74" t="s">
        <v>456</v>
      </c>
      <c r="N2" s="74" t="s">
        <v>457</v>
      </c>
      <c r="O2" s="223" t="s">
        <v>458</v>
      </c>
    </row>
    <row r="3" spans="1:15" x14ac:dyDescent="0.35">
      <c r="A3" s="2">
        <v>1</v>
      </c>
      <c r="B3" s="663" t="s">
        <v>459</v>
      </c>
      <c r="C3" s="663" t="s">
        <v>225</v>
      </c>
      <c r="D3" s="663" t="s">
        <v>468</v>
      </c>
      <c r="E3" s="665">
        <v>20000000</v>
      </c>
      <c r="F3" s="665">
        <f>E3*10%</f>
        <v>2000000</v>
      </c>
      <c r="G3" s="665">
        <f>E3+F3</f>
        <v>22000000</v>
      </c>
      <c r="H3" s="663" t="s">
        <v>460</v>
      </c>
      <c r="I3" s="666"/>
      <c r="J3" s="667"/>
      <c r="K3" s="287"/>
      <c r="L3" s="665">
        <v>22000000</v>
      </c>
      <c r="M3" s="663" t="s">
        <v>461</v>
      </c>
      <c r="N3" s="665">
        <v>20000000</v>
      </c>
      <c r="O3" t="s">
        <v>462</v>
      </c>
    </row>
    <row r="4" spans="1:15" x14ac:dyDescent="0.35">
      <c r="A4" s="2"/>
      <c r="B4" s="663"/>
      <c r="C4" s="663" t="s">
        <v>225</v>
      </c>
      <c r="D4" s="663"/>
      <c r="E4" s="665"/>
      <c r="F4" s="665"/>
      <c r="G4" s="665"/>
      <c r="H4" s="663"/>
      <c r="I4" s="666"/>
      <c r="J4" s="667" t="s">
        <v>463</v>
      </c>
      <c r="K4" s="287">
        <v>5000000</v>
      </c>
      <c r="L4" s="665">
        <f>L3-K4</f>
        <v>17000000</v>
      </c>
      <c r="M4" s="663"/>
      <c r="N4" s="665"/>
    </row>
    <row r="5" spans="1:15" x14ac:dyDescent="0.35">
      <c r="A5" s="2"/>
      <c r="B5" s="663"/>
      <c r="C5" s="663" t="s">
        <v>225</v>
      </c>
      <c r="D5" s="663"/>
      <c r="E5" s="665"/>
      <c r="F5" s="665"/>
      <c r="G5" s="665"/>
      <c r="H5" s="663"/>
      <c r="I5" s="666"/>
      <c r="J5" s="667" t="s">
        <v>464</v>
      </c>
      <c r="K5" s="287">
        <v>5000000</v>
      </c>
      <c r="L5" s="665">
        <f>L4-K5</f>
        <v>12000000</v>
      </c>
      <c r="M5" s="663"/>
      <c r="N5" s="663"/>
    </row>
    <row r="6" spans="1:15" x14ac:dyDescent="0.35">
      <c r="A6" s="2"/>
      <c r="B6" s="663"/>
      <c r="C6" s="663" t="s">
        <v>225</v>
      </c>
      <c r="D6" s="663"/>
      <c r="E6" s="665"/>
      <c r="F6" s="665"/>
      <c r="G6" s="665"/>
      <c r="H6" s="663"/>
      <c r="I6" s="666"/>
      <c r="J6" s="667" t="s">
        <v>465</v>
      </c>
      <c r="K6" s="287">
        <v>5000000</v>
      </c>
      <c r="L6" s="665">
        <f>L5-K6</f>
        <v>7000000</v>
      </c>
      <c r="M6" s="663"/>
      <c r="N6" s="663"/>
    </row>
    <row r="7" spans="1:15" x14ac:dyDescent="0.35">
      <c r="A7" s="2"/>
      <c r="B7" s="663"/>
      <c r="C7" s="663" t="s">
        <v>225</v>
      </c>
      <c r="D7" s="663"/>
      <c r="E7" s="665"/>
      <c r="F7" s="665"/>
      <c r="G7" s="665"/>
      <c r="H7" s="663"/>
      <c r="I7" s="666"/>
      <c r="J7" s="667" t="s">
        <v>466</v>
      </c>
      <c r="K7" s="287">
        <v>5000000</v>
      </c>
      <c r="L7" s="665">
        <f>L6-K7</f>
        <v>2000000</v>
      </c>
      <c r="M7" s="663"/>
      <c r="N7" s="663"/>
    </row>
    <row r="8" spans="1:15" x14ac:dyDescent="0.35">
      <c r="A8" s="2"/>
      <c r="B8" s="663"/>
      <c r="C8" s="663" t="s">
        <v>225</v>
      </c>
      <c r="D8" s="663"/>
      <c r="E8" s="665"/>
      <c r="F8" s="665"/>
      <c r="G8" s="665"/>
      <c r="H8" s="663"/>
      <c r="I8" s="666"/>
      <c r="J8" s="667" t="s">
        <v>466</v>
      </c>
      <c r="K8" s="287">
        <v>2000000</v>
      </c>
      <c r="L8" s="665">
        <f>L7-K8</f>
        <v>0</v>
      </c>
      <c r="M8" s="663"/>
      <c r="N8" s="663"/>
    </row>
    <row r="9" spans="1:15" x14ac:dyDescent="0.35">
      <c r="A9" s="2">
        <v>2</v>
      </c>
      <c r="B9" s="663" t="s">
        <v>467</v>
      </c>
      <c r="C9" s="663" t="s">
        <v>225</v>
      </c>
      <c r="D9" s="663" t="s">
        <v>468</v>
      </c>
      <c r="E9" s="665">
        <v>30000000</v>
      </c>
      <c r="F9" s="665">
        <f>E9*10%</f>
        <v>3000000</v>
      </c>
      <c r="G9" s="665">
        <f>F9+E9</f>
        <v>33000000</v>
      </c>
      <c r="H9" s="663" t="s">
        <v>684</v>
      </c>
      <c r="I9" s="666"/>
      <c r="J9" s="667" t="s">
        <v>469</v>
      </c>
      <c r="K9" s="287"/>
      <c r="L9" s="665">
        <v>33000000</v>
      </c>
      <c r="M9" s="663" t="s">
        <v>470</v>
      </c>
      <c r="N9" s="668">
        <v>30000000</v>
      </c>
    </row>
    <row r="10" spans="1:15" x14ac:dyDescent="0.35">
      <c r="A10" s="2"/>
      <c r="B10" s="663"/>
      <c r="C10" s="663"/>
      <c r="D10" s="663" t="s">
        <v>468</v>
      </c>
      <c r="E10" s="665"/>
      <c r="F10" s="665">
        <f>E9*10%</f>
        <v>3000000</v>
      </c>
      <c r="G10" s="665">
        <f>G9+F10</f>
        <v>36000000</v>
      </c>
      <c r="H10" s="663"/>
      <c r="I10" s="669"/>
      <c r="J10" s="667" t="s">
        <v>471</v>
      </c>
      <c r="K10" s="287">
        <v>37500000</v>
      </c>
      <c r="L10" s="665">
        <f>G10-K10</f>
        <v>-1500000</v>
      </c>
      <c r="M10" s="663"/>
      <c r="N10" s="663"/>
    </row>
    <row r="11" spans="1:15" x14ac:dyDescent="0.35">
      <c r="A11" s="2"/>
      <c r="B11" s="2"/>
      <c r="C11" s="2"/>
      <c r="D11" s="2"/>
      <c r="E11" s="10"/>
      <c r="F11" s="10"/>
      <c r="G11" s="10"/>
      <c r="H11" s="2"/>
      <c r="I11" s="484"/>
      <c r="J11" s="561"/>
      <c r="K11" s="3"/>
      <c r="L11" s="10"/>
      <c r="M11" s="2"/>
      <c r="N11" s="2"/>
    </row>
    <row r="12" spans="1:15" x14ac:dyDescent="0.35">
      <c r="A12" s="2"/>
      <c r="B12" s="2"/>
      <c r="C12" s="2"/>
      <c r="D12" s="2"/>
      <c r="E12" s="10"/>
      <c r="F12" s="10"/>
      <c r="G12" s="10"/>
      <c r="H12" s="2"/>
      <c r="I12" s="484"/>
      <c r="J12" s="561"/>
      <c r="K12" s="3"/>
      <c r="L12" s="10"/>
      <c r="M12" s="2"/>
      <c r="N12" s="2"/>
    </row>
    <row r="13" spans="1:15" x14ac:dyDescent="0.35">
      <c r="A13" s="2">
        <v>3</v>
      </c>
      <c r="B13" s="663" t="s">
        <v>472</v>
      </c>
      <c r="C13" s="664" t="s">
        <v>227</v>
      </c>
      <c r="D13" s="287" t="s">
        <v>28</v>
      </c>
      <c r="E13" s="665">
        <v>10000000</v>
      </c>
      <c r="F13" s="665">
        <f>E13*10%</f>
        <v>1000000</v>
      </c>
      <c r="G13" s="665">
        <f>F13+E13</f>
        <v>11000000</v>
      </c>
      <c r="H13" s="663" t="s">
        <v>684</v>
      </c>
      <c r="I13" s="666"/>
      <c r="J13" s="667" t="s">
        <v>473</v>
      </c>
      <c r="K13" s="287">
        <v>10000000</v>
      </c>
      <c r="L13" s="665">
        <v>11000000</v>
      </c>
      <c r="M13" s="663" t="s">
        <v>474</v>
      </c>
      <c r="N13" s="668">
        <v>10000000</v>
      </c>
    </row>
    <row r="14" spans="1:15" x14ac:dyDescent="0.35">
      <c r="A14" s="2"/>
      <c r="B14" s="663"/>
      <c r="C14" s="663"/>
      <c r="D14" s="663"/>
      <c r="E14" s="665"/>
      <c r="F14" s="665"/>
      <c r="G14" s="665"/>
      <c r="H14" s="663"/>
      <c r="I14" s="666"/>
      <c r="J14" s="667" t="s">
        <v>475</v>
      </c>
      <c r="K14" s="287">
        <v>8000000</v>
      </c>
      <c r="L14" s="665">
        <f>L13-K14</f>
        <v>3000000</v>
      </c>
      <c r="M14" s="663"/>
      <c r="N14" s="663"/>
    </row>
    <row r="15" spans="1:15" x14ac:dyDescent="0.35">
      <c r="A15" s="2"/>
      <c r="B15" s="663"/>
      <c r="C15" s="663"/>
      <c r="D15" s="663"/>
      <c r="E15" s="665"/>
      <c r="F15" s="665"/>
      <c r="G15" s="665"/>
      <c r="H15" s="663"/>
      <c r="I15" s="666"/>
      <c r="J15" s="667" t="s">
        <v>476</v>
      </c>
      <c r="K15" s="287">
        <v>3000000</v>
      </c>
      <c r="L15" s="665">
        <f>L14-K15</f>
        <v>0</v>
      </c>
      <c r="M15" s="663"/>
      <c r="N15" s="663"/>
    </row>
    <row r="16" spans="1:15" x14ac:dyDescent="0.35">
      <c r="A16" s="2"/>
      <c r="B16" s="2"/>
      <c r="C16" s="2"/>
      <c r="D16" s="2"/>
      <c r="E16" s="10"/>
      <c r="F16" s="10"/>
      <c r="G16" s="10"/>
      <c r="H16" s="2"/>
      <c r="I16" s="484"/>
      <c r="J16" s="561"/>
      <c r="K16" s="3"/>
      <c r="L16" s="10"/>
      <c r="M16" s="2"/>
      <c r="N16" s="2"/>
    </row>
    <row r="17" spans="1:14" x14ac:dyDescent="0.35">
      <c r="A17" s="2">
        <v>4</v>
      </c>
      <c r="B17" s="2" t="s">
        <v>477</v>
      </c>
      <c r="C17" s="2" t="s">
        <v>225</v>
      </c>
      <c r="D17" s="2" t="s">
        <v>468</v>
      </c>
      <c r="E17" s="205">
        <v>60000000</v>
      </c>
      <c r="F17" s="697">
        <f>E17*5%</f>
        <v>3000000</v>
      </c>
      <c r="G17" s="205">
        <f>E17+F17</f>
        <v>63000000</v>
      </c>
      <c r="H17" s="2" t="s">
        <v>478</v>
      </c>
      <c r="I17" s="484" t="s">
        <v>755</v>
      </c>
      <c r="J17" s="561"/>
      <c r="K17" s="3"/>
      <c r="L17" s="10">
        <f t="shared" ref="L17:L20" si="0">G17-K17</f>
        <v>63000000</v>
      </c>
      <c r="M17" s="2"/>
      <c r="N17" s="2"/>
    </row>
    <row r="18" spans="1:14" x14ac:dyDescent="0.35">
      <c r="A18" s="2"/>
      <c r="B18" s="2"/>
      <c r="C18" s="2"/>
      <c r="D18" s="2"/>
      <c r="E18" s="205"/>
      <c r="F18" s="697">
        <f>G17*5%</f>
        <v>3150000</v>
      </c>
      <c r="G18" s="205">
        <f>F18+G17</f>
        <v>66150000</v>
      </c>
      <c r="H18" s="2" t="s">
        <v>479</v>
      </c>
      <c r="I18" s="484"/>
      <c r="J18" s="561"/>
      <c r="K18" s="3"/>
      <c r="L18" s="10">
        <f t="shared" si="0"/>
        <v>66150000</v>
      </c>
      <c r="M18" s="2"/>
      <c r="N18" s="2"/>
    </row>
    <row r="19" spans="1:14" x14ac:dyDescent="0.35">
      <c r="A19" s="2"/>
      <c r="B19" s="2"/>
      <c r="C19" s="2"/>
      <c r="D19" s="2"/>
      <c r="E19" s="205"/>
      <c r="F19" s="698">
        <f>G18*5%</f>
        <v>3307500</v>
      </c>
      <c r="G19" s="205">
        <f>F19+G18</f>
        <v>69457500</v>
      </c>
      <c r="H19" s="2" t="s">
        <v>499</v>
      </c>
      <c r="I19" s="484"/>
      <c r="J19" s="561"/>
      <c r="K19" s="3"/>
      <c r="L19" s="10">
        <f t="shared" si="0"/>
        <v>69457500</v>
      </c>
      <c r="M19" s="2"/>
      <c r="N19" s="2"/>
    </row>
    <row r="20" spans="1:14" x14ac:dyDescent="0.35">
      <c r="A20" s="2"/>
      <c r="B20" s="2"/>
      <c r="C20" s="2"/>
      <c r="D20" s="2"/>
      <c r="E20" s="205"/>
      <c r="F20" s="697">
        <f>G19*5%</f>
        <v>3472875</v>
      </c>
      <c r="G20" s="205">
        <f>G19+F20</f>
        <v>72930375</v>
      </c>
      <c r="H20" s="2" t="s">
        <v>755</v>
      </c>
      <c r="I20" s="484"/>
      <c r="J20" s="561" t="s">
        <v>1307</v>
      </c>
      <c r="K20" s="3">
        <v>13000000</v>
      </c>
      <c r="L20" s="10">
        <f t="shared" si="0"/>
        <v>59930375</v>
      </c>
      <c r="M20" s="2"/>
      <c r="N20" s="2"/>
    </row>
    <row r="21" spans="1:14" x14ac:dyDescent="0.35">
      <c r="A21" s="2"/>
      <c r="B21" s="2"/>
      <c r="C21" s="2"/>
      <c r="D21" s="2"/>
      <c r="E21" s="205"/>
      <c r="F21" s="205">
        <f>L20*1.5%</f>
        <v>898955.625</v>
      </c>
      <c r="G21" s="205"/>
      <c r="H21" s="2"/>
      <c r="I21" s="484"/>
      <c r="J21" s="561"/>
      <c r="K21" s="3"/>
      <c r="L21" s="10"/>
      <c r="M21" s="2"/>
      <c r="N21" s="2"/>
    </row>
    <row r="22" spans="1:14" x14ac:dyDescent="0.35">
      <c r="A22" s="2"/>
      <c r="B22" s="2"/>
      <c r="C22" s="2"/>
      <c r="D22" s="2"/>
      <c r="E22" s="205"/>
      <c r="F22" s="205"/>
      <c r="G22" s="205"/>
      <c r="H22" s="2"/>
      <c r="I22" s="484"/>
      <c r="J22" s="561"/>
      <c r="K22" s="3"/>
      <c r="L22" s="10"/>
      <c r="M22" s="2"/>
      <c r="N22" s="2"/>
    </row>
    <row r="23" spans="1:14" x14ac:dyDescent="0.35">
      <c r="A23" s="2">
        <v>5</v>
      </c>
      <c r="B23" s="663" t="s">
        <v>480</v>
      </c>
      <c r="C23" s="663" t="str">
        <f>'DETAILS (sorted)'!A47</f>
        <v>ILS24-F00046</v>
      </c>
      <c r="D23" s="663" t="str">
        <f>'DETAILS (sorted)'!B47</f>
        <v>Adolph William Ndeabura</v>
      </c>
      <c r="E23" s="670">
        <v>12000000</v>
      </c>
      <c r="F23" s="670">
        <f>E23*5%</f>
        <v>600000</v>
      </c>
      <c r="G23" s="670">
        <f t="shared" ref="G23:G30" si="1">E23+F23</f>
        <v>12600000</v>
      </c>
      <c r="H23" s="663" t="s">
        <v>481</v>
      </c>
      <c r="I23" s="666" t="s">
        <v>500</v>
      </c>
      <c r="J23" s="667"/>
      <c r="K23" s="287">
        <v>0</v>
      </c>
      <c r="L23" s="665">
        <f>G23-K23</f>
        <v>12600000</v>
      </c>
      <c r="M23" s="663"/>
      <c r="N23" s="663"/>
    </row>
    <row r="24" spans="1:14" x14ac:dyDescent="0.35">
      <c r="A24" s="2"/>
      <c r="B24" s="663"/>
      <c r="C24" s="663"/>
      <c r="D24" s="663"/>
      <c r="E24" s="670"/>
      <c r="F24" s="670">
        <f>G23*5%</f>
        <v>630000</v>
      </c>
      <c r="G24" s="670">
        <f>E24+F24+L23</f>
        <v>13230000</v>
      </c>
      <c r="H24" s="663" t="s">
        <v>503</v>
      </c>
      <c r="I24" s="666"/>
      <c r="J24" s="667"/>
      <c r="K24" s="287"/>
      <c r="L24" s="665">
        <f t="shared" ref="L24:L26" si="2">G24-K24</f>
        <v>13230000</v>
      </c>
      <c r="M24" s="663"/>
      <c r="N24" s="663"/>
    </row>
    <row r="25" spans="1:14" x14ac:dyDescent="0.35">
      <c r="A25" s="2"/>
      <c r="B25" s="663"/>
      <c r="C25" s="663"/>
      <c r="D25" s="663"/>
      <c r="E25" s="665"/>
      <c r="F25" s="287">
        <f>G24*5%</f>
        <v>661500</v>
      </c>
      <c r="G25" s="287">
        <f>G24+F25</f>
        <v>13891500</v>
      </c>
      <c r="H25" s="663" t="s">
        <v>500</v>
      </c>
      <c r="I25" s="666"/>
      <c r="J25" s="671" t="s">
        <v>680</v>
      </c>
      <c r="K25" s="672">
        <f>SUM(F23:F25)</f>
        <v>1891500</v>
      </c>
      <c r="L25" s="665">
        <f t="shared" si="2"/>
        <v>12000000</v>
      </c>
      <c r="M25" s="673"/>
      <c r="N25" s="673"/>
    </row>
    <row r="26" spans="1:14" x14ac:dyDescent="0.35">
      <c r="A26" s="2"/>
      <c r="B26" s="663"/>
      <c r="C26" s="663"/>
      <c r="D26" s="663"/>
      <c r="E26" s="665"/>
      <c r="F26" s="287"/>
      <c r="G26" s="287">
        <f>L25</f>
        <v>12000000</v>
      </c>
      <c r="H26" s="663" t="s">
        <v>500</v>
      </c>
      <c r="I26" s="666"/>
      <c r="J26" s="671" t="s">
        <v>759</v>
      </c>
      <c r="K26" s="672">
        <v>12000000</v>
      </c>
      <c r="L26" s="665">
        <f t="shared" si="2"/>
        <v>0</v>
      </c>
      <c r="M26" s="673"/>
      <c r="N26" s="673"/>
    </row>
    <row r="27" spans="1:14" x14ac:dyDescent="0.35">
      <c r="A27" s="2"/>
      <c r="B27" s="2"/>
      <c r="C27" s="2"/>
      <c r="D27" s="2"/>
      <c r="E27" s="205"/>
      <c r="F27" s="205"/>
      <c r="G27" s="205"/>
      <c r="H27" s="2"/>
      <c r="I27" s="484"/>
      <c r="J27" s="561"/>
      <c r="K27" s="3"/>
      <c r="L27" s="10"/>
      <c r="M27" s="2"/>
      <c r="N27" s="2"/>
    </row>
    <row r="28" spans="1:14" x14ac:dyDescent="0.35">
      <c r="A28" s="2">
        <v>6</v>
      </c>
      <c r="B28" s="343" t="s">
        <v>482</v>
      </c>
      <c r="C28" s="343" t="str">
        <f>'DETAILS (sorted)'!A55</f>
        <v>ILS24-F00054</v>
      </c>
      <c r="D28" s="343" t="str">
        <f>'DETAILS (sorted)'!B55</f>
        <v>Stanslaus Senani Nyembea</v>
      </c>
      <c r="E28" s="344">
        <v>5000000</v>
      </c>
      <c r="F28" s="344">
        <f>E28*5%</f>
        <v>250000</v>
      </c>
      <c r="G28" s="344">
        <f t="shared" si="1"/>
        <v>5250000</v>
      </c>
      <c r="H28" s="343" t="s">
        <v>483</v>
      </c>
      <c r="I28" s="562" t="s">
        <v>501</v>
      </c>
      <c r="J28" s="561" t="s">
        <v>509</v>
      </c>
      <c r="K28" s="3">
        <v>5250000</v>
      </c>
      <c r="L28" s="10">
        <f>G28-K28</f>
        <v>0</v>
      </c>
      <c r="M28" s="2" t="s">
        <v>510</v>
      </c>
      <c r="N28" s="2"/>
    </row>
    <row r="29" spans="1:14" x14ac:dyDescent="0.35">
      <c r="A29" s="2"/>
      <c r="B29" s="2"/>
      <c r="C29" s="2"/>
      <c r="D29" s="2"/>
      <c r="E29" s="205"/>
      <c r="F29" s="205"/>
      <c r="G29" s="205"/>
      <c r="H29" s="2"/>
      <c r="I29" s="484"/>
      <c r="J29" s="561"/>
      <c r="K29" s="3"/>
      <c r="L29" s="10"/>
      <c r="M29" s="2"/>
      <c r="N29" s="2"/>
    </row>
    <row r="30" spans="1:14" x14ac:dyDescent="0.35">
      <c r="A30" s="2"/>
      <c r="B30" s="2"/>
      <c r="C30" s="2"/>
      <c r="D30" s="2"/>
      <c r="E30" s="205"/>
      <c r="F30" s="205"/>
      <c r="G30" s="205">
        <f t="shared" si="1"/>
        <v>0</v>
      </c>
      <c r="H30" s="2"/>
      <c r="I30" s="484"/>
      <c r="J30" s="561"/>
      <c r="K30" s="3"/>
      <c r="L30" s="10">
        <f t="shared" ref="L30:L31" si="3">G30-K30</f>
        <v>0</v>
      </c>
      <c r="M30" s="2"/>
      <c r="N30" s="2"/>
    </row>
    <row r="31" spans="1:14" x14ac:dyDescent="0.35">
      <c r="A31" s="2">
        <v>7</v>
      </c>
      <c r="B31" s="343" t="s">
        <v>484</v>
      </c>
      <c r="C31" s="343" t="str">
        <f>'DETAILS (sorted)'!A6</f>
        <v>ILS24-F00005</v>
      </c>
      <c r="D31" s="343" t="str">
        <f>'DETAILS (sorted)'!B6</f>
        <v>Elianshasaria Munisi</v>
      </c>
      <c r="E31" s="344">
        <v>10000000</v>
      </c>
      <c r="F31" s="344">
        <f>E31*5%</f>
        <v>500000</v>
      </c>
      <c r="G31" s="344">
        <f t="shared" ref="G31:G48" si="4">E31+F31</f>
        <v>10500000</v>
      </c>
      <c r="H31" s="343" t="s">
        <v>485</v>
      </c>
      <c r="I31" s="562" t="s">
        <v>502</v>
      </c>
      <c r="J31" s="561" t="s">
        <v>523</v>
      </c>
      <c r="K31" s="3">
        <v>3500000</v>
      </c>
      <c r="L31" s="10">
        <f t="shared" si="3"/>
        <v>7000000</v>
      </c>
      <c r="M31" s="2"/>
      <c r="N31" s="2"/>
    </row>
    <row r="32" spans="1:14" x14ac:dyDescent="0.35">
      <c r="A32" s="2"/>
      <c r="B32" s="2"/>
      <c r="C32" s="2"/>
      <c r="D32" s="2"/>
      <c r="E32" s="205"/>
      <c r="F32" s="344">
        <f>L31*5%</f>
        <v>350000</v>
      </c>
      <c r="G32" s="205">
        <f>L31+F32</f>
        <v>7350000</v>
      </c>
      <c r="H32" s="2" t="s">
        <v>533</v>
      </c>
      <c r="I32" s="484"/>
      <c r="J32" s="563">
        <v>46185</v>
      </c>
      <c r="K32" s="3">
        <v>350000</v>
      </c>
      <c r="L32" s="10">
        <f>G32-K32</f>
        <v>7000000</v>
      </c>
      <c r="M32" s="2"/>
      <c r="N32" s="2"/>
    </row>
    <row r="33" spans="1:14" x14ac:dyDescent="0.35">
      <c r="A33" s="2"/>
      <c r="B33" s="2"/>
      <c r="C33" s="2"/>
      <c r="D33" s="2"/>
      <c r="E33" s="205"/>
      <c r="F33" s="680">
        <f>L31*5%</f>
        <v>350000</v>
      </c>
      <c r="G33" s="680">
        <f>E33+F33+L32</f>
        <v>7350000</v>
      </c>
      <c r="H33" s="2" t="s">
        <v>738</v>
      </c>
      <c r="I33" s="484"/>
      <c r="J33" s="561"/>
      <c r="K33" s="3"/>
      <c r="L33" s="10"/>
      <c r="M33" s="2"/>
      <c r="N33" s="2"/>
    </row>
    <row r="34" spans="1:14" x14ac:dyDescent="0.35">
      <c r="A34" s="2"/>
      <c r="B34" s="2"/>
      <c r="C34" s="2"/>
      <c r="D34" s="2"/>
      <c r="E34" s="205"/>
      <c r="F34" s="680">
        <f>G33*5%</f>
        <v>367500</v>
      </c>
      <c r="G34" s="680">
        <f>G33+F34</f>
        <v>7717500</v>
      </c>
      <c r="H34" s="2" t="s">
        <v>1270</v>
      </c>
      <c r="I34" s="484"/>
      <c r="J34" s="561"/>
      <c r="K34" s="3"/>
      <c r="L34" s="10"/>
      <c r="M34" s="2"/>
      <c r="N34" s="2"/>
    </row>
    <row r="35" spans="1:14" x14ac:dyDescent="0.35">
      <c r="A35" s="2"/>
      <c r="B35" s="2"/>
      <c r="C35" s="2"/>
      <c r="D35" s="2"/>
      <c r="E35" s="205"/>
      <c r="F35" s="205"/>
      <c r="G35" s="205"/>
      <c r="H35" s="2"/>
      <c r="I35" s="484"/>
      <c r="J35" s="561"/>
      <c r="K35" s="3"/>
      <c r="L35" s="10"/>
      <c r="M35" s="2"/>
      <c r="N35" s="2"/>
    </row>
    <row r="36" spans="1:14" x14ac:dyDescent="0.35">
      <c r="A36" s="2">
        <v>8</v>
      </c>
      <c r="B36" s="2" t="s">
        <v>497</v>
      </c>
      <c r="C36" s="2" t="str">
        <f>'DETAILS (sorted)'!A11</f>
        <v>ILS24-F00010</v>
      </c>
      <c r="D36" s="2" t="str">
        <f>'DETAILS (sorted)'!B11</f>
        <v>Mosses Makoko</v>
      </c>
      <c r="E36" s="205">
        <v>30000000</v>
      </c>
      <c r="F36" s="344">
        <f>E36*1.5%</f>
        <v>450000</v>
      </c>
      <c r="G36" s="205">
        <f t="shared" si="4"/>
        <v>30450000</v>
      </c>
      <c r="H36" s="2" t="s">
        <v>503</v>
      </c>
      <c r="I36" s="484" t="s">
        <v>504</v>
      </c>
      <c r="J36" s="561" t="s">
        <v>633</v>
      </c>
      <c r="K36" s="3">
        <v>20000000</v>
      </c>
      <c r="L36" s="10">
        <f>G36-K36</f>
        <v>10450000</v>
      </c>
      <c r="M36" s="2" t="s">
        <v>486</v>
      </c>
      <c r="N36" s="3">
        <f>'DETAILS (sorted)'!DS62+'DETAILS (sorted)'!DS11</f>
        <v>124173272.80926815</v>
      </c>
    </row>
    <row r="37" spans="1:14" x14ac:dyDescent="0.35">
      <c r="A37" s="2"/>
      <c r="B37" s="2"/>
      <c r="C37" s="2"/>
      <c r="D37" s="2"/>
      <c r="E37" s="205"/>
      <c r="F37" s="344">
        <f>L36*1.5%</f>
        <v>156750</v>
      </c>
      <c r="G37" s="205">
        <f>L36+F37</f>
        <v>10606750</v>
      </c>
      <c r="H37" s="2" t="s">
        <v>500</v>
      </c>
      <c r="I37" s="484"/>
      <c r="J37" s="561" t="s">
        <v>500</v>
      </c>
      <c r="K37" s="3">
        <v>6650750</v>
      </c>
      <c r="L37" s="10">
        <f>G37-K37</f>
        <v>3956000</v>
      </c>
      <c r="M37" s="2"/>
      <c r="N37" s="3"/>
    </row>
    <row r="38" spans="1:14" x14ac:dyDescent="0.35">
      <c r="A38" s="2"/>
      <c r="B38" s="2"/>
      <c r="C38" s="2"/>
      <c r="D38" s="2"/>
      <c r="E38" s="205"/>
      <c r="F38" s="205">
        <f>L37*1.5%</f>
        <v>59340</v>
      </c>
      <c r="G38" s="205">
        <f>L37+F38</f>
        <v>4015340</v>
      </c>
      <c r="H38" s="2" t="s">
        <v>873</v>
      </c>
      <c r="I38" s="484"/>
      <c r="J38" s="561"/>
      <c r="K38" s="3"/>
      <c r="L38" s="10"/>
      <c r="M38" s="2"/>
      <c r="N38" s="3"/>
    </row>
    <row r="39" spans="1:14" x14ac:dyDescent="0.35">
      <c r="A39" s="2"/>
      <c r="B39" s="2"/>
      <c r="C39" s="2"/>
      <c r="D39" s="2"/>
      <c r="E39" s="205"/>
      <c r="F39" s="205">
        <f>G38*1.5%</f>
        <v>60230.1</v>
      </c>
      <c r="G39" s="205">
        <f>L38+F39</f>
        <v>60230.1</v>
      </c>
      <c r="H39" s="2" t="s">
        <v>1318</v>
      </c>
      <c r="I39" s="484"/>
      <c r="J39" s="561"/>
      <c r="K39" s="3"/>
      <c r="L39" s="10"/>
      <c r="M39" s="2"/>
      <c r="N39" s="3"/>
    </row>
    <row r="40" spans="1:14" x14ac:dyDescent="0.35">
      <c r="A40" s="2"/>
      <c r="B40" s="2"/>
      <c r="C40" s="2"/>
      <c r="D40" s="2"/>
      <c r="E40" s="205"/>
      <c r="F40" s="205"/>
      <c r="G40" s="205"/>
      <c r="H40" s="2"/>
      <c r="I40" s="484"/>
      <c r="J40" s="561"/>
      <c r="K40" s="3"/>
      <c r="L40" s="10"/>
      <c r="M40" s="2"/>
      <c r="N40" s="3"/>
    </row>
    <row r="41" spans="1:14" x14ac:dyDescent="0.35">
      <c r="A41" s="2">
        <v>9</v>
      </c>
      <c r="B41" s="2" t="s">
        <v>497</v>
      </c>
      <c r="C41" s="2" t="str">
        <f>'DETAILS (sorted)'!A2</f>
        <v>ILS24-F00001</v>
      </c>
      <c r="D41" s="2" t="str">
        <f>'DETAILS (sorted)'!B2</f>
        <v xml:space="preserve">Nsanyiwa Kiloba </v>
      </c>
      <c r="E41" s="205">
        <v>15000000</v>
      </c>
      <c r="F41" s="428">
        <f>E41*1.5%</f>
        <v>225000</v>
      </c>
      <c r="G41" s="205">
        <f t="shared" si="4"/>
        <v>15225000</v>
      </c>
      <c r="H41" s="2" t="s">
        <v>503</v>
      </c>
      <c r="I41" s="484" t="s">
        <v>504</v>
      </c>
      <c r="J41" s="561"/>
      <c r="K41" s="3"/>
      <c r="L41" s="10">
        <f t="shared" ref="L41:L45" si="5">G41-K41</f>
        <v>15225000</v>
      </c>
      <c r="M41" s="2" t="s">
        <v>505</v>
      </c>
      <c r="N41" s="3"/>
    </row>
    <row r="42" spans="1:14" x14ac:dyDescent="0.35">
      <c r="A42" s="2"/>
      <c r="B42" s="2"/>
      <c r="C42" s="2"/>
      <c r="D42" s="2"/>
      <c r="E42" s="205"/>
      <c r="F42" s="428">
        <f>G41*1.5%</f>
        <v>228375</v>
      </c>
      <c r="G42" s="205">
        <f>G41+F42</f>
        <v>15453375</v>
      </c>
      <c r="H42" s="2" t="s">
        <v>500</v>
      </c>
      <c r="I42" s="484"/>
      <c r="J42" s="561" t="s">
        <v>680</v>
      </c>
      <c r="K42" s="3">
        <f>225000+228375</f>
        <v>453375</v>
      </c>
      <c r="L42" s="10">
        <f t="shared" si="5"/>
        <v>15000000</v>
      </c>
      <c r="M42" s="2"/>
      <c r="N42" s="3"/>
    </row>
    <row r="43" spans="1:14" x14ac:dyDescent="0.35">
      <c r="A43" s="2"/>
      <c r="B43" s="2"/>
      <c r="C43" s="2"/>
      <c r="D43" s="2"/>
      <c r="E43" s="205"/>
      <c r="F43" s="344">
        <f>L42*1.5%</f>
        <v>225000</v>
      </c>
      <c r="G43" s="205">
        <f>L42+F43</f>
        <v>15225000</v>
      </c>
      <c r="H43" s="2" t="s">
        <v>500</v>
      </c>
      <c r="I43" s="484"/>
      <c r="J43" s="563">
        <v>46200</v>
      </c>
      <c r="K43" s="3">
        <v>225000</v>
      </c>
      <c r="L43" s="10">
        <f t="shared" si="5"/>
        <v>15000000</v>
      </c>
      <c r="M43" s="2"/>
      <c r="N43" s="3"/>
    </row>
    <row r="44" spans="1:14" x14ac:dyDescent="0.35">
      <c r="A44" s="2"/>
      <c r="B44" s="2"/>
      <c r="C44" s="2"/>
      <c r="D44" s="2" t="s">
        <v>865</v>
      </c>
      <c r="E44" s="205">
        <v>15000000</v>
      </c>
      <c r="F44" s="697">
        <f>(L43+E44)*1.5%</f>
        <v>450000</v>
      </c>
      <c r="G44" s="205">
        <f>E44+F44+L42</f>
        <v>30450000</v>
      </c>
      <c r="H44" s="494" t="s">
        <v>886</v>
      </c>
      <c r="I44" s="564">
        <v>46378</v>
      </c>
      <c r="J44" s="563">
        <v>46226</v>
      </c>
      <c r="K44" s="7">
        <v>225000</v>
      </c>
      <c r="L44" s="10">
        <f t="shared" si="5"/>
        <v>30225000</v>
      </c>
      <c r="M44" s="2"/>
      <c r="N44" s="3"/>
    </row>
    <row r="45" spans="1:14" x14ac:dyDescent="0.35">
      <c r="A45" s="2"/>
      <c r="B45" s="2"/>
      <c r="C45" s="2"/>
      <c r="D45" s="2"/>
      <c r="E45" s="205"/>
      <c r="F45" s="691"/>
      <c r="G45" s="205">
        <f>L44</f>
        <v>30225000</v>
      </c>
      <c r="H45" s="494"/>
      <c r="I45" s="564"/>
      <c r="J45" s="563">
        <v>46227</v>
      </c>
      <c r="K45" s="7">
        <v>225000</v>
      </c>
      <c r="L45" s="10">
        <f t="shared" si="5"/>
        <v>30000000</v>
      </c>
      <c r="M45" s="2"/>
      <c r="N45" s="3"/>
    </row>
    <row r="46" spans="1:14" x14ac:dyDescent="0.35">
      <c r="A46" s="2"/>
      <c r="B46" s="2"/>
      <c r="C46" s="2"/>
      <c r="D46" s="2"/>
      <c r="E46" s="205"/>
      <c r="F46" s="691"/>
      <c r="G46" s="205"/>
      <c r="H46" s="494"/>
      <c r="I46" s="564"/>
      <c r="J46" s="563"/>
      <c r="K46" s="7"/>
      <c r="L46" s="10"/>
      <c r="M46" s="2"/>
      <c r="N46" s="3"/>
    </row>
    <row r="47" spans="1:14" x14ac:dyDescent="0.35">
      <c r="A47" s="2"/>
      <c r="B47" s="2"/>
      <c r="C47" s="2"/>
      <c r="D47" s="2"/>
      <c r="E47" s="205"/>
      <c r="G47" s="205"/>
      <c r="H47" s="2"/>
      <c r="I47" s="484"/>
      <c r="J47" s="561"/>
      <c r="K47" s="3"/>
      <c r="L47" s="10"/>
      <c r="M47" s="2"/>
      <c r="N47" s="3"/>
    </row>
    <row r="48" spans="1:14" x14ac:dyDescent="0.35">
      <c r="A48" s="2">
        <v>10</v>
      </c>
      <c r="B48" s="2" t="s">
        <v>513</v>
      </c>
      <c r="C48" s="2" t="s">
        <v>288</v>
      </c>
      <c r="D48" s="2" t="s">
        <v>289</v>
      </c>
      <c r="E48" s="205">
        <v>15000000</v>
      </c>
      <c r="F48" s="344">
        <f>E48*1.5%</f>
        <v>225000</v>
      </c>
      <c r="G48" s="205">
        <f t="shared" si="4"/>
        <v>15225000</v>
      </c>
      <c r="H48" s="2" t="s">
        <v>514</v>
      </c>
      <c r="I48" s="484"/>
      <c r="J48" s="561" t="s">
        <v>633</v>
      </c>
      <c r="K48" s="3">
        <v>5000000</v>
      </c>
      <c r="L48" s="10">
        <f t="shared" ref="L48:L62" si="6">G48-K48</f>
        <v>10225000</v>
      </c>
      <c r="M48" s="2"/>
      <c r="N48" s="3"/>
    </row>
    <row r="49" spans="1:14" x14ac:dyDescent="0.35">
      <c r="A49" s="2"/>
      <c r="B49" s="2"/>
      <c r="C49" s="2"/>
      <c r="D49" s="2"/>
      <c r="E49" s="205"/>
      <c r="F49" s="178">
        <f>L48*1.5%</f>
        <v>153375</v>
      </c>
      <c r="G49" s="205">
        <f>L48+F49</f>
        <v>10378375</v>
      </c>
      <c r="H49" s="2" t="s">
        <v>761</v>
      </c>
      <c r="I49" s="484"/>
      <c r="J49" s="561"/>
      <c r="K49" s="3"/>
      <c r="L49" s="10">
        <f t="shared" si="6"/>
        <v>10378375</v>
      </c>
      <c r="M49" s="2"/>
      <c r="N49" s="3"/>
    </row>
    <row r="50" spans="1:14" x14ac:dyDescent="0.35">
      <c r="A50" s="2"/>
      <c r="B50" s="2"/>
      <c r="C50" s="2"/>
      <c r="D50" s="2"/>
      <c r="E50" s="178"/>
      <c r="F50" s="178"/>
      <c r="G50" s="178"/>
      <c r="H50" s="2"/>
      <c r="I50" s="484"/>
      <c r="J50" s="561"/>
      <c r="K50" s="7"/>
      <c r="L50" s="11"/>
      <c r="M50" s="2"/>
      <c r="N50" s="7"/>
    </row>
    <row r="51" spans="1:14" x14ac:dyDescent="0.35">
      <c r="A51" s="2"/>
      <c r="B51" s="2" t="s">
        <v>759</v>
      </c>
      <c r="C51" s="2" t="s">
        <v>288</v>
      </c>
      <c r="D51" s="2" t="s">
        <v>760</v>
      </c>
      <c r="E51" s="205">
        <v>1500000</v>
      </c>
      <c r="F51" s="344">
        <f>E51*3%</f>
        <v>45000</v>
      </c>
      <c r="G51" s="205">
        <f>E51+F51+G49</f>
        <v>11923375</v>
      </c>
      <c r="H51" s="2" t="s">
        <v>761</v>
      </c>
      <c r="I51" s="484"/>
      <c r="J51" s="561" t="s">
        <v>903</v>
      </c>
      <c r="K51" s="3">
        <v>200000</v>
      </c>
      <c r="L51" s="10">
        <f t="shared" si="6"/>
        <v>11723375</v>
      </c>
      <c r="M51" s="2"/>
      <c r="N51" s="3"/>
    </row>
    <row r="52" spans="1:14" x14ac:dyDescent="0.35">
      <c r="A52" s="2"/>
      <c r="B52" s="2"/>
      <c r="C52" s="2"/>
      <c r="D52" s="2"/>
      <c r="E52" s="205"/>
      <c r="F52" s="205">
        <f>L51*1.5%</f>
        <v>175850.625</v>
      </c>
      <c r="G52" s="205">
        <f>L51+F52</f>
        <v>11899225.625</v>
      </c>
      <c r="H52" s="2" t="s">
        <v>904</v>
      </c>
      <c r="I52" s="484"/>
      <c r="J52" s="561"/>
      <c r="K52" s="3"/>
      <c r="L52" s="10"/>
      <c r="M52" s="2"/>
      <c r="N52" s="3"/>
    </row>
    <row r="53" spans="1:14" x14ac:dyDescent="0.35">
      <c r="A53" s="2"/>
      <c r="B53" s="2"/>
      <c r="C53" s="2"/>
      <c r="D53" s="2"/>
      <c r="E53" s="205"/>
      <c r="F53" s="205"/>
      <c r="G53" s="205"/>
      <c r="H53" s="2"/>
      <c r="I53" s="484"/>
      <c r="J53" s="561"/>
      <c r="K53" s="3"/>
      <c r="L53" s="10">
        <f t="shared" si="6"/>
        <v>0</v>
      </c>
      <c r="M53" s="2"/>
      <c r="N53" s="3"/>
    </row>
    <row r="54" spans="1:14" s="7" customFormat="1" x14ac:dyDescent="0.35">
      <c r="A54" s="7">
        <v>11</v>
      </c>
      <c r="B54" s="7" t="s">
        <v>531</v>
      </c>
      <c r="C54" s="7" t="s">
        <v>532</v>
      </c>
      <c r="D54" s="7" t="s">
        <v>28</v>
      </c>
      <c r="E54" s="7">
        <v>30000000</v>
      </c>
      <c r="F54" s="415">
        <f>E54*1.5%</f>
        <v>450000</v>
      </c>
      <c r="G54" s="7">
        <f t="shared" ref="G54" si="7">E54+F54</f>
        <v>30450000</v>
      </c>
      <c r="H54" s="7" t="s">
        <v>531</v>
      </c>
      <c r="I54" s="556" t="s">
        <v>781</v>
      </c>
      <c r="J54" s="556" t="s">
        <v>680</v>
      </c>
      <c r="K54" s="7">
        <v>2450000</v>
      </c>
      <c r="L54" s="7">
        <f t="shared" si="6"/>
        <v>28000000</v>
      </c>
      <c r="M54" s="7" t="s">
        <v>561</v>
      </c>
    </row>
    <row r="55" spans="1:14" s="213" customFormat="1" x14ac:dyDescent="0.35">
      <c r="A55" s="7"/>
      <c r="B55" s="7"/>
      <c r="C55" s="7"/>
      <c r="D55" s="7"/>
      <c r="E55" s="7"/>
      <c r="F55" s="377">
        <f>L54*1.5%</f>
        <v>420000</v>
      </c>
      <c r="G55" s="7">
        <f>L54+F55</f>
        <v>28420000</v>
      </c>
      <c r="H55" s="7"/>
      <c r="I55" s="556"/>
      <c r="J55" s="565"/>
      <c r="K55" s="7"/>
      <c r="L55" s="7">
        <f t="shared" si="6"/>
        <v>28420000</v>
      </c>
      <c r="M55" s="7"/>
      <c r="N55" s="7"/>
    </row>
    <row r="56" spans="1:14" s="213" customFormat="1" ht="29" x14ac:dyDescent="0.35">
      <c r="A56" s="7"/>
      <c r="B56" s="7"/>
      <c r="C56" s="7"/>
      <c r="D56" s="493" t="s">
        <v>782</v>
      </c>
      <c r="E56" s="7">
        <v>15000000</v>
      </c>
      <c r="F56" s="377">
        <f>E56*1.5%</f>
        <v>225000</v>
      </c>
      <c r="G56" s="7">
        <f>E56+F56+G55</f>
        <v>43645000</v>
      </c>
      <c r="H56" s="7" t="s">
        <v>737</v>
      </c>
      <c r="I56" s="556" t="s">
        <v>781</v>
      </c>
      <c r="J56" s="565" t="s">
        <v>759</v>
      </c>
      <c r="K56" s="7">
        <v>4645000</v>
      </c>
      <c r="L56" s="7">
        <f t="shared" si="6"/>
        <v>39000000</v>
      </c>
      <c r="M56" s="7" t="s">
        <v>561</v>
      </c>
      <c r="N56" s="7"/>
    </row>
    <row r="57" spans="1:14" s="213" customFormat="1" x14ac:dyDescent="0.35">
      <c r="A57" s="7"/>
      <c r="B57" s="7"/>
      <c r="C57" s="7"/>
      <c r="D57" s="493"/>
      <c r="E57" s="7"/>
      <c r="F57" s="422">
        <f>L56*1.5%</f>
        <v>585000</v>
      </c>
      <c r="G57" s="7">
        <f>L56+F57</f>
        <v>39585000</v>
      </c>
      <c r="H57" s="7" t="s">
        <v>900</v>
      </c>
      <c r="I57" s="556"/>
      <c r="J57" s="565" t="s">
        <v>1309</v>
      </c>
      <c r="K57" s="7">
        <v>6585000</v>
      </c>
      <c r="L57" s="7">
        <f>G57-K57</f>
        <v>33000000</v>
      </c>
      <c r="M57" s="7"/>
      <c r="N57" s="7"/>
    </row>
    <row r="58" spans="1:14" s="213" customFormat="1" x14ac:dyDescent="0.35">
      <c r="A58" s="7"/>
      <c r="B58" s="7"/>
      <c r="C58" s="7"/>
      <c r="D58" s="493"/>
      <c r="E58" s="7"/>
      <c r="F58" s="7"/>
      <c r="G58" s="7"/>
      <c r="H58" s="7"/>
      <c r="I58" s="556"/>
      <c r="J58" s="565"/>
      <c r="K58" s="7"/>
      <c r="L58" s="7"/>
      <c r="M58" s="7"/>
      <c r="N58" s="7"/>
    </row>
    <row r="59" spans="1:14" s="213" customFormat="1" x14ac:dyDescent="0.35">
      <c r="A59" s="7"/>
      <c r="B59" s="7"/>
      <c r="C59" s="7"/>
      <c r="D59" s="7"/>
      <c r="E59" s="7"/>
      <c r="F59" s="7"/>
      <c r="G59" s="7"/>
      <c r="H59" s="7"/>
      <c r="I59" s="556"/>
      <c r="J59" s="565"/>
      <c r="K59" s="7"/>
      <c r="L59" s="7"/>
      <c r="M59" s="7"/>
      <c r="N59" s="7"/>
    </row>
    <row r="60" spans="1:14" x14ac:dyDescent="0.35">
      <c r="A60" s="2">
        <v>12</v>
      </c>
      <c r="B60" s="2" t="s">
        <v>485</v>
      </c>
      <c r="C60" s="2" t="s">
        <v>246</v>
      </c>
      <c r="D60" s="2" t="s">
        <v>82</v>
      </c>
      <c r="E60" s="205">
        <v>3000000</v>
      </c>
      <c r="F60" s="377">
        <f>E60*3%</f>
        <v>90000</v>
      </c>
      <c r="G60" s="205">
        <f t="shared" ref="G60" si="8">E60+F60</f>
        <v>3090000</v>
      </c>
      <c r="H60" s="2" t="s">
        <v>564</v>
      </c>
      <c r="I60" s="484" t="s">
        <v>562</v>
      </c>
      <c r="J60" s="561" t="s">
        <v>649</v>
      </c>
      <c r="K60" s="7">
        <v>560000</v>
      </c>
      <c r="L60" s="11">
        <f t="shared" si="6"/>
        <v>2530000</v>
      </c>
      <c r="M60" s="2" t="s">
        <v>86</v>
      </c>
      <c r="N60" s="3"/>
    </row>
    <row r="61" spans="1:14" x14ac:dyDescent="0.35">
      <c r="A61" s="2"/>
      <c r="B61" s="2"/>
      <c r="C61" s="2"/>
      <c r="D61" s="2"/>
      <c r="E61" s="205"/>
      <c r="F61" s="377">
        <f>L60*3%</f>
        <v>75900</v>
      </c>
      <c r="G61" s="178">
        <f>E61+F61+L60</f>
        <v>2605900</v>
      </c>
      <c r="H61" s="2" t="s">
        <v>501</v>
      </c>
      <c r="I61" s="484"/>
      <c r="J61" s="561" t="s">
        <v>500</v>
      </c>
      <c r="K61" s="3">
        <v>560000</v>
      </c>
      <c r="L61" s="10">
        <f t="shared" si="6"/>
        <v>2045900</v>
      </c>
      <c r="M61" s="2"/>
      <c r="N61" s="3"/>
    </row>
    <row r="62" spans="1:14" x14ac:dyDescent="0.35">
      <c r="A62" s="2"/>
      <c r="B62" s="2"/>
      <c r="C62" s="2"/>
      <c r="D62" s="2"/>
      <c r="E62" s="205"/>
      <c r="F62" s="701">
        <f>L61*3%</f>
        <v>61377</v>
      </c>
      <c r="G62" s="178">
        <f>L61+F62</f>
        <v>2107277</v>
      </c>
      <c r="H62" s="2" t="s">
        <v>899</v>
      </c>
      <c r="I62" s="484"/>
      <c r="J62" s="561" t="s">
        <v>1331</v>
      </c>
      <c r="K62" s="3">
        <f>540000+20000</f>
        <v>560000</v>
      </c>
      <c r="L62" s="10">
        <f t="shared" si="6"/>
        <v>1547277</v>
      </c>
      <c r="M62" s="2"/>
      <c r="N62" s="3"/>
    </row>
    <row r="63" spans="1:14" x14ac:dyDescent="0.35">
      <c r="A63" s="2"/>
      <c r="B63" s="2"/>
      <c r="C63" s="2"/>
      <c r="D63" s="2"/>
      <c r="E63" s="205"/>
      <c r="F63" s="178">
        <f>L62*3%</f>
        <v>46418.31</v>
      </c>
      <c r="G63" s="178"/>
      <c r="H63" s="2"/>
      <c r="I63" s="484"/>
      <c r="J63" s="561"/>
      <c r="K63" s="3"/>
      <c r="L63" s="10"/>
      <c r="M63" s="2"/>
      <c r="N63" s="3"/>
    </row>
    <row r="64" spans="1:14" x14ac:dyDescent="0.35">
      <c r="A64" s="2"/>
      <c r="B64" s="2"/>
      <c r="C64" s="2"/>
      <c r="D64" s="2"/>
      <c r="E64" s="205"/>
      <c r="F64" s="205"/>
      <c r="G64" s="205"/>
      <c r="H64" s="2"/>
      <c r="I64" s="484"/>
      <c r="J64" s="561"/>
      <c r="K64" s="3"/>
      <c r="L64" s="10"/>
      <c r="M64" s="2"/>
      <c r="N64" s="3"/>
    </row>
    <row r="65" spans="1:14" x14ac:dyDescent="0.35">
      <c r="A65" s="500">
        <v>13</v>
      </c>
      <c r="B65" s="500" t="s">
        <v>603</v>
      </c>
      <c r="C65" s="501" t="s">
        <v>277</v>
      </c>
      <c r="D65" s="499" t="s">
        <v>58</v>
      </c>
      <c r="E65" s="498">
        <v>5000000</v>
      </c>
      <c r="F65" s="499">
        <f>E65*2%</f>
        <v>100000</v>
      </c>
      <c r="G65" s="498">
        <f t="shared" ref="G65" si="9">E65+F65</f>
        <v>5100000</v>
      </c>
      <c r="H65" s="500" t="s">
        <v>604</v>
      </c>
      <c r="I65" s="566" t="s">
        <v>615</v>
      </c>
      <c r="J65" s="567" t="s">
        <v>687</v>
      </c>
      <c r="K65" s="499">
        <v>3000000</v>
      </c>
      <c r="L65" s="10">
        <f t="shared" ref="L65:L70" si="10">G65-K65</f>
        <v>2100000</v>
      </c>
      <c r="M65" s="2" t="s">
        <v>28</v>
      </c>
      <c r="N65" s="3"/>
    </row>
    <row r="66" spans="1:14" x14ac:dyDescent="0.35">
      <c r="A66" s="500"/>
      <c r="B66" s="500"/>
      <c r="C66" s="501"/>
      <c r="D66" s="499"/>
      <c r="E66" s="498"/>
      <c r="F66" s="498">
        <f>L65*2%</f>
        <v>42000</v>
      </c>
      <c r="G66" s="498">
        <f>F66+L65</f>
        <v>2142000</v>
      </c>
      <c r="H66" s="500"/>
      <c r="I66" s="566"/>
      <c r="J66" s="567" t="s">
        <v>741</v>
      </c>
      <c r="K66" s="499">
        <v>1000000</v>
      </c>
      <c r="L66" s="10">
        <f t="shared" si="10"/>
        <v>1142000</v>
      </c>
      <c r="M66" s="2"/>
      <c r="N66" s="3"/>
    </row>
    <row r="67" spans="1:14" x14ac:dyDescent="0.35">
      <c r="A67" s="500"/>
      <c r="B67" s="500"/>
      <c r="C67" s="502"/>
      <c r="D67" s="499"/>
      <c r="E67" s="498"/>
      <c r="F67" s="498"/>
      <c r="G67" s="498">
        <f>L66</f>
        <v>1142000</v>
      </c>
      <c r="H67" s="500"/>
      <c r="I67" s="566"/>
      <c r="J67" s="568" t="s">
        <v>862</v>
      </c>
      <c r="K67" s="499">
        <v>1142000</v>
      </c>
      <c r="L67" s="10">
        <f t="shared" si="10"/>
        <v>0</v>
      </c>
      <c r="M67" s="2"/>
      <c r="N67" s="3"/>
    </row>
    <row r="68" spans="1:14" x14ac:dyDescent="0.35">
      <c r="A68" s="2"/>
      <c r="B68" s="2"/>
      <c r="C68" s="210"/>
      <c r="D68" s="7"/>
      <c r="E68" s="205"/>
      <c r="F68" s="205"/>
      <c r="G68" s="205"/>
      <c r="H68" s="2"/>
      <c r="I68" s="484"/>
      <c r="J68" s="563"/>
      <c r="K68" s="3"/>
      <c r="L68" s="10"/>
      <c r="M68" s="2"/>
      <c r="N68" s="3"/>
    </row>
    <row r="69" spans="1:14" x14ac:dyDescent="0.35">
      <c r="A69" s="2">
        <v>14</v>
      </c>
      <c r="B69" s="2" t="s">
        <v>613</v>
      </c>
      <c r="C69" s="2" t="s">
        <v>263</v>
      </c>
      <c r="D69" s="7" t="s">
        <v>87</v>
      </c>
      <c r="E69" s="205">
        <v>9000000</v>
      </c>
      <c r="F69" s="344">
        <f>E69*2%</f>
        <v>180000</v>
      </c>
      <c r="G69" s="205">
        <f t="shared" ref="G69" si="11">E69+F69</f>
        <v>9180000</v>
      </c>
      <c r="H69" s="2" t="s">
        <v>614</v>
      </c>
      <c r="I69" s="484" t="s">
        <v>616</v>
      </c>
      <c r="J69" s="561"/>
      <c r="K69" s="3"/>
      <c r="L69" s="10">
        <f t="shared" si="10"/>
        <v>9180000</v>
      </c>
      <c r="M69" s="2" t="s">
        <v>60</v>
      </c>
      <c r="N69" s="3"/>
    </row>
    <row r="70" spans="1:14" x14ac:dyDescent="0.35">
      <c r="A70" s="2"/>
      <c r="B70" s="2"/>
      <c r="C70" s="2"/>
      <c r="D70" s="7"/>
      <c r="E70" s="205"/>
      <c r="F70" s="344">
        <f>G69*2%</f>
        <v>183600</v>
      </c>
      <c r="G70" s="205">
        <f>G69+F70</f>
        <v>9363600</v>
      </c>
      <c r="H70" s="2" t="s">
        <v>861</v>
      </c>
      <c r="I70" s="484"/>
      <c r="J70" s="561" t="s">
        <v>501</v>
      </c>
      <c r="K70" s="3">
        <v>363600</v>
      </c>
      <c r="L70" s="10">
        <f t="shared" si="10"/>
        <v>9000000</v>
      </c>
      <c r="M70" s="2"/>
      <c r="N70" s="3"/>
    </row>
    <row r="71" spans="1:14" x14ac:dyDescent="0.35">
      <c r="A71" s="2"/>
      <c r="B71" s="2"/>
      <c r="C71" s="2"/>
      <c r="D71" s="7"/>
      <c r="E71" s="178"/>
      <c r="F71" s="178">
        <f>L70*2%</f>
        <v>180000</v>
      </c>
      <c r="G71" s="178">
        <f>F71+L70</f>
        <v>9180000</v>
      </c>
      <c r="H71" s="2" t="s">
        <v>1271</v>
      </c>
      <c r="I71" s="484"/>
      <c r="J71" s="561"/>
      <c r="K71" s="7"/>
      <c r="L71" s="11"/>
      <c r="M71" s="2"/>
      <c r="N71" s="7"/>
    </row>
    <row r="72" spans="1:14" x14ac:dyDescent="0.35">
      <c r="A72" s="2"/>
      <c r="B72" s="2"/>
      <c r="C72" s="2"/>
      <c r="D72" s="7"/>
      <c r="E72" s="205"/>
      <c r="F72" s="205"/>
      <c r="G72" s="205"/>
      <c r="H72" s="2"/>
      <c r="I72" s="484"/>
      <c r="J72" s="561"/>
      <c r="K72" s="3"/>
      <c r="L72" s="10"/>
      <c r="M72" s="2"/>
      <c r="N72" s="3"/>
    </row>
    <row r="73" spans="1:14" x14ac:dyDescent="0.35">
      <c r="A73" s="2">
        <v>15</v>
      </c>
      <c r="B73" s="2" t="s">
        <v>668</v>
      </c>
      <c r="C73" s="2" t="s">
        <v>247</v>
      </c>
      <c r="D73" s="7" t="s">
        <v>667</v>
      </c>
      <c r="E73" s="205">
        <v>30000000</v>
      </c>
      <c r="F73" s="344">
        <f>E73*1.5%</f>
        <v>450000</v>
      </c>
      <c r="G73" s="205">
        <f t="shared" ref="G73" si="12">E73+F73</f>
        <v>30450000</v>
      </c>
      <c r="H73" s="2" t="s">
        <v>438</v>
      </c>
      <c r="I73" s="484" t="s">
        <v>669</v>
      </c>
      <c r="J73" s="561" t="s">
        <v>903</v>
      </c>
      <c r="K73" s="3">
        <v>450000</v>
      </c>
      <c r="L73" s="10">
        <f t="shared" ref="L73:L74" si="13">G73-K73</f>
        <v>30000000</v>
      </c>
      <c r="M73" s="2" t="s">
        <v>670</v>
      </c>
      <c r="N73" s="3"/>
    </row>
    <row r="74" spans="1:14" x14ac:dyDescent="0.35">
      <c r="A74" s="2"/>
      <c r="B74" s="2"/>
      <c r="C74" s="2"/>
      <c r="D74" s="7"/>
      <c r="E74" s="205"/>
      <c r="F74" s="703">
        <f>L73*1.5%</f>
        <v>450000</v>
      </c>
      <c r="G74" s="205">
        <f>L73+F74</f>
        <v>30450000</v>
      </c>
      <c r="H74" s="2" t="s">
        <v>1286</v>
      </c>
      <c r="I74" s="484"/>
      <c r="J74" s="561" t="s">
        <v>1286</v>
      </c>
      <c r="K74" s="3">
        <v>5450000</v>
      </c>
      <c r="L74" s="10">
        <f t="shared" si="13"/>
        <v>25000000</v>
      </c>
      <c r="M74" s="2"/>
      <c r="N74" s="3"/>
    </row>
    <row r="75" spans="1:14" x14ac:dyDescent="0.35">
      <c r="A75" s="2"/>
      <c r="B75" s="2"/>
      <c r="C75" s="2"/>
      <c r="D75" s="7"/>
      <c r="E75" s="205"/>
      <c r="F75" s="205">
        <f>L74*1.5%</f>
        <v>375000</v>
      </c>
      <c r="G75" s="205"/>
      <c r="H75" s="2"/>
      <c r="I75" s="484"/>
      <c r="J75" s="561"/>
      <c r="K75" s="3"/>
      <c r="L75" s="10"/>
      <c r="M75" s="2"/>
      <c r="N75" s="3"/>
    </row>
    <row r="76" spans="1:14" x14ac:dyDescent="0.35">
      <c r="A76" s="2"/>
      <c r="B76" s="2"/>
      <c r="C76" s="2"/>
      <c r="D76" s="7"/>
      <c r="E76" s="205"/>
      <c r="F76" s="205"/>
      <c r="G76" s="205"/>
      <c r="H76" s="2"/>
      <c r="I76" s="484"/>
      <c r="J76" s="561"/>
      <c r="K76" s="3"/>
      <c r="L76" s="10"/>
      <c r="M76" s="2"/>
      <c r="N76" s="3"/>
    </row>
    <row r="77" spans="1:14" x14ac:dyDescent="0.35">
      <c r="A77" s="2"/>
      <c r="B77" s="2"/>
      <c r="C77" s="2"/>
      <c r="D77" s="7"/>
      <c r="E77" s="205"/>
      <c r="F77" s="205"/>
      <c r="G77" s="205"/>
      <c r="H77" s="2"/>
      <c r="I77" s="484"/>
      <c r="J77" s="561"/>
      <c r="K77" s="3"/>
      <c r="L77" s="10"/>
      <c r="M77" s="2"/>
      <c r="N77" s="3"/>
    </row>
    <row r="78" spans="1:14" x14ac:dyDescent="0.35">
      <c r="A78" s="2">
        <v>16</v>
      </c>
      <c r="B78" s="2" t="s">
        <v>564</v>
      </c>
      <c r="C78" s="2" t="s">
        <v>297</v>
      </c>
      <c r="D78" s="7" t="s">
        <v>701</v>
      </c>
      <c r="E78" s="205">
        <v>8000000</v>
      </c>
      <c r="F78" s="344">
        <f>E78*2%</f>
        <v>160000</v>
      </c>
      <c r="G78" s="205">
        <f t="shared" ref="G78" si="14">E78+F78</f>
        <v>8160000</v>
      </c>
      <c r="H78" s="2" t="s">
        <v>702</v>
      </c>
      <c r="I78" s="484" t="s">
        <v>615</v>
      </c>
      <c r="J78" s="561" t="s">
        <v>438</v>
      </c>
      <c r="K78" s="3">
        <v>160000</v>
      </c>
      <c r="L78" s="10">
        <f t="shared" ref="L78" si="15">G78-K78</f>
        <v>8000000</v>
      </c>
      <c r="M78" s="2" t="s">
        <v>704</v>
      </c>
      <c r="N78" s="3"/>
    </row>
    <row r="79" spans="1:14" x14ac:dyDescent="0.35">
      <c r="A79" s="2"/>
      <c r="B79" s="2"/>
      <c r="C79" s="2"/>
      <c r="D79" s="7"/>
      <c r="E79" s="205"/>
      <c r="F79" s="205">
        <f>L78*2%</f>
        <v>160000</v>
      </c>
      <c r="G79" s="205">
        <f>L78+F79</f>
        <v>8160000</v>
      </c>
      <c r="H79" s="2" t="s">
        <v>615</v>
      </c>
      <c r="I79" s="484"/>
      <c r="J79" s="561"/>
      <c r="K79" s="3"/>
      <c r="L79" s="10"/>
      <c r="M79" s="2"/>
      <c r="N79" s="3"/>
    </row>
    <row r="80" spans="1:14" x14ac:dyDescent="0.35">
      <c r="A80" s="2"/>
      <c r="B80" s="2"/>
      <c r="C80" s="2"/>
      <c r="D80" s="7"/>
      <c r="E80" s="205"/>
      <c r="F80" s="205"/>
      <c r="G80" s="205"/>
      <c r="H80" s="2"/>
      <c r="I80" s="484"/>
      <c r="J80" s="561"/>
      <c r="K80" s="3"/>
      <c r="L80" s="10"/>
      <c r="M80" s="2"/>
      <c r="N80" s="3"/>
    </row>
    <row r="81" spans="1:14" x14ac:dyDescent="0.35">
      <c r="A81" s="2">
        <v>17</v>
      </c>
      <c r="B81" s="2" t="s">
        <v>533</v>
      </c>
      <c r="C81" s="2" t="s">
        <v>278</v>
      </c>
      <c r="D81" s="7" t="s">
        <v>54</v>
      </c>
      <c r="E81" s="205">
        <v>6000000</v>
      </c>
      <c r="F81" s="344">
        <f>E81*2%</f>
        <v>120000</v>
      </c>
      <c r="G81" s="205">
        <f t="shared" ref="G81" si="16">E81+F81</f>
        <v>6120000</v>
      </c>
      <c r="H81" s="2" t="s">
        <v>501</v>
      </c>
      <c r="I81" s="484" t="s">
        <v>754</v>
      </c>
      <c r="J81" s="561" t="s">
        <v>1010</v>
      </c>
      <c r="K81" s="3">
        <v>1072000</v>
      </c>
      <c r="L81" s="10">
        <f t="shared" ref="L81:L99" si="17">G81-K81</f>
        <v>5048000</v>
      </c>
      <c r="M81" s="2" t="s">
        <v>709</v>
      </c>
      <c r="N81" s="3"/>
    </row>
    <row r="82" spans="1:14" x14ac:dyDescent="0.35">
      <c r="A82" s="2"/>
      <c r="B82" s="2"/>
      <c r="C82" s="2"/>
      <c r="D82" s="7"/>
      <c r="E82" s="205"/>
      <c r="F82" s="703">
        <f>L81*2%</f>
        <v>100960</v>
      </c>
      <c r="G82" s="205">
        <f>F82+L81</f>
        <v>5148960</v>
      </c>
      <c r="H82" s="2" t="s">
        <v>1011</v>
      </c>
      <c r="I82" s="484"/>
      <c r="J82" s="561" t="s">
        <v>873</v>
      </c>
      <c r="K82" s="3">
        <v>1072000</v>
      </c>
      <c r="L82" s="10">
        <f t="shared" si="17"/>
        <v>4076960</v>
      </c>
      <c r="M82" s="2"/>
      <c r="N82" s="3"/>
    </row>
    <row r="83" spans="1:14" x14ac:dyDescent="0.35">
      <c r="A83" s="2"/>
      <c r="B83" s="2"/>
      <c r="C83" s="2"/>
      <c r="D83" s="7"/>
      <c r="E83" s="205"/>
      <c r="F83" s="205">
        <f>L82*2%</f>
        <v>81539.199999999997</v>
      </c>
      <c r="G83" s="205">
        <f>L82+F83</f>
        <v>4158499.2</v>
      </c>
      <c r="H83" s="2"/>
      <c r="I83" s="484"/>
      <c r="J83" s="561"/>
      <c r="K83" s="3"/>
      <c r="L83" s="10"/>
      <c r="M83" s="2"/>
      <c r="N83" s="3"/>
    </row>
    <row r="84" spans="1:14" x14ac:dyDescent="0.35">
      <c r="A84" s="2"/>
      <c r="B84" s="2"/>
      <c r="C84" s="2"/>
      <c r="D84" s="7"/>
      <c r="E84" s="205"/>
      <c r="F84" s="205"/>
      <c r="G84" s="205"/>
      <c r="H84" s="2"/>
      <c r="I84" s="484"/>
      <c r="J84" s="561"/>
      <c r="K84" s="3"/>
      <c r="L84" s="10">
        <f t="shared" si="17"/>
        <v>0</v>
      </c>
      <c r="M84" s="2"/>
      <c r="N84" s="3"/>
    </row>
    <row r="85" spans="1:14" x14ac:dyDescent="0.35">
      <c r="A85" s="2">
        <v>18</v>
      </c>
      <c r="B85" s="2" t="s">
        <v>746</v>
      </c>
      <c r="C85" s="2" t="s">
        <v>262</v>
      </c>
      <c r="D85" s="7" t="s">
        <v>753</v>
      </c>
      <c r="E85" s="205">
        <v>10000000</v>
      </c>
      <c r="F85" s="205">
        <f>E85*2%</f>
        <v>200000</v>
      </c>
      <c r="G85" s="205">
        <f t="shared" ref="G85:G86" si="18">E85+F85</f>
        <v>10200000</v>
      </c>
      <c r="H85" s="2" t="s">
        <v>755</v>
      </c>
      <c r="I85" s="484" t="s">
        <v>756</v>
      </c>
      <c r="J85" s="561"/>
      <c r="K85" s="3"/>
      <c r="L85" s="10">
        <f t="shared" si="17"/>
        <v>10200000</v>
      </c>
      <c r="M85" s="2" t="s">
        <v>709</v>
      </c>
      <c r="N85" s="3"/>
    </row>
    <row r="86" spans="1:14" x14ac:dyDescent="0.35">
      <c r="A86" s="2"/>
      <c r="B86" s="2"/>
      <c r="C86" s="2"/>
      <c r="D86" s="7"/>
      <c r="E86" s="205"/>
      <c r="F86" s="205">
        <f>G85*2%</f>
        <v>204000</v>
      </c>
      <c r="G86" s="205">
        <f t="shared" si="18"/>
        <v>204000</v>
      </c>
      <c r="H86" s="2"/>
      <c r="I86" s="484"/>
      <c r="J86" s="561"/>
      <c r="K86" s="3"/>
      <c r="L86" s="10">
        <f t="shared" si="17"/>
        <v>204000</v>
      </c>
      <c r="M86" s="2"/>
      <c r="N86" s="3"/>
    </row>
    <row r="87" spans="1:14" x14ac:dyDescent="0.35">
      <c r="A87" s="2"/>
      <c r="B87" s="2"/>
      <c r="C87" s="2"/>
      <c r="D87" s="7"/>
      <c r="E87" s="205"/>
      <c r="F87" s="205"/>
      <c r="G87" s="205"/>
      <c r="H87" s="2"/>
      <c r="I87" s="484"/>
      <c r="J87" s="561"/>
      <c r="K87" s="3"/>
      <c r="L87" s="10"/>
      <c r="M87" s="2"/>
      <c r="N87" s="3"/>
    </row>
    <row r="88" spans="1:14" x14ac:dyDescent="0.35">
      <c r="A88" s="2"/>
      <c r="B88" s="2"/>
      <c r="C88" s="2"/>
      <c r="D88" s="7"/>
      <c r="E88" s="205"/>
      <c r="F88" s="205"/>
      <c r="G88" s="205"/>
      <c r="H88" s="2"/>
      <c r="I88" s="484"/>
      <c r="J88" s="561"/>
      <c r="K88" s="3"/>
      <c r="L88" s="10">
        <f t="shared" si="17"/>
        <v>0</v>
      </c>
      <c r="M88" s="2"/>
      <c r="N88" s="3"/>
    </row>
    <row r="89" spans="1:14" x14ac:dyDescent="0.35">
      <c r="A89" s="2">
        <v>19</v>
      </c>
      <c r="B89" s="2" t="s">
        <v>862</v>
      </c>
      <c r="C89" s="2" t="s">
        <v>277</v>
      </c>
      <c r="D89" s="7" t="s">
        <v>58</v>
      </c>
      <c r="E89" s="205">
        <v>15000000</v>
      </c>
      <c r="F89" s="700">
        <f>E89*1.5%</f>
        <v>225000</v>
      </c>
      <c r="G89" s="205">
        <f t="shared" ref="G89" si="19">E89+F89</f>
        <v>15225000</v>
      </c>
      <c r="H89" s="2" t="s">
        <v>863</v>
      </c>
      <c r="I89" s="484" t="s">
        <v>864</v>
      </c>
      <c r="J89" s="561" t="s">
        <v>1306</v>
      </c>
      <c r="K89" s="3">
        <v>225000</v>
      </c>
      <c r="L89" s="10">
        <f t="shared" si="17"/>
        <v>15000000</v>
      </c>
      <c r="M89" s="2" t="s">
        <v>28</v>
      </c>
      <c r="N89" s="3"/>
    </row>
    <row r="90" spans="1:14" x14ac:dyDescent="0.35">
      <c r="A90" s="2"/>
      <c r="B90" s="2"/>
      <c r="C90" s="2"/>
      <c r="D90" s="7"/>
      <c r="E90" s="205"/>
      <c r="F90" s="205"/>
      <c r="G90" s="205"/>
      <c r="H90" s="2"/>
      <c r="I90" s="484"/>
      <c r="J90" s="561"/>
      <c r="K90" s="3"/>
      <c r="L90" s="10">
        <f t="shared" si="17"/>
        <v>0</v>
      </c>
      <c r="M90" s="2"/>
      <c r="N90" s="3"/>
    </row>
    <row r="91" spans="1:14" x14ac:dyDescent="0.35">
      <c r="A91" s="2"/>
      <c r="B91" s="2"/>
      <c r="C91" s="2"/>
      <c r="D91" s="7"/>
      <c r="E91" s="205"/>
      <c r="F91" s="205"/>
      <c r="G91" s="205"/>
      <c r="H91" s="2"/>
      <c r="I91" s="484"/>
      <c r="J91" s="561"/>
      <c r="K91" s="3"/>
      <c r="L91" s="10">
        <f t="shared" si="17"/>
        <v>0</v>
      </c>
      <c r="M91" s="2"/>
      <c r="N91" s="3"/>
    </row>
    <row r="92" spans="1:14" x14ac:dyDescent="0.35">
      <c r="A92" s="2">
        <v>20</v>
      </c>
      <c r="B92" s="2" t="s">
        <v>903</v>
      </c>
      <c r="C92" s="2" t="s">
        <v>607</v>
      </c>
      <c r="D92" s="7" t="s">
        <v>906</v>
      </c>
      <c r="E92" s="205">
        <v>30000000</v>
      </c>
      <c r="F92" s="700">
        <f>E92*1.5%</f>
        <v>450000</v>
      </c>
      <c r="G92" s="205">
        <f t="shared" ref="G92" si="20">E92+F92</f>
        <v>30450000</v>
      </c>
      <c r="H92" s="494" t="s">
        <v>907</v>
      </c>
      <c r="I92" s="484" t="s">
        <v>908</v>
      </c>
      <c r="J92" s="561" t="s">
        <v>873</v>
      </c>
      <c r="K92" s="3">
        <f>2900000-150000</f>
        <v>2750000</v>
      </c>
      <c r="L92" s="10">
        <f t="shared" si="17"/>
        <v>27700000</v>
      </c>
      <c r="M92" s="2" t="s">
        <v>28</v>
      </c>
      <c r="N92" s="3"/>
    </row>
    <row r="93" spans="1:14" x14ac:dyDescent="0.35">
      <c r="A93" s="2"/>
      <c r="B93" s="2" t="s">
        <v>1335</v>
      </c>
      <c r="C93" s="2"/>
      <c r="D93" s="7" t="s">
        <v>1336</v>
      </c>
      <c r="E93" s="205">
        <v>15000000</v>
      </c>
      <c r="F93" s="7">
        <f>E93*1.5%</f>
        <v>225000</v>
      </c>
      <c r="G93" s="205">
        <f>E93+F93+L92</f>
        <v>42925000</v>
      </c>
      <c r="H93" s="494" t="s">
        <v>1337</v>
      </c>
      <c r="I93" s="484"/>
      <c r="J93" s="561"/>
      <c r="K93" s="3"/>
      <c r="L93" s="10">
        <f>G93-K93</f>
        <v>42925000</v>
      </c>
      <c r="M93" s="2"/>
      <c r="N93" s="3"/>
    </row>
    <row r="94" spans="1:14" x14ac:dyDescent="0.35">
      <c r="A94" s="2"/>
      <c r="M94" s="2"/>
      <c r="N94" s="3"/>
    </row>
    <row r="95" spans="1:14" x14ac:dyDescent="0.35">
      <c r="A95" s="2"/>
      <c r="B95" s="2"/>
      <c r="C95" s="2"/>
      <c r="D95" s="7"/>
      <c r="E95" s="205"/>
      <c r="F95" s="7"/>
      <c r="G95" s="205"/>
      <c r="H95" s="494"/>
      <c r="I95" s="484"/>
      <c r="J95" s="561"/>
      <c r="K95" s="3"/>
      <c r="L95" s="10">
        <f t="shared" si="17"/>
        <v>0</v>
      </c>
      <c r="M95" s="2"/>
      <c r="N95" s="3"/>
    </row>
    <row r="96" spans="1:14" x14ac:dyDescent="0.35">
      <c r="A96" s="2">
        <v>21</v>
      </c>
      <c r="B96" s="2" t="s">
        <v>761</v>
      </c>
      <c r="C96" s="2" t="s">
        <v>942</v>
      </c>
      <c r="D96" s="7" t="s">
        <v>938</v>
      </c>
      <c r="E96" s="205">
        <v>3000000</v>
      </c>
      <c r="F96" s="7">
        <f>E96*3%</f>
        <v>90000</v>
      </c>
      <c r="G96" s="205">
        <f t="shared" ref="G96" si="21">E96+F96</f>
        <v>3090000</v>
      </c>
      <c r="H96" s="494" t="s">
        <v>939</v>
      </c>
      <c r="I96" s="484" t="s">
        <v>908</v>
      </c>
      <c r="J96" s="561"/>
      <c r="K96" s="3"/>
      <c r="L96" s="10">
        <f t="shared" si="17"/>
        <v>3090000</v>
      </c>
      <c r="M96" s="2" t="s">
        <v>66</v>
      </c>
      <c r="N96" s="3"/>
    </row>
    <row r="97" spans="1:14" x14ac:dyDescent="0.35">
      <c r="A97" s="2"/>
      <c r="C97" s="2"/>
      <c r="D97" s="7"/>
      <c r="E97" s="205"/>
      <c r="F97" s="7">
        <f>L96*3%</f>
        <v>92700</v>
      </c>
      <c r="G97" s="205">
        <f>F97+L96</f>
        <v>3182700</v>
      </c>
      <c r="H97" s="494" t="s">
        <v>1334</v>
      </c>
      <c r="I97" s="484"/>
      <c r="J97" s="561"/>
      <c r="K97" s="3"/>
      <c r="L97" s="10"/>
      <c r="M97" s="2"/>
      <c r="N97" s="3"/>
    </row>
    <row r="98" spans="1:14" x14ac:dyDescent="0.35">
      <c r="A98" s="2"/>
      <c r="B98" s="2"/>
      <c r="C98" s="2"/>
      <c r="D98" s="7"/>
      <c r="E98" s="205"/>
      <c r="F98" s="7"/>
      <c r="G98" s="205"/>
      <c r="H98" s="494"/>
      <c r="I98" s="484"/>
      <c r="J98" s="561"/>
      <c r="K98" s="3"/>
      <c r="L98" s="10">
        <f t="shared" si="17"/>
        <v>0</v>
      </c>
      <c r="M98" s="2"/>
      <c r="N98" s="3"/>
    </row>
    <row r="99" spans="1:14" x14ac:dyDescent="0.35">
      <c r="A99" s="2"/>
      <c r="B99" s="2"/>
      <c r="C99" s="2"/>
      <c r="D99" s="7"/>
      <c r="E99" s="205"/>
      <c r="F99" s="7"/>
      <c r="G99" s="205"/>
      <c r="H99" s="494"/>
      <c r="I99" s="484"/>
      <c r="J99" s="561"/>
      <c r="K99" s="3"/>
      <c r="L99" s="10">
        <f t="shared" si="17"/>
        <v>0</v>
      </c>
      <c r="M99" s="2"/>
      <c r="N99" s="3"/>
    </row>
    <row r="100" spans="1:14" x14ac:dyDescent="0.35">
      <c r="A100" s="2">
        <v>22</v>
      </c>
      <c r="B100" s="2" t="s">
        <v>761</v>
      </c>
      <c r="C100" s="2" t="s">
        <v>545</v>
      </c>
      <c r="D100" s="7" t="s">
        <v>940</v>
      </c>
      <c r="E100" s="205">
        <v>3000000</v>
      </c>
      <c r="F100" s="377">
        <f>E100*3%</f>
        <v>90000</v>
      </c>
      <c r="G100" s="205">
        <f>E100+F100</f>
        <v>3090000</v>
      </c>
      <c r="H100" s="494" t="s">
        <v>939</v>
      </c>
      <c r="I100" s="484" t="s">
        <v>908</v>
      </c>
      <c r="J100" s="561" t="s">
        <v>1037</v>
      </c>
      <c r="K100" s="3">
        <v>500000</v>
      </c>
      <c r="L100" s="10">
        <f t="shared" ref="L100:L101" si="22">G100-K100</f>
        <v>2590000</v>
      </c>
      <c r="M100" s="2" t="s">
        <v>941</v>
      </c>
      <c r="N100" s="3"/>
    </row>
    <row r="101" spans="1:14" x14ac:dyDescent="0.35">
      <c r="A101" s="2"/>
      <c r="B101" s="2"/>
      <c r="C101" s="2"/>
      <c r="D101" s="7"/>
      <c r="E101" s="205"/>
      <c r="F101" s="700">
        <f>L100*3%</f>
        <v>77700</v>
      </c>
      <c r="G101" s="205">
        <f>L100+F101</f>
        <v>2667700</v>
      </c>
      <c r="H101" s="494"/>
      <c r="I101" s="484"/>
      <c r="J101" s="561" t="s">
        <v>1308</v>
      </c>
      <c r="K101" s="3">
        <v>500000</v>
      </c>
      <c r="L101" s="10">
        <f t="shared" si="22"/>
        <v>2167700</v>
      </c>
      <c r="M101" s="2"/>
      <c r="N101" s="3"/>
    </row>
    <row r="102" spans="1:14" x14ac:dyDescent="0.35">
      <c r="A102" s="2"/>
      <c r="B102" s="2"/>
      <c r="C102" s="2"/>
      <c r="D102" s="7"/>
      <c r="E102" s="205"/>
      <c r="F102" s="7">
        <f>L101*3%</f>
        <v>65031</v>
      </c>
      <c r="G102" s="205">
        <f>L101+F102</f>
        <v>2232731</v>
      </c>
      <c r="H102" s="494"/>
      <c r="I102" s="484"/>
      <c r="J102" s="561"/>
      <c r="K102" s="3"/>
      <c r="L102" s="10"/>
      <c r="M102" s="2"/>
      <c r="N102" s="3"/>
    </row>
    <row r="103" spans="1:14" ht="24.5" x14ac:dyDescent="0.35">
      <c r="A103" s="2">
        <v>23</v>
      </c>
      <c r="B103" s="2" t="s">
        <v>438</v>
      </c>
      <c r="C103" s="2" t="s">
        <v>280</v>
      </c>
      <c r="D103" s="7" t="s">
        <v>1024</v>
      </c>
      <c r="E103" s="205">
        <v>30000000</v>
      </c>
      <c r="F103" s="700">
        <f>E103*1.5%</f>
        <v>450000</v>
      </c>
      <c r="G103" s="205">
        <f t="shared" ref="G103:G115" si="23">E103+F103</f>
        <v>30450000</v>
      </c>
      <c r="H103" s="494" t="s">
        <v>904</v>
      </c>
      <c r="I103" s="484" t="s">
        <v>1025</v>
      </c>
      <c r="J103" s="561" t="s">
        <v>1352</v>
      </c>
      <c r="K103" s="3">
        <v>450000</v>
      </c>
      <c r="L103" s="10">
        <f t="shared" ref="L103:L109" si="24">G103-K103</f>
        <v>30000000</v>
      </c>
      <c r="M103" s="596" t="s">
        <v>1044</v>
      </c>
      <c r="N103" s="3">
        <f>2500000+2000000+10500000+2000000+1500000+2500000</f>
        <v>21000000</v>
      </c>
    </row>
    <row r="104" spans="1:14" x14ac:dyDescent="0.35">
      <c r="A104" s="2"/>
      <c r="B104" s="2"/>
      <c r="C104" s="2"/>
      <c r="D104" s="7"/>
      <c r="E104" s="205"/>
      <c r="F104" s="7">
        <f>L103*1.5%</f>
        <v>450000</v>
      </c>
      <c r="G104" s="205">
        <f>L103+F104</f>
        <v>30450000</v>
      </c>
      <c r="H104" s="494"/>
      <c r="I104" s="484"/>
      <c r="J104" s="561"/>
      <c r="K104" s="3"/>
      <c r="L104" s="10"/>
      <c r="M104" s="596"/>
      <c r="N104" s="3"/>
    </row>
    <row r="105" spans="1:14" x14ac:dyDescent="0.35">
      <c r="A105" s="2"/>
      <c r="B105" s="2"/>
      <c r="C105" s="2"/>
      <c r="D105" s="7"/>
      <c r="E105" s="205"/>
      <c r="F105" s="7"/>
      <c r="G105" s="205"/>
      <c r="H105" s="494"/>
      <c r="I105" s="484"/>
      <c r="J105" s="561"/>
      <c r="K105" s="3"/>
      <c r="L105" s="10">
        <f t="shared" si="24"/>
        <v>0</v>
      </c>
      <c r="M105" s="2"/>
      <c r="N105" s="3"/>
    </row>
    <row r="106" spans="1:14" x14ac:dyDescent="0.35">
      <c r="A106" s="2">
        <v>24</v>
      </c>
      <c r="B106" s="2" t="s">
        <v>438</v>
      </c>
      <c r="C106" s="2" t="s">
        <v>235</v>
      </c>
      <c r="D106" s="7" t="s">
        <v>1026</v>
      </c>
      <c r="E106" s="205">
        <v>2000000</v>
      </c>
      <c r="F106" s="7">
        <f>E106*3%</f>
        <v>60000</v>
      </c>
      <c r="G106" s="205">
        <f t="shared" si="23"/>
        <v>2060000</v>
      </c>
      <c r="H106" s="494" t="s">
        <v>904</v>
      </c>
      <c r="I106" s="484" t="s">
        <v>1025</v>
      </c>
      <c r="J106" s="561"/>
      <c r="K106" s="3"/>
      <c r="L106" s="10">
        <f t="shared" si="24"/>
        <v>2060000</v>
      </c>
      <c r="M106" s="2" t="s">
        <v>636</v>
      </c>
      <c r="N106" s="3"/>
    </row>
    <row r="107" spans="1:14" x14ac:dyDescent="0.35">
      <c r="A107" s="2"/>
      <c r="B107" s="2"/>
      <c r="C107" s="2"/>
      <c r="D107" s="7"/>
      <c r="E107" s="205"/>
      <c r="F107" s="7">
        <f>L106*3%</f>
        <v>61800</v>
      </c>
      <c r="G107" s="205">
        <f>L106+F107</f>
        <v>2121800</v>
      </c>
      <c r="H107" s="494" t="s">
        <v>1333</v>
      </c>
      <c r="I107" s="484"/>
      <c r="J107" s="561"/>
      <c r="K107" s="3"/>
      <c r="L107" s="10">
        <f t="shared" si="24"/>
        <v>2121800</v>
      </c>
      <c r="M107" s="2"/>
      <c r="N107" s="3"/>
    </row>
    <row r="108" spans="1:14" x14ac:dyDescent="0.35">
      <c r="A108" s="2"/>
      <c r="B108" s="2"/>
      <c r="C108" s="2"/>
      <c r="D108" s="7"/>
      <c r="E108" s="205"/>
      <c r="F108" s="7"/>
      <c r="G108" s="205"/>
      <c r="H108" s="494"/>
      <c r="I108" s="484"/>
      <c r="J108" s="561"/>
      <c r="K108" s="3"/>
      <c r="L108" s="10">
        <f t="shared" si="24"/>
        <v>0</v>
      </c>
      <c r="M108" s="2"/>
      <c r="N108" s="3"/>
    </row>
    <row r="109" spans="1:14" x14ac:dyDescent="0.35">
      <c r="A109" s="2"/>
      <c r="B109" s="2"/>
      <c r="C109" s="2"/>
      <c r="D109" s="7"/>
      <c r="E109" s="205"/>
      <c r="F109" s="7"/>
      <c r="G109" s="205">
        <f t="shared" si="23"/>
        <v>0</v>
      </c>
      <c r="H109" s="494"/>
      <c r="I109" s="484"/>
      <c r="J109" s="561"/>
      <c r="K109" s="3"/>
      <c r="L109" s="10">
        <f t="shared" si="24"/>
        <v>0</v>
      </c>
      <c r="M109" s="2"/>
      <c r="N109" s="3"/>
    </row>
    <row r="110" spans="1:14" x14ac:dyDescent="0.35">
      <c r="A110" s="2">
        <v>25</v>
      </c>
      <c r="B110" s="2" t="s">
        <v>438</v>
      </c>
      <c r="C110" s="2" t="s">
        <v>272</v>
      </c>
      <c r="D110" s="7" t="s">
        <v>1027</v>
      </c>
      <c r="E110" s="205">
        <v>1000000</v>
      </c>
      <c r="F110" s="377">
        <f>E110*3%</f>
        <v>30000</v>
      </c>
      <c r="G110" s="205">
        <f t="shared" ref="G110" si="25">E110+F110</f>
        <v>1030000</v>
      </c>
      <c r="H110" s="494" t="s">
        <v>904</v>
      </c>
      <c r="I110" s="484" t="s">
        <v>1025</v>
      </c>
      <c r="J110" s="561" t="s">
        <v>1059</v>
      </c>
      <c r="K110" s="3">
        <v>1000000</v>
      </c>
      <c r="L110" s="10">
        <f t="shared" ref="L110:L124" si="26">G110-K110</f>
        <v>30000</v>
      </c>
      <c r="M110" s="2" t="s">
        <v>636</v>
      </c>
      <c r="N110" s="3"/>
    </row>
    <row r="111" spans="1:14" x14ac:dyDescent="0.35">
      <c r="A111" s="2"/>
      <c r="B111" s="2"/>
      <c r="C111" s="2"/>
      <c r="D111" s="7"/>
      <c r="E111" s="205"/>
      <c r="F111" s="7"/>
      <c r="G111" s="205">
        <f t="shared" si="23"/>
        <v>0</v>
      </c>
      <c r="H111" s="494"/>
      <c r="I111" s="484"/>
      <c r="J111" s="561"/>
      <c r="K111" s="3"/>
      <c r="L111" s="10">
        <f t="shared" si="26"/>
        <v>0</v>
      </c>
      <c r="M111" s="2"/>
      <c r="N111" s="3"/>
    </row>
    <row r="112" spans="1:14" x14ac:dyDescent="0.35">
      <c r="A112" s="2">
        <v>26</v>
      </c>
      <c r="B112" s="2" t="s">
        <v>438</v>
      </c>
      <c r="C112" s="2" t="s">
        <v>881</v>
      </c>
      <c r="D112" s="7" t="s">
        <v>1028</v>
      </c>
      <c r="E112" s="205">
        <v>1800000</v>
      </c>
      <c r="F112" s="702">
        <f>E112*3%</f>
        <v>54000</v>
      </c>
      <c r="G112" s="205">
        <f t="shared" si="23"/>
        <v>1854000</v>
      </c>
      <c r="H112" s="494" t="s">
        <v>904</v>
      </c>
      <c r="I112" s="484" t="s">
        <v>1025</v>
      </c>
      <c r="J112" s="561" t="s">
        <v>1286</v>
      </c>
      <c r="K112" s="3">
        <v>1100000</v>
      </c>
      <c r="L112" s="10">
        <f>G112-K112</f>
        <v>754000</v>
      </c>
      <c r="M112" s="2" t="s">
        <v>636</v>
      </c>
      <c r="N112" s="3"/>
    </row>
    <row r="113" spans="1:14" x14ac:dyDescent="0.35">
      <c r="A113" s="2"/>
      <c r="B113" s="2"/>
      <c r="C113" s="2"/>
      <c r="D113" s="7"/>
      <c r="E113" s="205"/>
      <c r="F113" s="7">
        <f>L112*3%</f>
        <v>22620</v>
      </c>
      <c r="G113" s="205">
        <f>L112+F113</f>
        <v>776620</v>
      </c>
      <c r="H113" s="494" t="s">
        <v>1333</v>
      </c>
      <c r="I113" s="484"/>
      <c r="L113" s="10"/>
      <c r="M113" s="2"/>
      <c r="N113" s="3"/>
    </row>
    <row r="114" spans="1:14" x14ac:dyDescent="0.35">
      <c r="A114" s="2"/>
      <c r="B114" s="2"/>
      <c r="C114" s="2"/>
      <c r="D114" s="7"/>
      <c r="E114" s="205"/>
      <c r="F114" s="7"/>
      <c r="G114" s="205"/>
      <c r="H114" s="494"/>
      <c r="I114" s="484"/>
      <c r="J114" s="561"/>
      <c r="K114" s="3"/>
      <c r="L114" s="10"/>
      <c r="M114" s="2"/>
      <c r="N114" s="3"/>
    </row>
    <row r="115" spans="1:14" x14ac:dyDescent="0.35">
      <c r="A115" s="2"/>
      <c r="B115" s="2"/>
      <c r="C115" s="2"/>
      <c r="D115" s="7"/>
      <c r="E115" s="205"/>
      <c r="F115" s="7"/>
      <c r="G115" s="205">
        <f t="shared" si="23"/>
        <v>0</v>
      </c>
      <c r="H115" s="494"/>
      <c r="I115" s="484"/>
      <c r="J115" s="561"/>
      <c r="K115" s="3"/>
      <c r="L115" s="10">
        <f t="shared" si="26"/>
        <v>0</v>
      </c>
      <c r="M115" s="2"/>
      <c r="N115" s="3"/>
    </row>
    <row r="116" spans="1:14" x14ac:dyDescent="0.35">
      <c r="A116" s="2">
        <v>27</v>
      </c>
      <c r="B116" s="2" t="s">
        <v>438</v>
      </c>
      <c r="C116" s="2" t="s">
        <v>237</v>
      </c>
      <c r="D116" s="7" t="s">
        <v>1029</v>
      </c>
      <c r="E116" s="205">
        <v>10000000</v>
      </c>
      <c r="F116" s="702">
        <f>E116*2%</f>
        <v>200000</v>
      </c>
      <c r="G116" s="205">
        <f t="shared" ref="G116" si="27">E116+F116</f>
        <v>10200000</v>
      </c>
      <c r="H116" s="494" t="s">
        <v>904</v>
      </c>
      <c r="I116" s="484" t="s">
        <v>1025</v>
      </c>
      <c r="J116" s="561" t="s">
        <v>1286</v>
      </c>
      <c r="K116" s="3">
        <v>1866667</v>
      </c>
      <c r="L116" s="10">
        <f t="shared" si="26"/>
        <v>8333333</v>
      </c>
      <c r="M116" s="2" t="s">
        <v>636</v>
      </c>
      <c r="N116" s="3"/>
    </row>
    <row r="117" spans="1:14" x14ac:dyDescent="0.35">
      <c r="A117" s="2"/>
      <c r="B117" s="2"/>
      <c r="C117" s="2"/>
      <c r="D117" s="7"/>
      <c r="E117" s="205"/>
      <c r="F117" s="7">
        <f>L116*2%</f>
        <v>166666.66</v>
      </c>
      <c r="G117" s="205">
        <f>L116+F117</f>
        <v>8499999.6600000001</v>
      </c>
      <c r="H117" s="494" t="s">
        <v>1333</v>
      </c>
      <c r="I117" s="484"/>
      <c r="J117" s="561"/>
      <c r="K117" s="3"/>
      <c r="L117" s="10"/>
      <c r="M117" s="2"/>
      <c r="N117" s="3"/>
    </row>
    <row r="118" spans="1:14" x14ac:dyDescent="0.35">
      <c r="A118" s="2"/>
      <c r="B118" s="2"/>
      <c r="C118" s="2"/>
      <c r="D118" s="7"/>
      <c r="E118" s="205"/>
      <c r="F118" s="7"/>
      <c r="G118" s="205"/>
      <c r="H118" s="494"/>
      <c r="I118" s="484"/>
      <c r="J118" s="561"/>
      <c r="K118" s="3"/>
      <c r="L118" s="10">
        <f t="shared" si="26"/>
        <v>0</v>
      </c>
      <c r="M118" s="2"/>
      <c r="N118" s="3"/>
    </row>
    <row r="119" spans="1:14" x14ac:dyDescent="0.35">
      <c r="A119" s="704">
        <v>28</v>
      </c>
      <c r="B119" s="704" t="s">
        <v>438</v>
      </c>
      <c r="C119" s="704" t="s">
        <v>913</v>
      </c>
      <c r="D119" s="415" t="s">
        <v>1035</v>
      </c>
      <c r="E119" s="428">
        <v>2600000</v>
      </c>
      <c r="F119" s="415">
        <f>E119*3%</f>
        <v>78000</v>
      </c>
      <c r="G119" s="428">
        <f t="shared" ref="G119" si="28">E119+F119</f>
        <v>2678000</v>
      </c>
      <c r="H119" s="705" t="s">
        <v>904</v>
      </c>
      <c r="I119" s="706" t="s">
        <v>1025</v>
      </c>
      <c r="J119" s="707" t="s">
        <v>939</v>
      </c>
      <c r="K119" s="415">
        <v>2678000</v>
      </c>
      <c r="L119" s="708">
        <f t="shared" si="26"/>
        <v>0</v>
      </c>
      <c r="M119" s="704" t="s">
        <v>636</v>
      </c>
      <c r="N119" s="415"/>
    </row>
    <row r="120" spans="1:14" x14ac:dyDescent="0.35">
      <c r="A120" s="2"/>
      <c r="B120" s="2"/>
      <c r="C120" s="2"/>
      <c r="D120" s="7"/>
      <c r="E120" s="205"/>
      <c r="F120" s="7"/>
      <c r="G120" s="205"/>
      <c r="H120" s="494"/>
      <c r="I120" s="484"/>
      <c r="J120" s="561"/>
      <c r="K120" s="3"/>
      <c r="L120" s="10"/>
      <c r="M120" s="2"/>
      <c r="N120" s="3"/>
    </row>
    <row r="121" spans="1:14" x14ac:dyDescent="0.35">
      <c r="A121" s="2"/>
      <c r="B121" s="2"/>
      <c r="C121" s="2"/>
      <c r="D121" s="7"/>
      <c r="E121" s="205"/>
      <c r="F121" s="7"/>
      <c r="G121" s="205"/>
      <c r="H121" s="494"/>
      <c r="I121" s="484"/>
      <c r="J121" s="561"/>
      <c r="K121" s="3"/>
      <c r="L121" s="10">
        <f t="shared" si="26"/>
        <v>0</v>
      </c>
      <c r="M121" s="2"/>
      <c r="N121" s="3"/>
    </row>
    <row r="122" spans="1:14" x14ac:dyDescent="0.35">
      <c r="A122" s="2">
        <v>29</v>
      </c>
      <c r="B122" s="2" t="s">
        <v>1037</v>
      </c>
      <c r="C122" s="2" t="s">
        <v>295</v>
      </c>
      <c r="D122" s="7" t="s">
        <v>47</v>
      </c>
      <c r="E122" s="205">
        <v>3500000</v>
      </c>
      <c r="F122" s="7">
        <f>E122*3%</f>
        <v>105000</v>
      </c>
      <c r="G122" s="205">
        <f t="shared" ref="G122" si="29">E122+F122</f>
        <v>3605000</v>
      </c>
      <c r="H122" s="494" t="s">
        <v>1038</v>
      </c>
      <c r="I122" s="484" t="s">
        <v>1039</v>
      </c>
      <c r="J122" s="561"/>
      <c r="K122" s="3"/>
      <c r="L122" s="10">
        <f t="shared" si="26"/>
        <v>3605000</v>
      </c>
      <c r="M122" s="2" t="s">
        <v>28</v>
      </c>
      <c r="N122" s="3"/>
    </row>
    <row r="123" spans="1:14" x14ac:dyDescent="0.35">
      <c r="A123" s="2"/>
      <c r="B123" s="2"/>
      <c r="C123" s="2"/>
      <c r="D123" s="7"/>
      <c r="E123" s="205"/>
      <c r="F123" s="7"/>
      <c r="G123" s="205"/>
      <c r="H123" s="494"/>
      <c r="I123" s="484"/>
      <c r="J123" s="561"/>
      <c r="K123" s="3"/>
      <c r="L123" s="10">
        <f t="shared" si="26"/>
        <v>0</v>
      </c>
      <c r="M123" s="2"/>
      <c r="N123" s="3"/>
    </row>
    <row r="124" spans="1:14" x14ac:dyDescent="0.35">
      <c r="A124" s="2">
        <v>30</v>
      </c>
      <c r="B124" s="2" t="s">
        <v>900</v>
      </c>
      <c r="C124" s="2" t="s">
        <v>628</v>
      </c>
      <c r="D124" s="7" t="s">
        <v>1055</v>
      </c>
      <c r="E124" s="205">
        <v>12000000</v>
      </c>
      <c r="F124" s="7">
        <f>E124*1.5%</f>
        <v>180000</v>
      </c>
      <c r="G124" s="205">
        <f t="shared" ref="G124" si="30">E124+F124</f>
        <v>12180000</v>
      </c>
      <c r="H124" s="494" t="s">
        <v>1056</v>
      </c>
      <c r="I124" s="484" t="s">
        <v>1057</v>
      </c>
      <c r="J124" s="561"/>
      <c r="K124" s="3"/>
      <c r="L124" s="10">
        <f t="shared" si="26"/>
        <v>12180000</v>
      </c>
      <c r="M124" s="2" t="s">
        <v>28</v>
      </c>
      <c r="N124" s="3"/>
    </row>
    <row r="125" spans="1:14" x14ac:dyDescent="0.35">
      <c r="A125" s="2"/>
      <c r="B125" s="2"/>
      <c r="C125" s="2"/>
      <c r="D125" s="7"/>
      <c r="E125" s="205"/>
      <c r="F125" s="7"/>
      <c r="G125" s="205"/>
      <c r="H125" s="494"/>
      <c r="I125" s="484"/>
      <c r="J125" s="561"/>
      <c r="K125" s="3"/>
      <c r="L125" s="10"/>
      <c r="M125" s="2"/>
      <c r="N125" s="3"/>
    </row>
    <row r="126" spans="1:14" x14ac:dyDescent="0.35">
      <c r="A126" s="2">
        <v>31</v>
      </c>
      <c r="B126" s="2" t="s">
        <v>501</v>
      </c>
      <c r="C126" s="2" t="s">
        <v>287</v>
      </c>
      <c r="D126" s="7" t="s">
        <v>80</v>
      </c>
      <c r="E126" s="205">
        <v>6000000</v>
      </c>
      <c r="F126" s="7">
        <f>E126*2%</f>
        <v>120000</v>
      </c>
      <c r="G126" s="205">
        <f t="shared" ref="G126" si="31">E126+F126</f>
        <v>6120000</v>
      </c>
      <c r="H126" s="494" t="s">
        <v>1073</v>
      </c>
      <c r="I126" s="484" t="s">
        <v>1075</v>
      </c>
      <c r="J126" s="561"/>
      <c r="K126" s="3"/>
      <c r="L126" s="10">
        <f t="shared" ref="L126" si="32">G126-K126</f>
        <v>6120000</v>
      </c>
      <c r="M126" s="2" t="s">
        <v>1076</v>
      </c>
      <c r="N126" s="3"/>
    </row>
    <row r="127" spans="1:14" x14ac:dyDescent="0.35">
      <c r="A127" s="2"/>
      <c r="B127" s="2"/>
      <c r="C127" s="2"/>
      <c r="D127" s="7"/>
      <c r="E127" s="205"/>
      <c r="F127" s="7"/>
      <c r="G127" s="205"/>
      <c r="H127" s="494"/>
      <c r="I127" s="484"/>
      <c r="J127" s="561"/>
      <c r="K127" s="3"/>
      <c r="L127" s="10"/>
      <c r="M127" s="2"/>
      <c r="N127" s="3"/>
    </row>
    <row r="128" spans="1:14" x14ac:dyDescent="0.35">
      <c r="A128" s="2">
        <v>32</v>
      </c>
      <c r="B128" s="2" t="s">
        <v>501</v>
      </c>
      <c r="C128" s="2" t="s">
        <v>511</v>
      </c>
      <c r="D128" s="7" t="s">
        <v>1077</v>
      </c>
      <c r="E128" s="205">
        <v>5000000</v>
      </c>
      <c r="F128" s="7">
        <f>E128*2%</f>
        <v>100000</v>
      </c>
      <c r="G128" s="205">
        <f t="shared" ref="G128:G130" si="33">E128+F128</f>
        <v>5100000</v>
      </c>
      <c r="H128" s="494" t="s">
        <v>1073</v>
      </c>
      <c r="I128" s="484" t="s">
        <v>1074</v>
      </c>
      <c r="J128" s="561"/>
      <c r="K128" s="3"/>
      <c r="L128" s="10">
        <f t="shared" ref="L128:L132" si="34">G128-K128</f>
        <v>5100000</v>
      </c>
      <c r="M128" s="2" t="s">
        <v>636</v>
      </c>
      <c r="N128" s="3"/>
    </row>
    <row r="129" spans="1:15" x14ac:dyDescent="0.35">
      <c r="A129" s="2"/>
      <c r="B129" s="2"/>
      <c r="C129" s="2"/>
      <c r="D129" s="7"/>
      <c r="E129" s="205"/>
      <c r="F129" s="7"/>
      <c r="G129" s="205"/>
      <c r="H129" s="494"/>
      <c r="I129" s="484"/>
      <c r="J129" s="561"/>
      <c r="K129" s="3"/>
      <c r="L129" s="10">
        <f t="shared" si="34"/>
        <v>0</v>
      </c>
      <c r="M129" s="2"/>
      <c r="N129" s="3"/>
    </row>
    <row r="130" spans="1:15" x14ac:dyDescent="0.35">
      <c r="A130" s="2">
        <v>33</v>
      </c>
      <c r="B130" s="2" t="s">
        <v>1289</v>
      </c>
      <c r="C130" s="2" t="s">
        <v>281</v>
      </c>
      <c r="D130" s="7" t="s">
        <v>67</v>
      </c>
      <c r="E130" s="205">
        <v>2500000</v>
      </c>
      <c r="F130" s="7">
        <f>E130*3%</f>
        <v>75000</v>
      </c>
      <c r="G130" s="205">
        <f t="shared" si="33"/>
        <v>2575000</v>
      </c>
      <c r="H130" s="494" t="s">
        <v>1290</v>
      </c>
      <c r="I130" s="484" t="s">
        <v>1291</v>
      </c>
      <c r="J130" s="561"/>
      <c r="K130" s="3"/>
      <c r="L130" s="10">
        <f t="shared" si="34"/>
        <v>2575000</v>
      </c>
      <c r="M130" s="2"/>
      <c r="N130" s="3"/>
    </row>
    <row r="131" spans="1:15" x14ac:dyDescent="0.35">
      <c r="A131" s="2"/>
      <c r="B131" s="2"/>
      <c r="C131" s="2"/>
      <c r="D131" s="7"/>
      <c r="E131" s="205"/>
      <c r="F131" s="7"/>
      <c r="G131" s="205"/>
      <c r="H131" s="494"/>
      <c r="I131" s="484"/>
      <c r="J131" s="561"/>
      <c r="K131" s="3"/>
      <c r="L131" s="10">
        <f t="shared" si="34"/>
        <v>0</v>
      </c>
      <c r="M131" s="2"/>
      <c r="N131" s="3"/>
    </row>
    <row r="132" spans="1:15" x14ac:dyDescent="0.35">
      <c r="A132" s="2">
        <v>34</v>
      </c>
      <c r="B132" s="2" t="s">
        <v>755</v>
      </c>
      <c r="C132" s="2" t="s">
        <v>267</v>
      </c>
      <c r="D132" s="7" t="s">
        <v>60</v>
      </c>
      <c r="E132" s="205">
        <v>2000000</v>
      </c>
      <c r="F132" s="7">
        <f>E132*3%</f>
        <v>60000</v>
      </c>
      <c r="G132" s="205">
        <f t="shared" ref="G132" si="35">E132+F132</f>
        <v>2060000</v>
      </c>
      <c r="H132" s="494" t="s">
        <v>1304</v>
      </c>
      <c r="I132" s="484" t="s">
        <v>1305</v>
      </c>
      <c r="J132" s="561"/>
      <c r="K132" s="3"/>
      <c r="L132" s="10">
        <f t="shared" si="34"/>
        <v>2060000</v>
      </c>
      <c r="M132" s="2" t="s">
        <v>636</v>
      </c>
      <c r="N132" s="3"/>
    </row>
    <row r="133" spans="1:15" s="7" customFormat="1" x14ac:dyDescent="0.35">
      <c r="C133" s="2"/>
      <c r="I133" s="556"/>
      <c r="J133" s="556"/>
    </row>
    <row r="134" spans="1:15" x14ac:dyDescent="0.35">
      <c r="A134" s="2"/>
      <c r="B134" s="2"/>
      <c r="C134" s="2"/>
      <c r="D134" s="2"/>
      <c r="E134" s="191">
        <f>SUM(E3:E133)</f>
        <v>483900000</v>
      </c>
      <c r="F134" s="191">
        <f>SUM(F3:F133)</f>
        <v>37461563.519999996</v>
      </c>
      <c r="G134" s="191">
        <f>SUM(G3:G133)</f>
        <v>1178249332.5850003</v>
      </c>
      <c r="H134" s="2"/>
      <c r="I134" s="484"/>
    </row>
    <row r="135" spans="1:15" x14ac:dyDescent="0.35">
      <c r="E135" s="1">
        <f>E134-E28-3000000-E24</f>
        <v>475900000</v>
      </c>
      <c r="F135" s="1">
        <f>F134-F48-F36-F31-F28-F3-F60-F65</f>
        <v>33846563.519999996</v>
      </c>
    </row>
    <row r="137" spans="1:15" ht="16" x14ac:dyDescent="0.4">
      <c r="M137" s="441" t="s">
        <v>984</v>
      </c>
      <c r="N137" s="442"/>
      <c r="O137" s="393">
        <v>30000000</v>
      </c>
    </row>
    <row r="138" spans="1:15" ht="16" x14ac:dyDescent="0.4">
      <c r="J138" s="526">
        <v>51944839</v>
      </c>
      <c r="K138" s="1">
        <v>38000</v>
      </c>
      <c r="M138" s="441" t="s">
        <v>1017</v>
      </c>
      <c r="N138" s="442"/>
      <c r="O138" s="393">
        <v>2000000</v>
      </c>
    </row>
    <row r="139" spans="1:15" ht="16" x14ac:dyDescent="0.4">
      <c r="M139" s="441" t="s">
        <v>1022</v>
      </c>
      <c r="N139" s="442"/>
      <c r="O139" s="393">
        <v>1000000</v>
      </c>
    </row>
    <row r="140" spans="1:15" ht="16" x14ac:dyDescent="0.4">
      <c r="M140" s="441" t="s">
        <v>1021</v>
      </c>
      <c r="N140" s="442"/>
      <c r="O140" s="393">
        <v>1800000</v>
      </c>
    </row>
    <row r="141" spans="1:15" ht="16" x14ac:dyDescent="0.4">
      <c r="M141" s="441" t="s">
        <v>1023</v>
      </c>
      <c r="N141" s="442"/>
      <c r="O141" s="393">
        <v>10000000</v>
      </c>
    </row>
    <row r="142" spans="1:15" x14ac:dyDescent="0.35">
      <c r="E142" s="6" t="s">
        <v>563</v>
      </c>
    </row>
    <row r="143" spans="1:15" ht="29" x14ac:dyDescent="0.35">
      <c r="E143" s="77" t="s">
        <v>555</v>
      </c>
      <c r="F143" s="77" t="s">
        <v>556</v>
      </c>
      <c r="G143" s="77" t="s">
        <v>557</v>
      </c>
      <c r="H143" s="77" t="s">
        <v>558</v>
      </c>
      <c r="I143" s="569" t="s">
        <v>559</v>
      </c>
    </row>
    <row r="144" spans="1:15" x14ac:dyDescent="0.35">
      <c r="E144" s="371">
        <v>1</v>
      </c>
      <c r="F144" s="372">
        <v>3000000</v>
      </c>
      <c r="G144" s="372">
        <v>90000</v>
      </c>
      <c r="H144" s="372">
        <v>576883</v>
      </c>
      <c r="I144" s="570">
        <v>2513117</v>
      </c>
    </row>
    <row r="145" spans="5:12" x14ac:dyDescent="0.35">
      <c r="E145" s="371">
        <v>2</v>
      </c>
      <c r="F145" s="372">
        <v>2513117</v>
      </c>
      <c r="G145" s="372">
        <v>75394</v>
      </c>
      <c r="H145" s="372">
        <v>576883</v>
      </c>
      <c r="I145" s="570">
        <v>2011628</v>
      </c>
    </row>
    <row r="146" spans="5:12" x14ac:dyDescent="0.35">
      <c r="E146" s="371">
        <v>3</v>
      </c>
      <c r="F146" s="372">
        <v>2011628</v>
      </c>
      <c r="G146" s="372">
        <v>60349</v>
      </c>
      <c r="H146" s="372">
        <v>576883</v>
      </c>
      <c r="I146" s="570">
        <v>1495094</v>
      </c>
    </row>
    <row r="147" spans="5:12" x14ac:dyDescent="0.35">
      <c r="E147" s="371">
        <v>4</v>
      </c>
      <c r="F147" s="372">
        <v>1495094</v>
      </c>
      <c r="G147" s="372">
        <v>44853</v>
      </c>
      <c r="H147" s="372">
        <v>576883</v>
      </c>
      <c r="I147" s="570">
        <v>963064</v>
      </c>
    </row>
    <row r="148" spans="5:12" x14ac:dyDescent="0.35">
      <c r="E148" s="371">
        <v>5</v>
      </c>
      <c r="F148" s="372">
        <v>963064</v>
      </c>
      <c r="G148" s="372">
        <v>28892</v>
      </c>
      <c r="H148" s="372">
        <v>576883</v>
      </c>
      <c r="I148" s="570">
        <v>415073</v>
      </c>
      <c r="K148" s="3" t="s">
        <v>819</v>
      </c>
      <c r="L148" s="3">
        <v>13151240</v>
      </c>
    </row>
    <row r="149" spans="5:12" x14ac:dyDescent="0.35">
      <c r="E149" s="371">
        <v>6</v>
      </c>
      <c r="F149" s="372">
        <v>415073</v>
      </c>
      <c r="G149" s="372">
        <v>12452</v>
      </c>
      <c r="H149" s="372">
        <v>427525</v>
      </c>
      <c r="I149" s="571">
        <v>0</v>
      </c>
      <c r="K149" s="3" t="s">
        <v>1330</v>
      </c>
      <c r="L149" s="3">
        <v>20083143</v>
      </c>
    </row>
    <row r="150" spans="5:12" x14ac:dyDescent="0.35">
      <c r="K150" s="3" t="s">
        <v>800</v>
      </c>
      <c r="L150" s="3">
        <v>4290148</v>
      </c>
    </row>
    <row r="151" spans="5:12" x14ac:dyDescent="0.35">
      <c r="K151" s="3"/>
      <c r="L151" s="191">
        <f>SUM(L148:L150)</f>
        <v>37524531</v>
      </c>
    </row>
    <row r="153" spans="5:12" x14ac:dyDescent="0.35">
      <c r="H153">
        <v>580000</v>
      </c>
      <c r="I153" s="526">
        <f>H153*4</f>
        <v>2320000</v>
      </c>
    </row>
    <row r="154" spans="5:12" x14ac:dyDescent="0.35">
      <c r="H154" s="203">
        <f>F144-I153</f>
        <v>680000</v>
      </c>
    </row>
    <row r="160" spans="5:12" x14ac:dyDescent="0.35">
      <c r="E160" s="6">
        <f>25*2500</f>
        <v>62500</v>
      </c>
    </row>
    <row r="161" spans="5:5" x14ac:dyDescent="0.35">
      <c r="E161" s="6">
        <f>25*2500</f>
        <v>62500</v>
      </c>
    </row>
    <row r="162" spans="5:5" x14ac:dyDescent="0.35">
      <c r="E162" s="6">
        <f>SUM(E160:E161)</f>
        <v>125000</v>
      </c>
    </row>
  </sheetData>
  <phoneticPr fontId="3" type="noConversion"/>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4CEC-46F3-4BFC-8433-48258732C2B7}">
  <dimension ref="A2:J39"/>
  <sheetViews>
    <sheetView topLeftCell="A11" workbookViewId="0">
      <selection activeCell="D15" sqref="D15"/>
    </sheetView>
  </sheetViews>
  <sheetFormatPr defaultRowHeight="14.5" x14ac:dyDescent="0.35"/>
  <cols>
    <col min="1" max="1" width="12" bestFit="1" customWidth="1"/>
    <col min="2" max="2" width="16" bestFit="1" customWidth="1"/>
    <col min="3" max="3" width="11.36328125" style="1" bestFit="1" customWidth="1"/>
    <col min="4" max="4" width="14.453125" style="1" bestFit="1" customWidth="1"/>
    <col min="5" max="5" width="13.81640625" bestFit="1" customWidth="1"/>
    <col min="6" max="6" width="14.453125" bestFit="1" customWidth="1"/>
    <col min="7" max="7" width="9.08984375" bestFit="1" customWidth="1"/>
    <col min="8" max="8" width="11.1796875" bestFit="1" customWidth="1"/>
    <col min="9" max="9" width="23.90625" style="526" customWidth="1"/>
    <col min="10" max="10" width="12.726562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225</v>
      </c>
      <c r="B3" s="7" t="s">
        <v>69</v>
      </c>
      <c r="C3" s="7"/>
      <c r="D3" s="71"/>
      <c r="E3" s="11"/>
      <c r="F3" s="11"/>
      <c r="G3" s="71"/>
      <c r="H3" s="11"/>
      <c r="I3" s="545"/>
      <c r="J3" s="54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45370</v>
      </c>
      <c r="C6" s="7">
        <v>760000</v>
      </c>
      <c r="D6" s="3">
        <f>C6</f>
        <v>760000</v>
      </c>
      <c r="E6" s="2" t="s">
        <v>144</v>
      </c>
      <c r="F6" s="2">
        <v>1</v>
      </c>
      <c r="H6" s="2"/>
      <c r="I6" s="503" t="s">
        <v>210</v>
      </c>
      <c r="J6" s="549">
        <v>52030.737514599059</v>
      </c>
    </row>
    <row r="7" spans="1:10" x14ac:dyDescent="0.35">
      <c r="A7" s="2">
        <v>2</v>
      </c>
      <c r="B7" s="71">
        <v>45523</v>
      </c>
      <c r="C7" s="3">
        <v>40000</v>
      </c>
      <c r="D7" s="3">
        <f>D6+C7</f>
        <v>800000</v>
      </c>
      <c r="E7" s="2" t="s">
        <v>144</v>
      </c>
      <c r="F7" s="2">
        <v>1</v>
      </c>
      <c r="H7" s="2"/>
      <c r="I7" s="504" t="s">
        <v>212</v>
      </c>
      <c r="J7" s="549">
        <v>99531.85247368626</v>
      </c>
    </row>
    <row r="8" spans="1:10" x14ac:dyDescent="0.35">
      <c r="A8" s="2">
        <v>3</v>
      </c>
      <c r="B8" s="71">
        <v>45884</v>
      </c>
      <c r="C8" s="7">
        <v>1000000</v>
      </c>
      <c r="D8" s="3">
        <f t="shared" ref="D8:D17" si="0">D7+C8</f>
        <v>1800000</v>
      </c>
      <c r="E8" s="2" t="s">
        <v>30</v>
      </c>
      <c r="F8" s="2">
        <v>1</v>
      </c>
      <c r="H8" s="2"/>
      <c r="I8" s="504" t="s">
        <v>213</v>
      </c>
      <c r="J8" s="549">
        <v>151804.23629296134</v>
      </c>
    </row>
    <row r="9" spans="1:10" x14ac:dyDescent="0.35">
      <c r="A9" s="2">
        <v>4</v>
      </c>
      <c r="B9" s="71">
        <v>45885</v>
      </c>
      <c r="C9" s="178">
        <v>500000</v>
      </c>
      <c r="D9" s="3">
        <f t="shared" si="0"/>
        <v>2300000</v>
      </c>
      <c r="E9" s="2" t="s">
        <v>226</v>
      </c>
      <c r="F9" s="2">
        <v>1</v>
      </c>
      <c r="H9" s="2"/>
      <c r="I9" s="504" t="s">
        <v>215</v>
      </c>
      <c r="J9" s="549">
        <v>125170.27038813391</v>
      </c>
    </row>
    <row r="10" spans="1:10" x14ac:dyDescent="0.35">
      <c r="A10" s="2">
        <v>5</v>
      </c>
      <c r="B10" s="71">
        <v>45905</v>
      </c>
      <c r="C10" s="178">
        <v>400000</v>
      </c>
      <c r="D10" s="3">
        <f t="shared" si="0"/>
        <v>2700000</v>
      </c>
      <c r="E10" s="2" t="s">
        <v>30</v>
      </c>
      <c r="F10" s="2">
        <v>1</v>
      </c>
      <c r="H10" s="2"/>
      <c r="I10" s="504" t="s">
        <v>217</v>
      </c>
      <c r="J10" s="549">
        <v>298787.31550307682</v>
      </c>
    </row>
    <row r="11" spans="1:10" x14ac:dyDescent="0.35">
      <c r="A11" s="2">
        <v>6</v>
      </c>
      <c r="B11" s="71">
        <v>45911</v>
      </c>
      <c r="C11" s="178">
        <v>500000</v>
      </c>
      <c r="D11" s="3">
        <f t="shared" si="0"/>
        <v>3200000</v>
      </c>
      <c r="E11" s="2" t="s">
        <v>30</v>
      </c>
      <c r="F11" s="2">
        <v>1</v>
      </c>
      <c r="H11" s="2"/>
      <c r="I11" s="504" t="s">
        <v>219</v>
      </c>
      <c r="J11" s="549">
        <v>213337.43884026818</v>
      </c>
    </row>
    <row r="12" spans="1:10" x14ac:dyDescent="0.35">
      <c r="A12" s="2">
        <v>7</v>
      </c>
      <c r="B12" s="71">
        <v>45915</v>
      </c>
      <c r="C12" s="178">
        <v>300000</v>
      </c>
      <c r="D12" s="3">
        <f t="shared" si="0"/>
        <v>3500000</v>
      </c>
      <c r="E12" s="2" t="s">
        <v>30</v>
      </c>
      <c r="F12" s="2">
        <v>1</v>
      </c>
      <c r="H12" s="2"/>
      <c r="I12" s="504" t="s">
        <v>537</v>
      </c>
      <c r="J12" s="549">
        <v>33933.722667893009</v>
      </c>
    </row>
    <row r="13" spans="1:10" x14ac:dyDescent="0.35">
      <c r="A13" s="2">
        <v>8</v>
      </c>
      <c r="B13" s="71">
        <v>45934</v>
      </c>
      <c r="C13" s="3">
        <v>1000000</v>
      </c>
      <c r="D13" s="3">
        <f t="shared" si="0"/>
        <v>4500000</v>
      </c>
      <c r="E13" s="2" t="s">
        <v>30</v>
      </c>
      <c r="F13" s="2">
        <v>2</v>
      </c>
      <c r="H13" s="2"/>
      <c r="I13" s="504" t="s">
        <v>543</v>
      </c>
      <c r="J13" s="549">
        <v>87298.841912509262</v>
      </c>
    </row>
    <row r="14" spans="1:10" x14ac:dyDescent="0.35">
      <c r="A14" s="2">
        <v>9</v>
      </c>
      <c r="B14" s="71">
        <v>45934</v>
      </c>
      <c r="C14" s="3">
        <v>500000</v>
      </c>
      <c r="D14" s="3">
        <f t="shared" si="0"/>
        <v>5000000</v>
      </c>
      <c r="E14" s="2" t="s">
        <v>30</v>
      </c>
      <c r="F14" s="2">
        <v>2</v>
      </c>
      <c r="H14" s="2"/>
      <c r="I14" s="504" t="s">
        <v>681</v>
      </c>
      <c r="J14" s="549">
        <f>'DETAILS (sorted)'!DC3</f>
        <v>123759.19560233268</v>
      </c>
    </row>
    <row r="15" spans="1:10" x14ac:dyDescent="0.35">
      <c r="A15" s="2">
        <v>10</v>
      </c>
      <c r="B15" s="71">
        <v>45934</v>
      </c>
      <c r="C15" s="205">
        <v>1000000</v>
      </c>
      <c r="D15" s="3">
        <f t="shared" si="0"/>
        <v>6000000</v>
      </c>
      <c r="E15" s="2" t="s">
        <v>30</v>
      </c>
      <c r="F15" s="2">
        <v>2</v>
      </c>
      <c r="H15" s="2"/>
      <c r="I15" s="504" t="s">
        <v>696</v>
      </c>
      <c r="J15" s="549">
        <f>'DETAILS (sorted)'!DD3</f>
        <v>83796.73000416618</v>
      </c>
    </row>
    <row r="16" spans="1:10" x14ac:dyDescent="0.35">
      <c r="A16" s="2">
        <v>11</v>
      </c>
      <c r="B16" s="71">
        <v>45980</v>
      </c>
      <c r="C16" s="3">
        <v>1500000</v>
      </c>
      <c r="D16" s="3">
        <f t="shared" si="0"/>
        <v>7500000</v>
      </c>
      <c r="E16" s="2" t="s">
        <v>30</v>
      </c>
      <c r="F16" s="2">
        <v>2</v>
      </c>
      <c r="H16" s="2"/>
      <c r="I16" s="524" t="s">
        <v>887</v>
      </c>
      <c r="J16" s="549">
        <f>'DETAILS (sorted)'!DF3</f>
        <v>58879.779037458262</v>
      </c>
    </row>
    <row r="17" spans="1:10" x14ac:dyDescent="0.35">
      <c r="A17" s="2">
        <v>12</v>
      </c>
      <c r="B17" s="71">
        <v>45980</v>
      </c>
      <c r="C17" s="3">
        <v>100000</v>
      </c>
      <c r="D17" s="3">
        <f t="shared" si="0"/>
        <v>7600000</v>
      </c>
      <c r="E17" s="2" t="s">
        <v>30</v>
      </c>
      <c r="F17" s="2">
        <v>2</v>
      </c>
      <c r="H17" s="2"/>
      <c r="I17" s="524" t="s">
        <v>889</v>
      </c>
      <c r="J17" s="549">
        <f>'DETAILS (sorted)'!DG3</f>
        <v>196599.13043280403</v>
      </c>
    </row>
    <row r="18" spans="1:10" x14ac:dyDescent="0.35">
      <c r="A18" s="2">
        <v>13</v>
      </c>
      <c r="B18" s="71">
        <v>46014</v>
      </c>
      <c r="C18" s="3">
        <f>3000000-2000000</f>
        <v>1000000</v>
      </c>
      <c r="D18" s="3">
        <f t="shared" ref="D18:D28" si="1">D17+C18</f>
        <v>8600000</v>
      </c>
      <c r="E18" s="2" t="s">
        <v>30</v>
      </c>
      <c r="F18" s="2">
        <v>2</v>
      </c>
      <c r="H18" s="2"/>
      <c r="I18" s="524" t="s">
        <v>891</v>
      </c>
      <c r="J18" s="549">
        <f>'DETAILS (sorted)'!DL3</f>
        <v>77178.289447799834</v>
      </c>
    </row>
    <row r="19" spans="1:10" x14ac:dyDescent="0.35">
      <c r="A19" s="2">
        <v>14</v>
      </c>
      <c r="B19" s="71">
        <v>46052</v>
      </c>
      <c r="C19" s="202">
        <v>200000</v>
      </c>
      <c r="D19" s="3">
        <f t="shared" si="1"/>
        <v>8800000</v>
      </c>
      <c r="E19" s="2" t="s">
        <v>30</v>
      </c>
      <c r="F19" s="2">
        <v>2</v>
      </c>
      <c r="H19" s="2"/>
      <c r="I19" s="524" t="s">
        <v>894</v>
      </c>
      <c r="J19" s="549">
        <f>'DETAILS (sorted)'!DM3</f>
        <v>0</v>
      </c>
    </row>
    <row r="20" spans="1:10" x14ac:dyDescent="0.35">
      <c r="A20" s="2">
        <v>15</v>
      </c>
      <c r="B20" s="71">
        <v>46084</v>
      </c>
      <c r="C20" s="3">
        <v>2500000</v>
      </c>
      <c r="D20" s="3">
        <f t="shared" si="1"/>
        <v>11300000</v>
      </c>
      <c r="E20" s="2" t="s">
        <v>30</v>
      </c>
      <c r="F20" s="2">
        <v>2</v>
      </c>
      <c r="H20" s="2"/>
      <c r="I20" s="524" t="s">
        <v>893</v>
      </c>
      <c r="J20" s="549">
        <f>'DETAILS (sorted)'!DN3</f>
        <v>0</v>
      </c>
    </row>
    <row r="21" spans="1:10" x14ac:dyDescent="0.35">
      <c r="A21" s="2">
        <v>16</v>
      </c>
      <c r="B21" s="71">
        <v>46084</v>
      </c>
      <c r="C21" s="3">
        <v>3000000</v>
      </c>
      <c r="D21" s="3">
        <f t="shared" si="1"/>
        <v>14300000</v>
      </c>
      <c r="E21" s="2" t="s">
        <v>30</v>
      </c>
      <c r="F21" s="2">
        <v>2</v>
      </c>
      <c r="H21" s="2"/>
      <c r="I21" s="524" t="s">
        <v>895</v>
      </c>
      <c r="J21" s="549">
        <f>'DETAILS (sorted)'!DO3</f>
        <v>0</v>
      </c>
    </row>
    <row r="22" spans="1:10" x14ac:dyDescent="0.35">
      <c r="A22" s="2">
        <v>17</v>
      </c>
      <c r="B22" s="71">
        <v>46084</v>
      </c>
      <c r="C22" s="3">
        <v>1500000</v>
      </c>
      <c r="D22" s="3">
        <f t="shared" si="1"/>
        <v>15800000</v>
      </c>
      <c r="E22" s="2" t="s">
        <v>30</v>
      </c>
      <c r="F22" s="2">
        <v>2</v>
      </c>
      <c r="H22" s="2"/>
      <c r="I22" s="524" t="s">
        <v>897</v>
      </c>
      <c r="J22" s="549">
        <f>'DETAILS (sorted)'!DQ3</f>
        <v>0</v>
      </c>
    </row>
    <row r="23" spans="1:10" x14ac:dyDescent="0.35">
      <c r="A23" s="2">
        <v>18</v>
      </c>
      <c r="B23" s="71">
        <v>46084</v>
      </c>
      <c r="C23" s="3">
        <v>1500000</v>
      </c>
      <c r="D23" s="3">
        <f t="shared" si="1"/>
        <v>17300000</v>
      </c>
      <c r="E23" s="2" t="s">
        <v>30</v>
      </c>
      <c r="F23" s="2">
        <v>2</v>
      </c>
      <c r="H23" s="2"/>
      <c r="I23" s="524" t="s">
        <v>898</v>
      </c>
      <c r="J23" s="549">
        <f>'DETAILS (sorted)'!DR3</f>
        <v>0</v>
      </c>
    </row>
    <row r="24" spans="1:10" x14ac:dyDescent="0.35">
      <c r="A24" s="2">
        <v>19</v>
      </c>
      <c r="B24" s="71">
        <v>46084</v>
      </c>
      <c r="C24" s="3">
        <v>1000000</v>
      </c>
      <c r="D24" s="3">
        <f t="shared" si="1"/>
        <v>18300000</v>
      </c>
      <c r="E24" s="2" t="s">
        <v>30</v>
      </c>
      <c r="F24" s="2">
        <v>2</v>
      </c>
      <c r="H24" s="2"/>
      <c r="I24" s="484"/>
      <c r="J24" s="549"/>
    </row>
    <row r="25" spans="1:10" x14ac:dyDescent="0.35">
      <c r="A25" s="2">
        <v>20</v>
      </c>
      <c r="B25" s="71">
        <v>46084</v>
      </c>
      <c r="C25" s="3">
        <v>1160000</v>
      </c>
      <c r="D25" s="3">
        <f t="shared" si="1"/>
        <v>19460000</v>
      </c>
      <c r="E25" s="2" t="s">
        <v>30</v>
      </c>
      <c r="F25" s="2">
        <v>2</v>
      </c>
      <c r="H25" s="2"/>
      <c r="I25" s="484"/>
      <c r="J25" s="549"/>
    </row>
    <row r="26" spans="1:10" x14ac:dyDescent="0.35">
      <c r="A26" s="2">
        <v>21</v>
      </c>
      <c r="B26" s="71">
        <v>46084</v>
      </c>
      <c r="C26" s="3">
        <v>500000</v>
      </c>
      <c r="D26" s="3">
        <f t="shared" si="1"/>
        <v>19960000</v>
      </c>
      <c r="E26" s="2" t="s">
        <v>30</v>
      </c>
      <c r="F26" s="2">
        <v>2</v>
      </c>
      <c r="H26" s="2"/>
      <c r="I26" s="484"/>
      <c r="J26" s="549"/>
    </row>
    <row r="27" spans="1:10" x14ac:dyDescent="0.35">
      <c r="A27" s="2">
        <v>22</v>
      </c>
      <c r="B27" s="71">
        <v>46084</v>
      </c>
      <c r="C27" s="3">
        <v>1000000</v>
      </c>
      <c r="D27" s="3">
        <f t="shared" si="1"/>
        <v>20960000</v>
      </c>
      <c r="E27" s="2" t="s">
        <v>30</v>
      </c>
      <c r="F27" s="2">
        <v>2</v>
      </c>
      <c r="H27" s="2"/>
      <c r="I27" s="484"/>
      <c r="J27" s="549"/>
    </row>
    <row r="28" spans="1:10" x14ac:dyDescent="0.35">
      <c r="A28" s="2">
        <v>23</v>
      </c>
      <c r="B28" s="71">
        <v>46084</v>
      </c>
      <c r="C28" s="3">
        <v>1000000</v>
      </c>
      <c r="D28" s="3">
        <f t="shared" si="1"/>
        <v>21960000</v>
      </c>
      <c r="E28" s="2" t="s">
        <v>30</v>
      </c>
      <c r="F28" s="2">
        <v>2</v>
      </c>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21960000</v>
      </c>
      <c r="D35" s="191">
        <f>C35+J35</f>
        <v>23562107.540117688</v>
      </c>
      <c r="E35" s="63">
        <f>'DETAILS (sorted)'!DS3</f>
        <v>27339182.305427976</v>
      </c>
      <c r="F35" s="182">
        <f>D35-E35</f>
        <v>-3777074.7653102875</v>
      </c>
      <c r="G35" s="5" t="b">
        <f>D35=E35</f>
        <v>0</v>
      </c>
      <c r="H35" s="74"/>
      <c r="I35" s="544"/>
      <c r="J35" s="548">
        <f>SUM(J6:J34)</f>
        <v>1602107.5401176892</v>
      </c>
    </row>
    <row r="37" spans="1:10" x14ac:dyDescent="0.35">
      <c r="C37" s="191" t="s">
        <v>644</v>
      </c>
      <c r="D37" s="191">
        <f>C35+J35</f>
        <v>23562107.540117688</v>
      </c>
      <c r="E37" s="122">
        <f>D37/D38</f>
        <v>0.23562107540117688</v>
      </c>
      <c r="F37" s="2" t="s">
        <v>652</v>
      </c>
    </row>
    <row r="38" spans="1:10" x14ac:dyDescent="0.35">
      <c r="C38" s="3" t="s">
        <v>650</v>
      </c>
      <c r="D38" s="3">
        <v>100000000</v>
      </c>
      <c r="E38" s="122">
        <f>D38/D38</f>
        <v>1</v>
      </c>
      <c r="F38" s="2" t="s">
        <v>654</v>
      </c>
    </row>
    <row r="39" spans="1:10" x14ac:dyDescent="0.35">
      <c r="C39" s="3"/>
      <c r="D39" s="3">
        <f>D37-D38</f>
        <v>-76437892.459882319</v>
      </c>
      <c r="E39" s="122">
        <f>D39/D38</f>
        <v>-0.76437892459882317</v>
      </c>
      <c r="F39" s="2" t="s">
        <v>653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EF911-44A9-4173-9A41-9724F5A94D90}">
  <dimension ref="A2:J54"/>
  <sheetViews>
    <sheetView topLeftCell="A16" zoomScale="90" zoomScaleNormal="90" workbookViewId="0">
      <selection activeCell="N16" sqref="N16"/>
    </sheetView>
  </sheetViews>
  <sheetFormatPr defaultRowHeight="14.5" x14ac:dyDescent="0.35"/>
  <cols>
    <col min="1" max="1" width="12" bestFit="1" customWidth="1"/>
    <col min="2" max="2" width="15.7265625" bestFit="1" customWidth="1"/>
    <col min="3" max="3" width="11.54296875" style="1" bestFit="1" customWidth="1"/>
    <col min="4" max="4" width="14.54296875" style="1" bestFit="1" customWidth="1"/>
    <col min="5" max="5" width="11.36328125" bestFit="1" customWidth="1"/>
    <col min="6" max="6" width="10.81640625" bestFit="1" customWidth="1"/>
    <col min="7" max="7" width="6.08984375" bestFit="1" customWidth="1"/>
    <col min="8" max="8" width="4.81640625" hidden="1" customWidth="1"/>
    <col min="9" max="9" width="26.90625" style="526" customWidth="1"/>
    <col min="10" max="10" width="13.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224</v>
      </c>
      <c r="B3" s="286" t="s">
        <v>1063</v>
      </c>
      <c r="C3" s="7"/>
      <c r="D3" s="71"/>
      <c r="E3" s="11"/>
      <c r="F3" s="11"/>
      <c r="G3" s="71"/>
      <c r="H3" s="11"/>
      <c r="I3" s="545"/>
      <c r="J3" s="54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45355</v>
      </c>
      <c r="C6" s="7">
        <v>170000</v>
      </c>
      <c r="D6" s="3">
        <v>170000</v>
      </c>
      <c r="E6" s="2" t="s">
        <v>144</v>
      </c>
      <c r="F6" s="2">
        <v>1</v>
      </c>
      <c r="H6" s="2"/>
      <c r="I6" s="523" t="s">
        <v>210</v>
      </c>
      <c r="J6" s="549">
        <v>32705.035009176554</v>
      </c>
    </row>
    <row r="7" spans="1:10" x14ac:dyDescent="0.35">
      <c r="A7" s="2">
        <v>2</v>
      </c>
      <c r="B7" s="71">
        <v>45355</v>
      </c>
      <c r="C7" s="3">
        <v>80000</v>
      </c>
      <c r="D7" s="3">
        <f>D6+C7</f>
        <v>250000</v>
      </c>
      <c r="E7" s="2" t="s">
        <v>144</v>
      </c>
      <c r="F7" s="2">
        <v>1</v>
      </c>
      <c r="H7" s="2"/>
      <c r="I7" s="524" t="s">
        <v>212</v>
      </c>
      <c r="J7" s="549">
        <v>48456.296599031462</v>
      </c>
    </row>
    <row r="8" spans="1:10" x14ac:dyDescent="0.35">
      <c r="A8" s="2">
        <v>3</v>
      </c>
      <c r="B8" s="71">
        <v>45361</v>
      </c>
      <c r="C8" s="7">
        <v>170000</v>
      </c>
      <c r="D8" s="3">
        <f t="shared" ref="D8:D40" si="0">D7+C8</f>
        <v>420000</v>
      </c>
      <c r="E8" s="2" t="s">
        <v>144</v>
      </c>
      <c r="F8" s="2">
        <v>1</v>
      </c>
      <c r="H8" s="2"/>
      <c r="I8" s="524" t="s">
        <v>213</v>
      </c>
      <c r="J8" s="549">
        <v>73904.693984731159</v>
      </c>
    </row>
    <row r="9" spans="1:10" x14ac:dyDescent="0.35">
      <c r="A9" s="2">
        <v>4</v>
      </c>
      <c r="B9" s="71">
        <v>45361</v>
      </c>
      <c r="C9" s="3">
        <v>90000</v>
      </c>
      <c r="D9" s="3">
        <f t="shared" si="0"/>
        <v>510000</v>
      </c>
      <c r="E9" s="2" t="s">
        <v>144</v>
      </c>
      <c r="F9" s="2">
        <v>1</v>
      </c>
      <c r="H9" s="2"/>
      <c r="I9" s="524" t="s">
        <v>215</v>
      </c>
      <c r="J9" s="549">
        <v>128015.04926059151</v>
      </c>
    </row>
    <row r="10" spans="1:10" x14ac:dyDescent="0.35">
      <c r="A10" s="2">
        <v>5</v>
      </c>
      <c r="B10" s="71">
        <v>45655</v>
      </c>
      <c r="C10" s="3">
        <v>400000</v>
      </c>
      <c r="D10" s="3">
        <f t="shared" si="0"/>
        <v>910000</v>
      </c>
      <c r="E10" s="2" t="s">
        <v>144</v>
      </c>
      <c r="F10" s="2">
        <v>1</v>
      </c>
      <c r="H10" s="2"/>
      <c r="I10" s="524" t="s">
        <v>217</v>
      </c>
      <c r="J10" s="549">
        <v>366693.52357195789</v>
      </c>
    </row>
    <row r="11" spans="1:10" x14ac:dyDescent="0.35">
      <c r="A11" s="2">
        <v>6</v>
      </c>
      <c r="B11" s="71">
        <v>45739</v>
      </c>
      <c r="C11" s="3">
        <v>100000</v>
      </c>
      <c r="D11" s="3">
        <f t="shared" si="0"/>
        <v>1010000</v>
      </c>
      <c r="E11" s="2" t="s">
        <v>144</v>
      </c>
      <c r="F11" s="2">
        <v>1</v>
      </c>
      <c r="H11" s="2"/>
      <c r="I11" s="524" t="s">
        <v>219</v>
      </c>
      <c r="J11" s="549">
        <v>173411.71603927715</v>
      </c>
    </row>
    <row r="12" spans="1:10" x14ac:dyDescent="0.35">
      <c r="A12" s="2">
        <v>7</v>
      </c>
      <c r="B12" s="71">
        <v>45884</v>
      </c>
      <c r="C12" s="3">
        <v>1000000</v>
      </c>
      <c r="D12" s="3">
        <f t="shared" si="0"/>
        <v>2010000</v>
      </c>
      <c r="E12" s="2" t="s">
        <v>30</v>
      </c>
      <c r="F12" s="2">
        <v>1</v>
      </c>
      <c r="H12" s="2"/>
      <c r="I12" s="524" t="s">
        <v>537</v>
      </c>
      <c r="J12" s="549">
        <v>40449.760774363349</v>
      </c>
    </row>
    <row r="13" spans="1:10" x14ac:dyDescent="0.35">
      <c r="A13" s="2">
        <v>8</v>
      </c>
      <c r="B13" s="294">
        <v>45912</v>
      </c>
      <c r="C13" s="3">
        <v>190000</v>
      </c>
      <c r="D13" s="3">
        <f t="shared" si="0"/>
        <v>2200000</v>
      </c>
      <c r="E13" s="2" t="s">
        <v>30</v>
      </c>
      <c r="F13" s="2">
        <v>1</v>
      </c>
      <c r="H13" s="2"/>
      <c r="I13" s="524" t="s">
        <v>543</v>
      </c>
      <c r="J13" s="549">
        <v>104062.18338611837</v>
      </c>
    </row>
    <row r="14" spans="1:10" x14ac:dyDescent="0.35">
      <c r="A14" s="2">
        <v>9</v>
      </c>
      <c r="B14" s="294">
        <v>45941</v>
      </c>
      <c r="C14" s="3">
        <v>300000</v>
      </c>
      <c r="D14" s="3">
        <f t="shared" si="0"/>
        <v>2500000</v>
      </c>
      <c r="E14" s="2" t="s">
        <v>30</v>
      </c>
      <c r="F14" s="2">
        <v>2</v>
      </c>
      <c r="H14" s="2"/>
      <c r="I14" s="524" t="s">
        <v>681</v>
      </c>
      <c r="J14" s="549">
        <f>'DETAILS (sorted)'!DC2</f>
        <v>163616.31794189409</v>
      </c>
    </row>
    <row r="15" spans="1:10" x14ac:dyDescent="0.35">
      <c r="A15" s="2">
        <v>10</v>
      </c>
      <c r="B15" s="294">
        <v>45941</v>
      </c>
      <c r="C15" s="205">
        <v>200000</v>
      </c>
      <c r="D15" s="3">
        <f t="shared" si="0"/>
        <v>2700000</v>
      </c>
      <c r="E15" s="2" t="s">
        <v>30</v>
      </c>
      <c r="F15" s="2">
        <v>2</v>
      </c>
      <c r="H15" s="2"/>
      <c r="I15" s="524" t="s">
        <v>696</v>
      </c>
      <c r="J15" s="549">
        <f>'DETAILS (sorted)'!DD2</f>
        <v>110783.7874359478</v>
      </c>
    </row>
    <row r="16" spans="1:10" x14ac:dyDescent="0.35">
      <c r="A16" s="2">
        <v>11</v>
      </c>
      <c r="B16" s="294">
        <v>45981</v>
      </c>
      <c r="C16" s="3">
        <v>1000000</v>
      </c>
      <c r="D16" s="3">
        <f t="shared" si="0"/>
        <v>3700000</v>
      </c>
      <c r="E16" s="2" t="s">
        <v>30</v>
      </c>
      <c r="F16" s="2">
        <v>2</v>
      </c>
      <c r="H16" s="2"/>
      <c r="I16" s="524" t="s">
        <v>887</v>
      </c>
      <c r="J16" s="549">
        <f>'DETAILS (sorted)'!DF2</f>
        <v>90512.650752648915</v>
      </c>
    </row>
    <row r="17" spans="1:10" x14ac:dyDescent="0.35">
      <c r="A17" s="2">
        <v>12</v>
      </c>
      <c r="B17" s="71">
        <v>46014</v>
      </c>
      <c r="C17" s="3">
        <v>1200000</v>
      </c>
      <c r="D17" s="3">
        <f t="shared" si="0"/>
        <v>4900000</v>
      </c>
      <c r="E17" s="2" t="s">
        <v>30</v>
      </c>
      <c r="F17" s="2">
        <v>2</v>
      </c>
      <c r="H17" s="2"/>
      <c r="I17" s="524" t="s">
        <v>889</v>
      </c>
      <c r="J17" s="549">
        <f>'DETAILS (sorted)'!DG2</f>
        <v>302221.04637685866</v>
      </c>
    </row>
    <row r="18" spans="1:10" x14ac:dyDescent="0.35">
      <c r="A18" s="2">
        <v>13</v>
      </c>
      <c r="B18" s="71">
        <v>46014</v>
      </c>
      <c r="C18" s="3">
        <v>100000</v>
      </c>
      <c r="D18" s="3">
        <f t="shared" si="0"/>
        <v>5000000</v>
      </c>
      <c r="E18" s="2" t="s">
        <v>30</v>
      </c>
      <c r="F18" s="2">
        <v>2</v>
      </c>
      <c r="H18" s="2"/>
      <c r="I18" s="524" t="s">
        <v>891</v>
      </c>
      <c r="J18" s="549">
        <f>'DETAILS (sorted)'!DL2</f>
        <v>119243.36978427898</v>
      </c>
    </row>
    <row r="19" spans="1:10" x14ac:dyDescent="0.35">
      <c r="A19" s="2">
        <v>14</v>
      </c>
      <c r="B19" s="71">
        <v>46041</v>
      </c>
      <c r="C19" s="3">
        <v>2000000</v>
      </c>
      <c r="D19" s="3">
        <f t="shared" si="0"/>
        <v>7000000</v>
      </c>
      <c r="E19" s="2" t="s">
        <v>30</v>
      </c>
      <c r="F19" s="2">
        <v>2</v>
      </c>
      <c r="H19" s="2"/>
      <c r="I19" s="524" t="s">
        <v>894</v>
      </c>
      <c r="J19" s="549">
        <f>'DETAILS (sorted)'!DM2</f>
        <v>0</v>
      </c>
    </row>
    <row r="20" spans="1:10" x14ac:dyDescent="0.35">
      <c r="A20" s="2">
        <v>15</v>
      </c>
      <c r="B20" s="71">
        <v>46041</v>
      </c>
      <c r="C20" s="3">
        <v>2000000</v>
      </c>
      <c r="D20" s="3">
        <f t="shared" si="0"/>
        <v>9000000</v>
      </c>
      <c r="E20" s="2" t="s">
        <v>30</v>
      </c>
      <c r="F20" s="2">
        <v>2</v>
      </c>
      <c r="H20" s="2"/>
      <c r="I20" s="524" t="s">
        <v>893</v>
      </c>
      <c r="J20" s="549">
        <f>'DETAILS (sorted)'!DN2</f>
        <v>0</v>
      </c>
    </row>
    <row r="21" spans="1:10" x14ac:dyDescent="0.35">
      <c r="A21" s="2">
        <v>16</v>
      </c>
      <c r="B21" s="71">
        <v>46058</v>
      </c>
      <c r="C21" s="3">
        <v>1000000</v>
      </c>
      <c r="D21" s="3">
        <f t="shared" si="0"/>
        <v>10000000</v>
      </c>
      <c r="E21" s="2" t="s">
        <v>30</v>
      </c>
      <c r="F21" s="2">
        <v>2</v>
      </c>
      <c r="H21" s="2"/>
      <c r="I21" s="524" t="s">
        <v>895</v>
      </c>
      <c r="J21" s="549">
        <f>'DETAILS (sorted)'!DO2</f>
        <v>0</v>
      </c>
    </row>
    <row r="22" spans="1:10" x14ac:dyDescent="0.35">
      <c r="A22" s="2">
        <v>17</v>
      </c>
      <c r="B22" s="71">
        <v>46058</v>
      </c>
      <c r="C22" s="3">
        <v>300000</v>
      </c>
      <c r="D22" s="3">
        <f t="shared" si="0"/>
        <v>10300000</v>
      </c>
      <c r="E22" s="2" t="s">
        <v>30</v>
      </c>
      <c r="F22" s="2">
        <v>2</v>
      </c>
      <c r="H22" s="2"/>
      <c r="I22" s="524" t="s">
        <v>897</v>
      </c>
      <c r="J22" s="549">
        <f>'DETAILS (sorted)'!DQ2</f>
        <v>0</v>
      </c>
    </row>
    <row r="23" spans="1:10" x14ac:dyDescent="0.35">
      <c r="A23" s="2">
        <v>18</v>
      </c>
      <c r="B23" s="71">
        <v>46058</v>
      </c>
      <c r="C23" s="3">
        <v>500000</v>
      </c>
      <c r="D23" s="3">
        <f t="shared" si="0"/>
        <v>10800000</v>
      </c>
      <c r="E23" s="2" t="s">
        <v>30</v>
      </c>
      <c r="F23" s="2">
        <v>2</v>
      </c>
      <c r="H23" s="2"/>
      <c r="I23" s="524" t="s">
        <v>898</v>
      </c>
      <c r="J23" s="549">
        <f>'DETAILS (sorted)'!DR2</f>
        <v>0</v>
      </c>
    </row>
    <row r="24" spans="1:10" x14ac:dyDescent="0.35">
      <c r="A24" s="2">
        <v>19</v>
      </c>
      <c r="B24" s="71">
        <v>46087</v>
      </c>
      <c r="C24" s="3">
        <v>125000</v>
      </c>
      <c r="D24" s="3">
        <f t="shared" si="0"/>
        <v>10925000</v>
      </c>
      <c r="E24" s="2" t="s">
        <v>30</v>
      </c>
      <c r="F24" s="2">
        <v>2</v>
      </c>
      <c r="H24" s="2"/>
      <c r="I24" s="484"/>
      <c r="J24" s="549"/>
    </row>
    <row r="25" spans="1:10" x14ac:dyDescent="0.35">
      <c r="A25" s="2">
        <v>20</v>
      </c>
      <c r="B25" s="71">
        <v>46087</v>
      </c>
      <c r="C25" s="3">
        <v>1200000</v>
      </c>
      <c r="D25" s="3">
        <f t="shared" si="0"/>
        <v>12125000</v>
      </c>
      <c r="E25" s="2" t="s">
        <v>30</v>
      </c>
      <c r="F25" s="2">
        <v>2</v>
      </c>
      <c r="H25" s="2"/>
      <c r="I25" s="484"/>
      <c r="J25" s="549"/>
    </row>
    <row r="26" spans="1:10" x14ac:dyDescent="0.35">
      <c r="A26" s="2">
        <v>21</v>
      </c>
      <c r="B26" s="71">
        <v>46087</v>
      </c>
      <c r="C26" s="3">
        <v>300000</v>
      </c>
      <c r="D26" s="3">
        <f t="shared" si="0"/>
        <v>12425000</v>
      </c>
      <c r="E26" s="2" t="s">
        <v>30</v>
      </c>
      <c r="F26" s="2">
        <v>2</v>
      </c>
      <c r="H26" s="2"/>
      <c r="I26" s="484"/>
      <c r="J26" s="549"/>
    </row>
    <row r="27" spans="1:10" x14ac:dyDescent="0.35">
      <c r="A27" s="2">
        <v>22</v>
      </c>
      <c r="B27" s="71">
        <v>46087</v>
      </c>
      <c r="C27" s="3">
        <v>700000</v>
      </c>
      <c r="D27" s="3">
        <f t="shared" si="0"/>
        <v>13125000</v>
      </c>
      <c r="E27" s="2" t="s">
        <v>30</v>
      </c>
      <c r="F27" s="2">
        <v>2</v>
      </c>
      <c r="H27" s="2"/>
      <c r="I27" s="484"/>
      <c r="J27" s="549"/>
    </row>
    <row r="28" spans="1:10" x14ac:dyDescent="0.35">
      <c r="A28" s="2">
        <v>23</v>
      </c>
      <c r="B28" s="71">
        <v>46087</v>
      </c>
      <c r="C28" s="3">
        <v>1300000</v>
      </c>
      <c r="D28" s="3">
        <f t="shared" si="0"/>
        <v>14425000</v>
      </c>
      <c r="E28" s="2" t="s">
        <v>30</v>
      </c>
      <c r="F28" s="2">
        <v>2</v>
      </c>
      <c r="H28" s="2"/>
      <c r="I28" s="484"/>
      <c r="J28" s="549"/>
    </row>
    <row r="29" spans="1:10" x14ac:dyDescent="0.35">
      <c r="A29" s="2">
        <v>24</v>
      </c>
      <c r="B29" s="71">
        <v>46087</v>
      </c>
      <c r="C29" s="3">
        <v>1000000</v>
      </c>
      <c r="D29" s="3">
        <f t="shared" si="0"/>
        <v>15425000</v>
      </c>
      <c r="E29" s="2" t="s">
        <v>30</v>
      </c>
      <c r="F29" s="2">
        <v>2</v>
      </c>
      <c r="H29" s="2"/>
      <c r="I29" s="484"/>
      <c r="J29" s="549"/>
    </row>
    <row r="30" spans="1:10" x14ac:dyDescent="0.35">
      <c r="A30" s="2">
        <v>25</v>
      </c>
      <c r="B30" s="71">
        <v>46087</v>
      </c>
      <c r="C30" s="3">
        <v>925225</v>
      </c>
      <c r="D30" s="3">
        <f t="shared" si="0"/>
        <v>16350225</v>
      </c>
      <c r="E30" s="2" t="s">
        <v>30</v>
      </c>
      <c r="F30" s="2">
        <v>2</v>
      </c>
      <c r="H30" s="2"/>
      <c r="I30" s="484"/>
      <c r="J30" s="549"/>
    </row>
    <row r="31" spans="1:10" x14ac:dyDescent="0.35">
      <c r="A31" s="2">
        <v>26</v>
      </c>
      <c r="B31" s="71">
        <v>46087</v>
      </c>
      <c r="C31" s="3">
        <v>1500000</v>
      </c>
      <c r="D31" s="3">
        <f t="shared" si="0"/>
        <v>17850225</v>
      </c>
      <c r="E31" s="2" t="s">
        <v>30</v>
      </c>
      <c r="F31" s="2">
        <v>2</v>
      </c>
      <c r="H31" s="2"/>
      <c r="I31" s="484"/>
      <c r="J31" s="549"/>
    </row>
    <row r="32" spans="1:10" x14ac:dyDescent="0.35">
      <c r="A32" s="2">
        <v>27</v>
      </c>
      <c r="B32" s="71">
        <v>46113</v>
      </c>
      <c r="C32" s="3">
        <v>3500000</v>
      </c>
      <c r="D32" s="3">
        <f t="shared" si="0"/>
        <v>21350225</v>
      </c>
      <c r="E32" s="2" t="s">
        <v>30</v>
      </c>
      <c r="F32" s="2">
        <v>2</v>
      </c>
      <c r="H32" s="2"/>
      <c r="I32" s="484"/>
      <c r="J32" s="549"/>
    </row>
    <row r="33" spans="1:10" x14ac:dyDescent="0.35">
      <c r="A33" s="2">
        <v>28</v>
      </c>
      <c r="B33" s="71">
        <v>46113</v>
      </c>
      <c r="C33" s="3">
        <v>1500000</v>
      </c>
      <c r="D33" s="3">
        <f t="shared" si="0"/>
        <v>22850225</v>
      </c>
      <c r="E33" s="2" t="s">
        <v>30</v>
      </c>
      <c r="F33" s="2">
        <v>2</v>
      </c>
      <c r="H33" s="2"/>
      <c r="I33" s="484"/>
      <c r="J33" s="549"/>
    </row>
    <row r="34" spans="1:10" x14ac:dyDescent="0.35">
      <c r="A34" s="2">
        <v>29</v>
      </c>
      <c r="B34" s="71">
        <v>46142</v>
      </c>
      <c r="C34" s="3">
        <v>3000000</v>
      </c>
      <c r="D34" s="3">
        <f t="shared" si="0"/>
        <v>25850225</v>
      </c>
      <c r="E34" s="2" t="s">
        <v>30</v>
      </c>
      <c r="F34" s="2">
        <v>2</v>
      </c>
      <c r="H34" s="2"/>
      <c r="I34" s="484"/>
      <c r="J34" s="549"/>
    </row>
    <row r="35" spans="1:10" x14ac:dyDescent="0.35">
      <c r="A35" s="2">
        <v>30</v>
      </c>
      <c r="B35" s="71">
        <v>46142</v>
      </c>
      <c r="C35" s="3">
        <v>326589</v>
      </c>
      <c r="D35" s="3">
        <f t="shared" si="0"/>
        <v>26176814</v>
      </c>
      <c r="E35" s="2" t="s">
        <v>30</v>
      </c>
      <c r="F35" s="2">
        <v>2</v>
      </c>
      <c r="H35" s="2"/>
      <c r="I35" s="484"/>
      <c r="J35" s="549"/>
    </row>
    <row r="36" spans="1:10" x14ac:dyDescent="0.35">
      <c r="A36" s="2">
        <v>31</v>
      </c>
      <c r="B36" s="71">
        <v>46164</v>
      </c>
      <c r="C36" s="3">
        <v>500000</v>
      </c>
      <c r="D36" s="3">
        <f t="shared" si="0"/>
        <v>26676814</v>
      </c>
      <c r="E36" s="2" t="s">
        <v>30</v>
      </c>
      <c r="F36" s="2">
        <v>2</v>
      </c>
      <c r="H36" s="2"/>
      <c r="I36" s="484"/>
      <c r="J36" s="549"/>
    </row>
    <row r="37" spans="1:10" x14ac:dyDescent="0.35">
      <c r="A37" s="2">
        <v>32</v>
      </c>
      <c r="B37" s="71">
        <v>46169</v>
      </c>
      <c r="C37" s="3">
        <v>355488</v>
      </c>
      <c r="D37" s="3">
        <f t="shared" si="0"/>
        <v>27032302</v>
      </c>
      <c r="E37" s="2" t="s">
        <v>30</v>
      </c>
      <c r="F37" s="2">
        <v>2</v>
      </c>
      <c r="H37" s="2"/>
      <c r="I37" s="484"/>
      <c r="J37" s="549"/>
    </row>
    <row r="38" spans="1:10" x14ac:dyDescent="0.35">
      <c r="A38" s="2">
        <v>33</v>
      </c>
      <c r="B38" s="71">
        <v>46170</v>
      </c>
      <c r="C38" s="3">
        <v>2000000</v>
      </c>
      <c r="D38" s="3">
        <f t="shared" si="0"/>
        <v>29032302</v>
      </c>
      <c r="E38" s="2" t="s">
        <v>30</v>
      </c>
      <c r="F38" s="2">
        <v>2</v>
      </c>
      <c r="H38" s="2"/>
      <c r="I38" s="484"/>
      <c r="J38" s="549"/>
    </row>
    <row r="39" spans="1:10" x14ac:dyDescent="0.35">
      <c r="A39" s="2">
        <v>34</v>
      </c>
      <c r="B39" s="71">
        <v>46174</v>
      </c>
      <c r="C39" s="3">
        <v>1000000</v>
      </c>
      <c r="D39" s="3">
        <f t="shared" si="0"/>
        <v>30032302</v>
      </c>
      <c r="E39" s="2" t="s">
        <v>30</v>
      </c>
      <c r="F39" s="2">
        <v>2</v>
      </c>
      <c r="H39" s="2"/>
      <c r="I39" s="484"/>
      <c r="J39" s="549"/>
    </row>
    <row r="40" spans="1:10" x14ac:dyDescent="0.35">
      <c r="A40" s="2">
        <v>35</v>
      </c>
      <c r="B40" s="71">
        <v>46198</v>
      </c>
      <c r="C40" s="3">
        <v>1500000</v>
      </c>
      <c r="D40" s="3">
        <f t="shared" si="0"/>
        <v>31532302</v>
      </c>
      <c r="E40" s="2" t="s">
        <v>30</v>
      </c>
      <c r="F40" s="2">
        <v>2</v>
      </c>
      <c r="H40" s="2"/>
      <c r="I40" s="484"/>
      <c r="J40" s="549"/>
    </row>
    <row r="41" spans="1:10" x14ac:dyDescent="0.35">
      <c r="A41" s="2">
        <v>36</v>
      </c>
      <c r="B41" s="71">
        <v>46199</v>
      </c>
      <c r="C41" s="3">
        <v>225500</v>
      </c>
      <c r="D41" s="3">
        <f t="shared" ref="D41" si="1">D40+C41</f>
        <v>31757802</v>
      </c>
      <c r="E41" s="2" t="s">
        <v>30</v>
      </c>
      <c r="F41" s="2">
        <v>2</v>
      </c>
      <c r="H41" s="2"/>
      <c r="I41" s="484"/>
      <c r="J41" s="549"/>
    </row>
    <row r="42" spans="1:10" x14ac:dyDescent="0.35">
      <c r="A42" s="2">
        <v>37</v>
      </c>
      <c r="B42" s="71">
        <v>46201</v>
      </c>
      <c r="C42" s="3">
        <v>500100</v>
      </c>
      <c r="D42" s="3">
        <f t="shared" ref="D42" si="2">D41+C42</f>
        <v>32257902</v>
      </c>
      <c r="E42" s="2" t="s">
        <v>30</v>
      </c>
      <c r="F42" s="2">
        <v>2</v>
      </c>
      <c r="H42" s="2"/>
      <c r="I42" s="484"/>
      <c r="J42" s="549"/>
    </row>
    <row r="43" spans="1:10" x14ac:dyDescent="0.35">
      <c r="A43" s="2">
        <v>38</v>
      </c>
      <c r="B43" s="71">
        <v>46202</v>
      </c>
      <c r="C43" s="3">
        <v>1000000</v>
      </c>
      <c r="D43" s="3">
        <f t="shared" ref="D43" si="3">D42+C43</f>
        <v>33257902</v>
      </c>
      <c r="E43" s="2" t="s">
        <v>30</v>
      </c>
      <c r="F43" s="2">
        <v>2</v>
      </c>
      <c r="H43" s="2"/>
      <c r="I43" s="484"/>
      <c r="J43" s="549"/>
    </row>
    <row r="44" spans="1:10" x14ac:dyDescent="0.35">
      <c r="A44" s="2">
        <v>39</v>
      </c>
      <c r="B44" s="71">
        <v>46203</v>
      </c>
      <c r="C44" s="3">
        <v>500000</v>
      </c>
      <c r="D44" s="3">
        <f t="shared" ref="D44" si="4">D43+C44</f>
        <v>33757902</v>
      </c>
      <c r="E44" s="2" t="s">
        <v>30</v>
      </c>
      <c r="F44" s="2">
        <v>2</v>
      </c>
      <c r="H44" s="2"/>
      <c r="I44" s="484"/>
      <c r="J44" s="549"/>
    </row>
    <row r="45" spans="1:10" x14ac:dyDescent="0.35">
      <c r="A45" s="2">
        <v>40</v>
      </c>
      <c r="B45" s="71">
        <v>46212</v>
      </c>
      <c r="C45" s="3">
        <v>2200000</v>
      </c>
      <c r="D45" s="3">
        <f t="shared" ref="D45" si="5">D44+C45</f>
        <v>35957902</v>
      </c>
      <c r="E45" s="2" t="s">
        <v>30</v>
      </c>
      <c r="F45" s="2">
        <v>2</v>
      </c>
      <c r="H45" s="2"/>
      <c r="I45" s="484"/>
      <c r="J45" s="549"/>
    </row>
    <row r="46" spans="1:10" x14ac:dyDescent="0.35">
      <c r="A46" s="2"/>
      <c r="B46" s="2"/>
      <c r="C46" s="3"/>
      <c r="D46" s="3"/>
      <c r="E46" s="2"/>
      <c r="F46" s="2"/>
      <c r="H46" s="2"/>
      <c r="I46" s="484"/>
      <c r="J46" s="549"/>
    </row>
    <row r="47" spans="1:10" s="5" customFormat="1" x14ac:dyDescent="0.35">
      <c r="A47" s="74"/>
      <c r="B47" s="74"/>
      <c r="C47" s="191">
        <f>SUM(C6:C46)</f>
        <v>35957902</v>
      </c>
      <c r="D47" s="191">
        <f>C47+J47</f>
        <v>37711977.430916876</v>
      </c>
      <c r="E47" s="191">
        <f>'DETAILS (sorted)'!DS2</f>
        <v>42240068.399687767</v>
      </c>
      <c r="F47" s="130">
        <f>D47-E47</f>
        <v>-4528090.9687708914</v>
      </c>
      <c r="G47" s="5" t="b">
        <f>D47=E47</f>
        <v>0</v>
      </c>
      <c r="H47" s="74"/>
      <c r="I47" s="544"/>
      <c r="J47" s="548">
        <f>SUM(J6:J36)</f>
        <v>1754075.4309168758</v>
      </c>
    </row>
    <row r="49" spans="3:6" x14ac:dyDescent="0.35">
      <c r="C49" s="191" t="s">
        <v>644</v>
      </c>
      <c r="D49" s="191">
        <f>C47+J47</f>
        <v>37711977.430916876</v>
      </c>
      <c r="E49" s="122">
        <f>D49/D50</f>
        <v>0.75423954861833753</v>
      </c>
      <c r="F49" s="2" t="s">
        <v>652</v>
      </c>
    </row>
    <row r="50" spans="3:6" x14ac:dyDescent="0.35">
      <c r="C50" s="191" t="s">
        <v>654</v>
      </c>
      <c r="D50" s="3">
        <v>50000000</v>
      </c>
      <c r="E50" s="122">
        <f>D50/D50</f>
        <v>1</v>
      </c>
      <c r="F50" s="2" t="s">
        <v>654</v>
      </c>
    </row>
    <row r="51" spans="3:6" x14ac:dyDescent="0.35">
      <c r="C51" s="3"/>
      <c r="D51" s="3">
        <f>D49-D50</f>
        <v>-12288022.569083124</v>
      </c>
      <c r="E51" s="122">
        <f>D51/D50</f>
        <v>-0.2457604513816625</v>
      </c>
      <c r="F51" s="2" t="s">
        <v>653</v>
      </c>
    </row>
    <row r="54" spans="3:6" x14ac:dyDescent="0.35">
      <c r="D54" s="1">
        <f>D49-33000000</f>
        <v>4711977.4309168756</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E30B3-F6DA-4156-A840-448E29CCF9CE}">
  <dimension ref="A2:J76"/>
  <sheetViews>
    <sheetView topLeftCell="A59" workbookViewId="0">
      <selection activeCell="N16" sqref="N16"/>
    </sheetView>
  </sheetViews>
  <sheetFormatPr defaultRowHeight="14.5" x14ac:dyDescent="0.35"/>
  <cols>
    <col min="1" max="1" width="8.1796875" bestFit="1" customWidth="1"/>
    <col min="2" max="2" width="14.26953125" bestFit="1" customWidth="1"/>
    <col min="3" max="3" width="11.36328125" style="1" bestFit="1" customWidth="1"/>
    <col min="4" max="4" width="14.453125" style="1" bestFit="1" customWidth="1"/>
    <col min="5" max="5" width="11.26953125" bestFit="1" customWidth="1"/>
    <col min="6" max="6" width="10.81640625" bestFit="1" customWidth="1"/>
    <col min="7" max="7" width="5.1796875" bestFit="1" customWidth="1"/>
    <col min="8" max="8" width="4.7265625" hidden="1" customWidth="1"/>
    <col min="9" max="9" width="25.7265625" style="526" bestFit="1" customWidth="1"/>
    <col min="10" max="10" width="12.726562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28" x14ac:dyDescent="0.35">
      <c r="A3" s="210" t="s">
        <v>227</v>
      </c>
      <c r="B3" s="760" t="s">
        <v>28</v>
      </c>
      <c r="C3" s="761"/>
      <c r="D3" s="70"/>
      <c r="E3" s="7"/>
      <c r="F3" s="7"/>
      <c r="G3" s="70"/>
      <c r="H3" s="11"/>
      <c r="I3" s="545"/>
      <c r="J3" s="559"/>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0">
        <v>45351</v>
      </c>
      <c r="C6" s="7">
        <v>170000</v>
      </c>
      <c r="D6" s="3">
        <f>C6</f>
        <v>170000</v>
      </c>
      <c r="E6" s="2" t="s">
        <v>144</v>
      </c>
      <c r="F6" s="2">
        <v>1</v>
      </c>
      <c r="H6" s="2"/>
      <c r="I6" s="503" t="s">
        <v>210</v>
      </c>
      <c r="J6" s="549">
        <v>28245.257507925206</v>
      </c>
    </row>
    <row r="7" spans="1:10" x14ac:dyDescent="0.35">
      <c r="A7" s="2">
        <v>2</v>
      </c>
      <c r="B7" s="70">
        <v>45351</v>
      </c>
      <c r="C7" s="3">
        <v>30000</v>
      </c>
      <c r="D7" s="3">
        <f>D6+C7</f>
        <v>200000</v>
      </c>
      <c r="E7" s="2" t="s">
        <v>144</v>
      </c>
      <c r="F7" s="2">
        <v>1</v>
      </c>
      <c r="H7" s="2"/>
      <c r="I7" s="504" t="s">
        <v>212</v>
      </c>
      <c r="J7" s="549">
        <v>68100.741166206382</v>
      </c>
    </row>
    <row r="8" spans="1:10" x14ac:dyDescent="0.35">
      <c r="A8" s="2">
        <v>3</v>
      </c>
      <c r="B8" s="71">
        <v>45353</v>
      </c>
      <c r="C8" s="11">
        <v>360000</v>
      </c>
      <c r="D8" s="3">
        <f t="shared" ref="D8:D56" si="0">D7+C8</f>
        <v>560000</v>
      </c>
      <c r="E8" s="2" t="s">
        <v>144</v>
      </c>
      <c r="F8" s="2">
        <v>1</v>
      </c>
      <c r="H8" s="2"/>
      <c r="I8" s="504" t="s">
        <v>213</v>
      </c>
      <c r="J8" s="549">
        <v>103866.05641097353</v>
      </c>
    </row>
    <row r="9" spans="1:10" x14ac:dyDescent="0.35">
      <c r="A9" s="2">
        <v>4</v>
      </c>
      <c r="B9" s="71">
        <v>45354</v>
      </c>
      <c r="C9" s="11">
        <v>140000</v>
      </c>
      <c r="D9" s="3">
        <f t="shared" si="0"/>
        <v>700000</v>
      </c>
      <c r="E9" s="2" t="s">
        <v>144</v>
      </c>
      <c r="F9" s="2">
        <v>1</v>
      </c>
      <c r="H9" s="2"/>
      <c r="I9" s="504" t="s">
        <v>215</v>
      </c>
      <c r="J9" s="549">
        <v>140816.55418665067</v>
      </c>
    </row>
    <row r="10" spans="1:10" x14ac:dyDescent="0.35">
      <c r="A10" s="2">
        <v>5</v>
      </c>
      <c r="B10" s="71">
        <v>45492</v>
      </c>
      <c r="C10" s="11">
        <v>100000</v>
      </c>
      <c r="D10" s="3">
        <f t="shared" si="0"/>
        <v>800000</v>
      </c>
      <c r="E10" s="2" t="s">
        <v>144</v>
      </c>
      <c r="F10" s="2">
        <v>2</v>
      </c>
      <c r="H10" s="2"/>
      <c r="I10" s="504" t="s">
        <v>217</v>
      </c>
      <c r="J10" s="549">
        <v>387065.38599262218</v>
      </c>
    </row>
    <row r="11" spans="1:10" x14ac:dyDescent="0.35">
      <c r="A11" s="2">
        <v>6</v>
      </c>
      <c r="B11" s="71">
        <v>45648</v>
      </c>
      <c r="C11" s="11">
        <v>200000</v>
      </c>
      <c r="D11" s="3">
        <f t="shared" si="0"/>
        <v>1000000</v>
      </c>
      <c r="E11" s="2" t="s">
        <v>144</v>
      </c>
      <c r="F11" s="2">
        <v>2</v>
      </c>
      <c r="H11" s="2"/>
      <c r="I11" s="504" t="s">
        <v>219</v>
      </c>
      <c r="J11" s="549">
        <v>220089.2384756956</v>
      </c>
    </row>
    <row r="12" spans="1:10" x14ac:dyDescent="0.35">
      <c r="A12" s="2">
        <v>7</v>
      </c>
      <c r="B12" s="71">
        <v>45727</v>
      </c>
      <c r="C12" s="11">
        <v>100000</v>
      </c>
      <c r="D12" s="3">
        <f t="shared" si="0"/>
        <v>1100000</v>
      </c>
      <c r="E12" s="2" t="s">
        <v>30</v>
      </c>
      <c r="F12" s="2">
        <v>2</v>
      </c>
      <c r="H12" s="2"/>
      <c r="I12" s="504" t="s">
        <v>537</v>
      </c>
      <c r="J12" s="549">
        <v>60649.900139976919</v>
      </c>
    </row>
    <row r="13" spans="1:10" x14ac:dyDescent="0.35">
      <c r="A13" s="2">
        <v>8</v>
      </c>
      <c r="B13" s="71">
        <v>45728</v>
      </c>
      <c r="C13" s="11">
        <v>100000</v>
      </c>
      <c r="D13" s="3">
        <f t="shared" si="0"/>
        <v>1200000</v>
      </c>
      <c r="E13" s="2" t="s">
        <v>30</v>
      </c>
      <c r="F13" s="2">
        <v>2</v>
      </c>
      <c r="H13" s="2"/>
      <c r="I13" s="504" t="s">
        <v>543</v>
      </c>
      <c r="J13" s="549">
        <v>156029.625636652</v>
      </c>
    </row>
    <row r="14" spans="1:10" x14ac:dyDescent="0.35">
      <c r="A14" s="2">
        <v>9</v>
      </c>
      <c r="B14" s="71">
        <v>45884</v>
      </c>
      <c r="C14" s="11">
        <v>700000</v>
      </c>
      <c r="D14" s="3">
        <f t="shared" si="0"/>
        <v>1900000</v>
      </c>
      <c r="E14" s="2" t="s">
        <v>30</v>
      </c>
      <c r="F14" s="2">
        <v>2</v>
      </c>
      <c r="H14" s="2"/>
      <c r="I14" s="504" t="s">
        <v>681</v>
      </c>
      <c r="J14" s="549">
        <f>'DETAILS (sorted)'!DC4</f>
        <v>275218.45502047869</v>
      </c>
    </row>
    <row r="15" spans="1:10" x14ac:dyDescent="0.35">
      <c r="A15" s="2">
        <v>10</v>
      </c>
      <c r="B15" s="71">
        <v>45937</v>
      </c>
      <c r="C15" s="205">
        <v>300000</v>
      </c>
      <c r="D15" s="3">
        <f t="shared" si="0"/>
        <v>2200000</v>
      </c>
      <c r="E15" s="2" t="s">
        <v>30</v>
      </c>
      <c r="F15" s="2">
        <v>2</v>
      </c>
      <c r="H15" s="2"/>
      <c r="I15" s="504" t="s">
        <v>696</v>
      </c>
      <c r="J15" s="549">
        <f>'DETAILS (sorted)'!DD4</f>
        <v>186349.03414870059</v>
      </c>
    </row>
    <row r="16" spans="1:10" x14ac:dyDescent="0.35">
      <c r="A16" s="2">
        <v>11</v>
      </c>
      <c r="B16" s="71">
        <v>45937</v>
      </c>
      <c r="C16" s="205">
        <v>300000</v>
      </c>
      <c r="D16" s="3">
        <f t="shared" si="0"/>
        <v>2500000</v>
      </c>
      <c r="E16" s="2" t="s">
        <v>30</v>
      </c>
      <c r="F16" s="2">
        <v>2</v>
      </c>
      <c r="H16" s="2"/>
      <c r="I16" s="524" t="s">
        <v>887</v>
      </c>
      <c r="J16" s="549">
        <f>'DETAILS (sorted)'!DF4</f>
        <v>156512.88266063761</v>
      </c>
    </row>
    <row r="17" spans="1:10" x14ac:dyDescent="0.35">
      <c r="A17" s="2">
        <v>12</v>
      </c>
      <c r="B17" s="71">
        <v>45966</v>
      </c>
      <c r="C17" s="3">
        <v>100000</v>
      </c>
      <c r="D17" s="3">
        <f t="shared" si="0"/>
        <v>2600000</v>
      </c>
      <c r="E17" s="2" t="s">
        <v>30</v>
      </c>
      <c r="F17" s="2">
        <v>2</v>
      </c>
      <c r="H17" s="2"/>
      <c r="I17" s="524" t="s">
        <v>889</v>
      </c>
      <c r="J17" s="549">
        <f>'DETAILS (sorted)'!DG4</f>
        <v>522595.31431049248</v>
      </c>
    </row>
    <row r="18" spans="1:10" x14ac:dyDescent="0.35">
      <c r="A18" s="2">
        <v>13</v>
      </c>
      <c r="B18" s="71">
        <v>45966</v>
      </c>
      <c r="C18" s="3">
        <v>1000000</v>
      </c>
      <c r="D18" s="3">
        <f t="shared" si="0"/>
        <v>3600000</v>
      </c>
      <c r="E18" s="2" t="s">
        <v>30</v>
      </c>
      <c r="F18" s="2">
        <v>2</v>
      </c>
      <c r="H18" s="2"/>
      <c r="I18" s="524" t="s">
        <v>891</v>
      </c>
      <c r="J18" s="549">
        <f>'DETAILS (sorted)'!DL4</f>
        <v>234524.23055574726</v>
      </c>
    </row>
    <row r="19" spans="1:10" x14ac:dyDescent="0.35">
      <c r="A19" s="2">
        <v>14</v>
      </c>
      <c r="B19" s="71">
        <v>45966</v>
      </c>
      <c r="C19" s="3">
        <v>1000000</v>
      </c>
      <c r="D19" s="3">
        <f t="shared" si="0"/>
        <v>4600000</v>
      </c>
      <c r="E19" s="2" t="s">
        <v>30</v>
      </c>
      <c r="F19" s="2">
        <v>2</v>
      </c>
      <c r="H19" s="2"/>
      <c r="I19" s="524" t="s">
        <v>894</v>
      </c>
      <c r="J19" s="549">
        <f>'DETAILS (sorted)'!DM4</f>
        <v>0</v>
      </c>
    </row>
    <row r="20" spans="1:10" x14ac:dyDescent="0.35">
      <c r="A20" s="2">
        <v>15</v>
      </c>
      <c r="B20" s="71">
        <v>45966</v>
      </c>
      <c r="C20" s="3">
        <v>600000</v>
      </c>
      <c r="D20" s="3">
        <f t="shared" si="0"/>
        <v>5200000</v>
      </c>
      <c r="E20" s="2" t="s">
        <v>30</v>
      </c>
      <c r="F20" s="2">
        <v>2</v>
      </c>
      <c r="H20" s="2"/>
      <c r="I20" s="524" t="s">
        <v>893</v>
      </c>
      <c r="J20" s="549">
        <f>'DETAILS (sorted)'!DN4</f>
        <v>0</v>
      </c>
    </row>
    <row r="21" spans="1:10" x14ac:dyDescent="0.35">
      <c r="A21" s="2">
        <v>16</v>
      </c>
      <c r="B21" s="71">
        <v>45998</v>
      </c>
      <c r="C21" s="3">
        <v>1200000</v>
      </c>
      <c r="D21" s="3">
        <f t="shared" si="0"/>
        <v>6400000</v>
      </c>
      <c r="E21" s="2" t="s">
        <v>30</v>
      </c>
      <c r="F21" s="2">
        <v>2</v>
      </c>
      <c r="H21" s="2"/>
      <c r="I21" s="524" t="s">
        <v>895</v>
      </c>
      <c r="J21" s="549">
        <f>'DETAILS (sorted)'!DO4</f>
        <v>0</v>
      </c>
    </row>
    <row r="22" spans="1:10" x14ac:dyDescent="0.35">
      <c r="A22" s="2">
        <v>17</v>
      </c>
      <c r="B22" s="71">
        <v>45998</v>
      </c>
      <c r="C22" s="3">
        <v>100000</v>
      </c>
      <c r="D22" s="3">
        <f t="shared" si="0"/>
        <v>6500000</v>
      </c>
      <c r="E22" s="2" t="s">
        <v>30</v>
      </c>
      <c r="F22" s="2">
        <v>2</v>
      </c>
      <c r="H22" s="2"/>
      <c r="I22" s="524" t="s">
        <v>897</v>
      </c>
      <c r="J22" s="549">
        <f>'DETAILS (sorted)'!DQ4</f>
        <v>0</v>
      </c>
    </row>
    <row r="23" spans="1:10" x14ac:dyDescent="0.35">
      <c r="A23" s="2">
        <v>18</v>
      </c>
      <c r="B23" s="71">
        <v>45998</v>
      </c>
      <c r="C23" s="3">
        <v>1300000</v>
      </c>
      <c r="D23" s="3">
        <f t="shared" si="0"/>
        <v>7800000</v>
      </c>
      <c r="E23" s="2" t="s">
        <v>30</v>
      </c>
      <c r="F23" s="2">
        <v>2</v>
      </c>
      <c r="H23" s="2"/>
      <c r="I23" s="524" t="s">
        <v>898</v>
      </c>
      <c r="J23" s="549">
        <f>'DETAILS (sorted)'!DR4</f>
        <v>0</v>
      </c>
    </row>
    <row r="24" spans="1:10" x14ac:dyDescent="0.35">
      <c r="A24" s="2">
        <v>19</v>
      </c>
      <c r="B24" s="71">
        <v>45998</v>
      </c>
      <c r="C24" s="3">
        <v>500000</v>
      </c>
      <c r="D24" s="3">
        <f t="shared" si="0"/>
        <v>8300000</v>
      </c>
      <c r="E24" s="2" t="s">
        <v>30</v>
      </c>
      <c r="F24" s="2">
        <v>2</v>
      </c>
      <c r="H24" s="2"/>
      <c r="I24" s="484"/>
      <c r="J24" s="549"/>
    </row>
    <row r="25" spans="1:10" x14ac:dyDescent="0.35">
      <c r="A25" s="2">
        <v>20</v>
      </c>
      <c r="B25" s="71">
        <v>46026</v>
      </c>
      <c r="C25" s="3">
        <v>500000</v>
      </c>
      <c r="D25" s="3">
        <f t="shared" si="0"/>
        <v>8800000</v>
      </c>
      <c r="E25" s="2" t="s">
        <v>30</v>
      </c>
      <c r="F25" s="2">
        <v>2</v>
      </c>
      <c r="H25" s="2"/>
      <c r="I25" s="484"/>
      <c r="J25" s="549"/>
    </row>
    <row r="26" spans="1:10" x14ac:dyDescent="0.35">
      <c r="A26" s="2">
        <v>21</v>
      </c>
      <c r="B26" s="71">
        <v>46026</v>
      </c>
      <c r="C26" s="3">
        <v>1000000</v>
      </c>
      <c r="D26" s="3">
        <f t="shared" si="0"/>
        <v>9800000</v>
      </c>
      <c r="E26" s="2" t="s">
        <v>30</v>
      </c>
      <c r="F26" s="2">
        <v>2</v>
      </c>
      <c r="H26" s="2"/>
      <c r="I26" s="484"/>
      <c r="J26" s="549"/>
    </row>
    <row r="27" spans="1:10" x14ac:dyDescent="0.35">
      <c r="A27" s="2">
        <v>22</v>
      </c>
      <c r="B27" s="71">
        <v>46026</v>
      </c>
      <c r="C27" s="3">
        <v>100000</v>
      </c>
      <c r="D27" s="3">
        <f t="shared" si="0"/>
        <v>9900000</v>
      </c>
      <c r="E27" s="2" t="s">
        <v>30</v>
      </c>
      <c r="F27" s="2">
        <v>2</v>
      </c>
      <c r="H27" s="2"/>
      <c r="I27" s="484"/>
      <c r="J27" s="549"/>
    </row>
    <row r="28" spans="1:10" x14ac:dyDescent="0.35">
      <c r="A28" s="2">
        <v>23</v>
      </c>
      <c r="B28" s="71">
        <v>46077</v>
      </c>
      <c r="C28" s="3">
        <v>500000</v>
      </c>
      <c r="D28" s="3">
        <f t="shared" si="0"/>
        <v>10400000</v>
      </c>
      <c r="E28" s="2" t="s">
        <v>30</v>
      </c>
      <c r="F28" s="2">
        <v>2</v>
      </c>
      <c r="H28" s="2"/>
      <c r="I28" s="484"/>
      <c r="J28" s="549"/>
    </row>
    <row r="29" spans="1:10" x14ac:dyDescent="0.35">
      <c r="A29" s="2">
        <v>24</v>
      </c>
      <c r="B29" s="71">
        <v>46077</v>
      </c>
      <c r="C29" s="3">
        <v>1000000</v>
      </c>
      <c r="D29" s="3">
        <f t="shared" si="0"/>
        <v>11400000</v>
      </c>
      <c r="E29" s="2" t="s">
        <v>30</v>
      </c>
      <c r="F29" s="2">
        <v>2</v>
      </c>
      <c r="H29" s="2"/>
      <c r="I29" s="484"/>
      <c r="J29" s="549"/>
    </row>
    <row r="30" spans="1:10" x14ac:dyDescent="0.35">
      <c r="A30" s="2">
        <v>25</v>
      </c>
      <c r="B30" s="71">
        <v>46083</v>
      </c>
      <c r="C30" s="3">
        <v>1300000</v>
      </c>
      <c r="D30" s="3">
        <f t="shared" si="0"/>
        <v>12700000</v>
      </c>
      <c r="E30" s="2" t="s">
        <v>30</v>
      </c>
      <c r="F30" s="2">
        <v>2</v>
      </c>
      <c r="H30" s="2"/>
      <c r="I30" s="484"/>
      <c r="J30" s="549"/>
    </row>
    <row r="31" spans="1:10" x14ac:dyDescent="0.35">
      <c r="A31" s="2">
        <v>26</v>
      </c>
      <c r="B31" s="71">
        <v>46083</v>
      </c>
      <c r="C31" s="3">
        <v>2000000</v>
      </c>
      <c r="D31" s="3">
        <f t="shared" si="0"/>
        <v>14700000</v>
      </c>
      <c r="E31" s="2" t="s">
        <v>30</v>
      </c>
      <c r="F31" s="2">
        <v>2</v>
      </c>
      <c r="H31" s="2"/>
      <c r="I31" s="484"/>
      <c r="J31" s="549"/>
    </row>
    <row r="32" spans="1:10" x14ac:dyDescent="0.35">
      <c r="A32" s="2">
        <v>27</v>
      </c>
      <c r="B32" s="71">
        <v>46083</v>
      </c>
      <c r="C32" s="3">
        <v>125000</v>
      </c>
      <c r="D32" s="3">
        <f t="shared" si="0"/>
        <v>14825000</v>
      </c>
      <c r="E32" s="2" t="s">
        <v>30</v>
      </c>
      <c r="F32" s="2">
        <v>2</v>
      </c>
      <c r="H32" s="2"/>
      <c r="I32" s="484"/>
      <c r="J32" s="549"/>
    </row>
    <row r="33" spans="1:10" x14ac:dyDescent="0.35">
      <c r="A33" s="2">
        <v>28</v>
      </c>
      <c r="B33" s="71">
        <v>46083</v>
      </c>
      <c r="C33" s="3">
        <v>750000</v>
      </c>
      <c r="D33" s="3">
        <f t="shared" si="0"/>
        <v>15575000</v>
      </c>
      <c r="E33" s="2" t="s">
        <v>30</v>
      </c>
      <c r="F33" s="2">
        <v>2</v>
      </c>
      <c r="H33" s="2"/>
      <c r="I33" s="484"/>
      <c r="J33" s="549"/>
    </row>
    <row r="34" spans="1:10" x14ac:dyDescent="0.35">
      <c r="A34" s="2">
        <v>29</v>
      </c>
      <c r="B34" s="71">
        <v>46083</v>
      </c>
      <c r="C34" s="3">
        <v>2200000</v>
      </c>
      <c r="D34" s="3">
        <f t="shared" si="0"/>
        <v>17775000</v>
      </c>
      <c r="E34" s="2" t="s">
        <v>30</v>
      </c>
      <c r="F34" s="2">
        <v>2</v>
      </c>
      <c r="H34" s="2"/>
      <c r="I34" s="484"/>
      <c r="J34" s="549"/>
    </row>
    <row r="35" spans="1:10" x14ac:dyDescent="0.35">
      <c r="A35" s="2">
        <v>30</v>
      </c>
      <c r="B35" s="71">
        <v>46083</v>
      </c>
      <c r="C35" s="3">
        <v>1120000</v>
      </c>
      <c r="D35" s="3">
        <f t="shared" si="0"/>
        <v>18895000</v>
      </c>
      <c r="E35" s="2" t="s">
        <v>30</v>
      </c>
      <c r="F35" s="2">
        <v>2</v>
      </c>
      <c r="H35" s="2"/>
      <c r="I35" s="484"/>
      <c r="J35" s="549"/>
    </row>
    <row r="36" spans="1:10" x14ac:dyDescent="0.35">
      <c r="A36" s="2">
        <v>31</v>
      </c>
      <c r="B36" s="71">
        <v>46083</v>
      </c>
      <c r="C36" s="3">
        <v>900000</v>
      </c>
      <c r="D36" s="3">
        <f t="shared" si="0"/>
        <v>19795000</v>
      </c>
      <c r="E36" s="2" t="s">
        <v>30</v>
      </c>
      <c r="F36" s="2">
        <v>2</v>
      </c>
      <c r="H36" s="2"/>
      <c r="I36" s="484"/>
      <c r="J36" s="549"/>
    </row>
    <row r="37" spans="1:10" x14ac:dyDescent="0.35">
      <c r="A37" s="2">
        <v>32</v>
      </c>
      <c r="B37" s="71">
        <v>46083</v>
      </c>
      <c r="C37" s="3">
        <v>500000</v>
      </c>
      <c r="D37" s="3">
        <f t="shared" si="0"/>
        <v>20295000</v>
      </c>
      <c r="E37" s="2" t="s">
        <v>30</v>
      </c>
      <c r="F37" s="2">
        <v>2</v>
      </c>
      <c r="H37" s="2"/>
      <c r="I37" s="484"/>
      <c r="J37" s="549"/>
    </row>
    <row r="38" spans="1:10" x14ac:dyDescent="0.35">
      <c r="A38" s="2">
        <v>33</v>
      </c>
      <c r="B38" s="71">
        <v>46083</v>
      </c>
      <c r="C38" s="3">
        <v>100000</v>
      </c>
      <c r="D38" s="3">
        <f t="shared" si="0"/>
        <v>20395000</v>
      </c>
      <c r="E38" s="2" t="s">
        <v>30</v>
      </c>
      <c r="F38" s="2">
        <v>2</v>
      </c>
      <c r="H38" s="2"/>
      <c r="I38" s="484"/>
      <c r="J38" s="549"/>
    </row>
    <row r="39" spans="1:10" x14ac:dyDescent="0.35">
      <c r="A39" s="2">
        <v>34</v>
      </c>
      <c r="B39" s="71">
        <v>46105</v>
      </c>
      <c r="C39" s="3">
        <v>1500000</v>
      </c>
      <c r="D39" s="3">
        <f t="shared" si="0"/>
        <v>21895000</v>
      </c>
      <c r="E39" s="2" t="s">
        <v>30</v>
      </c>
      <c r="F39" s="2">
        <v>2</v>
      </c>
      <c r="H39" s="2"/>
      <c r="I39" s="484"/>
      <c r="J39" s="549"/>
    </row>
    <row r="40" spans="1:10" x14ac:dyDescent="0.35">
      <c r="A40" s="2">
        <v>35</v>
      </c>
      <c r="B40" s="71">
        <v>46109</v>
      </c>
      <c r="C40" s="3">
        <v>400000</v>
      </c>
      <c r="D40" s="3">
        <f t="shared" si="0"/>
        <v>22295000</v>
      </c>
      <c r="E40" s="2" t="s">
        <v>30</v>
      </c>
      <c r="F40" s="2">
        <v>2</v>
      </c>
      <c r="H40" s="2"/>
      <c r="I40" s="484"/>
      <c r="J40" s="549"/>
    </row>
    <row r="41" spans="1:10" x14ac:dyDescent="0.35">
      <c r="A41" s="2">
        <v>36</v>
      </c>
      <c r="B41" s="71">
        <v>46109</v>
      </c>
      <c r="C41" s="3">
        <v>60000</v>
      </c>
      <c r="D41" s="3">
        <f t="shared" si="0"/>
        <v>22355000</v>
      </c>
      <c r="E41" s="2" t="s">
        <v>30</v>
      </c>
      <c r="F41" s="2">
        <v>2</v>
      </c>
      <c r="H41" s="2"/>
      <c r="I41" s="484"/>
      <c r="J41" s="549"/>
    </row>
    <row r="42" spans="1:10" x14ac:dyDescent="0.35">
      <c r="A42" s="2">
        <v>37</v>
      </c>
      <c r="B42" s="71">
        <v>46109</v>
      </c>
      <c r="C42" s="3">
        <v>300000</v>
      </c>
      <c r="D42" s="3">
        <f t="shared" si="0"/>
        <v>22655000</v>
      </c>
      <c r="E42" s="2" t="s">
        <v>30</v>
      </c>
      <c r="F42" s="2">
        <v>2</v>
      </c>
      <c r="H42" s="2"/>
      <c r="I42" s="484"/>
      <c r="J42" s="549"/>
    </row>
    <row r="43" spans="1:10" x14ac:dyDescent="0.35">
      <c r="A43" s="2">
        <v>38</v>
      </c>
      <c r="B43" s="71">
        <v>46113</v>
      </c>
      <c r="C43" s="3">
        <v>3700000</v>
      </c>
      <c r="D43" s="3">
        <f t="shared" si="0"/>
        <v>26355000</v>
      </c>
      <c r="E43" s="2" t="s">
        <v>30</v>
      </c>
      <c r="F43" s="2">
        <v>2</v>
      </c>
      <c r="H43" s="2"/>
      <c r="I43" s="484"/>
      <c r="J43" s="549"/>
    </row>
    <row r="44" spans="1:10" x14ac:dyDescent="0.35">
      <c r="A44" s="2">
        <v>39</v>
      </c>
      <c r="B44" s="71">
        <v>46113</v>
      </c>
      <c r="C44" s="3">
        <v>1000000</v>
      </c>
      <c r="D44" s="3">
        <f t="shared" si="0"/>
        <v>27355000</v>
      </c>
      <c r="E44" s="2" t="s">
        <v>30</v>
      </c>
      <c r="F44" s="2">
        <v>2</v>
      </c>
      <c r="H44" s="2"/>
      <c r="I44" s="484"/>
      <c r="J44" s="549"/>
    </row>
    <row r="45" spans="1:10" x14ac:dyDescent="0.35">
      <c r="A45" s="2">
        <v>40</v>
      </c>
      <c r="B45" s="71">
        <v>46113</v>
      </c>
      <c r="C45" s="3">
        <v>2000000</v>
      </c>
      <c r="D45" s="3">
        <f t="shared" si="0"/>
        <v>29355000</v>
      </c>
      <c r="E45" s="2" t="s">
        <v>30</v>
      </c>
      <c r="F45" s="2">
        <v>2</v>
      </c>
      <c r="H45" s="2"/>
      <c r="I45" s="484"/>
      <c r="J45" s="549"/>
    </row>
    <row r="46" spans="1:10" x14ac:dyDescent="0.35">
      <c r="A46" s="2">
        <v>41</v>
      </c>
      <c r="B46" s="71">
        <v>46121</v>
      </c>
      <c r="C46" s="3">
        <v>150000</v>
      </c>
      <c r="D46" s="3">
        <f t="shared" si="0"/>
        <v>29505000</v>
      </c>
      <c r="E46" s="2" t="s">
        <v>30</v>
      </c>
      <c r="F46" s="2">
        <v>2</v>
      </c>
      <c r="H46" s="2"/>
      <c r="I46" s="484"/>
      <c r="J46" s="549"/>
    </row>
    <row r="47" spans="1:10" x14ac:dyDescent="0.35">
      <c r="A47" s="2">
        <v>42</v>
      </c>
      <c r="B47" s="71">
        <v>46121</v>
      </c>
      <c r="C47" s="3">
        <v>320000</v>
      </c>
      <c r="D47" s="3">
        <f t="shared" si="0"/>
        <v>29825000</v>
      </c>
      <c r="E47" s="2" t="s">
        <v>30</v>
      </c>
      <c r="F47" s="2">
        <v>2</v>
      </c>
      <c r="H47" s="2"/>
      <c r="I47" s="484"/>
      <c r="J47" s="549"/>
    </row>
    <row r="48" spans="1:10" x14ac:dyDescent="0.35">
      <c r="A48" s="2">
        <v>43</v>
      </c>
      <c r="B48" s="71">
        <v>46123</v>
      </c>
      <c r="C48" s="3">
        <v>524210</v>
      </c>
      <c r="D48" s="3">
        <f t="shared" si="0"/>
        <v>30349210</v>
      </c>
      <c r="E48" s="2" t="s">
        <v>30</v>
      </c>
      <c r="F48" s="2">
        <v>2</v>
      </c>
      <c r="H48" s="2"/>
      <c r="I48" s="484"/>
      <c r="J48" s="549"/>
    </row>
    <row r="49" spans="1:10" x14ac:dyDescent="0.35">
      <c r="A49" s="2">
        <v>44</v>
      </c>
      <c r="B49" s="71">
        <v>46113</v>
      </c>
      <c r="C49" s="3">
        <v>900000</v>
      </c>
      <c r="D49" s="3">
        <f t="shared" si="0"/>
        <v>31249210</v>
      </c>
      <c r="E49" s="2" t="s">
        <v>30</v>
      </c>
      <c r="F49" s="2">
        <v>2</v>
      </c>
      <c r="H49" s="2"/>
      <c r="I49" s="484"/>
      <c r="J49" s="549"/>
    </row>
    <row r="50" spans="1:10" x14ac:dyDescent="0.35">
      <c r="A50" s="2">
        <v>45</v>
      </c>
      <c r="B50" s="71">
        <v>46137</v>
      </c>
      <c r="C50" s="3">
        <v>1000000</v>
      </c>
      <c r="D50" s="3">
        <f t="shared" si="0"/>
        <v>32249210</v>
      </c>
      <c r="E50" s="2" t="s">
        <v>30</v>
      </c>
      <c r="F50" s="2">
        <v>2</v>
      </c>
      <c r="H50" s="2"/>
      <c r="I50" s="484"/>
      <c r="J50" s="549"/>
    </row>
    <row r="51" spans="1:10" x14ac:dyDescent="0.35">
      <c r="A51" s="2">
        <v>46</v>
      </c>
      <c r="B51" s="71">
        <v>46137</v>
      </c>
      <c r="C51" s="3">
        <v>1000000</v>
      </c>
      <c r="D51" s="3">
        <f t="shared" si="0"/>
        <v>33249210</v>
      </c>
      <c r="E51" s="2" t="s">
        <v>30</v>
      </c>
      <c r="F51" s="2">
        <v>2</v>
      </c>
      <c r="H51" s="2"/>
      <c r="I51" s="484"/>
      <c r="J51" s="549"/>
    </row>
    <row r="52" spans="1:10" x14ac:dyDescent="0.35">
      <c r="A52" s="2">
        <v>47</v>
      </c>
      <c r="B52" s="71">
        <v>46137</v>
      </c>
      <c r="C52" s="3">
        <v>1000000</v>
      </c>
      <c r="D52" s="3">
        <f t="shared" si="0"/>
        <v>34249210</v>
      </c>
      <c r="E52" s="2" t="s">
        <v>30</v>
      </c>
      <c r="F52" s="2">
        <v>2</v>
      </c>
      <c r="H52" s="2"/>
      <c r="I52" s="484"/>
      <c r="J52" s="549"/>
    </row>
    <row r="53" spans="1:10" x14ac:dyDescent="0.35">
      <c r="A53" s="2">
        <v>48</v>
      </c>
      <c r="B53" s="71">
        <v>46142</v>
      </c>
      <c r="C53" s="3">
        <v>5000000</v>
      </c>
      <c r="D53" s="3">
        <f t="shared" si="0"/>
        <v>39249210</v>
      </c>
      <c r="E53" s="2" t="s">
        <v>30</v>
      </c>
      <c r="F53" s="2">
        <v>2</v>
      </c>
      <c r="H53" s="2"/>
      <c r="I53" s="484"/>
      <c r="J53" s="549"/>
    </row>
    <row r="54" spans="1:10" x14ac:dyDescent="0.35">
      <c r="A54" s="2">
        <v>49</v>
      </c>
      <c r="B54" s="71">
        <v>46143</v>
      </c>
      <c r="C54" s="3">
        <v>500000</v>
      </c>
      <c r="D54" s="3">
        <f t="shared" si="0"/>
        <v>39749210</v>
      </c>
      <c r="E54" s="2" t="s">
        <v>30</v>
      </c>
      <c r="F54" s="2">
        <v>2</v>
      </c>
      <c r="H54" s="2"/>
      <c r="I54" s="484"/>
      <c r="J54" s="549"/>
    </row>
    <row r="55" spans="1:10" x14ac:dyDescent="0.35">
      <c r="A55" s="2">
        <v>50</v>
      </c>
      <c r="B55" s="71">
        <v>46143</v>
      </c>
      <c r="C55" s="3">
        <v>85927</v>
      </c>
      <c r="D55" s="3">
        <f t="shared" si="0"/>
        <v>39835137</v>
      </c>
      <c r="E55" s="2" t="s">
        <v>30</v>
      </c>
      <c r="F55" s="2">
        <v>2</v>
      </c>
      <c r="H55" s="2"/>
      <c r="I55" s="484"/>
      <c r="J55" s="549"/>
    </row>
    <row r="56" spans="1:10" x14ac:dyDescent="0.35">
      <c r="A56" s="2">
        <v>51</v>
      </c>
      <c r="B56" s="71">
        <v>46151</v>
      </c>
      <c r="C56" s="3">
        <v>4000000</v>
      </c>
      <c r="D56" s="3">
        <f t="shared" si="0"/>
        <v>43835137</v>
      </c>
      <c r="E56" s="2" t="s">
        <v>30</v>
      </c>
      <c r="F56" s="2">
        <v>2</v>
      </c>
      <c r="H56" s="2"/>
      <c r="I56" s="484"/>
      <c r="J56" s="549"/>
    </row>
    <row r="57" spans="1:10" x14ac:dyDescent="0.35">
      <c r="A57" s="2">
        <v>52</v>
      </c>
      <c r="B57" s="71">
        <v>46153</v>
      </c>
      <c r="C57" s="3">
        <v>500000</v>
      </c>
      <c r="D57" s="3">
        <f t="shared" ref="D57:D59" si="1">D56+C57</f>
        <v>44335137</v>
      </c>
      <c r="E57" s="2" t="s">
        <v>30</v>
      </c>
      <c r="F57" s="2">
        <v>2</v>
      </c>
      <c r="H57" s="2"/>
      <c r="I57" s="484"/>
      <c r="J57" s="549"/>
    </row>
    <row r="58" spans="1:10" x14ac:dyDescent="0.35">
      <c r="A58" s="2">
        <v>53</v>
      </c>
      <c r="B58" s="71">
        <v>46157</v>
      </c>
      <c r="C58" s="3">
        <v>1000000</v>
      </c>
      <c r="D58" s="3">
        <f t="shared" si="1"/>
        <v>45335137</v>
      </c>
      <c r="E58" s="2" t="s">
        <v>30</v>
      </c>
      <c r="F58" s="2">
        <v>2</v>
      </c>
      <c r="H58" s="2"/>
      <c r="I58" s="484"/>
      <c r="J58" s="549"/>
    </row>
    <row r="59" spans="1:10" x14ac:dyDescent="0.35">
      <c r="A59" s="2">
        <v>54</v>
      </c>
      <c r="B59" s="71">
        <v>46158</v>
      </c>
      <c r="C59" s="3">
        <v>3500000</v>
      </c>
      <c r="D59" s="3">
        <f t="shared" si="1"/>
        <v>48835137</v>
      </c>
      <c r="E59" s="2" t="s">
        <v>30</v>
      </c>
      <c r="F59" s="2">
        <v>2</v>
      </c>
      <c r="H59" s="2"/>
      <c r="I59" s="484"/>
      <c r="J59" s="549"/>
    </row>
    <row r="60" spans="1:10" x14ac:dyDescent="0.35">
      <c r="A60" s="2">
        <v>55</v>
      </c>
      <c r="B60" s="71">
        <v>46174</v>
      </c>
      <c r="C60" s="3">
        <v>500000</v>
      </c>
      <c r="D60" s="3">
        <f t="shared" ref="D60" si="2">D59+C60</f>
        <v>49335137</v>
      </c>
      <c r="E60" s="2" t="s">
        <v>30</v>
      </c>
      <c r="F60" s="2">
        <v>2</v>
      </c>
      <c r="H60" s="2"/>
      <c r="I60" s="484"/>
      <c r="J60" s="549"/>
    </row>
    <row r="61" spans="1:10" x14ac:dyDescent="0.35">
      <c r="A61" s="2">
        <v>56</v>
      </c>
      <c r="B61" s="71">
        <v>46176</v>
      </c>
      <c r="C61" s="3">
        <v>26361</v>
      </c>
      <c r="D61" s="3">
        <f t="shared" ref="D61" si="3">D60+C61</f>
        <v>49361498</v>
      </c>
      <c r="E61" s="2" t="s">
        <v>30</v>
      </c>
      <c r="F61" s="2">
        <v>2</v>
      </c>
      <c r="H61" s="2"/>
      <c r="I61" s="484"/>
      <c r="J61" s="549"/>
    </row>
    <row r="62" spans="1:10" x14ac:dyDescent="0.35">
      <c r="A62" s="2">
        <v>57</v>
      </c>
      <c r="B62" s="71">
        <v>46187</v>
      </c>
      <c r="C62" s="3">
        <v>1000000</v>
      </c>
      <c r="D62" s="3">
        <f t="shared" ref="D62" si="4">D61+C62</f>
        <v>50361498</v>
      </c>
      <c r="E62" s="2" t="s">
        <v>30</v>
      </c>
      <c r="F62" s="2">
        <v>2</v>
      </c>
      <c r="H62" s="2"/>
      <c r="I62" s="484"/>
      <c r="J62" s="549"/>
    </row>
    <row r="63" spans="1:10" x14ac:dyDescent="0.35">
      <c r="A63" s="2">
        <v>58</v>
      </c>
      <c r="B63" s="71">
        <v>46187</v>
      </c>
      <c r="C63" s="3">
        <v>1000000</v>
      </c>
      <c r="D63" s="3">
        <f t="shared" ref="D63" si="5">D62+C63</f>
        <v>51361498</v>
      </c>
      <c r="E63" s="2" t="s">
        <v>30</v>
      </c>
      <c r="F63" s="2">
        <v>2</v>
      </c>
      <c r="H63" s="2"/>
      <c r="I63" s="484"/>
      <c r="J63" s="549"/>
    </row>
    <row r="64" spans="1:10" x14ac:dyDescent="0.35">
      <c r="A64" s="2">
        <v>59</v>
      </c>
      <c r="B64" s="71">
        <v>46190</v>
      </c>
      <c r="C64" s="3">
        <v>1000000</v>
      </c>
      <c r="D64" s="3">
        <f t="shared" ref="D64" si="6">D63+C64</f>
        <v>52361498</v>
      </c>
      <c r="E64" s="2" t="s">
        <v>30</v>
      </c>
      <c r="F64" s="2">
        <v>2</v>
      </c>
      <c r="H64" s="2"/>
      <c r="I64" s="484"/>
      <c r="J64" s="549"/>
    </row>
    <row r="65" spans="1:10" x14ac:dyDescent="0.35">
      <c r="A65" s="2">
        <v>60</v>
      </c>
      <c r="B65" s="71">
        <v>46198</v>
      </c>
      <c r="C65" s="3">
        <v>300000</v>
      </c>
      <c r="D65" s="3">
        <f t="shared" ref="D65" si="7">D64+C65</f>
        <v>52661498</v>
      </c>
      <c r="E65" s="2" t="s">
        <v>30</v>
      </c>
      <c r="F65" s="2">
        <v>2</v>
      </c>
      <c r="H65" s="2"/>
      <c r="I65" s="484"/>
      <c r="J65" s="549"/>
    </row>
    <row r="66" spans="1:10" x14ac:dyDescent="0.35">
      <c r="A66" s="2">
        <v>61</v>
      </c>
      <c r="B66" s="71">
        <v>46202</v>
      </c>
      <c r="C66" s="3">
        <v>3000000</v>
      </c>
      <c r="D66" s="3">
        <f t="shared" ref="D66" si="8">D65+C66</f>
        <v>55661498</v>
      </c>
      <c r="E66" s="2" t="s">
        <v>30</v>
      </c>
      <c r="F66" s="2">
        <v>2</v>
      </c>
      <c r="H66" s="2"/>
      <c r="I66" s="484"/>
      <c r="J66" s="549"/>
    </row>
    <row r="67" spans="1:10" x14ac:dyDescent="0.35">
      <c r="A67" s="2">
        <v>62</v>
      </c>
      <c r="B67" s="71">
        <v>46202</v>
      </c>
      <c r="C67" s="3">
        <v>2712072</v>
      </c>
      <c r="D67" s="3">
        <f t="shared" ref="D67" si="9">D66+C67</f>
        <v>58373570</v>
      </c>
      <c r="E67" s="2" t="s">
        <v>30</v>
      </c>
      <c r="F67" s="2">
        <v>2</v>
      </c>
      <c r="H67" s="2"/>
      <c r="I67" s="484"/>
      <c r="J67" s="549"/>
    </row>
    <row r="68" spans="1:10" x14ac:dyDescent="0.35">
      <c r="A68" s="2">
        <v>63</v>
      </c>
      <c r="B68" s="71">
        <v>46206</v>
      </c>
      <c r="C68" s="3">
        <v>500000</v>
      </c>
      <c r="D68" s="3">
        <f t="shared" ref="D68" si="10">D67+C68</f>
        <v>58873570</v>
      </c>
      <c r="E68" s="2" t="s">
        <v>30</v>
      </c>
      <c r="F68" s="2">
        <v>2</v>
      </c>
      <c r="H68" s="2"/>
      <c r="I68" s="484"/>
      <c r="J68" s="549"/>
    </row>
    <row r="69" spans="1:10" x14ac:dyDescent="0.35">
      <c r="A69" s="2">
        <v>64</v>
      </c>
      <c r="B69" s="71">
        <v>46211</v>
      </c>
      <c r="C69" s="3">
        <v>500000</v>
      </c>
      <c r="D69" s="3">
        <f t="shared" ref="D69" si="11">D68+C69</f>
        <v>59373570</v>
      </c>
      <c r="E69" s="2" t="s">
        <v>30</v>
      </c>
      <c r="F69" s="2">
        <v>2</v>
      </c>
      <c r="H69" s="2"/>
      <c r="I69" s="484"/>
      <c r="J69" s="549"/>
    </row>
    <row r="70" spans="1:10" x14ac:dyDescent="0.35">
      <c r="A70" s="2"/>
      <c r="B70" s="2"/>
      <c r="C70" s="3"/>
      <c r="D70" s="3"/>
      <c r="E70" s="2"/>
      <c r="F70" s="2"/>
      <c r="H70" s="2"/>
      <c r="I70" s="484"/>
      <c r="J70" s="549"/>
    </row>
    <row r="71" spans="1:10" s="5" customFormat="1" x14ac:dyDescent="0.35">
      <c r="A71" s="74"/>
      <c r="B71" s="74"/>
      <c r="C71" s="191">
        <f>SUM(C6:C70)</f>
        <v>59373570</v>
      </c>
      <c r="D71" s="191">
        <f>C71+J71</f>
        <v>61913632.676212758</v>
      </c>
      <c r="E71" s="191">
        <f>'DETAILS (sorted)'!DS4</f>
        <v>83076480.964771852</v>
      </c>
      <c r="F71" s="130">
        <f>D71-E71</f>
        <v>-21162848.288559094</v>
      </c>
      <c r="G71" s="5" t="b">
        <f>E71=D71</f>
        <v>0</v>
      </c>
      <c r="H71" s="74"/>
      <c r="I71" s="544"/>
      <c r="J71" s="548">
        <f>SUM(J6:J70)</f>
        <v>2540062.6762127592</v>
      </c>
    </row>
    <row r="73" spans="1:10" x14ac:dyDescent="0.35">
      <c r="C73" s="191" t="s">
        <v>644</v>
      </c>
      <c r="D73" s="191">
        <f>C71+J71</f>
        <v>61913632.676212758</v>
      </c>
      <c r="E73" s="122">
        <f>D73/D74</f>
        <v>0.88448046680303938</v>
      </c>
      <c r="F73" s="2" t="s">
        <v>652</v>
      </c>
    </row>
    <row r="74" spans="1:10" x14ac:dyDescent="0.35">
      <c r="C74" s="3" t="s">
        <v>654</v>
      </c>
      <c r="D74" s="3">
        <v>70000000</v>
      </c>
      <c r="E74" s="122">
        <f>D74/D74</f>
        <v>1</v>
      </c>
      <c r="F74" s="2" t="s">
        <v>654</v>
      </c>
    </row>
    <row r="75" spans="1:10" x14ac:dyDescent="0.35">
      <c r="C75" s="3"/>
      <c r="D75" s="3">
        <f>D73-D74</f>
        <v>-8086367.3237872422</v>
      </c>
      <c r="E75" s="122">
        <f>D75/D74</f>
        <v>-0.11551953319696061</v>
      </c>
      <c r="F75" s="2" t="s">
        <v>653</v>
      </c>
    </row>
    <row r="76" spans="1:10" x14ac:dyDescent="0.35">
      <c r="E76" s="28"/>
    </row>
  </sheetData>
  <mergeCells count="1">
    <mergeCell ref="B3:C3"/>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66A4-644F-4C1B-A478-8D9E9BB2CFB6}">
  <dimension ref="A2:J40"/>
  <sheetViews>
    <sheetView topLeftCell="A8" zoomScale="120" zoomScaleNormal="120" workbookViewId="0">
      <selection activeCell="E23" sqref="E23"/>
    </sheetView>
  </sheetViews>
  <sheetFormatPr defaultRowHeight="14.5" x14ac:dyDescent="0.35"/>
  <cols>
    <col min="1" max="1" width="12" bestFit="1" customWidth="1"/>
    <col min="2" max="2" width="23.54296875" bestFit="1" customWidth="1"/>
    <col min="3" max="3" width="11.36328125" style="1" bestFit="1" customWidth="1"/>
    <col min="4" max="4" width="14.453125" style="1" bestFit="1" customWidth="1"/>
    <col min="5" max="5" width="11.26953125" bestFit="1" customWidth="1"/>
    <col min="6" max="6" width="9.26953125" bestFit="1" customWidth="1"/>
    <col min="7" max="7" width="8.08984375" bestFit="1" customWidth="1"/>
    <col min="8" max="8" width="7.6328125" bestFit="1" customWidth="1"/>
    <col min="9" max="9" width="23"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14.5" customHeight="1" x14ac:dyDescent="0.35">
      <c r="A3" s="210" t="s">
        <v>228</v>
      </c>
      <c r="B3" s="7" t="s">
        <v>229</v>
      </c>
      <c r="C3" s="7"/>
      <c r="D3" s="71"/>
      <c r="E3" s="11"/>
      <c r="F3" s="7"/>
      <c r="G3" s="71"/>
      <c r="H3" s="7"/>
      <c r="I3" s="556"/>
      <c r="J3" s="559"/>
    </row>
    <row r="4" spans="1:10" s="1" customFormat="1" ht="14.5" customHeight="1" x14ac:dyDescent="0.35">
      <c r="A4" s="210" t="s">
        <v>228</v>
      </c>
      <c r="B4" s="7" t="s">
        <v>229</v>
      </c>
      <c r="C4" s="7"/>
      <c r="D4" s="70"/>
      <c r="E4" s="11"/>
      <c r="F4" s="7"/>
      <c r="G4" s="70"/>
      <c r="H4" s="7"/>
      <c r="I4" s="556"/>
      <c r="J4" s="559"/>
    </row>
    <row r="5" spans="1:10" x14ac:dyDescent="0.35">
      <c r="H5" s="74" t="s">
        <v>643</v>
      </c>
      <c r="I5" s="544" t="s">
        <v>445</v>
      </c>
      <c r="J5" s="548" t="s">
        <v>568</v>
      </c>
    </row>
    <row r="6" spans="1:10" x14ac:dyDescent="0.35">
      <c r="A6" s="74" t="s">
        <v>487</v>
      </c>
      <c r="B6" s="74" t="s">
        <v>2</v>
      </c>
      <c r="C6" s="191" t="s">
        <v>124</v>
      </c>
      <c r="D6" s="191" t="s">
        <v>488</v>
      </c>
      <c r="E6" s="74" t="s">
        <v>489</v>
      </c>
      <c r="F6" s="74" t="s">
        <v>490</v>
      </c>
      <c r="H6" s="2"/>
      <c r="I6" s="484"/>
      <c r="J6" s="557"/>
    </row>
    <row r="7" spans="1:10" x14ac:dyDescent="0.35">
      <c r="A7" s="2">
        <v>1</v>
      </c>
      <c r="B7" s="70">
        <v>45352</v>
      </c>
      <c r="C7" s="418">
        <v>100000</v>
      </c>
      <c r="D7" s="3">
        <f>C7</f>
        <v>100000</v>
      </c>
      <c r="E7" s="2" t="s">
        <v>144</v>
      </c>
      <c r="F7" s="2">
        <v>1</v>
      </c>
      <c r="H7" s="2"/>
      <c r="I7" s="503" t="s">
        <v>210</v>
      </c>
      <c r="J7" s="557">
        <v>14865.92500417116</v>
      </c>
    </row>
    <row r="8" spans="1:10" x14ac:dyDescent="0.35">
      <c r="A8" s="2">
        <v>2</v>
      </c>
      <c r="B8" s="70">
        <v>45353</v>
      </c>
      <c r="C8" s="418">
        <v>80000</v>
      </c>
      <c r="D8" s="3">
        <f>D7+C8</f>
        <v>180000</v>
      </c>
      <c r="E8" s="2" t="s">
        <v>144</v>
      </c>
      <c r="F8" s="2">
        <v>1</v>
      </c>
      <c r="H8" s="2"/>
      <c r="I8" s="504" t="s">
        <v>212</v>
      </c>
      <c r="J8" s="557">
        <v>15715.555653739935</v>
      </c>
    </row>
    <row r="9" spans="1:10" x14ac:dyDescent="0.35">
      <c r="A9" s="2">
        <v>3</v>
      </c>
      <c r="B9" s="71">
        <v>45529</v>
      </c>
      <c r="C9" s="419">
        <v>100000</v>
      </c>
      <c r="D9" s="3">
        <f>D8+C9</f>
        <v>280000</v>
      </c>
      <c r="E9" s="2" t="s">
        <v>144</v>
      </c>
      <c r="F9" s="2">
        <v>1</v>
      </c>
      <c r="H9" s="2"/>
      <c r="I9" s="504" t="s">
        <v>213</v>
      </c>
      <c r="J9" s="557">
        <v>23969.089940993894</v>
      </c>
    </row>
    <row r="10" spans="1:10" x14ac:dyDescent="0.35">
      <c r="A10" s="2">
        <v>4</v>
      </c>
      <c r="B10" s="71">
        <v>45530</v>
      </c>
      <c r="C10" s="419">
        <v>100000</v>
      </c>
      <c r="D10" s="3">
        <f>D9+C10</f>
        <v>380000</v>
      </c>
      <c r="E10" s="2" t="s">
        <v>144</v>
      </c>
      <c r="F10" s="2">
        <v>1</v>
      </c>
      <c r="H10" s="2"/>
      <c r="I10" s="504" t="s">
        <v>215</v>
      </c>
      <c r="J10" s="557">
        <v>39826.904214406248</v>
      </c>
    </row>
    <row r="11" spans="1:10" x14ac:dyDescent="0.35">
      <c r="A11" s="2">
        <v>5</v>
      </c>
      <c r="B11" s="71">
        <v>45657</v>
      </c>
      <c r="C11" s="419">
        <v>450000</v>
      </c>
      <c r="D11" s="3">
        <f>D10+C11</f>
        <v>830000</v>
      </c>
      <c r="E11" s="2" t="s">
        <v>144</v>
      </c>
      <c r="F11" s="2">
        <v>1</v>
      </c>
      <c r="H11" s="2"/>
      <c r="I11" s="504" t="s">
        <v>217</v>
      </c>
      <c r="J11" s="557">
        <v>103556.96730504367</v>
      </c>
    </row>
    <row r="12" spans="1:10" x14ac:dyDescent="0.35">
      <c r="A12" s="2">
        <v>6</v>
      </c>
      <c r="B12" s="71">
        <v>45657</v>
      </c>
      <c r="C12" s="419">
        <v>170000</v>
      </c>
      <c r="D12" s="3">
        <f>D11+C12</f>
        <v>1000000</v>
      </c>
      <c r="E12" s="2" t="s">
        <v>144</v>
      </c>
      <c r="F12" s="2">
        <v>1</v>
      </c>
      <c r="H12" s="2"/>
      <c r="I12" s="504" t="s">
        <v>219</v>
      </c>
      <c r="J12" s="557">
        <v>37013.462749609374</v>
      </c>
    </row>
    <row r="13" spans="1:10" x14ac:dyDescent="0.35">
      <c r="A13" s="2">
        <v>7</v>
      </c>
      <c r="B13" s="71">
        <v>45951</v>
      </c>
      <c r="C13" s="420">
        <v>200000</v>
      </c>
      <c r="D13" s="3">
        <f t="shared" ref="D13:D27" si="0">D12+C13</f>
        <v>1200000</v>
      </c>
      <c r="E13" s="2" t="s">
        <v>30</v>
      </c>
      <c r="F13" s="2">
        <v>2</v>
      </c>
      <c r="H13" s="2"/>
      <c r="I13" s="504" t="s">
        <v>537</v>
      </c>
      <c r="J13" s="557">
        <v>6119.1958909315263</v>
      </c>
    </row>
    <row r="14" spans="1:10" x14ac:dyDescent="0.35">
      <c r="A14" s="2">
        <v>8</v>
      </c>
      <c r="B14" s="71">
        <v>46049</v>
      </c>
      <c r="C14" s="418">
        <v>450000</v>
      </c>
      <c r="D14" s="3">
        <f t="shared" si="0"/>
        <v>1650000</v>
      </c>
      <c r="E14" s="2" t="s">
        <v>30</v>
      </c>
      <c r="F14" s="2">
        <v>2</v>
      </c>
      <c r="H14" s="2"/>
      <c r="I14" s="504" t="s">
        <v>543</v>
      </c>
      <c r="J14" s="557">
        <v>15742.414115370522</v>
      </c>
    </row>
    <row r="15" spans="1:10" x14ac:dyDescent="0.35">
      <c r="A15" s="2">
        <v>9</v>
      </c>
      <c r="B15" s="71">
        <v>46049</v>
      </c>
      <c r="C15" s="418">
        <v>700000</v>
      </c>
      <c r="D15" s="3">
        <f t="shared" si="0"/>
        <v>2350000</v>
      </c>
      <c r="E15" s="2" t="s">
        <v>30</v>
      </c>
      <c r="F15" s="2">
        <v>2</v>
      </c>
      <c r="H15" s="2"/>
      <c r="I15" s="504" t="s">
        <v>681</v>
      </c>
      <c r="J15" s="549">
        <f>'DETAILS (sorted)'!DC5</f>
        <v>26825.763709795239</v>
      </c>
    </row>
    <row r="16" spans="1:10" x14ac:dyDescent="0.35">
      <c r="A16" s="2">
        <v>10</v>
      </c>
      <c r="B16" s="71">
        <v>46049</v>
      </c>
      <c r="C16" s="418">
        <v>200000</v>
      </c>
      <c r="D16" s="3">
        <f t="shared" si="0"/>
        <v>2550000</v>
      </c>
      <c r="E16" s="2" t="s">
        <v>30</v>
      </c>
      <c r="F16" s="2">
        <v>2</v>
      </c>
      <c r="H16" s="2"/>
      <c r="I16" s="504" t="s">
        <v>696</v>
      </c>
      <c r="J16" s="549">
        <f>'DETAILS (sorted)'!DD5</f>
        <v>18163.589928043304</v>
      </c>
    </row>
    <row r="17" spans="1:10" x14ac:dyDescent="0.35">
      <c r="A17" s="2">
        <v>11</v>
      </c>
      <c r="B17" s="71">
        <v>46049</v>
      </c>
      <c r="C17" s="418">
        <v>250000</v>
      </c>
      <c r="D17" s="3">
        <f t="shared" si="0"/>
        <v>2800000</v>
      </c>
      <c r="E17" s="2" t="s">
        <v>30</v>
      </c>
      <c r="F17" s="2">
        <v>2</v>
      </c>
      <c r="H17" s="2"/>
      <c r="I17" s="524" t="s">
        <v>887</v>
      </c>
      <c r="J17" s="549">
        <f>'DETAILS (sorted)'!DF5</f>
        <v>13084.39534165739</v>
      </c>
    </row>
    <row r="18" spans="1:10" x14ac:dyDescent="0.35">
      <c r="A18" s="2">
        <v>12</v>
      </c>
      <c r="B18" s="71">
        <v>46059</v>
      </c>
      <c r="C18" s="418">
        <f>100000</f>
        <v>100000</v>
      </c>
      <c r="D18" s="3">
        <f t="shared" si="0"/>
        <v>2900000</v>
      </c>
      <c r="E18" s="2" t="s">
        <v>30</v>
      </c>
      <c r="F18" s="2">
        <v>2</v>
      </c>
      <c r="H18" s="2"/>
      <c r="I18" s="524" t="s">
        <v>889</v>
      </c>
      <c r="J18" s="549">
        <f>'DETAILS (sorted)'!DG5</f>
        <v>43688.695651734226</v>
      </c>
    </row>
    <row r="19" spans="1:10" x14ac:dyDescent="0.35">
      <c r="A19" s="2">
        <v>13</v>
      </c>
      <c r="B19" s="71">
        <v>46059</v>
      </c>
      <c r="C19" s="418">
        <v>150000</v>
      </c>
      <c r="D19" s="3">
        <f t="shared" si="0"/>
        <v>3050000</v>
      </c>
      <c r="E19" s="2" t="s">
        <v>30</v>
      </c>
      <c r="F19" s="2">
        <v>2</v>
      </c>
      <c r="H19" s="2"/>
      <c r="I19" s="524" t="s">
        <v>891</v>
      </c>
      <c r="J19" s="549">
        <f>'DETAILS (sorted)'!DL5</f>
        <v>17842.637568512084</v>
      </c>
    </row>
    <row r="20" spans="1:10" x14ac:dyDescent="0.35">
      <c r="A20" s="2">
        <v>14</v>
      </c>
      <c r="B20" s="71">
        <v>46082</v>
      </c>
      <c r="C20" s="3">
        <f>200000</f>
        <v>200000</v>
      </c>
      <c r="D20" s="3">
        <f t="shared" si="0"/>
        <v>3250000</v>
      </c>
      <c r="E20" s="2" t="s">
        <v>30</v>
      </c>
      <c r="F20" s="2">
        <v>2</v>
      </c>
      <c r="H20" s="2"/>
      <c r="I20" s="524" t="s">
        <v>894</v>
      </c>
      <c r="J20" s="549">
        <f>'DETAILS (sorted)'!DM5</f>
        <v>0</v>
      </c>
    </row>
    <row r="21" spans="1:10" x14ac:dyDescent="0.35">
      <c r="A21" s="2">
        <v>15</v>
      </c>
      <c r="B21" s="71">
        <v>46082</v>
      </c>
      <c r="C21" s="3">
        <f>150000</f>
        <v>150000</v>
      </c>
      <c r="D21" s="3">
        <f t="shared" si="0"/>
        <v>3400000</v>
      </c>
      <c r="E21" s="2" t="s">
        <v>30</v>
      </c>
      <c r="F21" s="2">
        <v>2</v>
      </c>
      <c r="H21" s="2"/>
      <c r="I21" s="524" t="s">
        <v>893</v>
      </c>
      <c r="J21" s="549">
        <f>'DETAILS (sorted)'!DN5</f>
        <v>0</v>
      </c>
    </row>
    <row r="22" spans="1:10" x14ac:dyDescent="0.35">
      <c r="A22" s="2">
        <v>16</v>
      </c>
      <c r="B22" s="71">
        <v>46082</v>
      </c>
      <c r="C22" s="3">
        <f>150000</f>
        <v>150000</v>
      </c>
      <c r="D22" s="3">
        <f t="shared" si="0"/>
        <v>3550000</v>
      </c>
      <c r="E22" s="2" t="s">
        <v>30</v>
      </c>
      <c r="F22" s="2">
        <v>2</v>
      </c>
      <c r="H22" s="2"/>
      <c r="I22" s="524" t="s">
        <v>895</v>
      </c>
      <c r="J22" s="549">
        <f>'DETAILS (sorted)'!DO5</f>
        <v>0</v>
      </c>
    </row>
    <row r="23" spans="1:10" x14ac:dyDescent="0.35">
      <c r="A23" s="2">
        <v>17</v>
      </c>
      <c r="B23" s="71">
        <v>46082</v>
      </c>
      <c r="C23" s="3">
        <f>100000</f>
        <v>100000</v>
      </c>
      <c r="D23" s="3">
        <f t="shared" si="0"/>
        <v>3650000</v>
      </c>
      <c r="E23" s="2" t="s">
        <v>30</v>
      </c>
      <c r="F23" s="2">
        <v>2</v>
      </c>
      <c r="H23" s="2"/>
      <c r="I23" s="524" t="s">
        <v>897</v>
      </c>
      <c r="J23" s="549">
        <f>'DETAILS (sorted)'!DQ5</f>
        <v>0</v>
      </c>
    </row>
    <row r="24" spans="1:10" x14ac:dyDescent="0.35">
      <c r="A24" s="2">
        <v>18</v>
      </c>
      <c r="B24" s="71">
        <v>46082</v>
      </c>
      <c r="C24" s="3">
        <v>160000</v>
      </c>
      <c r="D24" s="3">
        <f t="shared" si="0"/>
        <v>3810000</v>
      </c>
      <c r="E24" s="2" t="s">
        <v>30</v>
      </c>
      <c r="F24" s="2">
        <v>2</v>
      </c>
      <c r="H24" s="2"/>
      <c r="I24" s="524" t="s">
        <v>898</v>
      </c>
      <c r="J24" s="549">
        <f>'DETAILS (sorted)'!DR5</f>
        <v>0</v>
      </c>
    </row>
    <row r="25" spans="1:10" x14ac:dyDescent="0.35">
      <c r="A25" s="2">
        <v>19</v>
      </c>
      <c r="B25" s="71">
        <v>46133</v>
      </c>
      <c r="C25" s="3">
        <v>150000</v>
      </c>
      <c r="D25" s="3">
        <f t="shared" si="0"/>
        <v>3960000</v>
      </c>
      <c r="E25" s="2" t="s">
        <v>30</v>
      </c>
      <c r="F25" s="2">
        <v>2</v>
      </c>
      <c r="H25" s="2"/>
      <c r="I25" s="484"/>
      <c r="J25" s="549"/>
    </row>
    <row r="26" spans="1:10" x14ac:dyDescent="0.35">
      <c r="A26" s="2">
        <v>20</v>
      </c>
      <c r="B26" s="71">
        <v>46164</v>
      </c>
      <c r="C26" s="3">
        <v>500000</v>
      </c>
      <c r="D26" s="3">
        <f t="shared" si="0"/>
        <v>4460000</v>
      </c>
      <c r="E26" s="2" t="s">
        <v>30</v>
      </c>
      <c r="F26" s="2">
        <v>2</v>
      </c>
      <c r="H26" s="2"/>
      <c r="I26" s="484"/>
      <c r="J26" s="549"/>
    </row>
    <row r="27" spans="1:10" x14ac:dyDescent="0.35">
      <c r="A27" s="2">
        <v>21</v>
      </c>
      <c r="B27" s="71">
        <v>46171</v>
      </c>
      <c r="C27" s="1">
        <v>300000</v>
      </c>
      <c r="D27" s="3">
        <f t="shared" si="0"/>
        <v>4760000</v>
      </c>
      <c r="E27" s="2" t="s">
        <v>30</v>
      </c>
      <c r="F27" s="2">
        <v>2</v>
      </c>
      <c r="H27" s="2"/>
      <c r="I27" s="484"/>
      <c r="J27" s="549"/>
    </row>
    <row r="28" spans="1:10" x14ac:dyDescent="0.35">
      <c r="A28" s="2">
        <v>22</v>
      </c>
      <c r="B28" s="71">
        <v>46201</v>
      </c>
      <c r="C28" s="3">
        <v>120000</v>
      </c>
      <c r="D28" s="3">
        <f t="shared" ref="D28" si="1">D27+C28</f>
        <v>4880000</v>
      </c>
      <c r="E28" s="2" t="s">
        <v>30</v>
      </c>
      <c r="F28" s="2">
        <v>2</v>
      </c>
      <c r="H28" s="2"/>
      <c r="I28" s="484"/>
      <c r="J28" s="549"/>
    </row>
    <row r="29" spans="1:10" x14ac:dyDescent="0.35">
      <c r="A29" s="2">
        <v>22</v>
      </c>
      <c r="B29" s="71">
        <v>46227</v>
      </c>
      <c r="C29" s="3">
        <v>1000000</v>
      </c>
      <c r="D29" s="3">
        <f t="shared" ref="D29" si="2">D28+C29</f>
        <v>5880000</v>
      </c>
      <c r="E29" s="2" t="s">
        <v>30</v>
      </c>
      <c r="F29" s="2">
        <v>2</v>
      </c>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x14ac:dyDescent="0.35">
      <c r="A35" s="2"/>
      <c r="B35" s="2"/>
      <c r="C35" s="3"/>
      <c r="D35" s="3"/>
      <c r="E35" s="2"/>
      <c r="F35" s="2"/>
      <c r="H35" s="2"/>
      <c r="I35" s="484"/>
      <c r="J35" s="549"/>
    </row>
    <row r="36" spans="1:10" s="5" customFormat="1" x14ac:dyDescent="0.35">
      <c r="A36" s="74"/>
      <c r="B36" s="74"/>
      <c r="C36" s="191">
        <f>SUM(C7:C35)</f>
        <v>5880000</v>
      </c>
      <c r="D36" s="191">
        <f>C36+J36</f>
        <v>6256414.5970740085</v>
      </c>
      <c r="E36" s="191">
        <f>'DETAILS (sorted)'!DS5</f>
        <v>6320470.7539567789</v>
      </c>
      <c r="F36" s="130">
        <f>D36-E36</f>
        <v>-64056.15688277036</v>
      </c>
      <c r="G36" s="5" t="b">
        <f>D36=E36</f>
        <v>0</v>
      </c>
      <c r="H36" s="74"/>
      <c r="I36" s="544"/>
      <c r="J36" s="548">
        <f>SUM(J7:J35)</f>
        <v>376414.59707400855</v>
      </c>
    </row>
    <row r="38" spans="1:10" x14ac:dyDescent="0.35">
      <c r="C38" s="191" t="s">
        <v>644</v>
      </c>
      <c r="D38" s="191">
        <f>C36+J36</f>
        <v>6256414.5970740085</v>
      </c>
      <c r="E38" s="122">
        <f>D38/D39</f>
        <v>0.41709430647160056</v>
      </c>
      <c r="F38" s="122" t="s">
        <v>652</v>
      </c>
    </row>
    <row r="39" spans="1:10" x14ac:dyDescent="0.35">
      <c r="C39" s="3"/>
      <c r="D39" s="3">
        <v>15000000</v>
      </c>
      <c r="E39" s="122">
        <f>D39/D39</f>
        <v>1</v>
      </c>
      <c r="F39" s="122" t="s">
        <v>654</v>
      </c>
    </row>
    <row r="40" spans="1:10" x14ac:dyDescent="0.35">
      <c r="C40" s="3"/>
      <c r="D40" s="3">
        <f>D38-D39</f>
        <v>-8743585.4029259905</v>
      </c>
      <c r="E40" s="122">
        <f>D40/D39</f>
        <v>-0.58290569352839938</v>
      </c>
      <c r="F40" s="122" t="s">
        <v>653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3940-F095-4C53-8C5E-72B04FCB96A1}">
  <dimension ref="A2:J39"/>
  <sheetViews>
    <sheetView topLeftCell="A13" workbookViewId="0">
      <selection activeCell="D15" sqref="D15"/>
    </sheetView>
  </sheetViews>
  <sheetFormatPr defaultRowHeight="14.5" x14ac:dyDescent="0.35"/>
  <cols>
    <col min="1" max="1" width="12" bestFit="1" customWidth="1"/>
    <col min="2" max="2" width="18.7265625" bestFit="1" customWidth="1"/>
    <col min="3" max="3" width="11.36328125" style="1" bestFit="1" customWidth="1"/>
    <col min="4" max="4" width="14.453125" style="1" bestFit="1" customWidth="1"/>
    <col min="5" max="5" width="13.81640625" bestFit="1" customWidth="1"/>
    <col min="6" max="6" width="14.453125" bestFit="1" customWidth="1"/>
    <col min="7" max="7" width="8.08984375" bestFit="1" customWidth="1"/>
    <col min="8" max="8" width="10.1796875" bestFit="1" customWidth="1"/>
    <col min="9" max="9" width="25.9062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230</v>
      </c>
      <c r="B3" s="7" t="s">
        <v>231</v>
      </c>
      <c r="C3" s="7"/>
      <c r="F3" s="11"/>
      <c r="G3" s="70"/>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57"/>
    </row>
    <row r="6" spans="1:10" x14ac:dyDescent="0.35">
      <c r="A6" s="2">
        <v>1</v>
      </c>
      <c r="B6" s="71">
        <v>45354</v>
      </c>
      <c r="C6" s="11">
        <f>150000+70000</f>
        <v>220000</v>
      </c>
      <c r="D6" s="3">
        <f>C6</f>
        <v>220000</v>
      </c>
      <c r="E6" s="2" t="s">
        <v>144</v>
      </c>
      <c r="F6" s="2">
        <v>1</v>
      </c>
      <c r="H6" s="2"/>
      <c r="I6" s="503" t="s">
        <v>210</v>
      </c>
      <c r="J6" s="557">
        <v>29731.850008342321</v>
      </c>
    </row>
    <row r="7" spans="1:10" x14ac:dyDescent="0.35">
      <c r="A7" s="2">
        <v>2</v>
      </c>
      <c r="B7" s="71">
        <v>45521</v>
      </c>
      <c r="C7" s="11">
        <v>900000</v>
      </c>
      <c r="D7" s="3">
        <f>D6+C7</f>
        <v>1120000</v>
      </c>
      <c r="E7" s="2" t="s">
        <v>144</v>
      </c>
      <c r="F7" s="2">
        <v>1</v>
      </c>
      <c r="H7" s="2"/>
      <c r="I7" s="504" t="s">
        <v>212</v>
      </c>
      <c r="J7" s="557">
        <v>39288.88913434984</v>
      </c>
    </row>
    <row r="8" spans="1:10" x14ac:dyDescent="0.35">
      <c r="A8" s="2">
        <v>3</v>
      </c>
      <c r="B8" s="71">
        <v>45650</v>
      </c>
      <c r="C8" s="11">
        <v>100000</v>
      </c>
      <c r="D8" s="3">
        <f t="shared" ref="D8:D11" si="0">D7+C8</f>
        <v>1220000</v>
      </c>
      <c r="E8" s="2" t="s">
        <v>144</v>
      </c>
      <c r="F8" s="2">
        <v>1</v>
      </c>
      <c r="H8" s="2"/>
      <c r="I8" s="504" t="s">
        <v>213</v>
      </c>
      <c r="J8" s="557">
        <v>59922.724852484731</v>
      </c>
    </row>
    <row r="9" spans="1:10" x14ac:dyDescent="0.35">
      <c r="A9" s="2">
        <v>4</v>
      </c>
      <c r="B9" s="71">
        <v>45795</v>
      </c>
      <c r="C9" s="11">
        <v>180000</v>
      </c>
      <c r="D9" s="3">
        <f t="shared" si="0"/>
        <v>1400000</v>
      </c>
      <c r="E9" s="2" t="s">
        <v>144</v>
      </c>
      <c r="F9" s="2">
        <v>1</v>
      </c>
      <c r="H9" s="2"/>
      <c r="I9" s="504" t="s">
        <v>215</v>
      </c>
      <c r="J9" s="557">
        <v>56895.57744915178</v>
      </c>
    </row>
    <row r="10" spans="1:10" x14ac:dyDescent="0.35">
      <c r="A10" s="2">
        <v>5</v>
      </c>
      <c r="B10" s="71">
        <v>45821</v>
      </c>
      <c r="C10" s="11">
        <v>200000</v>
      </c>
      <c r="D10" s="3">
        <f t="shared" si="0"/>
        <v>1600000</v>
      </c>
      <c r="E10" s="2" t="s">
        <v>144</v>
      </c>
      <c r="F10" s="2">
        <v>1</v>
      </c>
      <c r="H10" s="2"/>
      <c r="I10" s="504" t="s">
        <v>217</v>
      </c>
      <c r="J10" s="557">
        <v>237671.72824108385</v>
      </c>
    </row>
    <row r="11" spans="1:10" x14ac:dyDescent="0.35">
      <c r="A11" s="2">
        <v>6</v>
      </c>
      <c r="B11" s="71">
        <v>45884</v>
      </c>
      <c r="C11" s="11">
        <v>200000</v>
      </c>
      <c r="D11" s="3">
        <f t="shared" si="0"/>
        <v>1800000</v>
      </c>
      <c r="E11" s="2" t="s">
        <v>30</v>
      </c>
      <c r="F11" s="2">
        <v>1</v>
      </c>
      <c r="H11" s="2"/>
      <c r="I11" s="504" t="s">
        <v>219</v>
      </c>
      <c r="J11" s="557">
        <v>97148.196193200449</v>
      </c>
    </row>
    <row r="12" spans="1:10" x14ac:dyDescent="0.35">
      <c r="A12" s="2">
        <v>7</v>
      </c>
      <c r="B12" s="71">
        <v>45910</v>
      </c>
      <c r="C12" s="11">
        <v>100000</v>
      </c>
      <c r="D12" s="3">
        <f t="shared" ref="D12" si="1">D11+C12</f>
        <v>1900000</v>
      </c>
      <c r="E12" s="2" t="s">
        <v>30</v>
      </c>
      <c r="F12" s="2">
        <v>1</v>
      </c>
      <c r="H12" s="2"/>
      <c r="I12" s="504" t="s">
        <v>537</v>
      </c>
      <c r="J12" s="557">
        <v>15607.04002485061</v>
      </c>
    </row>
    <row r="13" spans="1:10" x14ac:dyDescent="0.35">
      <c r="A13" s="2">
        <v>8</v>
      </c>
      <c r="B13" s="71">
        <v>45930</v>
      </c>
      <c r="C13" s="11">
        <v>100000</v>
      </c>
      <c r="D13" s="3">
        <f t="shared" ref="D13:D16" si="2">D12+C13</f>
        <v>2000000</v>
      </c>
      <c r="E13" s="2" t="s">
        <v>30</v>
      </c>
      <c r="F13" s="2">
        <v>1</v>
      </c>
      <c r="H13" s="2"/>
      <c r="I13" s="504" t="s">
        <v>543</v>
      </c>
      <c r="J13" s="557">
        <v>40151.106708394516</v>
      </c>
    </row>
    <row r="14" spans="1:10" x14ac:dyDescent="0.35">
      <c r="A14" s="2">
        <v>9</v>
      </c>
      <c r="B14" s="71">
        <v>45936</v>
      </c>
      <c r="C14" s="200">
        <v>400000</v>
      </c>
      <c r="D14" s="3">
        <f t="shared" si="2"/>
        <v>2400000</v>
      </c>
      <c r="E14" s="2" t="s">
        <v>30</v>
      </c>
      <c r="F14" s="2">
        <v>2</v>
      </c>
      <c r="H14" s="2"/>
      <c r="I14" s="504" t="s">
        <v>681</v>
      </c>
      <c r="J14" s="549">
        <f>'DETAILS (sorted)'!DC6</f>
        <v>57483.779378132662</v>
      </c>
    </row>
    <row r="15" spans="1:10" x14ac:dyDescent="0.35">
      <c r="A15" s="2">
        <v>10</v>
      </c>
      <c r="B15" s="71">
        <v>45936</v>
      </c>
      <c r="C15" s="200">
        <v>200000</v>
      </c>
      <c r="D15" s="3">
        <f t="shared" si="2"/>
        <v>2600000</v>
      </c>
      <c r="E15" s="2" t="s">
        <v>30</v>
      </c>
      <c r="F15" s="2">
        <v>2</v>
      </c>
      <c r="H15" s="2"/>
      <c r="I15" s="504" t="s">
        <v>696</v>
      </c>
      <c r="J15" s="549">
        <f>'DETAILS (sorted)'!DD6</f>
        <v>38921.978417235659</v>
      </c>
    </row>
    <row r="16" spans="1:10" x14ac:dyDescent="0.35">
      <c r="A16" s="2">
        <v>11</v>
      </c>
      <c r="B16" s="71">
        <v>45936</v>
      </c>
      <c r="C16" s="200">
        <v>400000</v>
      </c>
      <c r="D16" s="3">
        <f t="shared" si="2"/>
        <v>3000000</v>
      </c>
      <c r="E16" s="2" t="s">
        <v>30</v>
      </c>
      <c r="F16" s="2">
        <v>2</v>
      </c>
      <c r="H16" s="2"/>
      <c r="I16" s="524" t="s">
        <v>887</v>
      </c>
      <c r="J16" s="549">
        <f>'DETAILS (sorted)'!DF6</f>
        <v>27884.776957630504</v>
      </c>
    </row>
    <row r="17" spans="1:10" x14ac:dyDescent="0.35">
      <c r="A17" s="2">
        <v>12</v>
      </c>
      <c r="B17" s="71">
        <v>46053</v>
      </c>
      <c r="C17" s="3">
        <v>1000000</v>
      </c>
      <c r="D17" s="3">
        <f t="shared" ref="D17" si="3">D16+C17</f>
        <v>4000000</v>
      </c>
      <c r="E17" s="2" t="s">
        <v>30</v>
      </c>
      <c r="F17" s="2">
        <v>2</v>
      </c>
      <c r="H17" s="2"/>
      <c r="I17" s="524" t="s">
        <v>889</v>
      </c>
      <c r="J17" s="549">
        <f>'DETAILS (sorted)'!DG6</f>
        <v>93107.056306974569</v>
      </c>
    </row>
    <row r="18" spans="1:10" x14ac:dyDescent="0.35">
      <c r="A18" s="2">
        <v>13</v>
      </c>
      <c r="B18" s="71">
        <v>46072</v>
      </c>
      <c r="C18" s="231">
        <v>1000000</v>
      </c>
      <c r="D18" s="3">
        <f t="shared" ref="D18:D20" si="4">D17+C18</f>
        <v>5000000</v>
      </c>
      <c r="E18" s="2" t="s">
        <v>30</v>
      </c>
      <c r="F18" s="2">
        <v>2</v>
      </c>
      <c r="H18" s="2"/>
      <c r="I18" s="524" t="s">
        <v>891</v>
      </c>
      <c r="J18" s="549">
        <f>'DETAILS (sorted)'!DL6</f>
        <v>36590.969913956345</v>
      </c>
    </row>
    <row r="19" spans="1:10" x14ac:dyDescent="0.35">
      <c r="A19" s="2">
        <v>14</v>
      </c>
      <c r="B19" s="71">
        <v>46072</v>
      </c>
      <c r="C19" s="231">
        <v>1000000</v>
      </c>
      <c r="D19" s="3">
        <f t="shared" si="4"/>
        <v>6000000</v>
      </c>
      <c r="E19" s="2" t="s">
        <v>30</v>
      </c>
      <c r="F19" s="2">
        <v>2</v>
      </c>
      <c r="H19" s="2"/>
      <c r="I19" s="524" t="s">
        <v>894</v>
      </c>
      <c r="J19" s="549">
        <f>'DETAILS (sorted)'!DM6</f>
        <v>0</v>
      </c>
    </row>
    <row r="20" spans="1:10" x14ac:dyDescent="0.35">
      <c r="A20" s="2">
        <v>15</v>
      </c>
      <c r="B20" s="71">
        <v>46072</v>
      </c>
      <c r="C20" s="231">
        <v>1000000</v>
      </c>
      <c r="D20" s="3">
        <f t="shared" si="4"/>
        <v>7000000</v>
      </c>
      <c r="E20" s="2" t="s">
        <v>30</v>
      </c>
      <c r="F20" s="2">
        <v>2</v>
      </c>
      <c r="H20" s="2"/>
      <c r="I20" s="524" t="s">
        <v>893</v>
      </c>
      <c r="J20" s="549">
        <f>'DETAILS (sorted)'!DN6</f>
        <v>0</v>
      </c>
    </row>
    <row r="21" spans="1:10" x14ac:dyDescent="0.35">
      <c r="A21" s="2">
        <v>16</v>
      </c>
      <c r="B21" s="71">
        <v>46098</v>
      </c>
      <c r="C21" s="231">
        <v>1000000</v>
      </c>
      <c r="D21" s="3">
        <f t="shared" ref="D21:D25" si="5">D20+C21</f>
        <v>8000000</v>
      </c>
      <c r="E21" s="2" t="s">
        <v>30</v>
      </c>
      <c r="F21" s="2">
        <v>2</v>
      </c>
      <c r="H21" s="2"/>
      <c r="I21" s="524" t="s">
        <v>895</v>
      </c>
      <c r="J21" s="549">
        <f>'DETAILS (sorted)'!DO6</f>
        <v>0</v>
      </c>
    </row>
    <row r="22" spans="1:10" x14ac:dyDescent="0.35">
      <c r="A22" s="2">
        <v>17</v>
      </c>
      <c r="B22" s="71">
        <v>46098</v>
      </c>
      <c r="C22" s="231">
        <v>1000000</v>
      </c>
      <c r="D22" s="3">
        <f t="shared" si="5"/>
        <v>9000000</v>
      </c>
      <c r="E22" s="2" t="s">
        <v>30</v>
      </c>
      <c r="F22" s="2">
        <v>2</v>
      </c>
      <c r="H22" s="2"/>
      <c r="I22" s="524" t="s">
        <v>897</v>
      </c>
      <c r="J22" s="549">
        <f>'DETAILS (sorted)'!DQ6</f>
        <v>0</v>
      </c>
    </row>
    <row r="23" spans="1:10" x14ac:dyDescent="0.35">
      <c r="A23" s="2">
        <v>18</v>
      </c>
      <c r="B23" s="71">
        <v>46098</v>
      </c>
      <c r="C23" s="231">
        <v>1000000</v>
      </c>
      <c r="D23" s="3">
        <f t="shared" si="5"/>
        <v>10000000</v>
      </c>
      <c r="E23" s="2" t="s">
        <v>30</v>
      </c>
      <c r="F23" s="2">
        <v>2</v>
      </c>
      <c r="H23" s="2"/>
      <c r="I23" s="524" t="s">
        <v>898</v>
      </c>
      <c r="J23" s="549">
        <f>'DETAILS (sorted)'!DR6</f>
        <v>0</v>
      </c>
    </row>
    <row r="24" spans="1:10" x14ac:dyDescent="0.35">
      <c r="A24" s="2">
        <v>19</v>
      </c>
      <c r="B24" s="71">
        <v>46140</v>
      </c>
      <c r="C24" s="3">
        <v>100000</v>
      </c>
      <c r="D24" s="3">
        <f t="shared" si="5"/>
        <v>10100000</v>
      </c>
      <c r="E24" s="2" t="s">
        <v>30</v>
      </c>
      <c r="F24" s="2">
        <v>2</v>
      </c>
      <c r="H24" s="2"/>
      <c r="I24" s="484"/>
      <c r="J24" s="549"/>
    </row>
    <row r="25" spans="1:10" x14ac:dyDescent="0.35">
      <c r="A25" s="2"/>
      <c r="B25" s="71">
        <v>46172</v>
      </c>
      <c r="C25" s="3">
        <v>100000</v>
      </c>
      <c r="D25" s="3">
        <f t="shared" si="5"/>
        <v>10200000</v>
      </c>
      <c r="E25" s="2" t="s">
        <v>30</v>
      </c>
      <c r="F25" s="2">
        <v>2</v>
      </c>
      <c r="H25" s="2"/>
      <c r="I25" s="484"/>
      <c r="J25" s="549"/>
    </row>
    <row r="26" spans="1:10" x14ac:dyDescent="0.35">
      <c r="A26" s="2"/>
      <c r="B26" s="71">
        <v>46203</v>
      </c>
      <c r="C26" s="3">
        <v>200000</v>
      </c>
      <c r="D26" s="3">
        <f t="shared" ref="D26" si="6">D25+C26</f>
        <v>10400000</v>
      </c>
      <c r="E26" s="2" t="s">
        <v>30</v>
      </c>
      <c r="F26" s="2">
        <v>2</v>
      </c>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10400000</v>
      </c>
      <c r="D35" s="191">
        <f>C35+J35</f>
        <v>11230405.673585787</v>
      </c>
      <c r="E35" s="191">
        <f>'DETAILS (sorted)'!DS6</f>
        <v>12961769.486828147</v>
      </c>
      <c r="F35" s="191">
        <f>D35-E35</f>
        <v>-1731363.8132423591</v>
      </c>
      <c r="G35" s="5" t="b">
        <f>D35=E35</f>
        <v>0</v>
      </c>
      <c r="H35" s="74"/>
      <c r="I35" s="544"/>
      <c r="J35" s="548">
        <f>SUM(J6:J34)</f>
        <v>830405.67358578788</v>
      </c>
    </row>
    <row r="37" spans="1:10" x14ac:dyDescent="0.35">
      <c r="C37" s="191" t="s">
        <v>644</v>
      </c>
      <c r="D37" s="191">
        <f>C35+J35</f>
        <v>11230405.673585787</v>
      </c>
      <c r="E37" s="122">
        <f>D37/D38</f>
        <v>0.37434685578619292</v>
      </c>
      <c r="F37" s="2" t="s">
        <v>652</v>
      </c>
    </row>
    <row r="38" spans="1:10" x14ac:dyDescent="0.35">
      <c r="C38" s="3"/>
      <c r="D38" s="3">
        <v>30000000</v>
      </c>
      <c r="E38" s="122">
        <f>D38/D38</f>
        <v>1</v>
      </c>
      <c r="F38" s="2" t="s">
        <v>654</v>
      </c>
    </row>
    <row r="39" spans="1:10" x14ac:dyDescent="0.35">
      <c r="C39" s="3"/>
      <c r="D39" s="3">
        <f>D37-D38</f>
        <v>-18769594.326414213</v>
      </c>
      <c r="E39" s="122">
        <f>D39/D38</f>
        <v>-0.62565314421380713</v>
      </c>
      <c r="F39" s="2" t="s">
        <v>653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573CA-D4F9-4793-B4E4-D1824B02B75C}">
  <dimension ref="A2:J49"/>
  <sheetViews>
    <sheetView topLeftCell="B12" workbookViewId="0">
      <selection activeCell="D15" sqref="D15"/>
    </sheetView>
  </sheetViews>
  <sheetFormatPr defaultRowHeight="14.5" x14ac:dyDescent="0.35"/>
  <cols>
    <col min="1" max="1" width="8.1796875" bestFit="1" customWidth="1"/>
    <col min="2" max="2" width="16.6328125" bestFit="1" customWidth="1"/>
    <col min="3" max="3" width="11.36328125" style="1" bestFit="1" customWidth="1"/>
    <col min="4" max="4" width="14.453125" style="1" bestFit="1" customWidth="1"/>
    <col min="5" max="5" width="11.26953125" bestFit="1" customWidth="1"/>
    <col min="6" max="6" width="9.26953125" bestFit="1" customWidth="1"/>
    <col min="7" max="7" width="5.1796875" bestFit="1" customWidth="1"/>
    <col min="8" max="8" width="4.7265625" hidden="1" customWidth="1"/>
    <col min="9" max="9" width="23.45312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28" x14ac:dyDescent="0.35">
      <c r="A3" s="210" t="s">
        <v>232</v>
      </c>
      <c r="B3" s="286" t="s">
        <v>33</v>
      </c>
      <c r="C3" s="7"/>
      <c r="D3" s="70"/>
      <c r="E3" s="7"/>
      <c r="F3" s="7"/>
      <c r="G3" s="70"/>
      <c r="H3" s="7"/>
      <c r="I3" s="556"/>
      <c r="J3" s="559"/>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45352</v>
      </c>
      <c r="C6" s="7">
        <v>10000</v>
      </c>
      <c r="D6" s="3">
        <f>C6</f>
        <v>10000</v>
      </c>
      <c r="E6" s="2" t="s">
        <v>144</v>
      </c>
      <c r="F6" s="2">
        <v>1</v>
      </c>
      <c r="H6" s="2"/>
      <c r="I6" s="503" t="s">
        <v>210</v>
      </c>
      <c r="J6" s="549">
        <v>29731.850008342321</v>
      </c>
    </row>
    <row r="7" spans="1:10" x14ac:dyDescent="0.35">
      <c r="A7" s="2">
        <v>2</v>
      </c>
      <c r="B7" s="70">
        <v>45353</v>
      </c>
      <c r="C7" s="7">
        <v>20000</v>
      </c>
      <c r="D7" s="3">
        <f>D6+C7</f>
        <v>30000</v>
      </c>
      <c r="E7" s="2" t="s">
        <v>144</v>
      </c>
      <c r="F7" s="2">
        <v>1</v>
      </c>
      <c r="H7" s="2"/>
      <c r="I7" s="504" t="s">
        <v>212</v>
      </c>
      <c r="J7" s="549">
        <v>39288.88913434984</v>
      </c>
    </row>
    <row r="8" spans="1:10" x14ac:dyDescent="0.35">
      <c r="A8" s="2">
        <v>3</v>
      </c>
      <c r="B8" s="70">
        <v>45353</v>
      </c>
      <c r="C8" s="11">
        <v>120000</v>
      </c>
      <c r="D8" s="3">
        <f t="shared" ref="D8:D34" si="0">D7+C8</f>
        <v>150000</v>
      </c>
      <c r="E8" s="2" t="s">
        <v>144</v>
      </c>
      <c r="F8" s="2">
        <v>1</v>
      </c>
      <c r="H8" s="2"/>
      <c r="I8" s="504" t="s">
        <v>213</v>
      </c>
      <c r="J8" s="549">
        <v>59922.724852484731</v>
      </c>
    </row>
    <row r="9" spans="1:10" x14ac:dyDescent="0.35">
      <c r="A9" s="2">
        <v>4</v>
      </c>
      <c r="B9" s="71">
        <v>45353</v>
      </c>
      <c r="C9" s="11">
        <v>50000</v>
      </c>
      <c r="D9" s="3">
        <f t="shared" si="0"/>
        <v>200000</v>
      </c>
      <c r="E9" s="2" t="s">
        <v>144</v>
      </c>
      <c r="F9" s="2">
        <v>1</v>
      </c>
      <c r="H9" s="2"/>
      <c r="I9" s="504" t="s">
        <v>215</v>
      </c>
      <c r="J9" s="549">
        <v>62186.254524465316</v>
      </c>
    </row>
    <row r="10" spans="1:10" x14ac:dyDescent="0.35">
      <c r="A10" s="2">
        <v>5</v>
      </c>
      <c r="B10" s="71">
        <v>45354</v>
      </c>
      <c r="C10" s="11">
        <v>50000</v>
      </c>
      <c r="D10" s="3">
        <f t="shared" si="0"/>
        <v>250000</v>
      </c>
      <c r="E10" s="2" t="s">
        <v>144</v>
      </c>
      <c r="F10" s="2">
        <v>1</v>
      </c>
      <c r="H10" s="2"/>
      <c r="I10" s="504" t="s">
        <v>217</v>
      </c>
      <c r="J10" s="549">
        <v>148441.51085510061</v>
      </c>
    </row>
    <row r="11" spans="1:10" x14ac:dyDescent="0.35">
      <c r="A11" s="2">
        <v>6</v>
      </c>
      <c r="B11" s="71">
        <v>45394</v>
      </c>
      <c r="C11" s="11">
        <v>150000</v>
      </c>
      <c r="D11" s="3">
        <f t="shared" si="0"/>
        <v>400000</v>
      </c>
      <c r="E11" s="2" t="s">
        <v>144</v>
      </c>
      <c r="F11" s="2">
        <v>1</v>
      </c>
      <c r="H11" s="2"/>
      <c r="I11" s="504" t="s">
        <v>219</v>
      </c>
      <c r="J11" s="549">
        <v>84134.505560928286</v>
      </c>
    </row>
    <row r="12" spans="1:10" x14ac:dyDescent="0.35">
      <c r="A12" s="2">
        <v>7</v>
      </c>
      <c r="B12" s="71">
        <v>45486</v>
      </c>
      <c r="C12" s="11">
        <v>100000</v>
      </c>
      <c r="D12" s="3">
        <f t="shared" si="0"/>
        <v>500000</v>
      </c>
      <c r="E12" s="2" t="s">
        <v>144</v>
      </c>
      <c r="F12" s="2">
        <v>1</v>
      </c>
      <c r="H12" s="2"/>
      <c r="I12" s="504" t="s">
        <v>537</v>
      </c>
      <c r="J12" s="549">
        <v>13691.591093103671</v>
      </c>
    </row>
    <row r="13" spans="1:10" x14ac:dyDescent="0.35">
      <c r="A13" s="2">
        <v>8</v>
      </c>
      <c r="B13" s="71">
        <v>45492</v>
      </c>
      <c r="C13" s="11">
        <v>280000</v>
      </c>
      <c r="D13" s="3">
        <f t="shared" si="0"/>
        <v>780000</v>
      </c>
      <c r="E13" s="2" t="s">
        <v>144</v>
      </c>
      <c r="F13" s="2">
        <v>1</v>
      </c>
      <c r="H13" s="2"/>
      <c r="I13" s="504" t="s">
        <v>543</v>
      </c>
      <c r="J13" s="549">
        <v>35223.369332787457</v>
      </c>
    </row>
    <row r="14" spans="1:10" x14ac:dyDescent="0.35">
      <c r="A14" s="2">
        <v>9</v>
      </c>
      <c r="B14" s="71">
        <v>45496</v>
      </c>
      <c r="C14" s="11">
        <v>20000</v>
      </c>
      <c r="D14" s="3">
        <f t="shared" si="0"/>
        <v>800000</v>
      </c>
      <c r="E14" s="2" t="s">
        <v>144</v>
      </c>
      <c r="F14" s="2">
        <v>1</v>
      </c>
      <c r="H14" s="2"/>
      <c r="I14" s="504" t="s">
        <v>681</v>
      </c>
      <c r="J14" s="549">
        <f>'DETAILS (sorted)'!DC7</f>
        <v>60455.910562903271</v>
      </c>
    </row>
    <row r="15" spans="1:10" x14ac:dyDescent="0.35">
      <c r="A15" s="2">
        <v>10</v>
      </c>
      <c r="B15" s="71">
        <v>45648</v>
      </c>
      <c r="C15" s="11">
        <v>200000</v>
      </c>
      <c r="D15" s="3">
        <f t="shared" si="0"/>
        <v>1000000</v>
      </c>
      <c r="E15" s="2" t="s">
        <v>144</v>
      </c>
      <c r="F15" s="2">
        <v>1</v>
      </c>
      <c r="H15" s="2"/>
      <c r="I15" s="504" t="s">
        <v>696</v>
      </c>
      <c r="J15" s="549">
        <f>'DETAILS (sorted)'!DD7</f>
        <v>40934.393520735983</v>
      </c>
    </row>
    <row r="16" spans="1:10" x14ac:dyDescent="0.35">
      <c r="A16" s="2">
        <v>11</v>
      </c>
      <c r="B16" s="71">
        <v>45690</v>
      </c>
      <c r="C16" s="11">
        <v>200000</v>
      </c>
      <c r="D16" s="3">
        <f t="shared" si="0"/>
        <v>1200000</v>
      </c>
      <c r="E16" s="2" t="s">
        <v>144</v>
      </c>
      <c r="F16" s="2">
        <v>1</v>
      </c>
      <c r="H16" s="2"/>
      <c r="I16" s="524" t="s">
        <v>887</v>
      </c>
      <c r="J16" s="549">
        <f>'DETAILS (sorted)'!DF7</f>
        <v>55571.110827550612</v>
      </c>
    </row>
    <row r="17" spans="1:10" x14ac:dyDescent="0.35">
      <c r="A17" s="2">
        <v>12</v>
      </c>
      <c r="B17" s="71">
        <v>45703</v>
      </c>
      <c r="C17" s="11">
        <v>100000</v>
      </c>
      <c r="D17" s="3">
        <f t="shared" si="0"/>
        <v>1300000</v>
      </c>
      <c r="E17" s="2" t="s">
        <v>144</v>
      </c>
      <c r="F17" s="2">
        <v>1</v>
      </c>
      <c r="H17" s="2"/>
      <c r="I17" s="524" t="s">
        <v>889</v>
      </c>
      <c r="J17" s="549">
        <f>'DETAILS (sorted)'!DG7</f>
        <v>185551.51266669997</v>
      </c>
    </row>
    <row r="18" spans="1:10" x14ac:dyDescent="0.35">
      <c r="A18" s="2">
        <v>13</v>
      </c>
      <c r="B18" s="71">
        <v>45795</v>
      </c>
      <c r="C18" s="11">
        <v>100000</v>
      </c>
      <c r="D18" s="3">
        <f t="shared" si="0"/>
        <v>1400000</v>
      </c>
      <c r="E18" s="2" t="s">
        <v>144</v>
      </c>
      <c r="F18" s="2">
        <v>1</v>
      </c>
      <c r="H18" s="2"/>
      <c r="I18" s="524" t="s">
        <v>891</v>
      </c>
      <c r="J18" s="549">
        <f>'DETAILS (sorted)'!DL7</f>
        <v>65781.185183372028</v>
      </c>
    </row>
    <row r="19" spans="1:10" x14ac:dyDescent="0.35">
      <c r="A19" s="2">
        <v>14</v>
      </c>
      <c r="B19" s="71">
        <v>45835</v>
      </c>
      <c r="C19" s="11">
        <v>100000</v>
      </c>
      <c r="D19" s="3">
        <f t="shared" si="0"/>
        <v>1500000</v>
      </c>
      <c r="E19" s="2" t="s">
        <v>144</v>
      </c>
      <c r="F19" s="2">
        <v>1</v>
      </c>
      <c r="H19" s="2"/>
      <c r="I19" s="524" t="s">
        <v>894</v>
      </c>
      <c r="J19" s="549">
        <f>'DETAILS (sorted)'!DM7</f>
        <v>0</v>
      </c>
    </row>
    <row r="20" spans="1:10" x14ac:dyDescent="0.35">
      <c r="A20" s="2">
        <v>15</v>
      </c>
      <c r="B20" s="71">
        <v>45884</v>
      </c>
      <c r="C20" s="11">
        <v>200000</v>
      </c>
      <c r="D20" s="3">
        <f t="shared" si="0"/>
        <v>1700000</v>
      </c>
      <c r="E20" s="2" t="s">
        <v>30</v>
      </c>
      <c r="F20" s="2">
        <v>1</v>
      </c>
      <c r="H20" s="2"/>
      <c r="I20" s="524" t="s">
        <v>893</v>
      </c>
      <c r="J20" s="549">
        <f>'DETAILS (sorted)'!DN7</f>
        <v>0</v>
      </c>
    </row>
    <row r="21" spans="1:10" x14ac:dyDescent="0.35">
      <c r="A21" s="2">
        <v>16</v>
      </c>
      <c r="B21" s="71">
        <v>45911</v>
      </c>
      <c r="C21" s="11">
        <v>300000</v>
      </c>
      <c r="D21" s="3">
        <f t="shared" si="0"/>
        <v>2000000</v>
      </c>
      <c r="E21" s="2" t="s">
        <v>30</v>
      </c>
      <c r="F21" s="2">
        <v>1</v>
      </c>
      <c r="H21" s="2"/>
      <c r="I21" s="524" t="s">
        <v>895</v>
      </c>
      <c r="J21" s="549">
        <f>'DETAILS (sorted)'!DO7</f>
        <v>0</v>
      </c>
    </row>
    <row r="22" spans="1:10" x14ac:dyDescent="0.35">
      <c r="A22" s="2">
        <v>17</v>
      </c>
      <c r="B22" s="71">
        <v>45936</v>
      </c>
      <c r="C22" s="202">
        <f>400000</f>
        <v>400000</v>
      </c>
      <c r="D22" s="3">
        <f t="shared" si="0"/>
        <v>2400000</v>
      </c>
      <c r="E22" s="2" t="s">
        <v>30</v>
      </c>
      <c r="F22" s="2">
        <v>2</v>
      </c>
      <c r="H22" s="2"/>
      <c r="I22" s="524" t="s">
        <v>897</v>
      </c>
      <c r="J22" s="549">
        <f>'DETAILS (sorted)'!DQ7</f>
        <v>0</v>
      </c>
    </row>
    <row r="23" spans="1:10" x14ac:dyDescent="0.35">
      <c r="A23" s="2">
        <v>18</v>
      </c>
      <c r="B23" s="71">
        <v>45936</v>
      </c>
      <c r="C23" s="202">
        <v>200000</v>
      </c>
      <c r="D23" s="3">
        <f t="shared" si="0"/>
        <v>2600000</v>
      </c>
      <c r="E23" s="2" t="s">
        <v>30</v>
      </c>
      <c r="F23" s="2">
        <v>2</v>
      </c>
      <c r="H23" s="2"/>
      <c r="I23" s="524" t="s">
        <v>898</v>
      </c>
      <c r="J23" s="549">
        <f>'DETAILS (sorted)'!DR7</f>
        <v>0</v>
      </c>
    </row>
    <row r="24" spans="1:10" x14ac:dyDescent="0.35">
      <c r="A24" s="2">
        <v>19</v>
      </c>
      <c r="B24" s="71">
        <v>45967</v>
      </c>
      <c r="C24" s="202">
        <v>200000</v>
      </c>
      <c r="D24" s="3">
        <f t="shared" si="0"/>
        <v>2800000</v>
      </c>
      <c r="E24" s="2" t="s">
        <v>30</v>
      </c>
      <c r="F24" s="2">
        <v>2</v>
      </c>
      <c r="H24" s="2"/>
      <c r="I24" s="484"/>
      <c r="J24" s="549"/>
    </row>
    <row r="25" spans="1:10" x14ac:dyDescent="0.35">
      <c r="A25" s="2">
        <v>20</v>
      </c>
      <c r="B25" s="71">
        <v>45967</v>
      </c>
      <c r="C25" s="202">
        <v>200000</v>
      </c>
      <c r="D25" s="3">
        <f t="shared" si="0"/>
        <v>3000000</v>
      </c>
      <c r="E25" s="2" t="s">
        <v>30</v>
      </c>
      <c r="F25" s="2">
        <v>2</v>
      </c>
      <c r="H25" s="2"/>
      <c r="I25" s="484"/>
      <c r="J25" s="549"/>
    </row>
    <row r="26" spans="1:10" x14ac:dyDescent="0.35">
      <c r="A26" s="2">
        <v>21</v>
      </c>
      <c r="B26" s="71">
        <v>46001</v>
      </c>
      <c r="C26" s="202">
        <v>200000</v>
      </c>
      <c r="D26" s="3">
        <f t="shared" si="0"/>
        <v>3200000</v>
      </c>
      <c r="E26" s="2" t="s">
        <v>30</v>
      </c>
      <c r="F26" s="2">
        <v>2</v>
      </c>
      <c r="H26" s="2"/>
      <c r="I26" s="484"/>
      <c r="J26" s="549"/>
    </row>
    <row r="27" spans="1:10" x14ac:dyDescent="0.35">
      <c r="A27" s="2">
        <v>22</v>
      </c>
      <c r="B27" s="71">
        <v>46026</v>
      </c>
      <c r="C27" s="202">
        <f>500000</f>
        <v>500000</v>
      </c>
      <c r="D27" s="3">
        <f t="shared" si="0"/>
        <v>3700000</v>
      </c>
      <c r="E27" s="2" t="s">
        <v>30</v>
      </c>
      <c r="F27" s="2">
        <v>2</v>
      </c>
      <c r="H27" s="2"/>
      <c r="I27" s="484"/>
      <c r="J27" s="549"/>
    </row>
    <row r="28" spans="1:10" x14ac:dyDescent="0.35">
      <c r="A28" s="2">
        <v>23</v>
      </c>
      <c r="B28" s="71">
        <v>46026</v>
      </c>
      <c r="C28" s="202">
        <v>671957</v>
      </c>
      <c r="D28" s="3">
        <f t="shared" si="0"/>
        <v>4371957</v>
      </c>
      <c r="E28" s="2" t="s">
        <v>30</v>
      </c>
      <c r="F28" s="2">
        <v>2</v>
      </c>
      <c r="H28" s="2"/>
      <c r="I28" s="484"/>
      <c r="J28" s="549"/>
    </row>
    <row r="29" spans="1:10" x14ac:dyDescent="0.35">
      <c r="A29" s="2">
        <v>24</v>
      </c>
      <c r="B29" s="71">
        <v>46083</v>
      </c>
      <c r="C29" s="3">
        <f>936913</f>
        <v>936913</v>
      </c>
      <c r="D29" s="3">
        <f t="shared" si="0"/>
        <v>5308870</v>
      </c>
      <c r="E29" s="2" t="s">
        <v>30</v>
      </c>
      <c r="F29" s="2">
        <v>2</v>
      </c>
      <c r="H29" s="2"/>
      <c r="I29" s="484"/>
      <c r="J29" s="549"/>
    </row>
    <row r="30" spans="1:10" x14ac:dyDescent="0.35">
      <c r="A30" s="2">
        <v>25</v>
      </c>
      <c r="B30" s="71">
        <v>46083</v>
      </c>
      <c r="C30" s="3">
        <v>700000</v>
      </c>
      <c r="D30" s="3">
        <f t="shared" si="0"/>
        <v>6008870</v>
      </c>
      <c r="E30" s="2" t="s">
        <v>30</v>
      </c>
      <c r="F30" s="2">
        <v>2</v>
      </c>
      <c r="H30" s="2"/>
      <c r="I30" s="484"/>
      <c r="J30" s="549"/>
    </row>
    <row r="31" spans="1:10" x14ac:dyDescent="0.35">
      <c r="A31" s="2">
        <v>26</v>
      </c>
      <c r="B31" s="71">
        <v>46083</v>
      </c>
      <c r="C31" s="3">
        <v>151559</v>
      </c>
      <c r="D31" s="3">
        <f t="shared" si="0"/>
        <v>6160429</v>
      </c>
      <c r="E31" s="2" t="s">
        <v>30</v>
      </c>
      <c r="F31" s="2">
        <v>2</v>
      </c>
      <c r="H31" s="2"/>
      <c r="I31" s="484"/>
      <c r="J31" s="549"/>
    </row>
    <row r="32" spans="1:10" x14ac:dyDescent="0.35">
      <c r="A32" s="2">
        <v>27</v>
      </c>
      <c r="B32" s="71">
        <v>46083</v>
      </c>
      <c r="C32" s="3">
        <v>2500000</v>
      </c>
      <c r="D32" s="3">
        <f t="shared" si="0"/>
        <v>8660429</v>
      </c>
      <c r="E32" s="2" t="s">
        <v>30</v>
      </c>
      <c r="F32" s="2">
        <v>2</v>
      </c>
      <c r="H32" s="2"/>
      <c r="I32" s="484"/>
      <c r="J32" s="549"/>
    </row>
    <row r="33" spans="1:10" x14ac:dyDescent="0.35">
      <c r="A33" s="2">
        <v>28</v>
      </c>
      <c r="B33" s="71">
        <v>46142</v>
      </c>
      <c r="C33" s="3">
        <v>200000</v>
      </c>
      <c r="D33" s="3">
        <f t="shared" si="0"/>
        <v>8860429</v>
      </c>
      <c r="E33" s="2" t="s">
        <v>30</v>
      </c>
      <c r="F33" s="2">
        <v>2</v>
      </c>
      <c r="H33" s="2"/>
      <c r="I33" s="484"/>
      <c r="J33" s="549"/>
    </row>
    <row r="34" spans="1:10" x14ac:dyDescent="0.35">
      <c r="A34" s="2">
        <v>29</v>
      </c>
      <c r="B34" s="71">
        <v>46165</v>
      </c>
      <c r="C34" s="3">
        <v>900000</v>
      </c>
      <c r="D34" s="3">
        <f t="shared" si="0"/>
        <v>9760429</v>
      </c>
      <c r="E34" s="2" t="s">
        <v>30</v>
      </c>
      <c r="F34" s="2">
        <v>2</v>
      </c>
      <c r="H34" s="2"/>
      <c r="I34" s="484"/>
      <c r="J34" s="549"/>
    </row>
    <row r="35" spans="1:10" x14ac:dyDescent="0.35">
      <c r="A35" s="2">
        <v>30</v>
      </c>
      <c r="B35" s="71">
        <v>46170</v>
      </c>
      <c r="C35" s="3">
        <v>966950</v>
      </c>
      <c r="D35" s="3">
        <f t="shared" ref="D35" si="1">D34+C35</f>
        <v>10727379</v>
      </c>
      <c r="E35" s="2" t="s">
        <v>30</v>
      </c>
      <c r="F35" s="2">
        <v>2</v>
      </c>
      <c r="H35" s="2"/>
      <c r="I35" s="484"/>
      <c r="J35" s="549"/>
    </row>
    <row r="36" spans="1:10" x14ac:dyDescent="0.35">
      <c r="A36" s="2">
        <v>31</v>
      </c>
      <c r="B36" s="71">
        <v>46198</v>
      </c>
      <c r="C36" s="3">
        <v>4998610</v>
      </c>
      <c r="D36" s="3">
        <f t="shared" ref="D36:D37" si="2">D35+C36</f>
        <v>15725989</v>
      </c>
      <c r="E36" s="2" t="s">
        <v>30</v>
      </c>
      <c r="F36" s="2">
        <v>2</v>
      </c>
      <c r="H36" s="2"/>
      <c r="I36" s="484"/>
      <c r="J36" s="549"/>
    </row>
    <row r="37" spans="1:10" x14ac:dyDescent="0.35">
      <c r="A37" s="2"/>
      <c r="B37" s="71">
        <v>46200</v>
      </c>
      <c r="C37" s="3">
        <v>4999999</v>
      </c>
      <c r="D37" s="3">
        <f t="shared" si="2"/>
        <v>20725988</v>
      </c>
      <c r="E37" s="2" t="s">
        <v>30</v>
      </c>
      <c r="F37" s="2"/>
      <c r="H37" s="2"/>
      <c r="I37" s="484"/>
      <c r="J37" s="549"/>
    </row>
    <row r="38" spans="1:10" x14ac:dyDescent="0.35">
      <c r="A38" s="2"/>
      <c r="B38" s="2"/>
      <c r="C38" s="3"/>
      <c r="D38" s="3"/>
      <c r="E38" s="2"/>
      <c r="F38" s="2"/>
      <c r="H38" s="2"/>
      <c r="I38" s="484"/>
      <c r="J38" s="549"/>
    </row>
    <row r="39" spans="1:10" hidden="1" x14ac:dyDescent="0.35">
      <c r="A39" s="2"/>
      <c r="B39" s="2"/>
      <c r="C39" s="3"/>
      <c r="D39" s="3"/>
      <c r="E39" s="2"/>
      <c r="F39" s="2"/>
      <c r="H39" s="2"/>
      <c r="I39" s="484"/>
      <c r="J39" s="549"/>
    </row>
    <row r="40" spans="1:10" hidden="1" x14ac:dyDescent="0.35">
      <c r="A40" s="2"/>
      <c r="B40" s="2"/>
      <c r="C40" s="3"/>
      <c r="D40" s="3"/>
      <c r="E40" s="2"/>
      <c r="F40" s="2"/>
      <c r="H40" s="2"/>
      <c r="I40" s="484"/>
      <c r="J40" s="549"/>
    </row>
    <row r="41" spans="1:10" hidden="1" x14ac:dyDescent="0.35">
      <c r="A41" s="2"/>
      <c r="B41" s="2"/>
      <c r="C41" s="3"/>
      <c r="D41" s="3"/>
      <c r="E41" s="2"/>
      <c r="F41" s="2"/>
      <c r="H41" s="2"/>
      <c r="I41" s="484"/>
      <c r="J41" s="549"/>
    </row>
    <row r="42" spans="1:10" hidden="1" x14ac:dyDescent="0.35">
      <c r="A42" s="2"/>
      <c r="B42" s="2"/>
      <c r="C42" s="3"/>
      <c r="D42" s="3"/>
      <c r="E42" s="2"/>
      <c r="F42" s="2"/>
      <c r="H42" s="2"/>
      <c r="I42" s="484"/>
      <c r="J42" s="549"/>
    </row>
    <row r="43" spans="1:10" hidden="1" x14ac:dyDescent="0.35">
      <c r="A43" s="2"/>
      <c r="B43" s="2"/>
      <c r="C43" s="3"/>
      <c r="D43" s="3"/>
      <c r="E43" s="2"/>
      <c r="F43" s="2"/>
      <c r="H43" s="2"/>
      <c r="I43" s="484"/>
      <c r="J43" s="549"/>
    </row>
    <row r="44" spans="1:10" hidden="1" x14ac:dyDescent="0.35">
      <c r="A44" s="2"/>
      <c r="B44" s="2"/>
      <c r="C44" s="3"/>
      <c r="D44" s="3"/>
      <c r="E44" s="2"/>
      <c r="F44" s="2"/>
      <c r="H44" s="2"/>
      <c r="I44" s="484"/>
      <c r="J44" s="549"/>
    </row>
    <row r="45" spans="1:10" s="5" customFormat="1" x14ac:dyDescent="0.35">
      <c r="A45" s="74"/>
      <c r="B45" s="74"/>
      <c r="C45" s="191">
        <f>SUM(C6:C44)</f>
        <v>20725988</v>
      </c>
      <c r="D45" s="191">
        <f>C45+J45</f>
        <v>21606902.808122825</v>
      </c>
      <c r="E45" s="191">
        <f>'DETAILS (sorted)'!DS7</f>
        <v>23301939.274148986</v>
      </c>
      <c r="F45" s="74">
        <f>D45-E45</f>
        <v>-1695036.4660261609</v>
      </c>
      <c r="G45" s="5" t="b">
        <f>D45=E45</f>
        <v>0</v>
      </c>
      <c r="H45" s="74"/>
      <c r="I45" s="544"/>
      <c r="J45" s="548">
        <f>SUM(J6:J44)</f>
        <v>880914.80812282406</v>
      </c>
    </row>
    <row r="47" spans="1:10" x14ac:dyDescent="0.35">
      <c r="C47" s="191" t="s">
        <v>644</v>
      </c>
      <c r="D47" s="191">
        <f>C45+J45</f>
        <v>21606902.808122825</v>
      </c>
      <c r="E47" s="122">
        <f>D47/D48</f>
        <v>0.72023009360409418</v>
      </c>
      <c r="F47" s="2" t="s">
        <v>652</v>
      </c>
    </row>
    <row r="48" spans="1:10" x14ac:dyDescent="0.35">
      <c r="C48" s="3"/>
      <c r="D48" s="3">
        <v>30000000</v>
      </c>
      <c r="E48" s="122">
        <f>D48/D48</f>
        <v>1</v>
      </c>
      <c r="F48" s="2" t="s">
        <v>654</v>
      </c>
    </row>
    <row r="49" spans="3:6" x14ac:dyDescent="0.35">
      <c r="C49" s="3"/>
      <c r="D49" s="3">
        <f>D47-D48</f>
        <v>-8393097.1918771751</v>
      </c>
      <c r="E49" s="122">
        <f>D49/D48</f>
        <v>-0.27976990639590582</v>
      </c>
      <c r="F49" s="2" t="s">
        <v>653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B62B9-80EE-4713-AD0E-B324B9E71D91}">
  <dimension ref="A2:AL44"/>
  <sheetViews>
    <sheetView topLeftCell="A8" workbookViewId="0">
      <selection activeCell="N16" sqref="N16"/>
    </sheetView>
  </sheetViews>
  <sheetFormatPr defaultColWidth="10.7265625" defaultRowHeight="14.5" x14ac:dyDescent="0.35"/>
  <cols>
    <col min="1" max="1" width="12" bestFit="1" customWidth="1"/>
    <col min="2" max="2" width="14.26953125" bestFit="1" customWidth="1"/>
    <col min="3" max="3" width="12.7265625" style="1" bestFit="1" customWidth="1"/>
    <col min="4" max="4" width="14.453125" style="1" bestFit="1" customWidth="1"/>
    <col min="5" max="5" width="11.26953125" bestFit="1" customWidth="1"/>
    <col min="6" max="6" width="9.26953125" bestFit="1" customWidth="1"/>
    <col min="7" max="7" width="5.1796875" bestFit="1" customWidth="1"/>
    <col min="8" max="8" width="4.7265625" hidden="1" customWidth="1"/>
    <col min="9" max="9" width="28.1796875" style="526" bestFit="1" customWidth="1"/>
    <col min="10" max="10" width="11.1796875" style="550" bestFit="1" customWidth="1"/>
    <col min="19" max="21" width="5.54296875" bestFit="1" customWidth="1"/>
    <col min="22" max="22" width="5.6328125" bestFit="1" customWidth="1"/>
    <col min="23" max="33" width="5.54296875" bestFit="1" customWidth="1"/>
    <col min="34" max="34" width="5.6328125" bestFit="1" customWidth="1"/>
    <col min="35" max="35" width="5.54296875" bestFit="1" customWidth="1"/>
    <col min="36" max="36" width="10.81640625" bestFit="1" customWidth="1"/>
    <col min="37" max="37" width="5.54296875" bestFit="1" customWidth="1"/>
    <col min="38" max="38" width="5.6328125" bestFit="1" customWidth="1"/>
  </cols>
  <sheetData>
    <row r="2" spans="1:38" s="5" customFormat="1" x14ac:dyDescent="0.35">
      <c r="A2" s="74" t="s">
        <v>190</v>
      </c>
      <c r="B2" s="191" t="s">
        <v>0</v>
      </c>
      <c r="C2" s="191"/>
      <c r="D2" s="74" t="s">
        <v>1</v>
      </c>
      <c r="E2" s="75" t="s">
        <v>2</v>
      </c>
      <c r="F2" s="74"/>
      <c r="G2" s="74"/>
      <c r="H2" s="74"/>
      <c r="I2" s="544"/>
      <c r="J2" s="548"/>
    </row>
    <row r="3" spans="1:38" s="1" customFormat="1" x14ac:dyDescent="0.35">
      <c r="A3" s="210" t="s">
        <v>233</v>
      </c>
      <c r="B3" s="286" t="s">
        <v>50</v>
      </c>
      <c r="C3" s="7"/>
      <c r="D3" s="71"/>
      <c r="E3" s="7"/>
      <c r="F3" s="7"/>
      <c r="G3" s="71"/>
      <c r="H3" s="11"/>
      <c r="I3" s="545"/>
      <c r="J3" s="555"/>
      <c r="K3" s="3"/>
      <c r="L3" s="3"/>
      <c r="M3" s="3"/>
      <c r="N3" s="3"/>
      <c r="O3" s="3"/>
      <c r="P3" s="3"/>
      <c r="Q3" s="3"/>
      <c r="R3" s="3"/>
      <c r="S3" s="189" t="e">
        <f>#REF!+#REF!+#REF!+#REF!+#REF!+#REF!+#REF!+#REF!+L3+N3+P3+R3</f>
        <v>#REF!</v>
      </c>
      <c r="T3" s="189" t="e">
        <f>#REF!+S3</f>
        <v>#REF!</v>
      </c>
      <c r="U3" s="189" t="e">
        <f>#REF!/#REF!*#REF!</f>
        <v>#REF!</v>
      </c>
      <c r="V3" s="190" t="e">
        <f>#REF!+#REF!+#REF!</f>
        <v>#REF!</v>
      </c>
      <c r="W3" s="189" t="e">
        <f t="shared" ref="W3" si="0">V3/$V$96*$AH$115</f>
        <v>#REF!</v>
      </c>
      <c r="X3" s="189" t="e">
        <f t="shared" ref="X3" si="1">V3/$V$96*$AH$116</f>
        <v>#REF!</v>
      </c>
      <c r="Y3" s="189" t="e">
        <f>#REF!+#REF!+#REF!+#REF!+#REF!</f>
        <v>#REF!</v>
      </c>
      <c r="Z3" s="189" t="e">
        <f t="shared" ref="Z3" si="2">Y3/$Y$96*$AH$117</f>
        <v>#REF!</v>
      </c>
      <c r="AA3" s="189" t="e">
        <f>Y3+#REF!</f>
        <v>#REF!</v>
      </c>
      <c r="AB3" s="189" t="e">
        <f t="shared" ref="AB3" si="3">AA3/$AA$96*$AH$118</f>
        <v>#REF!</v>
      </c>
      <c r="AC3" s="189" t="e">
        <f>AA3+#REF!</f>
        <v>#REF!</v>
      </c>
      <c r="AD3" s="189" t="e">
        <f t="shared" ref="AD3" si="4">AC3/$AC$96*$AH$119</f>
        <v>#REF!</v>
      </c>
      <c r="AE3" s="189" t="e">
        <f>AC3+#REF!</f>
        <v>#REF!</v>
      </c>
      <c r="AF3" s="388" t="e">
        <f t="shared" ref="AF3" si="5">AE3/$AE$96*750000</f>
        <v>#REF!</v>
      </c>
      <c r="AG3" s="189" t="e">
        <f t="shared" ref="AG3" si="6">AE3/$AE$96*$AH$128</f>
        <v>#REF!</v>
      </c>
      <c r="AH3" s="186" t="e">
        <f t="shared" ref="AH3" si="7">T3+U3+W3+X3+Z3+AB3+AD3+AF3+AG3</f>
        <v>#REF!</v>
      </c>
      <c r="AI3" s="1" t="e">
        <f t="shared" ref="AI3" si="8">AH3=T3+U3+W3+X3+Z3+AB3+AD3+AF3+AG3</f>
        <v>#REF!</v>
      </c>
      <c r="AJ3" s="247" t="str">
        <f>B3</f>
        <v xml:space="preserve">Erick Kitali </v>
      </c>
      <c r="AK3" s="249" t="e">
        <f t="shared" ref="AK3" si="9">AH3</f>
        <v>#REF!</v>
      </c>
      <c r="AL3" s="248" t="e">
        <f t="shared" ref="AL3" si="10">AH3-T3</f>
        <v>#REF!</v>
      </c>
    </row>
    <row r="4" spans="1:38" x14ac:dyDescent="0.35">
      <c r="H4" s="74" t="s">
        <v>643</v>
      </c>
      <c r="I4" s="544" t="s">
        <v>445</v>
      </c>
      <c r="J4" s="548" t="s">
        <v>568</v>
      </c>
    </row>
    <row r="5" spans="1:38" x14ac:dyDescent="0.35">
      <c r="A5" s="74" t="s">
        <v>487</v>
      </c>
      <c r="B5" s="74" t="s">
        <v>2</v>
      </c>
      <c r="C5" s="191" t="s">
        <v>124</v>
      </c>
      <c r="D5" s="191" t="s">
        <v>488</v>
      </c>
      <c r="E5" s="74" t="s">
        <v>489</v>
      </c>
      <c r="F5" s="74" t="s">
        <v>490</v>
      </c>
      <c r="H5" s="2"/>
      <c r="I5" s="484"/>
      <c r="J5" s="549"/>
    </row>
    <row r="6" spans="1:38" x14ac:dyDescent="0.35">
      <c r="A6" s="2">
        <v>1</v>
      </c>
      <c r="B6" s="71">
        <v>45357</v>
      </c>
      <c r="C6" s="7">
        <v>80000</v>
      </c>
      <c r="D6" s="3">
        <f>C6</f>
        <v>80000</v>
      </c>
      <c r="E6" s="2" t="s">
        <v>144</v>
      </c>
      <c r="F6" s="2">
        <v>1</v>
      </c>
      <c r="H6" s="2"/>
      <c r="I6" s="503" t="s">
        <v>210</v>
      </c>
      <c r="J6" s="549">
        <v>34191.627509593673</v>
      </c>
    </row>
    <row r="7" spans="1:38" x14ac:dyDescent="0.35">
      <c r="A7" s="2">
        <v>2</v>
      </c>
      <c r="B7" s="71">
        <v>45358</v>
      </c>
      <c r="C7" s="11">
        <v>170000</v>
      </c>
      <c r="D7" s="3">
        <f>D6+C7</f>
        <v>250000</v>
      </c>
      <c r="E7" s="2" t="s">
        <v>144</v>
      </c>
      <c r="F7" s="2">
        <v>1</v>
      </c>
      <c r="H7" s="2"/>
      <c r="I7" s="504" t="s">
        <v>212</v>
      </c>
      <c r="J7" s="549">
        <v>36276.740967383019</v>
      </c>
    </row>
    <row r="8" spans="1:38" x14ac:dyDescent="0.35">
      <c r="A8" s="2">
        <v>3</v>
      </c>
      <c r="B8" s="71">
        <v>45525</v>
      </c>
      <c r="C8" s="11">
        <v>550000</v>
      </c>
      <c r="D8" s="3">
        <f t="shared" ref="D8:D25" si="11">D7+C8</f>
        <v>800000</v>
      </c>
      <c r="E8" s="2" t="s">
        <v>144</v>
      </c>
      <c r="F8" s="2">
        <v>1</v>
      </c>
      <c r="H8" s="2"/>
      <c r="I8" s="504" t="s">
        <v>213</v>
      </c>
      <c r="J8" s="549">
        <v>55328.649280460908</v>
      </c>
    </row>
    <row r="9" spans="1:38" x14ac:dyDescent="0.35">
      <c r="A9" s="2">
        <v>4</v>
      </c>
      <c r="B9" s="71">
        <v>45648</v>
      </c>
      <c r="C9" s="11">
        <v>200000</v>
      </c>
      <c r="D9" s="3">
        <f t="shared" si="11"/>
        <v>1000000</v>
      </c>
      <c r="E9" s="2" t="s">
        <v>144</v>
      </c>
      <c r="F9" s="2">
        <v>1</v>
      </c>
      <c r="H9" s="2"/>
      <c r="I9" s="504" t="s">
        <v>215</v>
      </c>
      <c r="J9" s="549">
        <v>76442.095753490968</v>
      </c>
    </row>
    <row r="10" spans="1:38" x14ac:dyDescent="0.35">
      <c r="A10" s="2">
        <v>5</v>
      </c>
      <c r="B10" s="71">
        <v>45727</v>
      </c>
      <c r="C10" s="3">
        <v>300000</v>
      </c>
      <c r="D10" s="3">
        <f t="shared" si="11"/>
        <v>1300000</v>
      </c>
      <c r="E10" s="2" t="s">
        <v>30</v>
      </c>
      <c r="F10" s="2">
        <v>2</v>
      </c>
      <c r="H10" s="2"/>
      <c r="I10" s="504" t="s">
        <v>217</v>
      </c>
      <c r="J10" s="549">
        <v>196851.98239982207</v>
      </c>
    </row>
    <row r="11" spans="1:38" x14ac:dyDescent="0.35">
      <c r="A11" s="2">
        <v>6</v>
      </c>
      <c r="B11" s="71">
        <v>45909</v>
      </c>
      <c r="C11" s="11">
        <v>1000000</v>
      </c>
      <c r="D11" s="3">
        <f t="shared" si="11"/>
        <v>2300000</v>
      </c>
      <c r="E11" s="2" t="s">
        <v>30</v>
      </c>
      <c r="F11" s="2">
        <v>2</v>
      </c>
      <c r="H11" s="2"/>
      <c r="I11" s="504" t="s">
        <v>219</v>
      </c>
      <c r="J11" s="549">
        <v>151560.01683242666</v>
      </c>
    </row>
    <row r="12" spans="1:38" x14ac:dyDescent="0.35">
      <c r="A12" s="2">
        <v>7</v>
      </c>
      <c r="B12" s="71">
        <v>45937</v>
      </c>
      <c r="C12" s="202">
        <v>200000</v>
      </c>
      <c r="D12" s="3">
        <f t="shared" si="11"/>
        <v>2500000</v>
      </c>
      <c r="E12" s="2" t="s">
        <v>30</v>
      </c>
      <c r="F12" s="2">
        <v>2</v>
      </c>
      <c r="H12" s="2"/>
      <c r="I12" s="504" t="s">
        <v>537</v>
      </c>
      <c r="J12" s="549">
        <v>30056.223110035819</v>
      </c>
    </row>
    <row r="13" spans="1:38" x14ac:dyDescent="0.35">
      <c r="A13" s="2">
        <v>8</v>
      </c>
      <c r="B13" s="71">
        <v>45972</v>
      </c>
      <c r="C13" s="202">
        <v>270000</v>
      </c>
      <c r="D13" s="3">
        <f t="shared" si="11"/>
        <v>2770000</v>
      </c>
      <c r="E13" s="2" t="s">
        <v>30</v>
      </c>
      <c r="F13" s="2">
        <v>2</v>
      </c>
      <c r="H13" s="2"/>
      <c r="I13" s="504" t="s">
        <v>543</v>
      </c>
      <c r="J13" s="549">
        <v>77323.47834187813</v>
      </c>
    </row>
    <row r="14" spans="1:38" x14ac:dyDescent="0.35">
      <c r="A14" s="2">
        <v>9</v>
      </c>
      <c r="B14" s="71">
        <v>45998</v>
      </c>
      <c r="C14" s="202">
        <f>1000000</f>
        <v>1000000</v>
      </c>
      <c r="D14" s="3">
        <f t="shared" si="11"/>
        <v>3770000</v>
      </c>
      <c r="E14" s="2" t="s">
        <v>30</v>
      </c>
      <c r="F14" s="2">
        <v>2</v>
      </c>
      <c r="H14" s="2"/>
      <c r="I14" s="504" t="s">
        <v>681</v>
      </c>
      <c r="J14" s="549">
        <f>'DETAILS (sorted)'!DC8</f>
        <v>137183.17408091613</v>
      </c>
    </row>
    <row r="15" spans="1:38" x14ac:dyDescent="0.35">
      <c r="A15" s="2">
        <v>10</v>
      </c>
      <c r="B15" s="71">
        <v>45998</v>
      </c>
      <c r="C15" s="202">
        <v>1195808</v>
      </c>
      <c r="D15" s="3">
        <f t="shared" si="11"/>
        <v>4965808</v>
      </c>
      <c r="E15" s="2" t="s">
        <v>30</v>
      </c>
      <c r="F15" s="2">
        <v>2</v>
      </c>
      <c r="H15" s="2"/>
      <c r="I15" s="504" t="s">
        <v>696</v>
      </c>
      <c r="J15" s="549">
        <f>'DETAILS (sorted)'!DD8</f>
        <v>92886.038436374452</v>
      </c>
    </row>
    <row r="16" spans="1:38" x14ac:dyDescent="0.35">
      <c r="A16" s="2">
        <v>11</v>
      </c>
      <c r="B16" s="71">
        <v>46052</v>
      </c>
      <c r="C16" s="202">
        <v>408395</v>
      </c>
      <c r="D16" s="3">
        <f t="shared" si="11"/>
        <v>5374203</v>
      </c>
      <c r="E16" s="2" t="s">
        <v>30</v>
      </c>
      <c r="F16" s="2">
        <v>2</v>
      </c>
      <c r="H16" s="2"/>
      <c r="I16" s="524" t="s">
        <v>887</v>
      </c>
      <c r="J16" s="549">
        <f>'DETAILS (sorted)'!DF8</f>
        <v>83401.981685110615</v>
      </c>
    </row>
    <row r="17" spans="1:10" x14ac:dyDescent="0.35">
      <c r="A17" s="2">
        <v>12</v>
      </c>
      <c r="B17" s="71">
        <v>46072</v>
      </c>
      <c r="C17" s="231">
        <f>423558</f>
        <v>423558</v>
      </c>
      <c r="D17" s="3">
        <f t="shared" si="11"/>
        <v>5797761</v>
      </c>
      <c r="E17" s="2" t="s">
        <v>30</v>
      </c>
      <c r="F17" s="2">
        <v>2</v>
      </c>
      <c r="H17" s="2"/>
      <c r="I17" s="524" t="s">
        <v>889</v>
      </c>
      <c r="J17" s="549">
        <f>'DETAILS (sorted)'!DG8</f>
        <v>278478.57691915031</v>
      </c>
    </row>
    <row r="18" spans="1:10" x14ac:dyDescent="0.35">
      <c r="A18" s="2">
        <v>13</v>
      </c>
      <c r="B18" s="71">
        <v>46082</v>
      </c>
      <c r="C18" s="231">
        <f>2000000</f>
        <v>2000000</v>
      </c>
      <c r="D18" s="3">
        <f t="shared" si="11"/>
        <v>7797761</v>
      </c>
      <c r="E18" s="2" t="s">
        <v>30</v>
      </c>
      <c r="F18" s="2">
        <v>2</v>
      </c>
      <c r="H18" s="2"/>
      <c r="I18" s="524" t="s">
        <v>891</v>
      </c>
      <c r="J18" s="549">
        <f>'DETAILS (sorted)'!DL8</f>
        <v>114974.07219327737</v>
      </c>
    </row>
    <row r="19" spans="1:10" x14ac:dyDescent="0.35">
      <c r="A19" s="2">
        <v>14</v>
      </c>
      <c r="B19" s="71">
        <v>46082</v>
      </c>
      <c r="C19" s="231">
        <v>2000000</v>
      </c>
      <c r="D19" s="3">
        <f t="shared" si="11"/>
        <v>9797761</v>
      </c>
      <c r="E19" s="2" t="s">
        <v>30</v>
      </c>
      <c r="F19" s="2">
        <v>2</v>
      </c>
      <c r="H19" s="2"/>
      <c r="I19" s="524" t="s">
        <v>894</v>
      </c>
      <c r="J19" s="549">
        <f>'DETAILS (sorted)'!DM8</f>
        <v>0</v>
      </c>
    </row>
    <row r="20" spans="1:10" x14ac:dyDescent="0.35">
      <c r="A20" s="2">
        <v>15</v>
      </c>
      <c r="B20" s="71">
        <v>46082</v>
      </c>
      <c r="C20" s="231">
        <v>4803148</v>
      </c>
      <c r="D20" s="3">
        <f t="shared" si="11"/>
        <v>14600909</v>
      </c>
      <c r="E20" s="2" t="s">
        <v>30</v>
      </c>
      <c r="F20" s="2">
        <v>2</v>
      </c>
      <c r="H20" s="2"/>
      <c r="I20" s="524" t="s">
        <v>893</v>
      </c>
      <c r="J20" s="549">
        <f>'DETAILS (sorted)'!DN8</f>
        <v>0</v>
      </c>
    </row>
    <row r="21" spans="1:10" x14ac:dyDescent="0.35">
      <c r="A21" s="2">
        <v>16</v>
      </c>
      <c r="B21" s="71">
        <v>46100</v>
      </c>
      <c r="C21" s="231">
        <v>1000000</v>
      </c>
      <c r="D21" s="3">
        <f t="shared" si="11"/>
        <v>15600909</v>
      </c>
      <c r="E21" s="2" t="s">
        <v>30</v>
      </c>
      <c r="F21" s="2">
        <v>2</v>
      </c>
      <c r="H21" s="2"/>
      <c r="I21" s="524" t="s">
        <v>895</v>
      </c>
      <c r="J21" s="549">
        <f>'DETAILS (sorted)'!DO8</f>
        <v>0</v>
      </c>
    </row>
    <row r="22" spans="1:10" x14ac:dyDescent="0.35">
      <c r="A22" s="2">
        <v>17</v>
      </c>
      <c r="B22" s="71">
        <v>46123</v>
      </c>
      <c r="C22" s="3">
        <f>3000000</f>
        <v>3000000</v>
      </c>
      <c r="D22" s="3">
        <f t="shared" si="11"/>
        <v>18600909</v>
      </c>
      <c r="E22" s="2" t="s">
        <v>30</v>
      </c>
      <c r="F22" s="2">
        <v>2</v>
      </c>
      <c r="H22" s="2"/>
      <c r="I22" s="524" t="s">
        <v>897</v>
      </c>
      <c r="J22" s="549">
        <f>'DETAILS (sorted)'!DQ8</f>
        <v>0</v>
      </c>
    </row>
    <row r="23" spans="1:10" x14ac:dyDescent="0.35">
      <c r="A23" s="2">
        <v>18</v>
      </c>
      <c r="B23" s="71">
        <v>46127</v>
      </c>
      <c r="C23" s="3">
        <v>849791</v>
      </c>
      <c r="D23" s="3">
        <f t="shared" si="11"/>
        <v>19450700</v>
      </c>
      <c r="E23" s="2" t="s">
        <v>30</v>
      </c>
      <c r="F23" s="2">
        <v>2</v>
      </c>
      <c r="H23" s="2"/>
      <c r="I23" s="524" t="s">
        <v>898</v>
      </c>
      <c r="J23" s="549">
        <f>'DETAILS (sorted)'!DR8</f>
        <v>0</v>
      </c>
    </row>
    <row r="24" spans="1:10" x14ac:dyDescent="0.35">
      <c r="A24" s="2">
        <v>19</v>
      </c>
      <c r="B24" s="71">
        <v>46143</v>
      </c>
      <c r="C24" s="3">
        <f>2998649</f>
        <v>2998649</v>
      </c>
      <c r="D24" s="3">
        <f t="shared" si="11"/>
        <v>22449349</v>
      </c>
      <c r="E24" s="2" t="s">
        <v>30</v>
      </c>
      <c r="F24" s="2">
        <v>2</v>
      </c>
      <c r="H24" s="2"/>
      <c r="I24" s="484"/>
      <c r="J24" s="549"/>
    </row>
    <row r="25" spans="1:10" x14ac:dyDescent="0.35">
      <c r="A25" s="2">
        <v>20</v>
      </c>
      <c r="B25" s="71">
        <v>46143</v>
      </c>
      <c r="C25" s="3">
        <v>1892620</v>
      </c>
      <c r="D25" s="3">
        <f t="shared" si="11"/>
        <v>24341969</v>
      </c>
      <c r="E25" s="2" t="s">
        <v>30</v>
      </c>
      <c r="F25" s="2">
        <v>2</v>
      </c>
      <c r="H25" s="2"/>
      <c r="I25" s="484"/>
      <c r="J25" s="549"/>
    </row>
    <row r="26" spans="1:10" x14ac:dyDescent="0.35">
      <c r="A26" s="2">
        <v>21</v>
      </c>
      <c r="B26" s="71">
        <v>46174</v>
      </c>
      <c r="C26" s="3">
        <v>500000</v>
      </c>
      <c r="D26" s="3">
        <f t="shared" ref="D26:D27" si="12">D25+C26</f>
        <v>24841969</v>
      </c>
      <c r="E26" s="2" t="s">
        <v>30</v>
      </c>
      <c r="F26" s="2">
        <v>2</v>
      </c>
      <c r="H26" s="2"/>
      <c r="I26" s="484"/>
      <c r="J26" s="549"/>
    </row>
    <row r="27" spans="1:10" x14ac:dyDescent="0.35">
      <c r="A27" s="2">
        <v>22</v>
      </c>
      <c r="B27" s="71">
        <v>46187</v>
      </c>
      <c r="C27" s="3">
        <v>263914</v>
      </c>
      <c r="D27" s="3">
        <f t="shared" si="12"/>
        <v>25105883</v>
      </c>
      <c r="E27" s="2" t="s">
        <v>30</v>
      </c>
      <c r="F27" s="2">
        <v>2</v>
      </c>
      <c r="H27" s="2"/>
      <c r="I27" s="484"/>
      <c r="J27" s="549"/>
    </row>
    <row r="28" spans="1:10" x14ac:dyDescent="0.35">
      <c r="A28" s="2">
        <v>23</v>
      </c>
      <c r="B28" s="71">
        <v>46190</v>
      </c>
      <c r="C28" s="3">
        <v>4000000</v>
      </c>
      <c r="D28" s="3">
        <f t="shared" ref="D28" si="13">D27+C28</f>
        <v>29105883</v>
      </c>
      <c r="E28" s="2" t="s">
        <v>30</v>
      </c>
      <c r="F28" s="2">
        <v>2</v>
      </c>
      <c r="H28" s="2"/>
      <c r="I28" s="484"/>
      <c r="J28" s="549"/>
    </row>
    <row r="29" spans="1:10" x14ac:dyDescent="0.35">
      <c r="A29" s="2">
        <v>24</v>
      </c>
      <c r="B29" s="71">
        <v>46198</v>
      </c>
      <c r="C29" s="3">
        <v>2000000</v>
      </c>
      <c r="D29" s="3">
        <f t="shared" ref="D29" si="14">D28+C29</f>
        <v>31105883</v>
      </c>
      <c r="E29" s="2" t="s">
        <v>30</v>
      </c>
      <c r="F29" s="2">
        <v>2</v>
      </c>
      <c r="H29" s="2"/>
      <c r="I29" s="484"/>
      <c r="J29" s="549"/>
    </row>
    <row r="30" spans="1:10" x14ac:dyDescent="0.35">
      <c r="A30" s="2"/>
      <c r="B30" s="2"/>
      <c r="C30" s="3"/>
      <c r="D30" s="3"/>
      <c r="E30" s="2"/>
      <c r="F30" s="2"/>
      <c r="H30" s="2"/>
      <c r="I30" s="484"/>
      <c r="J30" s="549"/>
    </row>
    <row r="31" spans="1:10" hidden="1" x14ac:dyDescent="0.35">
      <c r="A31" s="2"/>
      <c r="B31" s="2"/>
      <c r="C31" s="3"/>
      <c r="D31" s="3"/>
      <c r="E31" s="2"/>
      <c r="F31" s="2"/>
      <c r="H31" s="2"/>
      <c r="I31" s="484"/>
      <c r="J31" s="549"/>
    </row>
    <row r="32" spans="1:10" hidden="1" x14ac:dyDescent="0.35">
      <c r="A32" s="2"/>
      <c r="B32" s="2"/>
      <c r="C32" s="3"/>
      <c r="D32" s="3"/>
      <c r="E32" s="2"/>
      <c r="F32" s="2"/>
      <c r="H32" s="2"/>
      <c r="I32" s="484"/>
      <c r="J32" s="549"/>
    </row>
    <row r="33" spans="1:10" hidden="1" x14ac:dyDescent="0.35">
      <c r="A33" s="2"/>
      <c r="B33" s="2"/>
      <c r="C33" s="3"/>
      <c r="D33" s="3"/>
      <c r="E33" s="2"/>
      <c r="F33" s="2"/>
      <c r="H33" s="2"/>
      <c r="I33" s="484"/>
      <c r="J33" s="549"/>
    </row>
    <row r="34" spans="1:10" hidden="1" x14ac:dyDescent="0.35">
      <c r="A34" s="2"/>
      <c r="B34" s="2"/>
      <c r="C34" s="3"/>
      <c r="D34" s="3"/>
      <c r="E34" s="2"/>
      <c r="F34" s="2"/>
      <c r="H34" s="2"/>
      <c r="I34" s="484"/>
      <c r="J34" s="549"/>
    </row>
    <row r="35" spans="1:10" hidden="1" x14ac:dyDescent="0.35">
      <c r="A35" s="2"/>
      <c r="B35" s="2"/>
      <c r="C35" s="3"/>
      <c r="D35" s="3"/>
      <c r="E35" s="2"/>
      <c r="F35" s="2"/>
      <c r="H35" s="2"/>
      <c r="I35" s="484"/>
      <c r="J35" s="549"/>
    </row>
    <row r="36" spans="1:10" hidden="1" x14ac:dyDescent="0.35">
      <c r="A36" s="2"/>
      <c r="B36" s="2"/>
      <c r="C36" s="3"/>
      <c r="D36" s="3"/>
      <c r="E36" s="2"/>
      <c r="F36" s="2"/>
      <c r="H36" s="2"/>
      <c r="I36" s="484"/>
      <c r="J36" s="549"/>
    </row>
    <row r="37" spans="1:10" hidden="1" x14ac:dyDescent="0.35">
      <c r="A37" s="2"/>
      <c r="B37" s="2"/>
      <c r="C37" s="3"/>
      <c r="D37" s="3"/>
      <c r="E37" s="2"/>
      <c r="F37" s="2"/>
      <c r="H37" s="2"/>
      <c r="I37" s="484"/>
      <c r="J37" s="549"/>
    </row>
    <row r="38" spans="1:10" hidden="1" x14ac:dyDescent="0.35">
      <c r="A38" s="2"/>
      <c r="B38" s="2"/>
      <c r="C38" s="3"/>
      <c r="D38" s="3"/>
      <c r="E38" s="2"/>
      <c r="F38" s="2"/>
      <c r="H38" s="2"/>
      <c r="I38" s="484"/>
      <c r="J38" s="549"/>
    </row>
    <row r="39" spans="1:10" hidden="1" x14ac:dyDescent="0.35">
      <c r="A39" s="2"/>
      <c r="B39" s="2"/>
      <c r="C39" s="3"/>
      <c r="D39" s="3"/>
      <c r="E39" s="2"/>
      <c r="F39" s="2"/>
      <c r="H39" s="2"/>
      <c r="I39" s="484"/>
      <c r="J39" s="549"/>
    </row>
    <row r="40" spans="1:10" s="5" customFormat="1" x14ac:dyDescent="0.35">
      <c r="A40" s="74"/>
      <c r="B40" s="74"/>
      <c r="C40" s="191">
        <f>SUM(C6:C39)</f>
        <v>31105883</v>
      </c>
      <c r="D40" s="191">
        <f>C40+J40</f>
        <v>32470837.657509919</v>
      </c>
      <c r="E40" s="191">
        <f>'DETAILS (sorted)'!DS8</f>
        <v>40727737.587595046</v>
      </c>
      <c r="F40" s="74">
        <f>D40-E40</f>
        <v>-8256899.9300851263</v>
      </c>
      <c r="G40" s="5" t="b">
        <f>D40=E40</f>
        <v>0</v>
      </c>
      <c r="H40" s="74"/>
      <c r="I40" s="544"/>
      <c r="J40" s="548">
        <f>SUM(J5:J39)</f>
        <v>1364954.6575099202</v>
      </c>
    </row>
    <row r="42" spans="1:10" x14ac:dyDescent="0.35">
      <c r="C42" s="191" t="s">
        <v>644</v>
      </c>
      <c r="D42" s="191">
        <f>C40+J40</f>
        <v>32470837.657509919</v>
      </c>
      <c r="E42" s="122">
        <f>D42/D43</f>
        <v>0.64941675315019842</v>
      </c>
      <c r="F42" s="2" t="s">
        <v>652</v>
      </c>
    </row>
    <row r="43" spans="1:10" x14ac:dyDescent="0.35">
      <c r="C43" s="3"/>
      <c r="D43" s="3">
        <v>50000000</v>
      </c>
      <c r="E43" s="122">
        <f>D43/D43</f>
        <v>1</v>
      </c>
      <c r="F43" s="2" t="s">
        <v>654</v>
      </c>
    </row>
    <row r="44" spans="1:10" x14ac:dyDescent="0.35">
      <c r="C44" s="3"/>
      <c r="D44" s="3">
        <f>D42-D43</f>
        <v>-17529162.342490081</v>
      </c>
      <c r="E44" s="122">
        <f>D44/D43</f>
        <v>-0.35058324684980163</v>
      </c>
      <c r="F44" s="2" t="s">
        <v>653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62940-1315-4389-A17F-D353FA2F6D5A}">
  <dimension ref="A2:J39"/>
  <sheetViews>
    <sheetView topLeftCell="A8" workbookViewId="0">
      <selection activeCell="D15" sqref="D15"/>
    </sheetView>
  </sheetViews>
  <sheetFormatPr defaultRowHeight="14.5" x14ac:dyDescent="0.35"/>
  <cols>
    <col min="1" max="1" width="12" bestFit="1" customWidth="1"/>
    <col min="2" max="2" width="14.26953125" bestFit="1" customWidth="1"/>
    <col min="3" max="3" width="11.36328125" style="1" bestFit="1" customWidth="1"/>
    <col min="4" max="4" width="14.453125" style="1" bestFit="1" customWidth="1"/>
    <col min="5" max="5" width="12.7265625" bestFit="1" customWidth="1"/>
    <col min="6" max="6" width="9.1796875" bestFit="1" customWidth="1"/>
    <col min="7" max="7" width="8.08984375" bestFit="1" customWidth="1"/>
    <col min="8" max="8" width="7.6328125" bestFit="1" customWidth="1"/>
    <col min="9" max="9" width="27.08984375" style="526" customWidth="1"/>
    <col min="10" max="10" width="10.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234</v>
      </c>
      <c r="B3" s="7" t="s">
        <v>23</v>
      </c>
      <c r="C3" s="7"/>
      <c r="D3" s="70"/>
      <c r="E3" s="11"/>
      <c r="F3" s="11"/>
      <c r="G3" s="70"/>
      <c r="H3" s="7"/>
      <c r="I3" s="556"/>
      <c r="J3" s="559"/>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0">
        <v>45348</v>
      </c>
      <c r="C6" s="11">
        <v>1000</v>
      </c>
      <c r="D6" s="3">
        <f>C6</f>
        <v>1000</v>
      </c>
      <c r="E6" s="2" t="s">
        <v>144</v>
      </c>
      <c r="F6" s="2">
        <v>1</v>
      </c>
      <c r="H6" s="2"/>
      <c r="I6" s="503" t="s">
        <v>210</v>
      </c>
      <c r="J6" s="549">
        <v>2096.0954255881338</v>
      </c>
    </row>
    <row r="7" spans="1:10" x14ac:dyDescent="0.35">
      <c r="A7" s="2">
        <v>2</v>
      </c>
      <c r="B7" s="70">
        <v>45352</v>
      </c>
      <c r="C7" s="7">
        <v>70000</v>
      </c>
      <c r="D7" s="3">
        <f>D6+C7</f>
        <v>71000</v>
      </c>
      <c r="E7" s="2" t="s">
        <v>144</v>
      </c>
      <c r="F7" s="2">
        <v>1</v>
      </c>
      <c r="H7" s="2"/>
      <c r="I7" s="504" t="s">
        <v>212</v>
      </c>
      <c r="J7" s="549">
        <v>1846.5777893144423</v>
      </c>
    </row>
    <row r="8" spans="1:10" x14ac:dyDescent="0.35">
      <c r="A8" s="2">
        <v>3</v>
      </c>
      <c r="B8" s="71">
        <v>45355</v>
      </c>
      <c r="C8" s="11">
        <v>70000</v>
      </c>
      <c r="D8" s="3">
        <f t="shared" ref="D8:D9" si="0">D7+C8</f>
        <v>141000</v>
      </c>
      <c r="E8" s="2" t="s">
        <v>30</v>
      </c>
      <c r="F8" s="2">
        <v>2</v>
      </c>
      <c r="H8" s="2"/>
      <c r="I8" s="504" t="s">
        <v>213</v>
      </c>
      <c r="J8" s="549">
        <v>2816.3680680667821</v>
      </c>
    </row>
    <row r="9" spans="1:10" x14ac:dyDescent="0.35">
      <c r="A9" s="2">
        <v>4</v>
      </c>
      <c r="B9" s="71">
        <v>46111</v>
      </c>
      <c r="C9" s="231">
        <v>2000000</v>
      </c>
      <c r="D9" s="3">
        <f t="shared" si="0"/>
        <v>2141000</v>
      </c>
      <c r="E9" s="2" t="s">
        <v>30</v>
      </c>
      <c r="F9" s="2">
        <v>2</v>
      </c>
      <c r="H9" s="2"/>
      <c r="I9" s="504" t="s">
        <v>215</v>
      </c>
      <c r="J9" s="549">
        <v>2005.5691050826003</v>
      </c>
    </row>
    <row r="10" spans="1:10" x14ac:dyDescent="0.35">
      <c r="A10" s="2">
        <v>5</v>
      </c>
      <c r="B10" s="71">
        <v>46128</v>
      </c>
      <c r="C10" s="3">
        <v>550000</v>
      </c>
      <c r="D10" s="3">
        <f t="shared" ref="D10:D12" si="1">D9+C10</f>
        <v>2691000</v>
      </c>
      <c r="E10" s="2" t="s">
        <v>30</v>
      </c>
      <c r="F10" s="2">
        <v>2</v>
      </c>
      <c r="H10" s="2"/>
      <c r="I10" s="504" t="s">
        <v>217</v>
      </c>
      <c r="J10" s="549">
        <v>4787.3876688561177</v>
      </c>
    </row>
    <row r="11" spans="1:10" x14ac:dyDescent="0.35">
      <c r="A11" s="2">
        <v>6</v>
      </c>
      <c r="B11" s="71">
        <v>46148</v>
      </c>
      <c r="C11" s="3">
        <v>250000</v>
      </c>
      <c r="D11" s="3">
        <f t="shared" si="1"/>
        <v>2941000</v>
      </c>
      <c r="E11" s="2" t="s">
        <v>30</v>
      </c>
      <c r="F11" s="2">
        <v>2</v>
      </c>
      <c r="H11" s="2"/>
      <c r="I11" s="504" t="s">
        <v>219</v>
      </c>
      <c r="J11" s="549">
        <v>20799.428804964216</v>
      </c>
    </row>
    <row r="12" spans="1:10" x14ac:dyDescent="0.35">
      <c r="A12" s="2">
        <v>7</v>
      </c>
      <c r="B12" s="71">
        <v>46175</v>
      </c>
      <c r="C12" s="3">
        <v>282000</v>
      </c>
      <c r="D12" s="3">
        <f t="shared" si="1"/>
        <v>3223000</v>
      </c>
      <c r="E12" s="2" t="s">
        <v>30</v>
      </c>
      <c r="F12" s="2">
        <v>2</v>
      </c>
      <c r="H12" s="2"/>
      <c r="I12" s="504" t="s">
        <v>537</v>
      </c>
      <c r="J12" s="549">
        <v>4158.2717531557419</v>
      </c>
    </row>
    <row r="13" spans="1:10" x14ac:dyDescent="0.35">
      <c r="A13" s="2">
        <v>8</v>
      </c>
      <c r="B13" s="294"/>
      <c r="C13" s="3"/>
      <c r="D13" s="3"/>
      <c r="E13" s="2"/>
      <c r="F13" s="2"/>
      <c r="H13" s="2"/>
      <c r="I13" s="504" t="s">
        <v>543</v>
      </c>
      <c r="J13" s="549">
        <v>10697.685955672243</v>
      </c>
    </row>
    <row r="14" spans="1:10" x14ac:dyDescent="0.35">
      <c r="A14" s="2">
        <v>9</v>
      </c>
      <c r="B14" s="294"/>
      <c r="C14" s="3"/>
      <c r="D14" s="3"/>
      <c r="E14" s="2"/>
      <c r="F14" s="2"/>
      <c r="H14" s="2"/>
      <c r="I14" s="504" t="s">
        <v>681</v>
      </c>
      <c r="J14" s="549">
        <f>'DETAILS (sorted)'!DC9</f>
        <v>16574.489720694917</v>
      </c>
    </row>
    <row r="15" spans="1:10" x14ac:dyDescent="0.35">
      <c r="A15" s="2">
        <v>10</v>
      </c>
      <c r="B15" s="294"/>
      <c r="C15" s="205"/>
      <c r="D15" s="3"/>
      <c r="E15" s="2"/>
      <c r="F15" s="2"/>
      <c r="H15" s="2"/>
      <c r="I15" s="504" t="s">
        <v>696</v>
      </c>
      <c r="J15" s="549">
        <f>'DETAILS (sorted)'!DD9</f>
        <v>11222.503776969614</v>
      </c>
    </row>
    <row r="16" spans="1:10" x14ac:dyDescent="0.35">
      <c r="A16" s="2">
        <v>11</v>
      </c>
      <c r="B16" s="294"/>
      <c r="C16" s="3"/>
      <c r="D16" s="3"/>
      <c r="E16" s="2"/>
      <c r="F16" s="2"/>
      <c r="H16" s="2"/>
      <c r="I16" s="524" t="s">
        <v>887</v>
      </c>
      <c r="J16" s="549">
        <f>'DETAILS (sorted)'!DF9</f>
        <v>8641.5996283118384</v>
      </c>
    </row>
    <row r="17" spans="1:10" x14ac:dyDescent="0.35">
      <c r="A17" s="2">
        <v>12</v>
      </c>
      <c r="B17" s="71"/>
      <c r="C17" s="3"/>
      <c r="D17" s="3"/>
      <c r="E17" s="2"/>
      <c r="F17" s="2"/>
      <c r="H17" s="2"/>
      <c r="I17" s="524" t="s">
        <v>889</v>
      </c>
      <c r="J17" s="549">
        <f>'DETAILS (sorted)'!DG9</f>
        <v>28854.234853594138</v>
      </c>
    </row>
    <row r="18" spans="1:10" x14ac:dyDescent="0.35">
      <c r="A18" s="2">
        <v>13</v>
      </c>
      <c r="B18" s="71"/>
      <c r="C18" s="3"/>
      <c r="D18" s="3"/>
      <c r="E18" s="2"/>
      <c r="F18" s="2"/>
      <c r="H18" s="2"/>
      <c r="I18" s="524" t="s">
        <v>891</v>
      </c>
      <c r="J18" s="549">
        <f>'DETAILS (sorted)'!DL9</f>
        <v>9545.4227448050078</v>
      </c>
    </row>
    <row r="19" spans="1:10" x14ac:dyDescent="0.35">
      <c r="A19" s="2">
        <v>14</v>
      </c>
      <c r="B19" s="71"/>
      <c r="C19" s="3"/>
      <c r="D19" s="3"/>
      <c r="E19" s="2"/>
      <c r="F19" s="2"/>
      <c r="H19" s="2"/>
      <c r="I19" s="524" t="s">
        <v>894</v>
      </c>
      <c r="J19" s="549">
        <f>'DETAILS (sorted)'!DM9</f>
        <v>0</v>
      </c>
    </row>
    <row r="20" spans="1:10" x14ac:dyDescent="0.35">
      <c r="A20" s="2">
        <v>15</v>
      </c>
      <c r="B20" s="71"/>
      <c r="C20" s="3"/>
      <c r="D20" s="3"/>
      <c r="E20" s="2"/>
      <c r="F20" s="2"/>
      <c r="H20" s="2"/>
      <c r="I20" s="524" t="s">
        <v>893</v>
      </c>
      <c r="J20" s="549">
        <f>'DETAILS (sorted)'!DN9</f>
        <v>0</v>
      </c>
    </row>
    <row r="21" spans="1:10" x14ac:dyDescent="0.35">
      <c r="A21" s="2">
        <v>16</v>
      </c>
      <c r="B21" s="71"/>
      <c r="C21" s="3"/>
      <c r="D21" s="3"/>
      <c r="E21" s="2"/>
      <c r="F21" s="2"/>
      <c r="H21" s="2"/>
      <c r="I21" s="524" t="s">
        <v>895</v>
      </c>
      <c r="J21" s="549">
        <f>'DETAILS (sorted)'!DO9</f>
        <v>0</v>
      </c>
    </row>
    <row r="22" spans="1:10" x14ac:dyDescent="0.35">
      <c r="A22" s="2"/>
      <c r="B22" s="2"/>
      <c r="C22" s="3"/>
      <c r="D22" s="3"/>
      <c r="E22" s="2"/>
      <c r="F22" s="2"/>
      <c r="H22" s="2"/>
      <c r="I22" s="524" t="s">
        <v>897</v>
      </c>
      <c r="J22" s="549">
        <f>'DETAILS (sorted)'!DQ9</f>
        <v>0</v>
      </c>
    </row>
    <row r="23" spans="1:10" x14ac:dyDescent="0.35">
      <c r="A23" s="2"/>
      <c r="B23" s="2"/>
      <c r="C23" s="3"/>
      <c r="D23" s="3"/>
      <c r="E23" s="2"/>
      <c r="F23" s="2"/>
      <c r="H23" s="2"/>
      <c r="I23" s="524" t="s">
        <v>898</v>
      </c>
      <c r="J23" s="549">
        <f>'DETAILS (sorted)'!DR9</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3223000</v>
      </c>
      <c r="D35" s="191">
        <f>C35+J35</f>
        <v>3347045.6352950758</v>
      </c>
      <c r="E35" s="191">
        <f>'DETAILS (sorted)'!DS9</f>
        <v>3381314.2850115635</v>
      </c>
      <c r="F35" s="74">
        <f>D35-E35</f>
        <v>-34268.64971648762</v>
      </c>
      <c r="G35" s="5" t="b">
        <f>D35=E35</f>
        <v>0</v>
      </c>
      <c r="H35" s="74"/>
      <c r="I35" s="544"/>
      <c r="J35" s="548">
        <f>SUM(J6:J34)</f>
        <v>124045.6352950758</v>
      </c>
    </row>
    <row r="37" spans="1:10" x14ac:dyDescent="0.35">
      <c r="C37" s="191" t="s">
        <v>644</v>
      </c>
      <c r="D37" s="191">
        <f>C35+J35</f>
        <v>3347045.6352950758</v>
      </c>
      <c r="E37" s="122">
        <f>D37/D38</f>
        <v>0.83676140882376893</v>
      </c>
      <c r="F37" s="2" t="s">
        <v>652</v>
      </c>
    </row>
    <row r="38" spans="1:10" x14ac:dyDescent="0.35">
      <c r="C38" s="3"/>
      <c r="D38" s="3">
        <v>4000000</v>
      </c>
      <c r="E38" s="122">
        <f>D38/D38</f>
        <v>1</v>
      </c>
      <c r="F38" s="2" t="s">
        <v>654</v>
      </c>
    </row>
    <row r="39" spans="1:10" x14ac:dyDescent="0.35">
      <c r="C39" s="3"/>
      <c r="D39" s="3">
        <f>D37-D38</f>
        <v>-652954.36470492417</v>
      </c>
      <c r="E39" s="122">
        <f>D39/D38</f>
        <v>-0.16323859117623105</v>
      </c>
      <c r="F39" s="2" t="s">
        <v>653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23D54-E665-4F36-9524-727869756EF7}">
  <dimension ref="A2:J39"/>
  <sheetViews>
    <sheetView topLeftCell="A7" workbookViewId="0">
      <selection activeCell="D15" sqref="D15"/>
    </sheetView>
  </sheetViews>
  <sheetFormatPr defaultRowHeight="14.5" x14ac:dyDescent="0.35"/>
  <cols>
    <col min="1" max="1" width="12" bestFit="1" customWidth="1"/>
    <col min="2" max="2" width="14.26953125" bestFit="1" customWidth="1"/>
    <col min="3" max="3" width="11.36328125" style="1" bestFit="1" customWidth="1"/>
    <col min="4" max="4" width="14.453125" style="1" bestFit="1" customWidth="1"/>
    <col min="5" max="5" width="11.26953125" bestFit="1" customWidth="1"/>
    <col min="6" max="6" width="9.26953125" bestFit="1" customWidth="1"/>
    <col min="7" max="7" width="5.1796875" bestFit="1" customWidth="1"/>
    <col min="8" max="8" width="4.7265625" hidden="1" customWidth="1"/>
    <col min="9" max="9" width="24.179687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235</v>
      </c>
      <c r="B3" s="7" t="s">
        <v>64</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45369</v>
      </c>
      <c r="C6" s="7">
        <v>80000</v>
      </c>
      <c r="D6" s="3">
        <f>C6</f>
        <v>80000</v>
      </c>
      <c r="E6" s="2" t="s">
        <v>144</v>
      </c>
      <c r="F6" s="2">
        <v>1</v>
      </c>
      <c r="H6" s="2"/>
      <c r="I6" s="503" t="s">
        <v>210</v>
      </c>
      <c r="J6" s="549">
        <v>17393.132254880256</v>
      </c>
    </row>
    <row r="7" spans="1:10" x14ac:dyDescent="0.35">
      <c r="A7" s="2">
        <v>2</v>
      </c>
      <c r="B7" s="71">
        <v>45369</v>
      </c>
      <c r="C7" s="7">
        <v>90000</v>
      </c>
      <c r="D7" s="3">
        <f>D6+C7</f>
        <v>170000</v>
      </c>
      <c r="E7" s="2" t="s">
        <v>144</v>
      </c>
      <c r="F7" s="2">
        <v>1</v>
      </c>
      <c r="H7" s="2"/>
      <c r="I7" s="504" t="s">
        <v>212</v>
      </c>
      <c r="J7" s="549">
        <v>17941.926038019759</v>
      </c>
    </row>
    <row r="8" spans="1:10" x14ac:dyDescent="0.35">
      <c r="A8" s="2">
        <v>3</v>
      </c>
      <c r="B8" s="71">
        <v>45683</v>
      </c>
      <c r="C8" s="7">
        <v>200000</v>
      </c>
      <c r="D8" s="3">
        <f t="shared" ref="D8:D9" si="0">D7+C8</f>
        <v>370000</v>
      </c>
      <c r="E8" s="2" t="s">
        <v>144</v>
      </c>
      <c r="F8" s="2">
        <v>1</v>
      </c>
      <c r="H8" s="2"/>
      <c r="I8" s="504" t="s">
        <v>213</v>
      </c>
      <c r="J8" s="549">
        <v>27364.711015968031</v>
      </c>
    </row>
    <row r="9" spans="1:10" x14ac:dyDescent="0.35">
      <c r="A9" s="2">
        <v>4</v>
      </c>
      <c r="B9" s="71">
        <v>45775</v>
      </c>
      <c r="C9" s="7">
        <v>200000</v>
      </c>
      <c r="D9" s="3">
        <f t="shared" si="0"/>
        <v>570000</v>
      </c>
      <c r="E9" s="2" t="s">
        <v>30</v>
      </c>
      <c r="F9" s="2">
        <v>1</v>
      </c>
      <c r="H9" s="2"/>
      <c r="I9" s="504" t="s">
        <v>215</v>
      </c>
      <c r="J9" s="549">
        <v>19486.735276334482</v>
      </c>
    </row>
    <row r="10" spans="1:10" x14ac:dyDescent="0.35">
      <c r="A10" s="2">
        <v>5</v>
      </c>
      <c r="B10" s="71">
        <v>45884</v>
      </c>
      <c r="C10" s="7">
        <v>200000</v>
      </c>
      <c r="D10" s="3">
        <f t="shared" ref="D10:D13" si="1">D9+C10</f>
        <v>770000</v>
      </c>
      <c r="E10" s="2" t="s">
        <v>30</v>
      </c>
      <c r="F10" s="2">
        <v>1</v>
      </c>
      <c r="H10" s="2"/>
      <c r="I10" s="504" t="s">
        <v>217</v>
      </c>
      <c r="J10" s="549">
        <v>46515.752527183547</v>
      </c>
    </row>
    <row r="11" spans="1:10" x14ac:dyDescent="0.35">
      <c r="A11" s="2">
        <v>6</v>
      </c>
      <c r="B11" s="71">
        <v>45895</v>
      </c>
      <c r="C11" s="7">
        <v>200000</v>
      </c>
      <c r="D11" s="3">
        <f t="shared" si="1"/>
        <v>970000</v>
      </c>
      <c r="E11" s="2" t="s">
        <v>30</v>
      </c>
      <c r="F11" s="2">
        <v>1</v>
      </c>
      <c r="H11" s="2"/>
      <c r="I11" s="504" t="s">
        <v>219</v>
      </c>
      <c r="J11" s="549">
        <v>13309.302878468463</v>
      </c>
    </row>
    <row r="12" spans="1:10" x14ac:dyDescent="0.35">
      <c r="A12" s="2">
        <v>7</v>
      </c>
      <c r="B12" s="71">
        <v>45899</v>
      </c>
      <c r="C12" s="7">
        <v>200000</v>
      </c>
      <c r="D12" s="3">
        <f t="shared" si="1"/>
        <v>1170000</v>
      </c>
      <c r="E12" s="2" t="s">
        <v>30</v>
      </c>
      <c r="F12" s="2">
        <v>1</v>
      </c>
      <c r="H12" s="2"/>
      <c r="I12" s="504" t="s">
        <v>537</v>
      </c>
      <c r="J12" s="549">
        <v>2116.9945380242907</v>
      </c>
    </row>
    <row r="13" spans="1:10" x14ac:dyDescent="0.35">
      <c r="A13" s="2">
        <v>8</v>
      </c>
      <c r="B13" s="71">
        <v>45957</v>
      </c>
      <c r="C13" s="3">
        <v>200000</v>
      </c>
      <c r="D13" s="3">
        <f t="shared" si="1"/>
        <v>1370000</v>
      </c>
      <c r="E13" s="2" t="s">
        <v>30</v>
      </c>
      <c r="F13" s="2">
        <v>2</v>
      </c>
      <c r="H13" s="2"/>
      <c r="I13" s="504" t="s">
        <v>543</v>
      </c>
      <c r="J13" s="549">
        <v>5446.239226782227</v>
      </c>
    </row>
    <row r="14" spans="1:10" x14ac:dyDescent="0.35">
      <c r="A14" s="2">
        <v>9</v>
      </c>
      <c r="B14" s="71">
        <v>46203</v>
      </c>
      <c r="C14" s="3">
        <v>2000000</v>
      </c>
      <c r="D14" s="3">
        <f t="shared" ref="D14" si="2">D13+C14</f>
        <v>3370000</v>
      </c>
      <c r="E14" s="2" t="s">
        <v>30</v>
      </c>
      <c r="F14" s="2">
        <v>2</v>
      </c>
      <c r="H14" s="2"/>
      <c r="I14" s="504" t="s">
        <v>681</v>
      </c>
      <c r="J14" s="549">
        <f>'DETAILS (sorted)'!DC10</f>
        <v>7720.8605635335043</v>
      </c>
    </row>
    <row r="15" spans="1:10" x14ac:dyDescent="0.35">
      <c r="A15" s="2">
        <v>10</v>
      </c>
      <c r="B15" s="294"/>
      <c r="C15" s="205"/>
      <c r="D15" s="3"/>
      <c r="E15" s="2"/>
      <c r="F15" s="2"/>
      <c r="H15" s="2"/>
      <c r="I15" s="504" t="s">
        <v>696</v>
      </c>
      <c r="J15" s="549">
        <f>'DETAILS (sorted)'!DD10</f>
        <v>5227.7559246679257</v>
      </c>
    </row>
    <row r="16" spans="1:10" x14ac:dyDescent="0.35">
      <c r="A16" s="2">
        <v>11</v>
      </c>
      <c r="B16" s="294"/>
      <c r="C16" s="3"/>
      <c r="D16" s="3"/>
      <c r="E16" s="2"/>
      <c r="F16" s="2"/>
      <c r="H16" s="2"/>
      <c r="I16" s="524" t="s">
        <v>887</v>
      </c>
      <c r="J16" s="549">
        <f>'DETAILS (sorted)'!DF10</f>
        <v>9035.7402256937312</v>
      </c>
    </row>
    <row r="17" spans="1:10" x14ac:dyDescent="0.35">
      <c r="A17" s="2">
        <v>12</v>
      </c>
      <c r="B17" s="71"/>
      <c r="C17" s="3"/>
      <c r="D17" s="3"/>
      <c r="E17" s="2"/>
      <c r="F17" s="2"/>
      <c r="H17" s="2"/>
      <c r="I17" s="524" t="s">
        <v>889</v>
      </c>
      <c r="J17" s="549">
        <f>'DETAILS (sorted)'!DG10</f>
        <v>30170.267284086956</v>
      </c>
    </row>
    <row r="18" spans="1:10" x14ac:dyDescent="0.35">
      <c r="A18" s="2">
        <v>13</v>
      </c>
      <c r="B18" s="71"/>
      <c r="C18" s="3"/>
      <c r="D18" s="3"/>
      <c r="E18" s="2"/>
      <c r="F18" s="2"/>
      <c r="H18" s="2"/>
      <c r="I18" s="524" t="s">
        <v>891</v>
      </c>
      <c r="J18" s="549">
        <f>'DETAILS (sorted)'!DL10</f>
        <v>10215.330352432522</v>
      </c>
    </row>
    <row r="19" spans="1:10" x14ac:dyDescent="0.35">
      <c r="A19" s="2">
        <v>14</v>
      </c>
      <c r="B19" s="71"/>
      <c r="C19" s="3"/>
      <c r="D19" s="3"/>
      <c r="E19" s="2"/>
      <c r="F19" s="2"/>
      <c r="H19" s="2"/>
      <c r="I19" s="524" t="s">
        <v>894</v>
      </c>
      <c r="J19" s="549">
        <f>'DETAILS (sorted)'!DM10</f>
        <v>0</v>
      </c>
    </row>
    <row r="20" spans="1:10" x14ac:dyDescent="0.35">
      <c r="A20" s="2">
        <v>15</v>
      </c>
      <c r="B20" s="71"/>
      <c r="C20" s="3"/>
      <c r="D20" s="3"/>
      <c r="E20" s="2"/>
      <c r="F20" s="2"/>
      <c r="H20" s="2"/>
      <c r="I20" s="524" t="s">
        <v>893</v>
      </c>
      <c r="J20" s="549">
        <f>'DETAILS (sorted)'!DN10</f>
        <v>0</v>
      </c>
    </row>
    <row r="21" spans="1:10" x14ac:dyDescent="0.35">
      <c r="A21" s="2">
        <v>16</v>
      </c>
      <c r="B21" s="71"/>
      <c r="C21" s="3"/>
      <c r="D21" s="3"/>
      <c r="E21" s="2"/>
      <c r="F21" s="2"/>
      <c r="H21" s="2"/>
      <c r="I21" s="524" t="s">
        <v>895</v>
      </c>
      <c r="J21" s="549">
        <f>'DETAILS (sorted)'!DO10</f>
        <v>0</v>
      </c>
    </row>
    <row r="22" spans="1:10" x14ac:dyDescent="0.35">
      <c r="A22" s="2"/>
      <c r="B22" s="2"/>
      <c r="C22" s="3"/>
      <c r="D22" s="3"/>
      <c r="E22" s="2"/>
      <c r="F22" s="2"/>
      <c r="H22" s="2"/>
      <c r="I22" s="524" t="s">
        <v>897</v>
      </c>
      <c r="J22" s="549">
        <f>'DETAILS (sorted)'!DQ10</f>
        <v>0</v>
      </c>
    </row>
    <row r="23" spans="1:10" x14ac:dyDescent="0.35">
      <c r="A23" s="2"/>
      <c r="B23" s="2"/>
      <c r="C23" s="3"/>
      <c r="D23" s="3"/>
      <c r="E23" s="2"/>
      <c r="F23" s="2"/>
      <c r="H23" s="2"/>
      <c r="I23" s="524" t="s">
        <v>898</v>
      </c>
      <c r="J23" s="549">
        <f>'DETAILS (sorted)'!DR10</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3370000</v>
      </c>
      <c r="D35" s="191">
        <f>C35+J35</f>
        <v>3581944.7481060759</v>
      </c>
      <c r="E35" s="191">
        <f>'DETAILS (sorted)'!DS10</f>
        <v>3618618.4069837015</v>
      </c>
      <c r="F35" s="74">
        <f>D35-E35</f>
        <v>-36673.658877625596</v>
      </c>
      <c r="G35" s="5" t="b">
        <f>D35=E35</f>
        <v>0</v>
      </c>
      <c r="H35" s="74"/>
      <c r="I35" s="544"/>
      <c r="J35" s="548">
        <f>SUM(J6:J34)</f>
        <v>211944.74810607571</v>
      </c>
    </row>
    <row r="37" spans="1:10" x14ac:dyDescent="0.35">
      <c r="C37" s="191" t="s">
        <v>644</v>
      </c>
      <c r="D37" s="191">
        <f>C35+J35</f>
        <v>3581944.7481060759</v>
      </c>
      <c r="E37" s="122">
        <f>D37/D38</f>
        <v>0.89548618702651894</v>
      </c>
      <c r="F37" s="2" t="s">
        <v>652</v>
      </c>
    </row>
    <row r="38" spans="1:10" x14ac:dyDescent="0.35">
      <c r="C38" s="3"/>
      <c r="D38" s="3">
        <v>4000000</v>
      </c>
      <c r="E38" s="122">
        <f>D38/D38</f>
        <v>1</v>
      </c>
      <c r="F38" s="2" t="s">
        <v>654</v>
      </c>
    </row>
    <row r="39" spans="1:10" x14ac:dyDescent="0.35">
      <c r="C39" s="3"/>
      <c r="D39" s="3">
        <f>D37-D38</f>
        <v>-418055.25189392408</v>
      </c>
      <c r="E39" s="122">
        <f>D39/D38</f>
        <v>-0.10451381297348102</v>
      </c>
      <c r="F39" s="2" t="s">
        <v>653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1868B-4557-4114-BDA6-29153BB26786}">
  <dimension ref="A2:J40"/>
  <sheetViews>
    <sheetView topLeftCell="A7" workbookViewId="0">
      <selection activeCell="D15" sqref="D15"/>
    </sheetView>
  </sheetViews>
  <sheetFormatPr defaultRowHeight="14.5" x14ac:dyDescent="0.35"/>
  <cols>
    <col min="1" max="1" width="8.1796875" customWidth="1"/>
    <col min="2" max="2" width="15" bestFit="1" customWidth="1"/>
    <col min="3" max="3" width="12.7265625" style="1" bestFit="1" customWidth="1"/>
    <col min="4" max="4" width="14.453125" style="1" bestFit="1" customWidth="1"/>
    <col min="5" max="5" width="11.26953125" bestFit="1" customWidth="1"/>
    <col min="6" max="6" width="9.26953125" bestFit="1" customWidth="1"/>
    <col min="7" max="7" width="5.1796875" bestFit="1" customWidth="1"/>
    <col min="8" max="8" width="4.7265625" hidden="1" customWidth="1"/>
    <col min="9" max="9" width="23"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28" x14ac:dyDescent="0.35">
      <c r="A3" s="210" t="s">
        <v>236</v>
      </c>
      <c r="B3" s="286" t="s">
        <v>39</v>
      </c>
      <c r="C3" s="7"/>
      <c r="D3" s="71"/>
      <c r="E3" s="11"/>
      <c r="F3" s="11"/>
      <c r="G3" s="70"/>
      <c r="H3" s="11"/>
      <c r="I3" s="556"/>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45355</v>
      </c>
      <c r="C6" s="11">
        <v>170000</v>
      </c>
      <c r="D6" s="3">
        <f>C6</f>
        <v>170000</v>
      </c>
      <c r="E6" s="2" t="s">
        <v>144</v>
      </c>
      <c r="F6" s="2">
        <v>1</v>
      </c>
      <c r="H6" s="2"/>
      <c r="I6" s="503" t="s">
        <v>210</v>
      </c>
      <c r="J6" s="549">
        <v>29731.850008342321</v>
      </c>
    </row>
    <row r="7" spans="1:10" x14ac:dyDescent="0.35">
      <c r="A7" s="2">
        <v>2</v>
      </c>
      <c r="B7" s="70">
        <v>45355</v>
      </c>
      <c r="C7" s="11">
        <v>170000</v>
      </c>
      <c r="D7" s="3">
        <f>D6+C7</f>
        <v>340000</v>
      </c>
      <c r="E7" s="2" t="s">
        <v>144</v>
      </c>
      <c r="F7" s="2">
        <v>1</v>
      </c>
      <c r="H7" s="2"/>
      <c r="I7" s="504" t="s">
        <v>212</v>
      </c>
      <c r="J7" s="549">
        <v>39288.88913434984</v>
      </c>
    </row>
    <row r="8" spans="1:10" x14ac:dyDescent="0.35">
      <c r="A8" s="2">
        <v>3</v>
      </c>
      <c r="B8" s="71">
        <v>45530</v>
      </c>
      <c r="C8" s="11">
        <v>460000</v>
      </c>
      <c r="D8" s="3">
        <f t="shared" ref="D8:D10" si="0">D7+C8</f>
        <v>800000</v>
      </c>
      <c r="E8" s="2" t="s">
        <v>144</v>
      </c>
      <c r="F8" s="2">
        <v>1</v>
      </c>
      <c r="H8" s="2"/>
      <c r="I8" s="504" t="s">
        <v>213</v>
      </c>
      <c r="J8" s="549">
        <v>59922.724852484731</v>
      </c>
    </row>
    <row r="9" spans="1:10" x14ac:dyDescent="0.35">
      <c r="A9" s="2">
        <v>4</v>
      </c>
      <c r="B9" s="71">
        <v>45690</v>
      </c>
      <c r="C9" s="11">
        <v>200000</v>
      </c>
      <c r="D9" s="3">
        <f t="shared" si="0"/>
        <v>1000000</v>
      </c>
      <c r="E9" s="2" t="s">
        <v>144</v>
      </c>
      <c r="F9" s="2">
        <v>1</v>
      </c>
      <c r="H9" s="2"/>
      <c r="I9" s="504" t="s">
        <v>215</v>
      </c>
      <c r="J9" s="549">
        <v>42671.683086863835</v>
      </c>
    </row>
    <row r="10" spans="1:10" x14ac:dyDescent="0.35">
      <c r="A10" s="2">
        <v>5</v>
      </c>
      <c r="B10" s="71">
        <v>45912</v>
      </c>
      <c r="C10" s="11">
        <v>1000000</v>
      </c>
      <c r="D10" s="3">
        <f t="shared" si="0"/>
        <v>2000000</v>
      </c>
      <c r="E10" s="2" t="s">
        <v>30</v>
      </c>
      <c r="F10" s="2">
        <v>2</v>
      </c>
      <c r="H10" s="2"/>
      <c r="I10" s="504" t="s">
        <v>217</v>
      </c>
      <c r="J10" s="549">
        <v>101859.31210332164</v>
      </c>
    </row>
    <row r="11" spans="1:10" x14ac:dyDescent="0.35">
      <c r="A11" s="2">
        <v>6</v>
      </c>
      <c r="B11" s="71">
        <v>45954</v>
      </c>
      <c r="C11" s="202">
        <v>1000000</v>
      </c>
      <c r="D11" s="3">
        <f t="shared" ref="D11:D14" si="1">D10+C11</f>
        <v>3000000</v>
      </c>
      <c r="E11" s="2" t="s">
        <v>30</v>
      </c>
      <c r="F11" s="2">
        <v>2</v>
      </c>
      <c r="H11" s="2"/>
      <c r="I11" s="504" t="s">
        <v>219</v>
      </c>
      <c r="J11" s="549">
        <v>97148.196193200449</v>
      </c>
    </row>
    <row r="12" spans="1:10" x14ac:dyDescent="0.35">
      <c r="A12" s="2">
        <v>7</v>
      </c>
      <c r="B12" s="71">
        <v>46084</v>
      </c>
      <c r="C12" s="3">
        <f>2000000</f>
        <v>2000000</v>
      </c>
      <c r="D12" s="3">
        <f t="shared" si="1"/>
        <v>5000000</v>
      </c>
      <c r="E12" s="2" t="s">
        <v>30</v>
      </c>
      <c r="F12" s="2">
        <v>2</v>
      </c>
      <c r="H12" s="2"/>
      <c r="I12" s="504" t="s">
        <v>537</v>
      </c>
      <c r="J12" s="549">
        <v>23178.77231413457</v>
      </c>
    </row>
    <row r="13" spans="1:10" x14ac:dyDescent="0.35">
      <c r="A13" s="2">
        <v>8</v>
      </c>
      <c r="B13" s="71">
        <v>46098</v>
      </c>
      <c r="C13" s="3">
        <f>2000000</f>
        <v>2000000</v>
      </c>
      <c r="D13" s="3">
        <f t="shared" si="1"/>
        <v>7000000</v>
      </c>
      <c r="E13" s="2" t="s">
        <v>30</v>
      </c>
      <c r="F13" s="2">
        <v>2</v>
      </c>
      <c r="H13" s="2"/>
      <c r="I13" s="504" t="s">
        <v>543</v>
      </c>
      <c r="J13" s="549">
        <v>59630.356497615612</v>
      </c>
    </row>
    <row r="14" spans="1:10" x14ac:dyDescent="0.35">
      <c r="A14" s="2">
        <v>9</v>
      </c>
      <c r="B14" s="71">
        <v>46100</v>
      </c>
      <c r="C14" s="3">
        <v>3000000</v>
      </c>
      <c r="D14" s="3">
        <f t="shared" si="1"/>
        <v>10000000</v>
      </c>
      <c r="E14" s="2" t="s">
        <v>30</v>
      </c>
      <c r="F14" s="2">
        <v>2</v>
      </c>
      <c r="H14" s="2"/>
      <c r="I14" s="504" t="s">
        <v>681</v>
      </c>
      <c r="J14" s="549">
        <f>'DETAILS (sorted)'!DC11</f>
        <v>112713.29289829935</v>
      </c>
    </row>
    <row r="15" spans="1:10" x14ac:dyDescent="0.35">
      <c r="A15" s="2">
        <v>10</v>
      </c>
      <c r="B15" s="71">
        <v>46141</v>
      </c>
      <c r="C15" s="3">
        <f>2000000</f>
        <v>2000000</v>
      </c>
      <c r="D15" s="3">
        <f t="shared" ref="D15:D17" si="2">D14+C15</f>
        <v>12000000</v>
      </c>
      <c r="E15" s="2" t="s">
        <v>30</v>
      </c>
      <c r="F15" s="2">
        <v>2</v>
      </c>
      <c r="H15" s="2"/>
      <c r="I15" s="504" t="s">
        <v>696</v>
      </c>
      <c r="J15" s="549">
        <f>'DETAILS (sorted)'!DD11</f>
        <v>76317.604739677758</v>
      </c>
    </row>
    <row r="16" spans="1:10" x14ac:dyDescent="0.35">
      <c r="A16" s="2">
        <v>11</v>
      </c>
      <c r="B16" s="71">
        <v>46142</v>
      </c>
      <c r="C16" s="3">
        <v>3000000</v>
      </c>
      <c r="D16" s="3">
        <f t="shared" si="2"/>
        <v>15000000</v>
      </c>
      <c r="E16" s="2" t="s">
        <v>30</v>
      </c>
      <c r="F16" s="2">
        <v>2</v>
      </c>
      <c r="H16" s="2"/>
      <c r="I16" s="524" t="s">
        <v>887</v>
      </c>
      <c r="J16" s="549">
        <f>'DETAILS (sorted)'!DF11</f>
        <v>67030.713840457945</v>
      </c>
    </row>
    <row r="17" spans="1:10" x14ac:dyDescent="0.35">
      <c r="A17" s="2">
        <v>12</v>
      </c>
      <c r="B17" s="71">
        <v>46170</v>
      </c>
      <c r="C17" s="3">
        <v>3000000</v>
      </c>
      <c r="D17" s="3">
        <f t="shared" si="2"/>
        <v>18000000</v>
      </c>
      <c r="E17" s="2" t="s">
        <v>30</v>
      </c>
      <c r="F17" s="2">
        <v>2</v>
      </c>
      <c r="H17" s="2"/>
      <c r="I17" s="524" t="s">
        <v>889</v>
      </c>
      <c r="J17" s="549">
        <f>'DETAILS (sorted)'!DG11</f>
        <v>223815.03919945814</v>
      </c>
    </row>
    <row r="18" spans="1:10" x14ac:dyDescent="0.35">
      <c r="A18" s="2">
        <v>13</v>
      </c>
      <c r="B18" s="71">
        <v>46173</v>
      </c>
      <c r="C18" s="3">
        <v>2000000</v>
      </c>
      <c r="D18" s="3">
        <f t="shared" ref="D18" si="3">D17+C18</f>
        <v>20000000</v>
      </c>
      <c r="E18" s="2" t="s">
        <v>30</v>
      </c>
      <c r="F18" s="2">
        <v>2</v>
      </c>
      <c r="H18" s="2"/>
      <c r="I18" s="524" t="s">
        <v>891</v>
      </c>
      <c r="J18" s="549">
        <f>'DETAILS (sorted)'!DL11</f>
        <v>88470.857558578238</v>
      </c>
    </row>
    <row r="19" spans="1:10" x14ac:dyDescent="0.35">
      <c r="A19" s="2">
        <v>14</v>
      </c>
      <c r="B19" s="71">
        <v>46198</v>
      </c>
      <c r="C19" s="3">
        <v>3000000</v>
      </c>
      <c r="D19" s="3">
        <f t="shared" ref="D19" si="4">D18+C19</f>
        <v>23000000</v>
      </c>
      <c r="E19" s="2" t="s">
        <v>30</v>
      </c>
      <c r="F19" s="2">
        <v>2</v>
      </c>
      <c r="H19" s="2"/>
      <c r="I19" s="524" t="s">
        <v>894</v>
      </c>
      <c r="J19" s="549">
        <f>'DETAILS (sorted)'!DM11</f>
        <v>0</v>
      </c>
    </row>
    <row r="20" spans="1:10" x14ac:dyDescent="0.35">
      <c r="A20" s="2">
        <v>15</v>
      </c>
      <c r="B20" s="71">
        <v>46200</v>
      </c>
      <c r="C20" s="3">
        <v>2000000</v>
      </c>
      <c r="D20" s="3">
        <f t="shared" ref="D20" si="5">D19+C20</f>
        <v>25000000</v>
      </c>
      <c r="E20" s="2" t="s">
        <v>30</v>
      </c>
      <c r="F20" s="2">
        <v>2</v>
      </c>
      <c r="H20" s="2"/>
      <c r="I20" s="524" t="s">
        <v>893</v>
      </c>
      <c r="J20" s="549">
        <f>'DETAILS (sorted)'!DN11</f>
        <v>0</v>
      </c>
    </row>
    <row r="21" spans="1:10" x14ac:dyDescent="0.35">
      <c r="A21" s="2">
        <v>16</v>
      </c>
      <c r="B21" s="71"/>
      <c r="C21" s="3"/>
      <c r="D21" s="3"/>
      <c r="E21" s="2"/>
      <c r="F21" s="2"/>
      <c r="H21" s="2"/>
      <c r="I21" s="524" t="s">
        <v>895</v>
      </c>
      <c r="J21" s="549">
        <f>'DETAILS (sorted)'!DO11</f>
        <v>0</v>
      </c>
    </row>
    <row r="22" spans="1:10" x14ac:dyDescent="0.35">
      <c r="A22" s="2"/>
      <c r="B22" s="2"/>
      <c r="C22" s="3"/>
      <c r="D22" s="3"/>
      <c r="E22" s="2"/>
      <c r="F22" s="2"/>
      <c r="H22" s="2"/>
      <c r="I22" s="524" t="s">
        <v>897</v>
      </c>
      <c r="J22" s="549">
        <f>'DETAILS (sorted)'!DQ11</f>
        <v>0</v>
      </c>
    </row>
    <row r="23" spans="1:10" x14ac:dyDescent="0.35">
      <c r="A23" s="2"/>
      <c r="B23" s="2"/>
      <c r="C23" s="3"/>
      <c r="D23" s="3"/>
      <c r="E23" s="2"/>
      <c r="F23" s="2"/>
      <c r="H23" s="2"/>
      <c r="I23" s="524" t="s">
        <v>898</v>
      </c>
      <c r="J23" s="549">
        <f>'DETAILS (sorted)'!DR11</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25000000</v>
      </c>
      <c r="D35" s="191">
        <f>C35+J35</f>
        <v>26021779.292426784</v>
      </c>
      <c r="E35" s="191">
        <f>'DETAILS (sorted)'!DS11</f>
        <v>31339395.065855179</v>
      </c>
      <c r="F35" s="74">
        <f>D35-E35</f>
        <v>-5317615.7734283954</v>
      </c>
      <c r="G35" s="5" t="b">
        <f>D35=E35</f>
        <v>0</v>
      </c>
      <c r="H35" s="74"/>
      <c r="I35" s="544"/>
      <c r="J35" s="548">
        <f>SUM(J6:J34)</f>
        <v>1021779.2924267845</v>
      </c>
    </row>
    <row r="37" spans="1:10" x14ac:dyDescent="0.35">
      <c r="C37" s="191" t="s">
        <v>644</v>
      </c>
      <c r="D37" s="191">
        <f>C35+J35</f>
        <v>26021779.292426784</v>
      </c>
      <c r="E37" s="122">
        <f>D37/D38</f>
        <v>0.52043558584853566</v>
      </c>
      <c r="F37" s="2" t="s">
        <v>652</v>
      </c>
    </row>
    <row r="38" spans="1:10" x14ac:dyDescent="0.35">
      <c r="C38" s="3"/>
      <c r="D38" s="3">
        <v>50000000</v>
      </c>
      <c r="E38" s="122">
        <f>D38/D38</f>
        <v>1</v>
      </c>
      <c r="F38" s="2" t="s">
        <v>654</v>
      </c>
    </row>
    <row r="39" spans="1:10" x14ac:dyDescent="0.35">
      <c r="C39" s="3"/>
      <c r="D39" s="3">
        <f>D37-D38</f>
        <v>-23978220.707573216</v>
      </c>
      <c r="E39" s="122">
        <f>D39/D38</f>
        <v>-0.47956441415146434</v>
      </c>
      <c r="F39" s="2" t="s">
        <v>653</v>
      </c>
    </row>
    <row r="40" spans="1:10" x14ac:dyDescent="0.35">
      <c r="C40" s="3"/>
      <c r="D40" s="3"/>
      <c r="E40" s="2"/>
      <c r="F40" s="2"/>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E3BCC-35FF-49D1-B7A7-FE2525B63A00}">
  <dimension ref="A2:J47"/>
  <sheetViews>
    <sheetView topLeftCell="A10" workbookViewId="0">
      <selection activeCell="D15" sqref="D15"/>
    </sheetView>
  </sheetViews>
  <sheetFormatPr defaultRowHeight="14.5" x14ac:dyDescent="0.35"/>
  <cols>
    <col min="1" max="1" width="8.6328125" customWidth="1"/>
    <col min="2" max="2" width="19.81640625" bestFit="1" customWidth="1"/>
    <col min="3" max="3" width="11.36328125" style="1" bestFit="1" customWidth="1"/>
    <col min="4" max="4" width="14.453125" style="1" bestFit="1" customWidth="1"/>
    <col min="5" max="5" width="11.26953125" bestFit="1" customWidth="1"/>
    <col min="6" max="6" width="9.26953125" bestFit="1" customWidth="1"/>
    <col min="7" max="7" width="5.1796875" bestFit="1" customWidth="1"/>
    <col min="8" max="8" width="11.1796875" hidden="1" customWidth="1"/>
    <col min="9" max="9" width="26.0898437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28" x14ac:dyDescent="0.35">
      <c r="A3" s="210" t="s">
        <v>237</v>
      </c>
      <c r="B3" s="286" t="s">
        <v>238</v>
      </c>
      <c r="C3" s="7"/>
      <c r="D3" s="71"/>
      <c r="E3" s="11"/>
      <c r="F3" s="11"/>
      <c r="G3" s="71"/>
      <c r="H3" s="11"/>
      <c r="I3" s="545"/>
      <c r="J3" s="555"/>
    </row>
    <row r="4" spans="1:10" x14ac:dyDescent="0.35">
      <c r="A4" s="74" t="s">
        <v>487</v>
      </c>
      <c r="B4" s="74" t="s">
        <v>2</v>
      </c>
      <c r="C4" s="191" t="s">
        <v>124</v>
      </c>
      <c r="D4" s="191" t="s">
        <v>488</v>
      </c>
      <c r="E4" s="74" t="s">
        <v>489</v>
      </c>
      <c r="F4" s="74" t="s">
        <v>490</v>
      </c>
      <c r="H4" s="2"/>
      <c r="I4" s="484"/>
      <c r="J4" s="549"/>
    </row>
    <row r="5" spans="1:10" x14ac:dyDescent="0.35">
      <c r="A5" s="2">
        <v>1</v>
      </c>
      <c r="B5" s="71">
        <v>45355</v>
      </c>
      <c r="C5" s="11">
        <v>100000</v>
      </c>
      <c r="D5" s="3">
        <f>C5</f>
        <v>100000</v>
      </c>
      <c r="E5" s="2" t="s">
        <v>144</v>
      </c>
      <c r="F5" s="2">
        <v>1</v>
      </c>
      <c r="H5" s="2"/>
      <c r="I5" s="503" t="s">
        <v>210</v>
      </c>
      <c r="J5" s="549">
        <v>35678.220010010788</v>
      </c>
    </row>
    <row r="6" spans="1:10" x14ac:dyDescent="0.35">
      <c r="A6" s="2">
        <v>2</v>
      </c>
      <c r="B6" s="71">
        <v>45359</v>
      </c>
      <c r="C6" s="11">
        <v>190000</v>
      </c>
      <c r="D6" s="3">
        <f>D5+C6</f>
        <v>290000</v>
      </c>
      <c r="E6" s="2" t="s">
        <v>144</v>
      </c>
      <c r="F6" s="2">
        <v>1</v>
      </c>
      <c r="H6" s="2"/>
      <c r="I6" s="504" t="s">
        <v>212</v>
      </c>
      <c r="J6" s="549">
        <v>35360.000220914852</v>
      </c>
    </row>
    <row r="7" spans="1:10" x14ac:dyDescent="0.35">
      <c r="A7" s="2">
        <v>3</v>
      </c>
      <c r="B7" s="71">
        <v>45359</v>
      </c>
      <c r="C7" s="11">
        <v>110000</v>
      </c>
      <c r="D7" s="3">
        <f t="shared" ref="D7:D16" si="0">D6+C7</f>
        <v>400000</v>
      </c>
      <c r="E7" s="2" t="s">
        <v>144</v>
      </c>
      <c r="F7" s="2">
        <v>1</v>
      </c>
      <c r="H7" s="2"/>
      <c r="I7" s="504" t="s">
        <v>213</v>
      </c>
      <c r="J7" s="549">
        <v>53930.452367236256</v>
      </c>
    </row>
    <row r="8" spans="1:10" x14ac:dyDescent="0.35">
      <c r="A8" s="2">
        <v>4</v>
      </c>
      <c r="B8" s="71">
        <v>45359</v>
      </c>
      <c r="C8" s="11">
        <v>60000</v>
      </c>
      <c r="D8" s="3">
        <f t="shared" si="0"/>
        <v>460000</v>
      </c>
      <c r="E8" s="2" t="s">
        <v>144</v>
      </c>
      <c r="F8" s="2">
        <v>1</v>
      </c>
      <c r="H8" s="2"/>
      <c r="I8" s="504" t="s">
        <v>215</v>
      </c>
      <c r="J8" s="549">
        <v>62585.135194066956</v>
      </c>
    </row>
    <row r="9" spans="1:10" x14ac:dyDescent="0.35">
      <c r="A9" s="2">
        <v>5</v>
      </c>
      <c r="B9" s="71">
        <v>45421</v>
      </c>
      <c r="C9" s="11">
        <v>140000</v>
      </c>
      <c r="D9" s="3">
        <f t="shared" si="0"/>
        <v>600000</v>
      </c>
      <c r="E9" s="2" t="s">
        <v>144</v>
      </c>
      <c r="F9" s="2">
        <v>1</v>
      </c>
      <c r="H9" s="2"/>
      <c r="I9" s="504" t="s">
        <v>217</v>
      </c>
      <c r="J9" s="549">
        <v>197350.58373256781</v>
      </c>
    </row>
    <row r="10" spans="1:10" x14ac:dyDescent="0.35">
      <c r="A10" s="2">
        <v>6</v>
      </c>
      <c r="B10" s="71">
        <v>45485</v>
      </c>
      <c r="C10" s="11">
        <v>140000</v>
      </c>
      <c r="D10" s="3">
        <f t="shared" si="0"/>
        <v>740000</v>
      </c>
      <c r="E10" s="2" t="s">
        <v>144</v>
      </c>
      <c r="F10" s="2">
        <v>1</v>
      </c>
      <c r="H10" s="2"/>
      <c r="I10" s="504" t="s">
        <v>219</v>
      </c>
      <c r="J10" s="549">
        <v>84665.58560505764</v>
      </c>
    </row>
    <row r="11" spans="1:10" x14ac:dyDescent="0.35">
      <c r="A11" s="2">
        <v>7</v>
      </c>
      <c r="B11" s="71">
        <v>45504</v>
      </c>
      <c r="C11" s="11">
        <v>60000</v>
      </c>
      <c r="D11" s="3">
        <f t="shared" si="0"/>
        <v>800000</v>
      </c>
      <c r="E11" s="2" t="s">
        <v>144</v>
      </c>
      <c r="F11" s="2">
        <v>1</v>
      </c>
      <c r="H11" s="2"/>
      <c r="I11" s="504" t="s">
        <v>537</v>
      </c>
      <c r="J11" s="549">
        <v>17971.939259032009</v>
      </c>
    </row>
    <row r="12" spans="1:10" x14ac:dyDescent="0.35">
      <c r="A12" s="2">
        <v>8</v>
      </c>
      <c r="B12" s="71">
        <v>45649</v>
      </c>
      <c r="C12" s="11">
        <v>200000</v>
      </c>
      <c r="D12" s="3">
        <f t="shared" si="0"/>
        <v>1000000</v>
      </c>
      <c r="E12" s="2" t="s">
        <v>144</v>
      </c>
      <c r="F12" s="2">
        <v>1</v>
      </c>
      <c r="H12" s="2"/>
      <c r="I12" s="504" t="s">
        <v>543</v>
      </c>
      <c r="J12" s="549">
        <v>46235.112474704234</v>
      </c>
    </row>
    <row r="13" spans="1:10" x14ac:dyDescent="0.35">
      <c r="A13" s="2">
        <v>9</v>
      </c>
      <c r="B13" s="71">
        <v>45702</v>
      </c>
      <c r="C13" s="11">
        <v>300000</v>
      </c>
      <c r="D13" s="3">
        <f t="shared" si="0"/>
        <v>1300000</v>
      </c>
      <c r="E13" s="2" t="s">
        <v>144</v>
      </c>
      <c r="F13" s="2">
        <v>1</v>
      </c>
      <c r="H13" s="2"/>
      <c r="I13" s="504" t="s">
        <v>681</v>
      </c>
      <c r="J13" s="549">
        <f>'DETAILS (sorted)'!DC12</f>
        <v>81526.781506555722</v>
      </c>
    </row>
    <row r="14" spans="1:10" x14ac:dyDescent="0.35">
      <c r="A14" s="2">
        <v>10</v>
      </c>
      <c r="B14" s="71">
        <v>45712</v>
      </c>
      <c r="C14" s="11">
        <v>300000</v>
      </c>
      <c r="D14" s="3">
        <f t="shared" si="0"/>
        <v>1600000</v>
      </c>
      <c r="E14" s="2" t="s">
        <v>144</v>
      </c>
      <c r="F14" s="2">
        <v>1</v>
      </c>
      <c r="H14" s="2"/>
      <c r="I14" s="504" t="s">
        <v>696</v>
      </c>
      <c r="J14" s="549">
        <f>'DETAILS (sorted)'!DD12</f>
        <v>55201.374449501767</v>
      </c>
    </row>
    <row r="15" spans="1:10" x14ac:dyDescent="0.35">
      <c r="A15" s="2">
        <v>11</v>
      </c>
      <c r="B15" s="71">
        <v>45740</v>
      </c>
      <c r="C15" s="11">
        <v>200000</v>
      </c>
      <c r="D15" s="3">
        <f t="shared" si="0"/>
        <v>1800000</v>
      </c>
      <c r="E15" s="2" t="s">
        <v>144</v>
      </c>
      <c r="F15" s="2">
        <v>1</v>
      </c>
      <c r="H15" s="2"/>
      <c r="I15" s="524" t="s">
        <v>887</v>
      </c>
      <c r="J15" s="549">
        <f>'DETAILS (sorted)'!DF12</f>
        <v>44319.353970891214</v>
      </c>
    </row>
    <row r="16" spans="1:10" x14ac:dyDescent="0.35">
      <c r="A16" s="2">
        <v>12</v>
      </c>
      <c r="B16" s="71">
        <v>45778</v>
      </c>
      <c r="C16" s="11">
        <v>100000</v>
      </c>
      <c r="D16" s="3">
        <f t="shared" si="0"/>
        <v>1900000</v>
      </c>
      <c r="E16" s="2" t="s">
        <v>30</v>
      </c>
      <c r="F16" s="2">
        <v>1</v>
      </c>
      <c r="H16" s="2"/>
      <c r="I16" s="524" t="s">
        <v>889</v>
      </c>
      <c r="J16" s="549">
        <f>'DETAILS (sorted)'!DG12</f>
        <v>147981.98285488988</v>
      </c>
    </row>
    <row r="17" spans="1:10" x14ac:dyDescent="0.35">
      <c r="A17" s="2">
        <v>13</v>
      </c>
      <c r="B17" s="71">
        <v>45797</v>
      </c>
      <c r="C17" s="11">
        <v>100000</v>
      </c>
      <c r="D17" s="3">
        <f t="shared" ref="D17:D18" si="1">D16+C17</f>
        <v>2000000</v>
      </c>
      <c r="E17" s="2" t="s">
        <v>30</v>
      </c>
      <c r="F17" s="2">
        <v>1</v>
      </c>
      <c r="H17" s="2"/>
      <c r="I17" s="524" t="s">
        <v>891</v>
      </c>
      <c r="J17" s="549">
        <f>'DETAILS (sorted)'!DL12</f>
        <v>60061.081740467256</v>
      </c>
    </row>
    <row r="18" spans="1:10" x14ac:dyDescent="0.35">
      <c r="A18" s="2">
        <v>14</v>
      </c>
      <c r="B18" s="71">
        <v>45833</v>
      </c>
      <c r="C18" s="11">
        <v>100000</v>
      </c>
      <c r="D18" s="3">
        <f t="shared" si="1"/>
        <v>2100000</v>
      </c>
      <c r="E18" s="2" t="s">
        <v>30</v>
      </c>
      <c r="F18" s="2">
        <v>1</v>
      </c>
      <c r="H18" s="2"/>
      <c r="I18" s="524" t="s">
        <v>894</v>
      </c>
      <c r="J18" s="549">
        <f>'DETAILS (sorted)'!DM12</f>
        <v>0</v>
      </c>
    </row>
    <row r="19" spans="1:10" x14ac:dyDescent="0.35">
      <c r="A19" s="2">
        <v>15</v>
      </c>
      <c r="B19" s="71">
        <v>45869</v>
      </c>
      <c r="C19" s="11">
        <v>100000</v>
      </c>
      <c r="D19" s="3">
        <f t="shared" ref="D19:D21" si="2">D18+C19</f>
        <v>2200000</v>
      </c>
      <c r="E19" s="2" t="s">
        <v>30</v>
      </c>
      <c r="F19" s="2">
        <v>1</v>
      </c>
      <c r="H19" s="2"/>
      <c r="I19" s="524" t="s">
        <v>893</v>
      </c>
      <c r="J19" s="549">
        <f>'DETAILS (sorted)'!DN12</f>
        <v>0</v>
      </c>
    </row>
    <row r="20" spans="1:10" x14ac:dyDescent="0.35">
      <c r="A20" s="2">
        <v>16</v>
      </c>
      <c r="B20" s="71">
        <v>45895</v>
      </c>
      <c r="C20" s="11">
        <v>100000</v>
      </c>
      <c r="D20" s="3">
        <f t="shared" si="2"/>
        <v>2300000</v>
      </c>
      <c r="E20" s="2" t="s">
        <v>30</v>
      </c>
      <c r="F20" s="2">
        <v>1</v>
      </c>
      <c r="H20" s="2"/>
      <c r="I20" s="524" t="s">
        <v>895</v>
      </c>
      <c r="J20" s="549">
        <f>'DETAILS (sorted)'!DO12</f>
        <v>0</v>
      </c>
    </row>
    <row r="21" spans="1:10" x14ac:dyDescent="0.35">
      <c r="A21" s="2">
        <v>17</v>
      </c>
      <c r="B21" s="71">
        <v>45918</v>
      </c>
      <c r="C21" s="11">
        <v>100000</v>
      </c>
      <c r="D21" s="3">
        <f t="shared" si="2"/>
        <v>2400000</v>
      </c>
      <c r="E21" s="2" t="s">
        <v>30</v>
      </c>
      <c r="F21" s="2">
        <v>1</v>
      </c>
      <c r="H21" s="2"/>
      <c r="I21" s="524" t="s">
        <v>897</v>
      </c>
      <c r="J21" s="549">
        <f>'DETAILS (sorted)'!DQ12</f>
        <v>0</v>
      </c>
    </row>
    <row r="22" spans="1:10" x14ac:dyDescent="0.35">
      <c r="A22" s="2">
        <v>18</v>
      </c>
      <c r="B22" s="71">
        <v>45955</v>
      </c>
      <c r="C22" s="202">
        <v>300000</v>
      </c>
      <c r="D22" s="3">
        <f t="shared" ref="D22" si="3">D21+C22</f>
        <v>2700000</v>
      </c>
      <c r="E22" s="2" t="s">
        <v>30</v>
      </c>
      <c r="F22" s="2">
        <v>2</v>
      </c>
      <c r="H22" s="2"/>
      <c r="I22" s="524" t="s">
        <v>898</v>
      </c>
      <c r="J22" s="549">
        <f>'DETAILS (sorted)'!DR12</f>
        <v>0</v>
      </c>
    </row>
    <row r="23" spans="1:10" x14ac:dyDescent="0.35">
      <c r="A23" s="2">
        <v>19</v>
      </c>
      <c r="B23" s="71">
        <v>46011</v>
      </c>
      <c r="C23" s="202">
        <v>100000</v>
      </c>
      <c r="D23" s="3">
        <f t="shared" ref="D23:D31" si="4">D22+C23</f>
        <v>2800000</v>
      </c>
      <c r="E23" s="2" t="s">
        <v>30</v>
      </c>
      <c r="F23" s="2">
        <v>2</v>
      </c>
      <c r="H23" s="2"/>
      <c r="I23" s="484"/>
      <c r="J23" s="549"/>
    </row>
    <row r="24" spans="1:10" x14ac:dyDescent="0.35">
      <c r="A24" s="2">
        <v>20</v>
      </c>
      <c r="B24" s="71">
        <v>46034</v>
      </c>
      <c r="C24" s="204">
        <v>400000</v>
      </c>
      <c r="D24" s="3">
        <f t="shared" si="4"/>
        <v>3200000</v>
      </c>
      <c r="E24" s="2" t="s">
        <v>30</v>
      </c>
      <c r="F24" s="2">
        <v>2</v>
      </c>
      <c r="H24" s="2"/>
      <c r="I24" s="484"/>
      <c r="J24" s="549"/>
    </row>
    <row r="25" spans="1:10" x14ac:dyDescent="0.35">
      <c r="A25" s="2">
        <v>21</v>
      </c>
      <c r="B25" s="71">
        <v>46034</v>
      </c>
      <c r="C25" s="204">
        <v>600000</v>
      </c>
      <c r="D25" s="3">
        <f t="shared" si="4"/>
        <v>3800000</v>
      </c>
      <c r="E25" s="2" t="s">
        <v>30</v>
      </c>
      <c r="F25" s="2">
        <v>2</v>
      </c>
      <c r="H25" s="2"/>
      <c r="I25" s="484"/>
      <c r="J25" s="549"/>
    </row>
    <row r="26" spans="1:10" x14ac:dyDescent="0.35">
      <c r="A26" s="2">
        <v>22</v>
      </c>
      <c r="B26" s="71">
        <v>46034</v>
      </c>
      <c r="C26" s="204">
        <v>600000</v>
      </c>
      <c r="D26" s="3">
        <f t="shared" si="4"/>
        <v>4400000</v>
      </c>
      <c r="E26" s="2" t="s">
        <v>30</v>
      </c>
      <c r="F26" s="2">
        <v>2</v>
      </c>
      <c r="H26" s="2"/>
      <c r="I26" s="484"/>
      <c r="J26" s="549"/>
    </row>
    <row r="27" spans="1:10" x14ac:dyDescent="0.35">
      <c r="A27" s="2">
        <v>23</v>
      </c>
      <c r="B27" s="71">
        <v>46070</v>
      </c>
      <c r="C27" s="231">
        <v>500000</v>
      </c>
      <c r="D27" s="3">
        <f t="shared" si="4"/>
        <v>4900000</v>
      </c>
      <c r="E27" s="2" t="s">
        <v>30</v>
      </c>
      <c r="F27" s="2">
        <v>2</v>
      </c>
      <c r="H27" s="2"/>
      <c r="I27" s="484"/>
      <c r="J27" s="549"/>
    </row>
    <row r="28" spans="1:10" x14ac:dyDescent="0.35">
      <c r="A28" s="2">
        <v>24</v>
      </c>
      <c r="B28" s="71">
        <v>46070</v>
      </c>
      <c r="C28" s="231">
        <v>912446</v>
      </c>
      <c r="D28" s="3">
        <f t="shared" si="4"/>
        <v>5812446</v>
      </c>
      <c r="E28" s="2" t="s">
        <v>30</v>
      </c>
      <c r="F28" s="2">
        <v>2</v>
      </c>
      <c r="H28" s="2"/>
      <c r="I28" s="484"/>
      <c r="J28" s="549"/>
    </row>
    <row r="29" spans="1:10" x14ac:dyDescent="0.35">
      <c r="A29" s="2">
        <v>25</v>
      </c>
      <c r="B29" s="71">
        <v>46086</v>
      </c>
      <c r="C29" s="3">
        <f>1000000</f>
        <v>1000000</v>
      </c>
      <c r="D29" s="3">
        <f t="shared" si="4"/>
        <v>6812446</v>
      </c>
      <c r="E29" s="2" t="s">
        <v>30</v>
      </c>
      <c r="F29" s="2">
        <v>2</v>
      </c>
      <c r="H29" s="2"/>
      <c r="I29" s="484"/>
      <c r="J29" s="549"/>
    </row>
    <row r="30" spans="1:10" x14ac:dyDescent="0.35">
      <c r="A30" s="2">
        <v>26</v>
      </c>
      <c r="B30" s="71">
        <v>46086</v>
      </c>
      <c r="C30" s="3">
        <v>1402650</v>
      </c>
      <c r="D30" s="3">
        <f t="shared" si="4"/>
        <v>8215096</v>
      </c>
      <c r="E30" s="2" t="s">
        <v>30</v>
      </c>
      <c r="F30" s="2">
        <v>2</v>
      </c>
      <c r="H30" s="2"/>
      <c r="I30" s="484"/>
      <c r="J30" s="549"/>
    </row>
    <row r="31" spans="1:10" x14ac:dyDescent="0.35">
      <c r="A31" s="2">
        <v>27</v>
      </c>
      <c r="B31" s="71">
        <v>46106</v>
      </c>
      <c r="C31" s="3">
        <v>500000</v>
      </c>
      <c r="D31" s="3">
        <f t="shared" si="4"/>
        <v>8715096</v>
      </c>
      <c r="E31" s="2" t="s">
        <v>30</v>
      </c>
      <c r="F31" s="2">
        <v>2</v>
      </c>
      <c r="H31" s="2"/>
      <c r="I31" s="484"/>
      <c r="J31" s="549"/>
    </row>
    <row r="32" spans="1:10" x14ac:dyDescent="0.35">
      <c r="A32" s="2">
        <v>28</v>
      </c>
      <c r="B32" s="71">
        <v>46122</v>
      </c>
      <c r="C32" s="3">
        <f>1100000</f>
        <v>1100000</v>
      </c>
      <c r="D32" s="3">
        <f t="shared" ref="D32:D36" si="5">D31+C32</f>
        <v>9815096</v>
      </c>
      <c r="E32" s="2" t="s">
        <v>30</v>
      </c>
      <c r="F32" s="2">
        <v>2</v>
      </c>
      <c r="H32" s="2"/>
      <c r="I32" s="484"/>
      <c r="J32" s="549"/>
    </row>
    <row r="33" spans="1:10" x14ac:dyDescent="0.35">
      <c r="A33" s="2">
        <v>29</v>
      </c>
      <c r="B33" s="71">
        <v>46132</v>
      </c>
      <c r="C33" s="3">
        <v>1015334</v>
      </c>
      <c r="D33" s="3">
        <f t="shared" si="5"/>
        <v>10830430</v>
      </c>
      <c r="E33" s="2" t="s">
        <v>30</v>
      </c>
      <c r="F33" s="2">
        <v>2</v>
      </c>
      <c r="H33" s="2"/>
      <c r="I33" s="484"/>
      <c r="J33" s="549"/>
    </row>
    <row r="34" spans="1:10" x14ac:dyDescent="0.35">
      <c r="A34" s="2">
        <v>30</v>
      </c>
      <c r="B34" s="71">
        <v>46132</v>
      </c>
      <c r="C34" s="3">
        <v>800000</v>
      </c>
      <c r="D34" s="3">
        <f t="shared" si="5"/>
        <v>11630430</v>
      </c>
      <c r="E34" s="2" t="s">
        <v>30</v>
      </c>
      <c r="F34" s="2">
        <v>2</v>
      </c>
      <c r="H34" s="2"/>
      <c r="I34" s="484"/>
      <c r="J34" s="549"/>
    </row>
    <row r="35" spans="1:10" x14ac:dyDescent="0.35">
      <c r="A35" s="2">
        <v>31</v>
      </c>
      <c r="B35" s="71">
        <v>46149</v>
      </c>
      <c r="C35" s="3">
        <f>635793</f>
        <v>635793</v>
      </c>
      <c r="D35" s="3">
        <f t="shared" si="5"/>
        <v>12266223</v>
      </c>
      <c r="E35" s="2" t="s">
        <v>30</v>
      </c>
      <c r="F35" s="2">
        <v>2</v>
      </c>
      <c r="H35" s="2"/>
      <c r="I35" s="484"/>
      <c r="J35" s="549"/>
    </row>
    <row r="36" spans="1:10" x14ac:dyDescent="0.35">
      <c r="A36" s="2">
        <v>32</v>
      </c>
      <c r="B36" s="71">
        <v>46153</v>
      </c>
      <c r="C36" s="3">
        <v>1500000</v>
      </c>
      <c r="D36" s="3">
        <f t="shared" si="5"/>
        <v>13766223</v>
      </c>
      <c r="E36" s="2" t="s">
        <v>30</v>
      </c>
      <c r="F36" s="2">
        <v>2</v>
      </c>
      <c r="H36" s="2"/>
      <c r="I36" s="484"/>
      <c r="J36" s="549"/>
    </row>
    <row r="37" spans="1:10" x14ac:dyDescent="0.35">
      <c r="A37" s="2">
        <v>33</v>
      </c>
      <c r="B37" s="71">
        <v>46171</v>
      </c>
      <c r="C37" s="3">
        <v>700000</v>
      </c>
      <c r="D37" s="3">
        <f t="shared" ref="D37" si="6">D36+C37</f>
        <v>14466223</v>
      </c>
      <c r="E37" s="2" t="s">
        <v>30</v>
      </c>
      <c r="F37" s="2">
        <v>2</v>
      </c>
      <c r="H37" s="2"/>
      <c r="I37" s="484"/>
      <c r="J37" s="549"/>
    </row>
    <row r="38" spans="1:10" x14ac:dyDescent="0.35">
      <c r="A38" s="2">
        <v>34</v>
      </c>
      <c r="B38" s="71">
        <v>46177</v>
      </c>
      <c r="C38" s="3">
        <v>559696</v>
      </c>
      <c r="D38" s="3">
        <f t="shared" ref="D38" si="7">D37+C38</f>
        <v>15025919</v>
      </c>
      <c r="E38" s="2" t="s">
        <v>30</v>
      </c>
      <c r="F38" s="2">
        <v>2</v>
      </c>
      <c r="H38" s="2"/>
      <c r="I38" s="484"/>
      <c r="J38" s="549"/>
    </row>
    <row r="39" spans="1:10" x14ac:dyDescent="0.35">
      <c r="A39" s="2">
        <v>35</v>
      </c>
      <c r="B39" s="71">
        <v>46199</v>
      </c>
      <c r="C39" s="3">
        <v>1003576</v>
      </c>
      <c r="D39" s="3">
        <f t="shared" ref="D39" si="8">D38+C39</f>
        <v>16029495</v>
      </c>
      <c r="E39" s="2" t="s">
        <v>30</v>
      </c>
      <c r="F39" s="2">
        <v>2</v>
      </c>
      <c r="H39" s="2"/>
      <c r="I39" s="484"/>
      <c r="J39" s="549"/>
    </row>
    <row r="40" spans="1:10" x14ac:dyDescent="0.35">
      <c r="A40" s="2">
        <v>36</v>
      </c>
      <c r="B40" s="71">
        <v>46202</v>
      </c>
      <c r="C40" s="3">
        <v>500000</v>
      </c>
      <c r="D40" s="3">
        <f t="shared" ref="D40" si="9">D39+C40</f>
        <v>16529495</v>
      </c>
      <c r="E40" s="2" t="s">
        <v>30</v>
      </c>
      <c r="F40" s="2">
        <v>2</v>
      </c>
      <c r="H40" s="2"/>
      <c r="I40" s="484"/>
      <c r="J40" s="549"/>
    </row>
    <row r="41" spans="1:10" x14ac:dyDescent="0.35">
      <c r="A41" s="2"/>
      <c r="B41" s="2"/>
      <c r="C41" s="3"/>
      <c r="D41" s="3"/>
      <c r="E41" s="2"/>
      <c r="F41" s="2"/>
      <c r="H41" s="2"/>
      <c r="I41" s="484"/>
      <c r="J41" s="549"/>
    </row>
    <row r="42" spans="1:10" x14ac:dyDescent="0.35">
      <c r="A42" s="2"/>
      <c r="B42" s="2"/>
      <c r="C42" s="3"/>
      <c r="D42" s="3"/>
      <c r="E42" s="2"/>
      <c r="F42" s="2"/>
      <c r="H42" s="2"/>
      <c r="I42" s="484"/>
      <c r="J42" s="549"/>
    </row>
    <row r="43" spans="1:10" s="5" customFormat="1" x14ac:dyDescent="0.35">
      <c r="A43" s="74"/>
      <c r="B43" s="74"/>
      <c r="C43" s="191">
        <f>SUM(C5:C42)</f>
        <v>16529495</v>
      </c>
      <c r="D43" s="191">
        <f>C43+J43</f>
        <v>17452362.603385895</v>
      </c>
      <c r="E43" s="191">
        <f>'DETAILS (sorted)'!DS12</f>
        <v>21275683.549250465</v>
      </c>
      <c r="F43" s="191">
        <f>D43-E43</f>
        <v>-3823320.9458645694</v>
      </c>
      <c r="G43" s="5" t="b">
        <f>D43=E43</f>
        <v>0</v>
      </c>
      <c r="H43" s="74"/>
      <c r="I43" s="544"/>
      <c r="J43" s="548">
        <f>SUM(J4:J42)</f>
        <v>922867.60338589631</v>
      </c>
    </row>
    <row r="45" spans="1:10" x14ac:dyDescent="0.35">
      <c r="C45" s="191" t="s">
        <v>644</v>
      </c>
      <c r="D45" s="191">
        <f>C43+J43</f>
        <v>17452362.603385895</v>
      </c>
      <c r="E45" s="122">
        <f>D45/D46</f>
        <v>0.58174542011286323</v>
      </c>
      <c r="F45" s="2" t="s">
        <v>652</v>
      </c>
    </row>
    <row r="46" spans="1:10" x14ac:dyDescent="0.35">
      <c r="C46" s="3"/>
      <c r="D46" s="3">
        <v>30000000</v>
      </c>
      <c r="E46" s="122">
        <f>D46/D46</f>
        <v>1</v>
      </c>
      <c r="F46" s="2" t="s">
        <v>654</v>
      </c>
    </row>
    <row r="47" spans="1:10" x14ac:dyDescent="0.35">
      <c r="C47" s="3"/>
      <c r="D47" s="3">
        <f>D45-D46</f>
        <v>-12547637.396614105</v>
      </c>
      <c r="E47" s="122">
        <f>D47/D46</f>
        <v>-0.41825457988713682</v>
      </c>
      <c r="F47" s="2" t="s">
        <v>653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5A75-C82D-4112-95B6-86C05D3D070C}">
  <dimension ref="A2:J49"/>
  <sheetViews>
    <sheetView topLeftCell="A10" workbookViewId="0">
      <selection activeCell="D15" sqref="D15"/>
    </sheetView>
  </sheetViews>
  <sheetFormatPr defaultRowHeight="14.5" x14ac:dyDescent="0.35"/>
  <cols>
    <col min="1" max="1" width="8.1796875" bestFit="1" customWidth="1"/>
    <col min="2" max="2" width="17.453125" bestFit="1" customWidth="1"/>
    <col min="3" max="3" width="11.36328125" style="1" bestFit="1" customWidth="1"/>
    <col min="4" max="4" width="14.453125" style="1" bestFit="1" customWidth="1"/>
    <col min="5" max="5" width="11.26953125" bestFit="1" customWidth="1"/>
    <col min="6" max="6" width="10.81640625" bestFit="1" customWidth="1"/>
    <col min="7" max="7" width="5.1796875" bestFit="1" customWidth="1"/>
    <col min="8" max="8" width="4.7265625" hidden="1" customWidth="1"/>
    <col min="9" max="9" width="22.9062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28" x14ac:dyDescent="0.35">
      <c r="A3" s="210" t="s">
        <v>239</v>
      </c>
      <c r="B3" s="286" t="s">
        <v>66</v>
      </c>
      <c r="C3" s="7"/>
      <c r="D3" s="71"/>
      <c r="E3" s="7"/>
      <c r="F3" s="7"/>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45369</v>
      </c>
      <c r="C6" s="7">
        <v>150000</v>
      </c>
      <c r="D6" s="3">
        <f>C6</f>
        <v>150000</v>
      </c>
      <c r="E6" s="2" t="s">
        <v>144</v>
      </c>
      <c r="F6" s="2">
        <v>1</v>
      </c>
      <c r="H6" s="2"/>
      <c r="I6" s="523" t="s">
        <v>210</v>
      </c>
      <c r="J6" s="549">
        <v>28245.257507925206</v>
      </c>
    </row>
    <row r="7" spans="1:10" x14ac:dyDescent="0.35">
      <c r="A7" s="2">
        <v>2</v>
      </c>
      <c r="B7" s="71">
        <v>45370</v>
      </c>
      <c r="C7" s="11">
        <v>20000</v>
      </c>
      <c r="D7" s="3">
        <f>D6+C7</f>
        <v>170000</v>
      </c>
      <c r="E7" s="2" t="s">
        <v>144</v>
      </c>
      <c r="F7" s="2">
        <v>1</v>
      </c>
      <c r="H7" s="2"/>
      <c r="I7" s="524" t="s">
        <v>212</v>
      </c>
      <c r="J7" s="549">
        <v>36014.815039820685</v>
      </c>
    </row>
    <row r="8" spans="1:10" x14ac:dyDescent="0.35">
      <c r="A8" s="2">
        <v>3</v>
      </c>
      <c r="B8" s="71">
        <v>45370</v>
      </c>
      <c r="C8" s="11">
        <v>200000</v>
      </c>
      <c r="D8" s="3">
        <f t="shared" ref="D8:D38" si="0">D7+C8</f>
        <v>370000</v>
      </c>
      <c r="E8" s="2" t="s">
        <v>144</v>
      </c>
      <c r="F8" s="2">
        <v>1</v>
      </c>
      <c r="H8" s="2"/>
      <c r="I8" s="524" t="s">
        <v>213</v>
      </c>
      <c r="J8" s="549">
        <v>54929.164448111005</v>
      </c>
    </row>
    <row r="9" spans="1:10" x14ac:dyDescent="0.35">
      <c r="A9" s="2">
        <v>4</v>
      </c>
      <c r="B9" s="71">
        <v>45382</v>
      </c>
      <c r="C9" s="11">
        <v>130000</v>
      </c>
      <c r="D9" s="3">
        <f t="shared" si="0"/>
        <v>500000</v>
      </c>
      <c r="E9" s="2" t="s">
        <v>144</v>
      </c>
      <c r="F9" s="2">
        <v>1</v>
      </c>
      <c r="H9" s="2"/>
      <c r="I9" s="524" t="s">
        <v>215</v>
      </c>
      <c r="J9" s="549">
        <v>67563.498220867739</v>
      </c>
    </row>
    <row r="10" spans="1:10" x14ac:dyDescent="0.35">
      <c r="A10" s="2">
        <v>5</v>
      </c>
      <c r="B10" s="71">
        <v>45525</v>
      </c>
      <c r="C10" s="11">
        <v>300000</v>
      </c>
      <c r="D10" s="3">
        <f t="shared" si="0"/>
        <v>800000</v>
      </c>
      <c r="E10" s="2" t="s">
        <v>144</v>
      </c>
      <c r="F10" s="2">
        <v>1</v>
      </c>
      <c r="H10" s="2"/>
      <c r="I10" s="524" t="s">
        <v>217</v>
      </c>
      <c r="J10" s="549">
        <v>202020.96900492124</v>
      </c>
    </row>
    <row r="11" spans="1:10" x14ac:dyDescent="0.35">
      <c r="A11" s="2">
        <v>6</v>
      </c>
      <c r="B11" s="71">
        <v>45635</v>
      </c>
      <c r="C11" s="10">
        <v>200000</v>
      </c>
      <c r="D11" s="3">
        <f t="shared" si="0"/>
        <v>1000000</v>
      </c>
      <c r="E11" s="2" t="s">
        <v>144</v>
      </c>
      <c r="F11" s="2">
        <v>1</v>
      </c>
      <c r="H11" s="2"/>
      <c r="I11" s="524" t="s">
        <v>219</v>
      </c>
      <c r="J11" s="549">
        <v>103086.14652983895</v>
      </c>
    </row>
    <row r="12" spans="1:10" x14ac:dyDescent="0.35">
      <c r="A12" s="2">
        <v>7</v>
      </c>
      <c r="B12" s="71">
        <v>45659</v>
      </c>
      <c r="C12" s="10">
        <v>250000</v>
      </c>
      <c r="D12" s="3">
        <f t="shared" si="0"/>
        <v>1250000</v>
      </c>
      <c r="E12" s="2" t="s">
        <v>144</v>
      </c>
      <c r="F12" s="2">
        <v>1</v>
      </c>
      <c r="H12" s="2"/>
      <c r="I12" s="524" t="s">
        <v>537</v>
      </c>
      <c r="J12" s="549">
        <v>22418.724917439224</v>
      </c>
    </row>
    <row r="13" spans="1:10" x14ac:dyDescent="0.35">
      <c r="A13" s="2">
        <v>8</v>
      </c>
      <c r="B13" s="71">
        <v>45886</v>
      </c>
      <c r="C13" s="10">
        <v>500000</v>
      </c>
      <c r="D13" s="3">
        <f t="shared" si="0"/>
        <v>1750000</v>
      </c>
      <c r="E13" s="2" t="s">
        <v>144</v>
      </c>
      <c r="F13" s="2">
        <v>1</v>
      </c>
      <c r="H13" s="2"/>
      <c r="I13" s="524" t="s">
        <v>543</v>
      </c>
      <c r="J13" s="549">
        <v>57675.037354487802</v>
      </c>
    </row>
    <row r="14" spans="1:10" x14ac:dyDescent="0.35">
      <c r="A14" s="2">
        <v>9</v>
      </c>
      <c r="B14" s="71">
        <v>45909</v>
      </c>
      <c r="C14" s="10">
        <v>150000</v>
      </c>
      <c r="D14" s="3">
        <f t="shared" si="0"/>
        <v>1900000</v>
      </c>
      <c r="E14" s="2" t="s">
        <v>144</v>
      </c>
      <c r="F14" s="2">
        <v>1</v>
      </c>
      <c r="H14" s="2"/>
      <c r="I14" s="524" t="s">
        <v>681</v>
      </c>
      <c r="J14" s="549">
        <f>'DETAILS (sorted)'!DC13</f>
        <v>89765.125704779261</v>
      </c>
    </row>
    <row r="15" spans="1:10" x14ac:dyDescent="0.35">
      <c r="A15" s="2">
        <v>10</v>
      </c>
      <c r="B15" s="71">
        <v>45951</v>
      </c>
      <c r="C15" s="202">
        <f>600000</f>
        <v>600000</v>
      </c>
      <c r="D15" s="3">
        <f t="shared" si="0"/>
        <v>2500000</v>
      </c>
      <c r="E15" s="2" t="s">
        <v>144</v>
      </c>
      <c r="F15" s="2">
        <v>1</v>
      </c>
      <c r="H15" s="2"/>
      <c r="I15" s="524" t="s">
        <v>696</v>
      </c>
      <c r="J15" s="549">
        <f>'DETAILS (sorted)'!DD13</f>
        <v>60779.515945170264</v>
      </c>
    </row>
    <row r="16" spans="1:10" x14ac:dyDescent="0.35">
      <c r="A16" s="2">
        <v>11</v>
      </c>
      <c r="B16" s="71">
        <v>45951</v>
      </c>
      <c r="C16" s="202">
        <v>100000</v>
      </c>
      <c r="D16" s="3">
        <f t="shared" si="0"/>
        <v>2600000</v>
      </c>
      <c r="E16" s="2" t="s">
        <v>144</v>
      </c>
      <c r="F16" s="2">
        <v>1</v>
      </c>
      <c r="H16" s="2"/>
      <c r="I16" s="524" t="s">
        <v>887</v>
      </c>
      <c r="J16" s="549">
        <f>'DETAILS (sorted)'!DF13</f>
        <v>65093.531572925815</v>
      </c>
    </row>
    <row r="17" spans="1:10" x14ac:dyDescent="0.35">
      <c r="A17" s="2">
        <v>12</v>
      </c>
      <c r="B17" s="71">
        <v>45990</v>
      </c>
      <c r="C17" s="202">
        <v>150000</v>
      </c>
      <c r="D17" s="3">
        <f t="shared" si="0"/>
        <v>2750000</v>
      </c>
      <c r="E17" s="2" t="s">
        <v>144</v>
      </c>
      <c r="F17" s="2">
        <v>1</v>
      </c>
      <c r="H17" s="2"/>
      <c r="I17" s="524" t="s">
        <v>889</v>
      </c>
      <c r="J17" s="549">
        <f>'DETAILS (sorted)'!DG13</f>
        <v>217346.80247179689</v>
      </c>
    </row>
    <row r="18" spans="1:10" x14ac:dyDescent="0.35">
      <c r="A18" s="2">
        <v>13</v>
      </c>
      <c r="B18" s="71">
        <v>45998</v>
      </c>
      <c r="C18" s="202">
        <v>200000</v>
      </c>
      <c r="D18" s="3">
        <f t="shared" si="0"/>
        <v>2950000</v>
      </c>
      <c r="E18" s="2" t="s">
        <v>30</v>
      </c>
      <c r="F18" s="2">
        <v>1</v>
      </c>
      <c r="H18" s="2"/>
      <c r="I18" s="524" t="s">
        <v>891</v>
      </c>
      <c r="J18" s="549">
        <f>'DETAILS (sorted)'!DL13</f>
        <v>80081.442968493822</v>
      </c>
    </row>
    <row r="19" spans="1:10" x14ac:dyDescent="0.35">
      <c r="A19" s="2">
        <v>14</v>
      </c>
      <c r="B19" s="71">
        <v>45998</v>
      </c>
      <c r="C19" s="202">
        <v>200000</v>
      </c>
      <c r="D19" s="3">
        <f t="shared" si="0"/>
        <v>3150000</v>
      </c>
      <c r="E19" s="2" t="s">
        <v>30</v>
      </c>
      <c r="F19" s="2">
        <v>1</v>
      </c>
      <c r="H19" s="2"/>
      <c r="I19" s="524" t="s">
        <v>894</v>
      </c>
      <c r="J19" s="549">
        <f>'DETAILS (sorted)'!DM13</f>
        <v>0</v>
      </c>
    </row>
    <row r="20" spans="1:10" x14ac:dyDescent="0.35">
      <c r="A20" s="2">
        <v>15</v>
      </c>
      <c r="B20" s="71">
        <v>46026</v>
      </c>
      <c r="C20" s="202">
        <v>500000</v>
      </c>
      <c r="D20" s="3">
        <f t="shared" si="0"/>
        <v>3650000</v>
      </c>
      <c r="E20" s="2" t="s">
        <v>30</v>
      </c>
      <c r="F20" s="2">
        <v>2</v>
      </c>
      <c r="H20" s="2"/>
      <c r="I20" s="524" t="s">
        <v>893</v>
      </c>
      <c r="J20" s="549">
        <f>'DETAILS (sorted)'!DN13</f>
        <v>0</v>
      </c>
    </row>
    <row r="21" spans="1:10" x14ac:dyDescent="0.35">
      <c r="A21" s="2">
        <v>16</v>
      </c>
      <c r="B21" s="71">
        <v>46026</v>
      </c>
      <c r="C21" s="202">
        <v>500000</v>
      </c>
      <c r="D21" s="3">
        <f t="shared" si="0"/>
        <v>4150000</v>
      </c>
      <c r="E21" s="2" t="s">
        <v>30</v>
      </c>
      <c r="F21" s="2">
        <v>2</v>
      </c>
      <c r="H21" s="2"/>
      <c r="I21" s="524" t="s">
        <v>895</v>
      </c>
      <c r="J21" s="549">
        <f>'DETAILS (sorted)'!DO13</f>
        <v>0</v>
      </c>
    </row>
    <row r="22" spans="1:10" x14ac:dyDescent="0.35">
      <c r="A22" s="2">
        <v>17</v>
      </c>
      <c r="B22" s="71">
        <v>46026</v>
      </c>
      <c r="C22" s="202">
        <v>600000</v>
      </c>
      <c r="D22" s="3">
        <f t="shared" si="0"/>
        <v>4750000</v>
      </c>
      <c r="E22" s="2" t="s">
        <v>30</v>
      </c>
      <c r="F22" s="2">
        <v>2</v>
      </c>
      <c r="H22" s="2"/>
      <c r="I22" s="524" t="s">
        <v>897</v>
      </c>
      <c r="J22" s="549">
        <f>'DETAILS (sorted)'!DQ13</f>
        <v>0</v>
      </c>
    </row>
    <row r="23" spans="1:10" x14ac:dyDescent="0.35">
      <c r="A23" s="2">
        <v>18</v>
      </c>
      <c r="B23" s="71">
        <v>46058</v>
      </c>
      <c r="C23" s="233">
        <v>300000</v>
      </c>
      <c r="D23" s="3">
        <f t="shared" si="0"/>
        <v>5050000</v>
      </c>
      <c r="E23" s="2" t="s">
        <v>30</v>
      </c>
      <c r="F23" s="2">
        <v>2</v>
      </c>
      <c r="H23" s="2"/>
      <c r="I23" s="524" t="s">
        <v>898</v>
      </c>
      <c r="J23" s="549">
        <f>'DETAILS (sorted)'!DR13</f>
        <v>0</v>
      </c>
    </row>
    <row r="24" spans="1:10" x14ac:dyDescent="0.35">
      <c r="A24" s="2">
        <v>19</v>
      </c>
      <c r="B24" s="71">
        <v>46058</v>
      </c>
      <c r="C24" s="233">
        <v>300000</v>
      </c>
      <c r="D24" s="3">
        <f t="shared" si="0"/>
        <v>5350000</v>
      </c>
      <c r="E24" s="2" t="s">
        <v>30</v>
      </c>
      <c r="F24" s="2">
        <v>2</v>
      </c>
      <c r="H24" s="2"/>
      <c r="I24" s="484"/>
      <c r="J24" s="549"/>
    </row>
    <row r="25" spans="1:10" x14ac:dyDescent="0.35">
      <c r="A25" s="2">
        <v>20</v>
      </c>
      <c r="B25" s="71">
        <v>46058</v>
      </c>
      <c r="C25" s="233">
        <v>600000</v>
      </c>
      <c r="D25" s="3">
        <f t="shared" si="0"/>
        <v>5950000</v>
      </c>
      <c r="E25" s="2" t="s">
        <v>30</v>
      </c>
      <c r="F25" s="2">
        <v>2</v>
      </c>
      <c r="H25" s="2"/>
      <c r="I25" s="484"/>
      <c r="J25" s="549"/>
    </row>
    <row r="26" spans="1:10" x14ac:dyDescent="0.35">
      <c r="A26" s="2">
        <v>21</v>
      </c>
      <c r="B26" s="71">
        <v>46093</v>
      </c>
      <c r="C26" s="3">
        <f>300000</f>
        <v>300000</v>
      </c>
      <c r="D26" s="3">
        <f t="shared" si="0"/>
        <v>6250000</v>
      </c>
      <c r="E26" s="2" t="s">
        <v>30</v>
      </c>
      <c r="F26" s="2">
        <v>2</v>
      </c>
      <c r="H26" s="2"/>
      <c r="I26" s="484"/>
      <c r="J26" s="549"/>
    </row>
    <row r="27" spans="1:10" x14ac:dyDescent="0.35">
      <c r="A27" s="2">
        <v>22</v>
      </c>
      <c r="B27" s="71">
        <v>46093</v>
      </c>
      <c r="C27" s="3">
        <v>1361226</v>
      </c>
      <c r="D27" s="3">
        <f t="shared" si="0"/>
        <v>7611226</v>
      </c>
      <c r="E27" s="2" t="s">
        <v>30</v>
      </c>
      <c r="F27" s="2">
        <v>2</v>
      </c>
      <c r="H27" s="2"/>
      <c r="I27" s="484"/>
      <c r="J27" s="549"/>
    </row>
    <row r="28" spans="1:10" x14ac:dyDescent="0.35">
      <c r="A28" s="2">
        <v>23</v>
      </c>
      <c r="B28" s="71">
        <v>46093</v>
      </c>
      <c r="C28" s="3">
        <v>2000000</v>
      </c>
      <c r="D28" s="3">
        <f t="shared" si="0"/>
        <v>9611226</v>
      </c>
      <c r="E28" s="2" t="s">
        <v>30</v>
      </c>
      <c r="F28" s="2">
        <v>2</v>
      </c>
      <c r="H28" s="2"/>
      <c r="I28" s="484"/>
      <c r="J28" s="549"/>
    </row>
    <row r="29" spans="1:10" x14ac:dyDescent="0.35">
      <c r="A29" s="2">
        <v>24</v>
      </c>
      <c r="B29" s="71">
        <v>46093</v>
      </c>
      <c r="C29" s="3">
        <v>1000000</v>
      </c>
      <c r="D29" s="3">
        <f t="shared" si="0"/>
        <v>10611226</v>
      </c>
      <c r="E29" s="2" t="s">
        <v>30</v>
      </c>
      <c r="F29" s="2">
        <v>2</v>
      </c>
      <c r="H29" s="2"/>
      <c r="I29" s="484"/>
      <c r="J29" s="549"/>
    </row>
    <row r="30" spans="1:10" x14ac:dyDescent="0.35">
      <c r="A30" s="2">
        <v>25</v>
      </c>
      <c r="B30" s="71">
        <v>46113</v>
      </c>
      <c r="C30" s="3">
        <f>1000000</f>
        <v>1000000</v>
      </c>
      <c r="D30" s="3">
        <f t="shared" si="0"/>
        <v>11611226</v>
      </c>
      <c r="E30" s="2" t="s">
        <v>30</v>
      </c>
      <c r="F30" s="2">
        <v>2</v>
      </c>
      <c r="H30" s="2"/>
      <c r="I30" s="484"/>
      <c r="J30" s="549"/>
    </row>
    <row r="31" spans="1:10" x14ac:dyDescent="0.35">
      <c r="A31" s="2">
        <v>26</v>
      </c>
      <c r="B31" s="71">
        <v>46113</v>
      </c>
      <c r="C31" s="3">
        <v>1100000</v>
      </c>
      <c r="D31" s="3">
        <f t="shared" si="0"/>
        <v>12711226</v>
      </c>
      <c r="E31" s="2" t="s">
        <v>30</v>
      </c>
      <c r="F31" s="2">
        <v>2</v>
      </c>
      <c r="H31" s="2"/>
      <c r="I31" s="484"/>
      <c r="J31" s="549"/>
    </row>
    <row r="32" spans="1:10" x14ac:dyDescent="0.35">
      <c r="A32" s="2">
        <v>27</v>
      </c>
      <c r="B32" s="71">
        <v>46127</v>
      </c>
      <c r="C32" s="3">
        <v>681857</v>
      </c>
      <c r="D32" s="3">
        <f t="shared" si="0"/>
        <v>13393083</v>
      </c>
      <c r="E32" s="2" t="s">
        <v>30</v>
      </c>
      <c r="F32" s="2">
        <v>2</v>
      </c>
      <c r="H32" s="2"/>
      <c r="I32" s="484"/>
      <c r="J32" s="549"/>
    </row>
    <row r="33" spans="1:10" x14ac:dyDescent="0.35">
      <c r="A33" s="2">
        <v>28</v>
      </c>
      <c r="B33" s="71">
        <v>46128</v>
      </c>
      <c r="C33" s="3">
        <v>115057</v>
      </c>
      <c r="D33" s="3">
        <f t="shared" si="0"/>
        <v>13508140</v>
      </c>
      <c r="E33" s="2" t="s">
        <v>30</v>
      </c>
      <c r="F33" s="2">
        <v>2</v>
      </c>
      <c r="H33" s="2"/>
      <c r="I33" s="484"/>
      <c r="J33" s="549"/>
    </row>
    <row r="34" spans="1:10" x14ac:dyDescent="0.35">
      <c r="A34" s="2">
        <v>29</v>
      </c>
      <c r="B34" s="71">
        <v>46128</v>
      </c>
      <c r="C34" s="3">
        <v>500000</v>
      </c>
      <c r="D34" s="3">
        <f t="shared" si="0"/>
        <v>14008140</v>
      </c>
      <c r="E34" s="2" t="s">
        <v>30</v>
      </c>
      <c r="F34" s="2">
        <v>2</v>
      </c>
      <c r="H34" s="2"/>
      <c r="I34" s="484"/>
      <c r="J34" s="549"/>
    </row>
    <row r="35" spans="1:10" x14ac:dyDescent="0.35">
      <c r="A35" s="2">
        <v>30</v>
      </c>
      <c r="B35" s="71">
        <v>46137</v>
      </c>
      <c r="C35" s="3">
        <v>500000</v>
      </c>
      <c r="D35" s="3">
        <f t="shared" si="0"/>
        <v>14508140</v>
      </c>
      <c r="E35" s="2" t="s">
        <v>30</v>
      </c>
      <c r="F35" s="2">
        <v>2</v>
      </c>
      <c r="H35" s="2"/>
      <c r="I35" s="484"/>
      <c r="J35" s="549"/>
    </row>
    <row r="36" spans="1:10" x14ac:dyDescent="0.35">
      <c r="A36" s="2">
        <v>31</v>
      </c>
      <c r="B36" s="71">
        <v>46143</v>
      </c>
      <c r="C36" s="3">
        <f>500000</f>
        <v>500000</v>
      </c>
      <c r="D36" s="3">
        <f t="shared" si="0"/>
        <v>15008140</v>
      </c>
      <c r="E36" s="2" t="s">
        <v>30</v>
      </c>
      <c r="F36" s="2">
        <v>2</v>
      </c>
      <c r="H36" s="2"/>
      <c r="I36" s="484"/>
      <c r="J36" s="549"/>
    </row>
    <row r="37" spans="1:10" x14ac:dyDescent="0.35">
      <c r="A37" s="2">
        <v>32</v>
      </c>
      <c r="B37" s="71">
        <v>46150</v>
      </c>
      <c r="C37" s="3">
        <v>919906</v>
      </c>
      <c r="D37" s="3">
        <f t="shared" si="0"/>
        <v>15928046</v>
      </c>
      <c r="E37" s="2" t="s">
        <v>30</v>
      </c>
      <c r="F37" s="2">
        <v>2</v>
      </c>
      <c r="H37" s="2"/>
      <c r="I37" s="484"/>
      <c r="J37" s="549"/>
    </row>
    <row r="38" spans="1:10" x14ac:dyDescent="0.35">
      <c r="A38" s="2">
        <v>33</v>
      </c>
      <c r="B38" s="71">
        <v>46174</v>
      </c>
      <c r="C38" s="3">
        <v>2500000</v>
      </c>
      <c r="D38" s="3">
        <f t="shared" si="0"/>
        <v>18428046</v>
      </c>
      <c r="E38" s="2" t="s">
        <v>30</v>
      </c>
      <c r="F38" s="2">
        <v>2</v>
      </c>
      <c r="H38" s="2"/>
      <c r="I38" s="484"/>
      <c r="J38" s="549"/>
    </row>
    <row r="39" spans="1:10" x14ac:dyDescent="0.35">
      <c r="A39" s="2">
        <v>34</v>
      </c>
      <c r="B39" s="71">
        <v>46186</v>
      </c>
      <c r="C39" s="3">
        <v>2000000</v>
      </c>
      <c r="D39" s="3">
        <f t="shared" ref="D39" si="1">D38+C39</f>
        <v>20428046</v>
      </c>
      <c r="E39" s="2" t="s">
        <v>30</v>
      </c>
      <c r="F39" s="2">
        <v>2</v>
      </c>
      <c r="H39" s="2"/>
      <c r="I39" s="484"/>
      <c r="J39" s="549"/>
    </row>
    <row r="40" spans="1:10" x14ac:dyDescent="0.35">
      <c r="A40" s="2">
        <v>35</v>
      </c>
      <c r="B40" s="71">
        <v>46200</v>
      </c>
      <c r="C40" s="3">
        <v>1349456</v>
      </c>
      <c r="D40" s="3">
        <f t="shared" ref="D40" si="2">D39+C40</f>
        <v>21777502</v>
      </c>
      <c r="E40" s="2" t="s">
        <v>30</v>
      </c>
      <c r="F40" s="2">
        <v>2</v>
      </c>
      <c r="H40" s="2"/>
      <c r="I40" s="484"/>
      <c r="J40" s="549"/>
    </row>
    <row r="41" spans="1:10" x14ac:dyDescent="0.35">
      <c r="A41" s="2">
        <v>36</v>
      </c>
      <c r="B41" s="71">
        <v>46203</v>
      </c>
      <c r="C41" s="3">
        <v>2500000</v>
      </c>
      <c r="D41" s="3">
        <f t="shared" ref="D41" si="3">D40+C41</f>
        <v>24277502</v>
      </c>
      <c r="E41" s="2" t="s">
        <v>30</v>
      </c>
      <c r="F41" s="2">
        <v>2</v>
      </c>
      <c r="H41" s="2"/>
      <c r="I41" s="484"/>
      <c r="J41" s="549"/>
    </row>
    <row r="42" spans="1:10" x14ac:dyDescent="0.35">
      <c r="A42" s="2"/>
      <c r="B42" s="2"/>
      <c r="C42" s="3"/>
      <c r="D42" s="3"/>
      <c r="E42" s="2"/>
      <c r="F42" s="2"/>
      <c r="H42" s="2"/>
      <c r="I42" s="484"/>
      <c r="J42" s="549"/>
    </row>
    <row r="43" spans="1:10" x14ac:dyDescent="0.35">
      <c r="A43" s="2"/>
      <c r="B43" s="2"/>
      <c r="C43" s="3"/>
      <c r="D43" s="3"/>
      <c r="E43" s="2"/>
      <c r="F43" s="2"/>
      <c r="H43" s="2"/>
      <c r="I43" s="484"/>
      <c r="J43" s="549"/>
    </row>
    <row r="44" spans="1:10" x14ac:dyDescent="0.35">
      <c r="A44" s="2"/>
      <c r="B44" s="2"/>
      <c r="C44" s="3"/>
      <c r="D44" s="3"/>
      <c r="E44" s="2"/>
      <c r="F44" s="2"/>
      <c r="H44" s="2"/>
      <c r="I44" s="484"/>
      <c r="J44" s="549"/>
    </row>
    <row r="45" spans="1:10" s="5" customFormat="1" x14ac:dyDescent="0.35">
      <c r="A45" s="74"/>
      <c r="B45" s="74"/>
      <c r="C45" s="191">
        <f>SUM(C6:C44)</f>
        <v>24277502</v>
      </c>
      <c r="D45" s="191">
        <f>C45+J45</f>
        <v>25362522.031686578</v>
      </c>
      <c r="E45" s="191">
        <f>'DETAILS (sorted)'!DS13</f>
        <v>28367578.295165222</v>
      </c>
      <c r="F45" s="191">
        <f>D45-E45</f>
        <v>-3005056.2634786442</v>
      </c>
      <c r="G45" s="5" t="b">
        <f>D45=E45</f>
        <v>0</v>
      </c>
      <c r="H45" s="74"/>
      <c r="I45" s="544"/>
      <c r="J45" s="548">
        <f>SUM(J6:J44)</f>
        <v>1085020.0316865779</v>
      </c>
    </row>
    <row r="47" spans="1:10" x14ac:dyDescent="0.35">
      <c r="C47" s="191" t="s">
        <v>644</v>
      </c>
      <c r="D47" s="191">
        <f>C45+J45</f>
        <v>25362522.031686578</v>
      </c>
      <c r="E47" s="122">
        <f>D47/D48</f>
        <v>0.84541740105621932</v>
      </c>
      <c r="F47" s="2" t="s">
        <v>652</v>
      </c>
    </row>
    <row r="48" spans="1:10" x14ac:dyDescent="0.35">
      <c r="C48" s="3"/>
      <c r="D48" s="3">
        <v>30000000</v>
      </c>
      <c r="E48" s="122">
        <f>D48/D48</f>
        <v>1</v>
      </c>
      <c r="F48" s="2" t="s">
        <v>654</v>
      </c>
    </row>
    <row r="49" spans="3:6" x14ac:dyDescent="0.35">
      <c r="C49" s="3"/>
      <c r="D49" s="3">
        <f>D47-D48</f>
        <v>-4637477.9683134221</v>
      </c>
      <c r="E49" s="122">
        <f>D49/D48</f>
        <v>-0.15458259894378074</v>
      </c>
      <c r="F49" s="2" t="s">
        <v>653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97BF9-105B-4EA1-A21A-5E4D8CB03C73}">
  <dimension ref="A2:J39"/>
  <sheetViews>
    <sheetView topLeftCell="A11" workbookViewId="0">
      <selection activeCell="D15" sqref="D15"/>
    </sheetView>
  </sheetViews>
  <sheetFormatPr defaultRowHeight="14.5" x14ac:dyDescent="0.35"/>
  <cols>
    <col min="1" max="1" width="8.1796875" bestFit="1" customWidth="1"/>
    <col min="2" max="2" width="18.7265625" bestFit="1" customWidth="1"/>
    <col min="3" max="3" width="11.36328125" style="1" bestFit="1" customWidth="1"/>
    <col min="4" max="4" width="14.453125" style="1" bestFit="1" customWidth="1"/>
    <col min="5" max="5" width="11.26953125" bestFit="1" customWidth="1"/>
    <col min="6" max="6" width="9.26953125" bestFit="1" customWidth="1"/>
    <col min="7" max="7" width="5.1796875" bestFit="1" customWidth="1"/>
    <col min="8" max="8" width="4.7265625" hidden="1" customWidth="1"/>
    <col min="9" max="9" width="25.726562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28" x14ac:dyDescent="0.35">
      <c r="A3" s="210" t="s">
        <v>240</v>
      </c>
      <c r="B3" s="286" t="s">
        <v>51</v>
      </c>
      <c r="C3" s="7"/>
      <c r="D3" s="71"/>
      <c r="E3" s="11"/>
      <c r="F3" s="7"/>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45358</v>
      </c>
      <c r="C6" s="11">
        <v>50000</v>
      </c>
      <c r="D6" s="3">
        <f>C6</f>
        <v>50000</v>
      </c>
      <c r="E6" s="2" t="s">
        <v>144</v>
      </c>
      <c r="F6" s="2">
        <v>1</v>
      </c>
      <c r="H6" s="2"/>
      <c r="I6" s="503" t="s">
        <v>210</v>
      </c>
      <c r="J6" s="549">
        <v>22298.887506256742</v>
      </c>
    </row>
    <row r="7" spans="1:10" x14ac:dyDescent="0.35">
      <c r="A7" s="2">
        <v>2</v>
      </c>
      <c r="B7" s="71">
        <v>45382</v>
      </c>
      <c r="C7" s="11">
        <v>50000</v>
      </c>
      <c r="D7" s="3">
        <f>D6+C7</f>
        <v>100000</v>
      </c>
      <c r="E7" s="2" t="s">
        <v>144</v>
      </c>
      <c r="F7" s="2">
        <v>1</v>
      </c>
      <c r="H7" s="2"/>
      <c r="I7" s="504" t="s">
        <v>212</v>
      </c>
      <c r="J7" s="549">
        <v>32740.740945291534</v>
      </c>
    </row>
    <row r="8" spans="1:10" x14ac:dyDescent="0.35">
      <c r="A8" s="2">
        <v>3</v>
      </c>
      <c r="B8" s="71">
        <v>45652</v>
      </c>
      <c r="C8" s="11">
        <v>400000</v>
      </c>
      <c r="D8" s="3">
        <f t="shared" ref="D8:D11" si="0">D7+C8</f>
        <v>500000</v>
      </c>
      <c r="E8" s="2" t="s">
        <v>144</v>
      </c>
      <c r="F8" s="2">
        <v>1</v>
      </c>
      <c r="H8" s="2"/>
      <c r="I8" s="504" t="s">
        <v>213</v>
      </c>
      <c r="J8" s="549">
        <v>49935.604043737279</v>
      </c>
    </row>
    <row r="9" spans="1:10" x14ac:dyDescent="0.35">
      <c r="A9" s="2">
        <v>4</v>
      </c>
      <c r="B9" s="71">
        <v>45656</v>
      </c>
      <c r="C9" s="11">
        <v>450000</v>
      </c>
      <c r="D9" s="3">
        <f t="shared" si="0"/>
        <v>950000</v>
      </c>
      <c r="E9" s="2" t="s">
        <v>144</v>
      </c>
      <c r="F9" s="2">
        <v>1</v>
      </c>
      <c r="H9" s="2"/>
      <c r="I9" s="504" t="s">
        <v>215</v>
      </c>
      <c r="J9" s="549">
        <v>38404.514778177458</v>
      </c>
    </row>
    <row r="10" spans="1:10" x14ac:dyDescent="0.35">
      <c r="A10" s="2">
        <v>5</v>
      </c>
      <c r="B10" s="71">
        <v>45657</v>
      </c>
      <c r="C10" s="3">
        <v>50000</v>
      </c>
      <c r="D10" s="3">
        <f t="shared" si="0"/>
        <v>1000000</v>
      </c>
      <c r="E10" s="2" t="s">
        <v>144</v>
      </c>
      <c r="F10" s="2">
        <v>1</v>
      </c>
      <c r="H10" s="2"/>
      <c r="I10" s="504" t="s">
        <v>217</v>
      </c>
      <c r="J10" s="549">
        <v>95068.691296433521</v>
      </c>
    </row>
    <row r="11" spans="1:10" x14ac:dyDescent="0.35">
      <c r="A11" s="2">
        <v>6</v>
      </c>
      <c r="B11" s="71">
        <v>45913</v>
      </c>
      <c r="C11" s="11">
        <v>500000</v>
      </c>
      <c r="D11" s="3">
        <f t="shared" si="0"/>
        <v>1500000</v>
      </c>
      <c r="E11" s="2" t="s">
        <v>30</v>
      </c>
      <c r="F11" s="2">
        <v>1</v>
      </c>
      <c r="H11" s="2"/>
      <c r="I11" s="504" t="s">
        <v>219</v>
      </c>
      <c r="J11" s="549">
        <v>36916.314553416174</v>
      </c>
    </row>
    <row r="12" spans="1:10" x14ac:dyDescent="0.35">
      <c r="A12" s="2">
        <v>7</v>
      </c>
      <c r="B12" s="71">
        <v>45957</v>
      </c>
      <c r="C12" s="200">
        <v>500000</v>
      </c>
      <c r="D12" s="3">
        <f t="shared" ref="D12:D18" si="1">D11+C12</f>
        <v>2000000</v>
      </c>
      <c r="E12" s="2" t="s">
        <v>30</v>
      </c>
      <c r="F12" s="2">
        <v>2</v>
      </c>
      <c r="H12" s="2"/>
      <c r="I12" s="504" t="s">
        <v>537</v>
      </c>
      <c r="J12" s="549">
        <v>8962.4586281320335</v>
      </c>
    </row>
    <row r="13" spans="1:10" x14ac:dyDescent="0.35">
      <c r="A13" s="2">
        <v>8</v>
      </c>
      <c r="B13" s="71">
        <v>45967</v>
      </c>
      <c r="C13" s="202">
        <v>500000</v>
      </c>
      <c r="D13" s="3">
        <f t="shared" si="1"/>
        <v>2500000</v>
      </c>
      <c r="E13" s="2" t="s">
        <v>30</v>
      </c>
      <c r="F13" s="2">
        <v>2</v>
      </c>
      <c r="H13" s="2"/>
      <c r="I13" s="504" t="s">
        <v>543</v>
      </c>
      <c r="J13" s="549">
        <v>23057.071179078037</v>
      </c>
    </row>
    <row r="14" spans="1:10" x14ac:dyDescent="0.35">
      <c r="A14" s="2">
        <v>9</v>
      </c>
      <c r="B14" s="71">
        <v>46052</v>
      </c>
      <c r="C14" s="202">
        <v>200000</v>
      </c>
      <c r="D14" s="3">
        <f t="shared" si="1"/>
        <v>2700000</v>
      </c>
      <c r="E14" s="2" t="s">
        <v>30</v>
      </c>
      <c r="F14" s="2">
        <v>2</v>
      </c>
      <c r="H14" s="2"/>
      <c r="I14" s="504" t="s">
        <v>681</v>
      </c>
      <c r="J14" s="549">
        <f>'DETAILS (sorted)'!DC14</f>
        <v>43958.184230336738</v>
      </c>
    </row>
    <row r="15" spans="1:10" x14ac:dyDescent="0.35">
      <c r="A15" s="2">
        <v>10</v>
      </c>
      <c r="B15" s="71">
        <v>46081</v>
      </c>
      <c r="C15" s="231">
        <v>100000</v>
      </c>
      <c r="D15" s="3">
        <f t="shared" si="1"/>
        <v>2800000</v>
      </c>
      <c r="E15" s="2" t="s">
        <v>30</v>
      </c>
      <c r="F15" s="2">
        <v>2</v>
      </c>
      <c r="H15" s="2"/>
      <c r="I15" s="504" t="s">
        <v>696</v>
      </c>
      <c r="J15" s="549">
        <f>'DETAILS (sorted)'!DD14</f>
        <v>29763.865848474325</v>
      </c>
    </row>
    <row r="16" spans="1:10" x14ac:dyDescent="0.35">
      <c r="A16" s="2">
        <v>11</v>
      </c>
      <c r="B16" s="71">
        <v>46092</v>
      </c>
      <c r="C16" s="3">
        <v>1000000</v>
      </c>
      <c r="D16" s="3">
        <f t="shared" si="1"/>
        <v>3800000</v>
      </c>
      <c r="E16" s="2" t="s">
        <v>30</v>
      </c>
      <c r="F16" s="2">
        <v>2</v>
      </c>
      <c r="H16" s="2"/>
      <c r="I16" s="524" t="s">
        <v>887</v>
      </c>
      <c r="J16" s="549">
        <f>'DETAILS (sorted)'!DF14</f>
        <v>31638.496932696147</v>
      </c>
    </row>
    <row r="17" spans="1:10" x14ac:dyDescent="0.35">
      <c r="A17" s="2">
        <v>12</v>
      </c>
      <c r="B17" s="71">
        <v>46131</v>
      </c>
      <c r="C17" s="3">
        <f>1000000</f>
        <v>1000000</v>
      </c>
      <c r="D17" s="3">
        <f t="shared" si="1"/>
        <v>4800000</v>
      </c>
      <c r="E17" s="2" t="s">
        <v>30</v>
      </c>
      <c r="F17" s="2">
        <v>2</v>
      </c>
      <c r="H17" s="2"/>
      <c r="I17" s="524" t="s">
        <v>889</v>
      </c>
      <c r="J17" s="549">
        <f>'DETAILS (sorted)'!DG14</f>
        <v>105640.69850214424</v>
      </c>
    </row>
    <row r="18" spans="1:10" x14ac:dyDescent="0.35">
      <c r="A18" s="2">
        <v>13</v>
      </c>
      <c r="B18" s="71">
        <v>46173</v>
      </c>
      <c r="C18" s="3">
        <v>1000000</v>
      </c>
      <c r="D18" s="3">
        <f t="shared" si="1"/>
        <v>5800000</v>
      </c>
      <c r="E18" s="2" t="s">
        <v>30</v>
      </c>
      <c r="F18" s="2">
        <v>2</v>
      </c>
      <c r="H18" s="2"/>
      <c r="I18" s="524" t="s">
        <v>891</v>
      </c>
      <c r="J18" s="549">
        <f>'DETAILS (sorted)'!DL14</f>
        <v>40951.321104983828</v>
      </c>
    </row>
    <row r="19" spans="1:10" x14ac:dyDescent="0.35">
      <c r="A19" s="2">
        <v>14</v>
      </c>
      <c r="B19" s="71">
        <v>46132</v>
      </c>
      <c r="C19" s="3">
        <v>2000000</v>
      </c>
      <c r="D19" s="3">
        <f t="shared" ref="D19" si="2">D18+C19</f>
        <v>7800000</v>
      </c>
      <c r="E19" s="2" t="s">
        <v>30</v>
      </c>
      <c r="F19" s="2">
        <v>2</v>
      </c>
      <c r="H19" s="2"/>
      <c r="I19" s="524" t="s">
        <v>894</v>
      </c>
      <c r="J19" s="549">
        <f>'DETAILS (sorted)'!DM14</f>
        <v>0</v>
      </c>
    </row>
    <row r="20" spans="1:10" x14ac:dyDescent="0.35">
      <c r="A20" s="2">
        <v>15</v>
      </c>
      <c r="B20" s="71">
        <v>46187</v>
      </c>
      <c r="C20" s="3">
        <v>2000000</v>
      </c>
      <c r="D20" s="3">
        <f t="shared" ref="D20" si="3">D19+C20</f>
        <v>9800000</v>
      </c>
      <c r="E20" s="2" t="s">
        <v>30</v>
      </c>
      <c r="F20" s="2">
        <v>2</v>
      </c>
      <c r="H20" s="2"/>
      <c r="I20" s="524" t="s">
        <v>893</v>
      </c>
      <c r="J20" s="549">
        <f>'DETAILS (sorted)'!DN14</f>
        <v>0</v>
      </c>
    </row>
    <row r="21" spans="1:10" x14ac:dyDescent="0.35">
      <c r="A21" s="2">
        <v>16</v>
      </c>
      <c r="B21" s="71">
        <v>46188</v>
      </c>
      <c r="C21" s="3">
        <v>2000000</v>
      </c>
      <c r="D21" s="3">
        <f t="shared" ref="D21" si="4">D20+C21</f>
        <v>11800000</v>
      </c>
      <c r="E21" s="2" t="s">
        <v>30</v>
      </c>
      <c r="F21" s="2">
        <v>2</v>
      </c>
      <c r="H21" s="2"/>
      <c r="I21" s="524" t="s">
        <v>895</v>
      </c>
      <c r="J21" s="549">
        <f>'DETAILS (sorted)'!DO14</f>
        <v>0</v>
      </c>
    </row>
    <row r="22" spans="1:10" x14ac:dyDescent="0.35">
      <c r="A22" s="2"/>
      <c r="B22" s="2"/>
      <c r="C22" s="3"/>
      <c r="D22" s="3"/>
      <c r="E22" s="2"/>
      <c r="F22" s="2">
        <v>2</v>
      </c>
      <c r="H22" s="2"/>
      <c r="I22" s="524" t="s">
        <v>897</v>
      </c>
      <c r="J22" s="549">
        <f>'DETAILS (sorted)'!DQ14</f>
        <v>0</v>
      </c>
    </row>
    <row r="23" spans="1:10" x14ac:dyDescent="0.35">
      <c r="A23" s="2"/>
      <c r="B23" s="2"/>
      <c r="C23" s="3"/>
      <c r="D23" s="3"/>
      <c r="E23" s="2"/>
      <c r="F23" s="2"/>
      <c r="H23" s="2"/>
      <c r="I23" s="524" t="s">
        <v>898</v>
      </c>
      <c r="J23" s="549">
        <f>'DETAILS (sorted)'!DR14</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11800000</v>
      </c>
      <c r="D35" s="191">
        <f>C35+J35</f>
        <v>12359336.849549158</v>
      </c>
      <c r="E35" s="191">
        <f>'DETAILS (sorted)'!DS14</f>
        <v>14506354.589453647</v>
      </c>
      <c r="F35" s="191">
        <f>D35-E35</f>
        <v>-2147017.7399044894</v>
      </c>
      <c r="G35" s="5" t="b">
        <f>D35=E35</f>
        <v>0</v>
      </c>
      <c r="H35" s="74"/>
      <c r="I35" s="544"/>
      <c r="J35" s="548">
        <f>SUM(J6:J34)</f>
        <v>559336.84954915801</v>
      </c>
    </row>
    <row r="37" spans="1:10" x14ac:dyDescent="0.35">
      <c r="C37" s="191" t="s">
        <v>644</v>
      </c>
      <c r="D37" s="191">
        <f>C35+J35</f>
        <v>12359336.849549158</v>
      </c>
      <c r="E37" s="122">
        <f>D37/D38</f>
        <v>0.61796684247745792</v>
      </c>
      <c r="F37" s="2" t="s">
        <v>652</v>
      </c>
    </row>
    <row r="38" spans="1:10" x14ac:dyDescent="0.35">
      <c r="C38" s="3"/>
      <c r="D38" s="3">
        <v>20000000</v>
      </c>
      <c r="E38" s="122">
        <f>D38/D38</f>
        <v>1</v>
      </c>
      <c r="F38" s="2" t="s">
        <v>654</v>
      </c>
    </row>
    <row r="39" spans="1:10" x14ac:dyDescent="0.35">
      <c r="C39" s="3"/>
      <c r="D39" s="3">
        <f>D37-D38</f>
        <v>-7640663.1504508425</v>
      </c>
      <c r="E39" s="122">
        <f>D39/D38</f>
        <v>-0.38203315752254213</v>
      </c>
      <c r="F39" s="2" t="s">
        <v>653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1A0E1-8074-40BE-B42B-365007FFCA60}">
  <dimension ref="A2:J39"/>
  <sheetViews>
    <sheetView topLeftCell="A8" workbookViewId="0">
      <selection activeCell="D15" sqref="D15"/>
    </sheetView>
  </sheetViews>
  <sheetFormatPr defaultRowHeight="14.5" x14ac:dyDescent="0.35"/>
  <cols>
    <col min="1" max="1" width="12" bestFit="1" customWidth="1"/>
    <col min="2" max="2" width="14.26953125" bestFit="1" customWidth="1"/>
    <col min="3" max="3" width="12.7265625" style="1" bestFit="1" customWidth="1"/>
    <col min="4" max="4" width="14.453125" style="1" bestFit="1" customWidth="1"/>
    <col min="5" max="5" width="12.7265625" bestFit="1" customWidth="1"/>
    <col min="6" max="6" width="13.453125" bestFit="1" customWidth="1"/>
    <col min="7" max="7" width="8.08984375" bestFit="1" customWidth="1"/>
    <col min="8" max="8" width="11.1796875" bestFit="1" customWidth="1"/>
    <col min="9" max="9" width="23.9062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241</v>
      </c>
      <c r="B3" s="7" t="s">
        <v>35</v>
      </c>
      <c r="C3" s="7"/>
      <c r="D3" s="71"/>
      <c r="E3" s="7"/>
      <c r="F3" s="7"/>
      <c r="G3" s="70"/>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45354</v>
      </c>
      <c r="C6" s="7">
        <v>120000</v>
      </c>
      <c r="D6" s="3">
        <f>C6</f>
        <v>120000</v>
      </c>
      <c r="E6" s="2" t="s">
        <v>144</v>
      </c>
      <c r="F6" s="2">
        <v>1</v>
      </c>
      <c r="H6" s="2"/>
      <c r="I6" s="503" t="s">
        <v>210</v>
      </c>
      <c r="J6" s="549">
        <v>29731.850008342321</v>
      </c>
    </row>
    <row r="7" spans="1:10" x14ac:dyDescent="0.35">
      <c r="A7" s="2">
        <v>2</v>
      </c>
      <c r="B7" s="70">
        <v>45354</v>
      </c>
      <c r="C7" s="11">
        <v>500000</v>
      </c>
      <c r="D7" s="3">
        <f>D6+C7</f>
        <v>620000</v>
      </c>
      <c r="E7" s="2" t="s">
        <v>144</v>
      </c>
      <c r="F7" s="2">
        <v>1</v>
      </c>
      <c r="H7" s="2"/>
      <c r="I7" s="504" t="s">
        <v>212</v>
      </c>
      <c r="J7" s="549">
        <v>45837.037323408149</v>
      </c>
    </row>
    <row r="8" spans="1:10" x14ac:dyDescent="0.35">
      <c r="A8" s="2">
        <v>3</v>
      </c>
      <c r="B8" s="71">
        <v>45363</v>
      </c>
      <c r="C8" s="11">
        <v>100000</v>
      </c>
      <c r="D8" s="3">
        <f t="shared" ref="D8:D14" si="0">D7+C8</f>
        <v>720000</v>
      </c>
      <c r="E8" s="2" t="s">
        <v>144</v>
      </c>
      <c r="F8" s="2">
        <v>1</v>
      </c>
      <c r="H8" s="2"/>
      <c r="I8" s="504" t="s">
        <v>213</v>
      </c>
      <c r="J8" s="549">
        <v>69909.84566123219</v>
      </c>
    </row>
    <row r="9" spans="1:10" x14ac:dyDescent="0.35">
      <c r="A9" s="2">
        <v>4</v>
      </c>
      <c r="B9" s="71">
        <v>45529</v>
      </c>
      <c r="C9" s="11">
        <v>80000</v>
      </c>
      <c r="D9" s="3">
        <f t="shared" si="0"/>
        <v>800000</v>
      </c>
      <c r="E9" s="2" t="s">
        <v>144</v>
      </c>
      <c r="F9" s="2">
        <v>1</v>
      </c>
      <c r="H9" s="2"/>
      <c r="I9" s="504" t="s">
        <v>215</v>
      </c>
      <c r="J9" s="549">
        <v>49783.630268007808</v>
      </c>
    </row>
    <row r="10" spans="1:10" x14ac:dyDescent="0.35">
      <c r="A10" s="2">
        <v>5</v>
      </c>
      <c r="B10" s="71">
        <v>45652</v>
      </c>
      <c r="C10" s="11">
        <v>200000</v>
      </c>
      <c r="D10" s="3">
        <f t="shared" si="0"/>
        <v>1000000</v>
      </c>
      <c r="E10" s="2" t="s">
        <v>144</v>
      </c>
      <c r="F10" s="2">
        <v>1</v>
      </c>
      <c r="H10" s="2"/>
      <c r="I10" s="504" t="s">
        <v>217</v>
      </c>
      <c r="J10" s="549">
        <v>118835.86412054193</v>
      </c>
    </row>
    <row r="11" spans="1:10" x14ac:dyDescent="0.35">
      <c r="A11" s="2">
        <v>6</v>
      </c>
      <c r="B11" s="71">
        <v>45912</v>
      </c>
      <c r="C11" s="11">
        <v>1000000</v>
      </c>
      <c r="D11" s="3">
        <f t="shared" si="0"/>
        <v>2000000</v>
      </c>
      <c r="E11" s="2" t="s">
        <v>144</v>
      </c>
      <c r="F11" s="2">
        <v>1</v>
      </c>
      <c r="H11" s="2"/>
      <c r="I11" s="504" t="s">
        <v>219</v>
      </c>
      <c r="J11" s="549">
        <v>35216.221120035159</v>
      </c>
    </row>
    <row r="12" spans="1:10" x14ac:dyDescent="0.35">
      <c r="A12" s="2">
        <v>7</v>
      </c>
      <c r="B12" s="71">
        <v>45951</v>
      </c>
      <c r="C12" s="202">
        <v>500000</v>
      </c>
      <c r="D12" s="3">
        <f t="shared" si="0"/>
        <v>2500000</v>
      </c>
      <c r="E12" s="2" t="s">
        <v>30</v>
      </c>
      <c r="F12" s="2">
        <v>2</v>
      </c>
      <c r="H12" s="2"/>
      <c r="I12" s="504" t="s">
        <v>537</v>
      </c>
      <c r="J12" s="549">
        <v>5601.5366425825214</v>
      </c>
    </row>
    <row r="13" spans="1:10" x14ac:dyDescent="0.35">
      <c r="A13" s="2">
        <v>8</v>
      </c>
      <c r="B13" s="71">
        <v>45990</v>
      </c>
      <c r="C13" s="202">
        <v>1000000</v>
      </c>
      <c r="D13" s="3">
        <f t="shared" si="0"/>
        <v>3500000</v>
      </c>
      <c r="E13" s="2" t="s">
        <v>30</v>
      </c>
      <c r="F13" s="2">
        <v>2</v>
      </c>
      <c r="H13" s="2"/>
      <c r="I13" s="504" t="s">
        <v>543</v>
      </c>
      <c r="J13" s="549">
        <v>14410.669486923774</v>
      </c>
    </row>
    <row r="14" spans="1:10" x14ac:dyDescent="0.35">
      <c r="A14" s="2">
        <v>9</v>
      </c>
      <c r="B14" s="71">
        <v>46087</v>
      </c>
      <c r="C14" s="3">
        <v>125000</v>
      </c>
      <c r="D14" s="3">
        <f t="shared" si="0"/>
        <v>3625000</v>
      </c>
      <c r="E14" s="2" t="s">
        <v>30</v>
      </c>
      <c r="F14" s="2">
        <v>2</v>
      </c>
      <c r="H14" s="2"/>
      <c r="I14" s="504" t="s">
        <v>681</v>
      </c>
      <c r="J14" s="549">
        <f>'DETAILS (sorted)'!DC15</f>
        <v>20429.284337816753</v>
      </c>
    </row>
    <row r="15" spans="1:10" x14ac:dyDescent="0.35">
      <c r="A15" s="2">
        <v>10</v>
      </c>
      <c r="B15" s="294"/>
      <c r="C15" s="205"/>
      <c r="D15" s="3"/>
      <c r="E15" s="2"/>
      <c r="F15" s="2"/>
      <c r="H15" s="2"/>
      <c r="I15" s="504" t="s">
        <v>696</v>
      </c>
      <c r="J15" s="549">
        <f>'DETAILS (sorted)'!DD15</f>
        <v>13832.565859066592</v>
      </c>
    </row>
    <row r="16" spans="1:10" x14ac:dyDescent="0.35">
      <c r="A16" s="2">
        <v>11</v>
      </c>
      <c r="B16" s="294"/>
      <c r="C16" s="3"/>
      <c r="D16" s="3"/>
      <c r="E16" s="2"/>
      <c r="F16" s="2"/>
      <c r="H16" s="2"/>
      <c r="I16" s="524" t="s">
        <v>887</v>
      </c>
      <c r="J16" s="549">
        <f>'DETAILS (sorted)'!DF15</f>
        <v>9719.4535068664027</v>
      </c>
    </row>
    <row r="17" spans="1:10" x14ac:dyDescent="0.35">
      <c r="A17" s="2">
        <v>12</v>
      </c>
      <c r="B17" s="71"/>
      <c r="C17" s="3"/>
      <c r="D17" s="3"/>
      <c r="E17" s="2"/>
      <c r="F17" s="2"/>
      <c r="H17" s="2"/>
      <c r="I17" s="524" t="s">
        <v>889</v>
      </c>
      <c r="J17" s="549">
        <f>'DETAILS (sorted)'!DG15</f>
        <v>32453.18068392143</v>
      </c>
    </row>
    <row r="18" spans="1:10" x14ac:dyDescent="0.35">
      <c r="A18" s="2">
        <v>13</v>
      </c>
      <c r="B18" s="71"/>
      <c r="C18" s="3"/>
      <c r="D18" s="3"/>
      <c r="E18" s="2"/>
      <c r="F18" s="2"/>
      <c r="H18" s="2"/>
      <c r="I18" s="524" t="s">
        <v>891</v>
      </c>
      <c r="J18" s="549">
        <f>'DETAILS (sorted)'!DL15</f>
        <v>11642.586813609858</v>
      </c>
    </row>
    <row r="19" spans="1:10" x14ac:dyDescent="0.35">
      <c r="A19" s="2">
        <v>14</v>
      </c>
      <c r="B19" s="71"/>
      <c r="C19" s="3"/>
      <c r="D19" s="3"/>
      <c r="E19" s="2"/>
      <c r="F19" s="2"/>
      <c r="H19" s="2"/>
      <c r="I19" s="524" t="s">
        <v>894</v>
      </c>
      <c r="J19" s="549">
        <f>'DETAILS (sorted)'!DM15</f>
        <v>0</v>
      </c>
    </row>
    <row r="20" spans="1:10" x14ac:dyDescent="0.35">
      <c r="A20" s="2">
        <v>15</v>
      </c>
      <c r="B20" s="71"/>
      <c r="C20" s="3"/>
      <c r="D20" s="3"/>
      <c r="E20" s="2"/>
      <c r="F20" s="2"/>
      <c r="H20" s="2"/>
      <c r="I20" s="524" t="s">
        <v>893</v>
      </c>
      <c r="J20" s="549">
        <f>'DETAILS (sorted)'!DN15</f>
        <v>0</v>
      </c>
    </row>
    <row r="21" spans="1:10" x14ac:dyDescent="0.35">
      <c r="A21" s="2">
        <v>16</v>
      </c>
      <c r="B21" s="71"/>
      <c r="C21" s="3"/>
      <c r="D21" s="3"/>
      <c r="E21" s="2"/>
      <c r="F21" s="2"/>
      <c r="H21" s="2"/>
      <c r="I21" s="524" t="s">
        <v>895</v>
      </c>
      <c r="J21" s="549">
        <f>'DETAILS (sorted)'!DO15</f>
        <v>0</v>
      </c>
    </row>
    <row r="22" spans="1:10" x14ac:dyDescent="0.35">
      <c r="A22" s="2"/>
      <c r="B22" s="2"/>
      <c r="C22" s="3"/>
      <c r="D22" s="3"/>
      <c r="E22" s="2"/>
      <c r="F22" s="2"/>
      <c r="H22" s="2"/>
      <c r="I22" s="524" t="s">
        <v>897</v>
      </c>
      <c r="J22" s="549">
        <f>'DETAILS (sorted)'!DQ15</f>
        <v>0</v>
      </c>
    </row>
    <row r="23" spans="1:10" x14ac:dyDescent="0.35">
      <c r="A23" s="2"/>
      <c r="B23" s="2"/>
      <c r="C23" s="3"/>
      <c r="D23" s="3"/>
      <c r="E23" s="2"/>
      <c r="F23" s="2"/>
      <c r="H23" s="2"/>
      <c r="I23" s="524" t="s">
        <v>898</v>
      </c>
      <c r="J23" s="549">
        <f>'DETAILS (sorted)'!DR15</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3625000</v>
      </c>
      <c r="D35" s="191">
        <f>C35+J35</f>
        <v>4082403.7258323552</v>
      </c>
      <c r="E35" s="191">
        <f>'DETAILS (sorted)'!DS15</f>
        <v>4124201.3224371308</v>
      </c>
      <c r="F35" s="191">
        <f>D35-E35</f>
        <v>-41797.596604775637</v>
      </c>
      <c r="G35" s="5" t="b">
        <f>D35=E35</f>
        <v>0</v>
      </c>
      <c r="H35" s="74"/>
      <c r="I35" s="544"/>
      <c r="J35" s="548">
        <f>SUM(J6:J34)</f>
        <v>457403.72583235498</v>
      </c>
    </row>
    <row r="37" spans="1:10" x14ac:dyDescent="0.35">
      <c r="C37" s="191" t="s">
        <v>644</v>
      </c>
      <c r="D37" s="191">
        <f>C35+J35</f>
        <v>4082403.7258323552</v>
      </c>
      <c r="E37" s="122">
        <f>D37/D38</f>
        <v>0.40824037258323553</v>
      </c>
      <c r="F37" s="2" t="s">
        <v>652</v>
      </c>
    </row>
    <row r="38" spans="1:10" x14ac:dyDescent="0.35">
      <c r="C38" s="3"/>
      <c r="D38" s="3">
        <v>10000000</v>
      </c>
      <c r="E38" s="122">
        <f>D38/D38</f>
        <v>1</v>
      </c>
      <c r="F38" s="2" t="s">
        <v>654</v>
      </c>
    </row>
    <row r="39" spans="1:10" x14ac:dyDescent="0.35">
      <c r="C39" s="3"/>
      <c r="D39" s="3">
        <f>D37-D38</f>
        <v>-5917596.2741676448</v>
      </c>
      <c r="E39" s="122">
        <f>D39/D38</f>
        <v>-0.59175962741676447</v>
      </c>
      <c r="F39" s="2" t="s">
        <v>653</v>
      </c>
    </row>
  </sheetData>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777A2-DE7F-43AD-BCD9-C3F5B6D6BB78}">
  <dimension ref="A2:AK39"/>
  <sheetViews>
    <sheetView topLeftCell="A12" workbookViewId="0">
      <selection activeCell="N16" sqref="N16"/>
    </sheetView>
  </sheetViews>
  <sheetFormatPr defaultRowHeight="14.5" x14ac:dyDescent="0.35"/>
  <cols>
    <col min="1" max="1" width="12" bestFit="1" customWidth="1"/>
    <col min="2" max="2" width="25.1796875" bestFit="1" customWidth="1"/>
    <col min="3" max="3" width="11.36328125" style="1" bestFit="1" customWidth="1"/>
    <col min="4" max="4" width="14.453125" style="1" bestFit="1" customWidth="1"/>
    <col min="5" max="5" width="11.26953125" bestFit="1" customWidth="1"/>
    <col min="6" max="6" width="10.81640625" bestFit="1" customWidth="1"/>
    <col min="7" max="7" width="5.90625" bestFit="1" customWidth="1"/>
    <col min="8" max="8" width="4.7265625" bestFit="1" customWidth="1"/>
    <col min="9" max="9" width="24.1796875" style="526" bestFit="1" customWidth="1"/>
    <col min="10" max="10" width="11.81640625" style="550" bestFit="1" customWidth="1"/>
    <col min="18" max="18" width="10.1796875" bestFit="1" customWidth="1"/>
    <col min="19" max="20" width="5.54296875" bestFit="1" customWidth="1"/>
    <col min="21" max="21" width="5.6328125" bestFit="1" customWidth="1"/>
    <col min="22" max="32" width="5.54296875" bestFit="1" customWidth="1"/>
    <col min="33" max="33" width="5.6328125" bestFit="1" customWidth="1"/>
    <col min="34" max="34" width="5.54296875" bestFit="1" customWidth="1"/>
    <col min="35" max="35" width="25.1796875" bestFit="1" customWidth="1"/>
    <col min="36" max="36" width="5.54296875" bestFit="1" customWidth="1"/>
    <col min="37" max="37" width="5.6328125" bestFit="1" customWidth="1"/>
  </cols>
  <sheetData>
    <row r="2" spans="1:37" s="5" customFormat="1" x14ac:dyDescent="0.35">
      <c r="A2" s="74" t="s">
        <v>190</v>
      </c>
      <c r="B2" s="191" t="s">
        <v>0</v>
      </c>
      <c r="C2" s="191"/>
      <c r="D2" s="74" t="s">
        <v>1</v>
      </c>
      <c r="E2" s="75" t="s">
        <v>2</v>
      </c>
      <c r="F2" s="74"/>
      <c r="G2" s="74"/>
      <c r="H2" s="74"/>
      <c r="I2" s="544"/>
      <c r="J2" s="548"/>
    </row>
    <row r="3" spans="1:37" s="1" customFormat="1" x14ac:dyDescent="0.35">
      <c r="A3" s="210" t="s">
        <v>243</v>
      </c>
      <c r="B3" s="7" t="s">
        <v>244</v>
      </c>
      <c r="C3" s="7"/>
      <c r="D3" s="70"/>
      <c r="E3" s="11"/>
      <c r="F3" s="7"/>
      <c r="G3" s="71"/>
      <c r="H3" s="11"/>
      <c r="I3" s="545"/>
      <c r="J3" s="559"/>
      <c r="K3" s="3"/>
      <c r="L3" s="3"/>
      <c r="M3" s="3"/>
      <c r="N3" s="3"/>
      <c r="O3" s="3"/>
      <c r="P3" s="3"/>
      <c r="Q3" s="3"/>
      <c r="R3" s="189" t="e">
        <f>#REF!+#REF!+#REF!+#REF!+#REF!+#REF!+#REF!+#REF!+K3+M3+O3+Q3</f>
        <v>#REF!</v>
      </c>
      <c r="S3" s="189" t="e">
        <f>#REF!+R3</f>
        <v>#REF!</v>
      </c>
      <c r="T3" s="189" t="e">
        <f>#REF!/#REF!*#REF!</f>
        <v>#REF!</v>
      </c>
      <c r="U3" s="190" t="e">
        <f>#REF!+#REF!+#REF!</f>
        <v>#REF!</v>
      </c>
      <c r="V3" s="189" t="e">
        <f t="shared" ref="V3" si="0">U3/$U$91*$AG$110</f>
        <v>#REF!</v>
      </c>
      <c r="W3" s="189" t="e">
        <f t="shared" ref="W3" si="1">U3/$U$91*$AG$111</f>
        <v>#REF!</v>
      </c>
      <c r="X3" s="189" t="e">
        <f>#REF!+#REF!+#REF!+#REF!+#REF!</f>
        <v>#REF!</v>
      </c>
      <c r="Y3" s="189" t="e">
        <f t="shared" ref="Y3" si="2">X3/$X$91*$AG$112</f>
        <v>#REF!</v>
      </c>
      <c r="Z3" s="189" t="e">
        <f>X3+#REF!</f>
        <v>#REF!</v>
      </c>
      <c r="AA3" s="189" t="e">
        <f t="shared" ref="AA3" si="3">Z3/$Z$91*$AG$113</f>
        <v>#REF!</v>
      </c>
      <c r="AB3" s="189" t="e">
        <f>Z3+#REF!</f>
        <v>#REF!</v>
      </c>
      <c r="AC3" s="189" t="e">
        <f t="shared" ref="AC3" si="4">AB3/$AB$91*$AG$114</f>
        <v>#REF!</v>
      </c>
      <c r="AD3" s="189" t="e">
        <f>AB3+#REF!</f>
        <v>#REF!</v>
      </c>
      <c r="AE3" s="388" t="e">
        <f t="shared" ref="AE3" si="5">AD3/$AD$91*750000</f>
        <v>#REF!</v>
      </c>
      <c r="AF3" s="189" t="e">
        <f t="shared" ref="AF3" si="6">AD3/$AD$91*$AG$123</f>
        <v>#REF!</v>
      </c>
      <c r="AG3" s="186" t="e">
        <f t="shared" ref="AG3" si="7">S3+T3+V3+W3+Y3+AA3+AC3+AE3+AF3</f>
        <v>#REF!</v>
      </c>
      <c r="AH3" s="1" t="e">
        <f t="shared" ref="AH3" si="8">AG3=S3+T3+V3+W3+Y3+AA3+AC3+AE3+AF3</f>
        <v>#REF!</v>
      </c>
      <c r="AI3" s="247" t="str">
        <f>B3</f>
        <v>Mohamed Khalfan Mohamed</v>
      </c>
      <c r="AJ3" s="249" t="e">
        <f t="shared" ref="AJ3" si="9">AG3</f>
        <v>#REF!</v>
      </c>
      <c r="AK3" s="248" t="e">
        <f t="shared" ref="AK3" si="10">AG3-S3</f>
        <v>#REF!</v>
      </c>
    </row>
    <row r="4" spans="1:37" x14ac:dyDescent="0.35">
      <c r="H4" s="74" t="s">
        <v>643</v>
      </c>
      <c r="I4" s="544" t="s">
        <v>445</v>
      </c>
      <c r="J4" s="548" t="s">
        <v>568</v>
      </c>
    </row>
    <row r="5" spans="1:37" x14ac:dyDescent="0.35">
      <c r="A5" s="74" t="s">
        <v>487</v>
      </c>
      <c r="B5" s="74" t="s">
        <v>2</v>
      </c>
      <c r="C5" s="191" t="s">
        <v>124</v>
      </c>
      <c r="D5" s="191" t="s">
        <v>488</v>
      </c>
      <c r="E5" s="74" t="s">
        <v>489</v>
      </c>
      <c r="F5" s="74" t="s">
        <v>490</v>
      </c>
      <c r="H5" s="2"/>
      <c r="I5" s="484"/>
      <c r="J5" s="549"/>
    </row>
    <row r="6" spans="1:37" x14ac:dyDescent="0.35">
      <c r="A6" s="2">
        <v>1</v>
      </c>
      <c r="B6" s="70">
        <v>45352</v>
      </c>
      <c r="C6" s="11">
        <v>50000</v>
      </c>
      <c r="D6" s="3">
        <f>C6</f>
        <v>50000</v>
      </c>
      <c r="E6" s="2" t="s">
        <v>144</v>
      </c>
      <c r="F6" s="2">
        <v>1</v>
      </c>
      <c r="H6" s="2"/>
      <c r="I6" s="503" t="s">
        <v>210</v>
      </c>
      <c r="J6" s="484">
        <v>23785.480006673857</v>
      </c>
    </row>
    <row r="7" spans="1:37" x14ac:dyDescent="0.35">
      <c r="A7" s="2">
        <v>2</v>
      </c>
      <c r="B7" s="71">
        <v>45362</v>
      </c>
      <c r="C7" s="11">
        <v>120000</v>
      </c>
      <c r="D7" s="3">
        <f>D6+C7</f>
        <v>170000</v>
      </c>
      <c r="E7" s="2" t="s">
        <v>144</v>
      </c>
      <c r="F7" s="2">
        <v>1</v>
      </c>
      <c r="H7" s="2"/>
      <c r="I7" s="504" t="s">
        <v>212</v>
      </c>
      <c r="J7" s="484">
        <v>28811.85203185655</v>
      </c>
    </row>
    <row r="8" spans="1:37" x14ac:dyDescent="0.35">
      <c r="A8" s="2">
        <v>3</v>
      </c>
      <c r="B8" s="70">
        <v>45529</v>
      </c>
      <c r="C8" s="11">
        <v>630000</v>
      </c>
      <c r="D8" s="3">
        <f t="shared" ref="D8:D12" si="11">D7+C8</f>
        <v>800000</v>
      </c>
      <c r="E8" s="2" t="s">
        <v>144</v>
      </c>
      <c r="F8" s="2">
        <v>1</v>
      </c>
      <c r="H8" s="2"/>
      <c r="I8" s="504" t="s">
        <v>213</v>
      </c>
      <c r="J8" s="484">
        <v>43943.331558488804</v>
      </c>
    </row>
    <row r="9" spans="1:37" x14ac:dyDescent="0.35">
      <c r="A9" s="2">
        <v>4</v>
      </c>
      <c r="B9" s="71">
        <v>45654</v>
      </c>
      <c r="C9" s="11">
        <v>200000</v>
      </c>
      <c r="D9" s="3">
        <f t="shared" si="11"/>
        <v>1000000</v>
      </c>
      <c r="E9" s="2" t="s">
        <v>144</v>
      </c>
      <c r="F9" s="2">
        <v>1</v>
      </c>
      <c r="H9" s="2"/>
      <c r="I9" s="504" t="s">
        <v>215</v>
      </c>
      <c r="J9" s="484">
        <v>42671.683086863835</v>
      </c>
    </row>
    <row r="10" spans="1:37" x14ac:dyDescent="0.35">
      <c r="A10" s="2">
        <v>5</v>
      </c>
      <c r="B10" s="71">
        <v>45885</v>
      </c>
      <c r="C10" s="11">
        <v>300000</v>
      </c>
      <c r="D10" s="3">
        <f t="shared" si="11"/>
        <v>1300000</v>
      </c>
      <c r="E10" s="2" t="s">
        <v>30</v>
      </c>
      <c r="F10" s="2">
        <v>1</v>
      </c>
      <c r="H10" s="2"/>
      <c r="I10" s="504" t="s">
        <v>217</v>
      </c>
      <c r="J10" s="484">
        <v>118835.86412054193</v>
      </c>
    </row>
    <row r="11" spans="1:37" x14ac:dyDescent="0.35">
      <c r="A11" s="2">
        <v>6</v>
      </c>
      <c r="B11" s="71">
        <v>45927</v>
      </c>
      <c r="C11" s="11">
        <v>300000</v>
      </c>
      <c r="D11" s="3">
        <f t="shared" si="11"/>
        <v>1600000</v>
      </c>
      <c r="E11" s="2" t="s">
        <v>30</v>
      </c>
      <c r="F11" s="2">
        <v>1</v>
      </c>
      <c r="H11" s="2"/>
      <c r="I11" s="504" t="s">
        <v>219</v>
      </c>
      <c r="J11" s="484">
        <v>40073.630929695188</v>
      </c>
    </row>
    <row r="12" spans="1:37" x14ac:dyDescent="0.35">
      <c r="A12" s="2">
        <v>7</v>
      </c>
      <c r="B12" s="71">
        <v>45955</v>
      </c>
      <c r="C12" s="202">
        <v>400000</v>
      </c>
      <c r="D12" s="3">
        <f t="shared" si="11"/>
        <v>2000000</v>
      </c>
      <c r="E12" s="2" t="s">
        <v>30</v>
      </c>
      <c r="F12" s="2">
        <v>2</v>
      </c>
      <c r="H12" s="2"/>
      <c r="I12" s="504" t="s">
        <v>537</v>
      </c>
      <c r="J12" s="484">
        <v>6374.1623863870072</v>
      </c>
    </row>
    <row r="13" spans="1:37" x14ac:dyDescent="0.35">
      <c r="A13" s="2">
        <v>8</v>
      </c>
      <c r="B13" s="71">
        <v>45985</v>
      </c>
      <c r="C13" s="202">
        <v>200000</v>
      </c>
      <c r="D13" s="3">
        <f t="shared" ref="D13:D20" si="12">D12+C13</f>
        <v>2200000</v>
      </c>
      <c r="E13" s="2" t="s">
        <v>30</v>
      </c>
      <c r="F13" s="2">
        <v>2</v>
      </c>
      <c r="H13" s="2"/>
      <c r="I13" s="504" t="s">
        <v>543</v>
      </c>
      <c r="J13" s="484">
        <v>16398.348036844298</v>
      </c>
    </row>
    <row r="14" spans="1:37" x14ac:dyDescent="0.35">
      <c r="A14" s="2">
        <v>9</v>
      </c>
      <c r="B14" s="71">
        <v>46014</v>
      </c>
      <c r="C14" s="200">
        <f>100000</f>
        <v>100000</v>
      </c>
      <c r="D14" s="3">
        <f t="shared" si="12"/>
        <v>2300000</v>
      </c>
      <c r="E14" s="2" t="s">
        <v>30</v>
      </c>
      <c r="F14" s="2">
        <v>2</v>
      </c>
      <c r="H14" s="2"/>
      <c r="I14" s="504" t="s">
        <v>681</v>
      </c>
      <c r="J14" s="549">
        <f>'DETAILS (sorted)'!DC16</f>
        <v>24937.816053748727</v>
      </c>
    </row>
    <row r="15" spans="1:37" x14ac:dyDescent="0.35">
      <c r="A15" s="2">
        <v>10</v>
      </c>
      <c r="B15" s="71">
        <v>46014</v>
      </c>
      <c r="C15" s="200">
        <v>700000</v>
      </c>
      <c r="D15" s="3">
        <f t="shared" si="12"/>
        <v>3000000</v>
      </c>
      <c r="E15" s="2" t="s">
        <v>30</v>
      </c>
      <c r="F15" s="2">
        <v>2</v>
      </c>
      <c r="H15" s="2"/>
      <c r="I15" s="504" t="s">
        <v>696</v>
      </c>
      <c r="J15" s="549">
        <f>'DETAILS (sorted)'!DD16</f>
        <v>16885.270048653703</v>
      </c>
    </row>
    <row r="16" spans="1:37" x14ac:dyDescent="0.35">
      <c r="A16" s="2">
        <v>11</v>
      </c>
      <c r="B16" s="71">
        <v>46077</v>
      </c>
      <c r="C16" s="231">
        <f>200000</f>
        <v>200000</v>
      </c>
      <c r="D16" s="3">
        <f t="shared" si="12"/>
        <v>3200000</v>
      </c>
      <c r="E16" s="2" t="s">
        <v>30</v>
      </c>
      <c r="F16" s="2">
        <v>2</v>
      </c>
      <c r="H16" s="2"/>
      <c r="I16" s="524" t="s">
        <v>887</v>
      </c>
      <c r="J16" s="549">
        <f>'DETAILS (sorted)'!DF16</f>
        <v>12700.979658489972</v>
      </c>
    </row>
    <row r="17" spans="1:10" x14ac:dyDescent="0.35">
      <c r="A17" s="2">
        <v>12</v>
      </c>
      <c r="B17" s="71">
        <v>46077</v>
      </c>
      <c r="C17" s="231">
        <v>300000</v>
      </c>
      <c r="D17" s="3">
        <f t="shared" si="12"/>
        <v>3500000</v>
      </c>
      <c r="E17" s="2" t="s">
        <v>30</v>
      </c>
      <c r="F17" s="2">
        <v>2</v>
      </c>
      <c r="H17" s="2"/>
      <c r="I17" s="524" t="s">
        <v>889</v>
      </c>
      <c r="J17" s="549">
        <f>'DETAILS (sorted)'!DG16</f>
        <v>42408.473627513325</v>
      </c>
    </row>
    <row r="18" spans="1:10" x14ac:dyDescent="0.35">
      <c r="A18" s="2">
        <v>13</v>
      </c>
      <c r="B18" s="71">
        <v>46087</v>
      </c>
      <c r="C18" s="3">
        <f>125000</f>
        <v>125000</v>
      </c>
      <c r="D18" s="3">
        <f t="shared" si="12"/>
        <v>3625000</v>
      </c>
      <c r="E18" s="2" t="s">
        <v>30</v>
      </c>
      <c r="F18" s="2">
        <v>2</v>
      </c>
      <c r="H18" s="2"/>
      <c r="I18" s="524" t="s">
        <v>891</v>
      </c>
      <c r="J18" s="549">
        <f>'DETAILS (sorted)'!DL16</f>
        <v>16173.096566561748</v>
      </c>
    </row>
    <row r="19" spans="1:10" x14ac:dyDescent="0.35">
      <c r="A19" s="2">
        <v>14</v>
      </c>
      <c r="B19" s="71">
        <v>46087</v>
      </c>
      <c r="C19" s="3">
        <v>500000</v>
      </c>
      <c r="D19" s="3">
        <f t="shared" si="12"/>
        <v>4125000</v>
      </c>
      <c r="E19" s="2" t="s">
        <v>30</v>
      </c>
      <c r="F19" s="2">
        <v>2</v>
      </c>
      <c r="H19" s="2"/>
      <c r="I19" s="524" t="s">
        <v>894</v>
      </c>
      <c r="J19" s="549">
        <f>'DETAILS (sorted)'!DM16</f>
        <v>0</v>
      </c>
    </row>
    <row r="20" spans="1:10" x14ac:dyDescent="0.35">
      <c r="A20" s="2">
        <v>15</v>
      </c>
      <c r="B20" s="71">
        <v>46154</v>
      </c>
      <c r="C20" s="3">
        <v>300000</v>
      </c>
      <c r="D20" s="3">
        <f t="shared" si="12"/>
        <v>4425000</v>
      </c>
      <c r="E20" s="2" t="s">
        <v>30</v>
      </c>
      <c r="F20" s="2">
        <v>2</v>
      </c>
      <c r="H20" s="2"/>
      <c r="I20" s="524" t="s">
        <v>893</v>
      </c>
      <c r="J20" s="549">
        <f>'DETAILS (sorted)'!DN16</f>
        <v>0</v>
      </c>
    </row>
    <row r="21" spans="1:10" x14ac:dyDescent="0.35">
      <c r="A21" s="2">
        <v>16</v>
      </c>
      <c r="B21" s="71">
        <v>46186</v>
      </c>
      <c r="C21" s="1">
        <v>312000</v>
      </c>
      <c r="D21" s="3">
        <f t="shared" ref="D21" si="13">D20+C21</f>
        <v>4737000</v>
      </c>
      <c r="E21" s="2" t="s">
        <v>30</v>
      </c>
      <c r="F21" s="192">
        <v>2</v>
      </c>
      <c r="H21" s="2"/>
      <c r="I21" s="524" t="s">
        <v>895</v>
      </c>
      <c r="J21" s="549">
        <f>'DETAILS (sorted)'!DO16</f>
        <v>0</v>
      </c>
    </row>
    <row r="22" spans="1:10" x14ac:dyDescent="0.35">
      <c r="A22" s="2"/>
      <c r="H22" s="2"/>
      <c r="I22" s="524" t="s">
        <v>897</v>
      </c>
      <c r="J22" s="549">
        <f>'DETAILS (sorted)'!DQ16</f>
        <v>0</v>
      </c>
    </row>
    <row r="23" spans="1:10" x14ac:dyDescent="0.35">
      <c r="A23" s="2"/>
      <c r="B23" s="2"/>
      <c r="C23" s="3"/>
      <c r="D23" s="3"/>
      <c r="E23" s="2"/>
      <c r="F23" s="2"/>
      <c r="H23" s="2"/>
      <c r="I23" s="524" t="s">
        <v>898</v>
      </c>
      <c r="J23" s="549">
        <f>'DETAILS (sorted)'!DR16</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4737000</v>
      </c>
      <c r="D35" s="191">
        <f>C35+J35</f>
        <v>5170999.9881123193</v>
      </c>
      <c r="E35" s="191">
        <f>'DETAILS (sorted)'!DS16</f>
        <v>5729062.3909924934</v>
      </c>
      <c r="F35" s="191">
        <f>D35-E35</f>
        <v>-558062.40288017411</v>
      </c>
      <c r="G35" s="5" t="b">
        <f>D35=E35</f>
        <v>0</v>
      </c>
      <c r="H35" s="74"/>
      <c r="I35" s="544"/>
      <c r="J35" s="548">
        <f>SUM(J5:J34)</f>
        <v>433999.98811231891</v>
      </c>
    </row>
    <row r="37" spans="1:10" x14ac:dyDescent="0.35">
      <c r="C37" s="191" t="s">
        <v>644</v>
      </c>
      <c r="D37" s="191">
        <f>C35+J35</f>
        <v>5170999.9881123193</v>
      </c>
      <c r="E37" s="122">
        <f>D37/D38</f>
        <v>0.34473333254082128</v>
      </c>
      <c r="F37" s="2" t="s">
        <v>652</v>
      </c>
    </row>
    <row r="38" spans="1:10" x14ac:dyDescent="0.35">
      <c r="C38" s="3"/>
      <c r="D38" s="3">
        <v>15000000</v>
      </c>
      <c r="E38" s="122">
        <f>D38/D38</f>
        <v>1</v>
      </c>
      <c r="F38" s="2" t="s">
        <v>654</v>
      </c>
    </row>
    <row r="39" spans="1:10" x14ac:dyDescent="0.35">
      <c r="C39" s="3"/>
      <c r="D39" s="3">
        <f>D37-D38</f>
        <v>-9829000.0118876807</v>
      </c>
      <c r="E39" s="122">
        <f>D39/D38</f>
        <v>-0.65526666745917872</v>
      </c>
      <c r="F39" s="2" t="s">
        <v>653</v>
      </c>
    </row>
  </sheetData>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AE1F8-4512-4215-9B34-0ACA4807349B}">
  <dimension ref="A2:AT39"/>
  <sheetViews>
    <sheetView topLeftCell="A16" workbookViewId="0">
      <selection activeCell="N16" sqref="N16"/>
    </sheetView>
  </sheetViews>
  <sheetFormatPr defaultRowHeight="14.5" x14ac:dyDescent="0.35"/>
  <cols>
    <col min="1" max="1" width="12" bestFit="1" customWidth="1"/>
    <col min="2" max="2" width="14.26953125" bestFit="1" customWidth="1"/>
    <col min="3" max="3" width="11.36328125" style="1" bestFit="1" customWidth="1"/>
    <col min="4" max="4" width="14.453125" style="1" bestFit="1" customWidth="1"/>
    <col min="5" max="5" width="11.26953125" bestFit="1" customWidth="1"/>
    <col min="6" max="6" width="11.81640625" bestFit="1" customWidth="1"/>
    <col min="7" max="7" width="5.90625" bestFit="1" customWidth="1"/>
    <col min="8" max="8" width="4.7265625" bestFit="1" customWidth="1"/>
    <col min="9" max="9" width="24.1796875" style="526" bestFit="1" customWidth="1"/>
    <col min="10" max="10" width="11.81640625" style="550" bestFit="1" customWidth="1"/>
    <col min="15" max="15" width="9.08984375" bestFit="1" customWidth="1"/>
    <col min="16" max="16" width="11.1796875" bestFit="1" customWidth="1"/>
    <col min="27" max="28" width="11.1796875" bestFit="1" customWidth="1"/>
    <col min="29" max="29" width="6.90625" bestFit="1" customWidth="1"/>
    <col min="30" max="30" width="10.1796875" bestFit="1" customWidth="1"/>
    <col min="31" max="32" width="6.90625" bestFit="1" customWidth="1"/>
    <col min="33" max="33" width="10.1796875" bestFit="1" customWidth="1"/>
    <col min="34" max="34" width="6.90625" bestFit="1" customWidth="1"/>
    <col min="35" max="35" width="10.1796875" bestFit="1" customWidth="1"/>
    <col min="36" max="36" width="6.90625" bestFit="1" customWidth="1"/>
    <col min="37" max="37" width="10.1796875" bestFit="1" customWidth="1"/>
    <col min="38" max="38" width="6.90625" bestFit="1" customWidth="1"/>
    <col min="39" max="39" width="11.1796875" bestFit="1" customWidth="1"/>
    <col min="40" max="41" width="6.90625" bestFit="1" customWidth="1"/>
    <col min="42" max="42" width="7.08984375" bestFit="1" customWidth="1"/>
    <col min="43" max="43" width="6.90625" bestFit="1" customWidth="1"/>
    <col min="44" max="44" width="14.26953125" bestFit="1" customWidth="1"/>
    <col min="45" max="45" width="6.90625" bestFit="1" customWidth="1"/>
    <col min="46" max="46" width="7.08984375" bestFit="1" customWidth="1"/>
  </cols>
  <sheetData>
    <row r="2" spans="1:46" s="5" customFormat="1" x14ac:dyDescent="0.35">
      <c r="A2" s="74" t="s">
        <v>190</v>
      </c>
      <c r="B2" s="191" t="s">
        <v>0</v>
      </c>
      <c r="C2" s="191"/>
      <c r="D2" s="74" t="s">
        <v>1</v>
      </c>
      <c r="E2" s="75" t="s">
        <v>2</v>
      </c>
      <c r="F2" s="74"/>
      <c r="G2" s="74"/>
      <c r="H2" s="74"/>
      <c r="I2" s="544"/>
      <c r="J2" s="548"/>
    </row>
    <row r="3" spans="1:46" s="1" customFormat="1" x14ac:dyDescent="0.35">
      <c r="A3" s="210" t="s">
        <v>245</v>
      </c>
      <c r="B3" s="7" t="s">
        <v>55</v>
      </c>
      <c r="C3" s="7"/>
      <c r="D3" s="71"/>
      <c r="E3" s="11"/>
      <c r="F3" s="11"/>
      <c r="G3" s="71"/>
      <c r="H3" s="11"/>
      <c r="I3" s="545"/>
      <c r="J3" s="555"/>
      <c r="K3" s="3"/>
      <c r="L3" s="231"/>
      <c r="M3" s="3"/>
      <c r="N3" s="3"/>
      <c r="O3" s="71">
        <v>46141</v>
      </c>
      <c r="P3" s="3">
        <v>25000000</v>
      </c>
      <c r="Q3" s="3"/>
      <c r="R3" s="3"/>
      <c r="S3" s="3"/>
      <c r="T3" s="3"/>
      <c r="U3" s="3"/>
      <c r="V3" s="3"/>
      <c r="W3" s="3"/>
      <c r="X3" s="3"/>
      <c r="Y3" s="3"/>
      <c r="Z3" s="3"/>
      <c r="AA3" s="189" t="e">
        <f>#REF!+#REF!+#REF!+#REF!+L3+N3+P3+R3+T3+V3+X3+Z3</f>
        <v>#REF!</v>
      </c>
      <c r="AB3" s="189" t="e">
        <f>#REF!+AA3</f>
        <v>#REF!</v>
      </c>
      <c r="AC3" s="189" t="e">
        <f>#REF!/#REF!*#REF!</f>
        <v>#REF!</v>
      </c>
      <c r="AD3" s="190" t="e">
        <f>#REF!+#REF!+#REF!</f>
        <v>#REF!</v>
      </c>
      <c r="AE3" s="189" t="e">
        <f t="shared" ref="AE3" si="0">AD3/$AD$91*$AP$110</f>
        <v>#REF!</v>
      </c>
      <c r="AF3" s="189" t="e">
        <f t="shared" ref="AF3" si="1">AD3/$AD$91*$AP$111</f>
        <v>#REF!</v>
      </c>
      <c r="AG3" s="189" t="e">
        <f>#REF!+#REF!+#REF!+#REF!+#REF!</f>
        <v>#REF!</v>
      </c>
      <c r="AH3" s="189" t="e">
        <f t="shared" ref="AH3" si="2">AG3/$AG$91*$AP$112</f>
        <v>#REF!</v>
      </c>
      <c r="AI3" s="189" t="e">
        <f t="shared" ref="AI3" si="3">AG3+L3</f>
        <v>#REF!</v>
      </c>
      <c r="AJ3" s="189" t="e">
        <f t="shared" ref="AJ3" si="4">AI3/$AI$91*$AP$113</f>
        <v>#REF!</v>
      </c>
      <c r="AK3" s="189" t="e">
        <f t="shared" ref="AK3" si="5">AI3+N3</f>
        <v>#REF!</v>
      </c>
      <c r="AL3" s="189" t="e">
        <f t="shared" ref="AL3" si="6">AK3/$AK$91*$AP$114</f>
        <v>#REF!</v>
      </c>
      <c r="AM3" s="189" t="e">
        <f t="shared" ref="AM3" si="7">AK3+P3</f>
        <v>#REF!</v>
      </c>
      <c r="AN3" s="388" t="e">
        <f t="shared" ref="AN3" si="8">AM3/$AM$91*750000</f>
        <v>#REF!</v>
      </c>
      <c r="AO3" s="189" t="e">
        <f t="shared" ref="AO3" si="9">AM3/$AM$91*$AP$123</f>
        <v>#REF!</v>
      </c>
      <c r="AP3" s="186" t="e">
        <f t="shared" ref="AP3" si="10">AB3+AC3+AE3+AF3+AH3+AJ3+AL3+AN3+AO3</f>
        <v>#REF!</v>
      </c>
      <c r="AQ3" s="1" t="e">
        <f t="shared" ref="AQ3" si="11">AP3=AB3+AC3+AE3+AF3+AH3+AJ3+AL3+AN3+AO3</f>
        <v>#REF!</v>
      </c>
      <c r="AR3" s="247" t="str">
        <f>B3</f>
        <v xml:space="preserve">Walter Salema </v>
      </c>
      <c r="AS3" s="249" t="e">
        <f t="shared" ref="AS3" si="12">AP3</f>
        <v>#REF!</v>
      </c>
      <c r="AT3" s="248" t="e">
        <f t="shared" ref="AT3" si="13">AP3-AB3</f>
        <v>#REF!</v>
      </c>
    </row>
    <row r="4" spans="1:46" x14ac:dyDescent="0.35">
      <c r="H4" s="74" t="s">
        <v>643</v>
      </c>
      <c r="I4" s="544" t="s">
        <v>445</v>
      </c>
      <c r="J4" s="548" t="s">
        <v>568</v>
      </c>
    </row>
    <row r="5" spans="1:46" x14ac:dyDescent="0.35">
      <c r="A5" s="74" t="s">
        <v>487</v>
      </c>
      <c r="B5" s="74" t="s">
        <v>2</v>
      </c>
      <c r="C5" s="191" t="s">
        <v>124</v>
      </c>
      <c r="D5" s="191" t="s">
        <v>488</v>
      </c>
      <c r="E5" s="74" t="s">
        <v>489</v>
      </c>
      <c r="F5" s="74" t="s">
        <v>490</v>
      </c>
      <c r="H5" s="2"/>
      <c r="I5" s="484"/>
      <c r="J5" s="557"/>
    </row>
    <row r="6" spans="1:46" x14ac:dyDescent="0.35">
      <c r="A6" s="2">
        <v>1</v>
      </c>
      <c r="B6" s="71">
        <v>45360</v>
      </c>
      <c r="C6" s="11">
        <v>60000</v>
      </c>
      <c r="D6" s="3">
        <f>C6</f>
        <v>60000</v>
      </c>
      <c r="E6" s="2" t="s">
        <v>144</v>
      </c>
      <c r="F6" s="2">
        <v>1</v>
      </c>
      <c r="H6" s="2"/>
      <c r="I6" s="503" t="s">
        <v>210</v>
      </c>
      <c r="J6" s="558">
        <v>14865.92500417116</v>
      </c>
    </row>
    <row r="7" spans="1:46" x14ac:dyDescent="0.35">
      <c r="A7" s="2">
        <v>2</v>
      </c>
      <c r="B7" s="71">
        <v>45360</v>
      </c>
      <c r="C7" s="11">
        <v>90000</v>
      </c>
      <c r="D7" s="3">
        <f>D6+C7</f>
        <v>150000</v>
      </c>
      <c r="E7" s="2" t="s">
        <v>144</v>
      </c>
      <c r="F7" s="2">
        <v>1</v>
      </c>
      <c r="H7" s="2"/>
      <c r="I7" s="504" t="s">
        <v>212</v>
      </c>
      <c r="J7" s="558">
        <v>34050.370583103191</v>
      </c>
    </row>
    <row r="8" spans="1:46" x14ac:dyDescent="0.35">
      <c r="A8" s="2">
        <v>3</v>
      </c>
      <c r="B8" s="71">
        <v>45526</v>
      </c>
      <c r="C8" s="11">
        <v>650000</v>
      </c>
      <c r="D8" s="3">
        <f t="shared" ref="D8:D15" si="14">D7+C8</f>
        <v>800000</v>
      </c>
      <c r="E8" s="2" t="s">
        <v>144</v>
      </c>
      <c r="F8" s="2">
        <v>1</v>
      </c>
      <c r="H8" s="2"/>
      <c r="I8" s="504" t="s">
        <v>213</v>
      </c>
      <c r="J8" s="558">
        <v>51933.028205486764</v>
      </c>
    </row>
    <row r="9" spans="1:46" x14ac:dyDescent="0.35">
      <c r="A9" s="2">
        <v>4</v>
      </c>
      <c r="B9" s="71">
        <v>45875</v>
      </c>
      <c r="C9" s="11">
        <v>200000</v>
      </c>
      <c r="D9" s="3">
        <f t="shared" si="14"/>
        <v>1000000</v>
      </c>
      <c r="E9" s="2" t="s">
        <v>30</v>
      </c>
      <c r="F9" s="2">
        <v>1</v>
      </c>
      <c r="H9" s="2"/>
      <c r="I9" s="504" t="s">
        <v>215</v>
      </c>
      <c r="J9" s="558">
        <v>56895.57744915178</v>
      </c>
    </row>
    <row r="10" spans="1:46" x14ac:dyDescent="0.35">
      <c r="A10" s="2">
        <v>5</v>
      </c>
      <c r="B10" s="71">
        <v>45951</v>
      </c>
      <c r="C10" s="202">
        <f>1000000</f>
        <v>1000000</v>
      </c>
      <c r="D10" s="3">
        <f t="shared" si="14"/>
        <v>2000000</v>
      </c>
      <c r="E10" s="2" t="s">
        <v>30</v>
      </c>
      <c r="F10" s="2">
        <v>2</v>
      </c>
      <c r="H10" s="2"/>
      <c r="I10" s="504" t="s">
        <v>217</v>
      </c>
      <c r="J10" s="558">
        <v>135812.41613776219</v>
      </c>
    </row>
    <row r="11" spans="1:46" x14ac:dyDescent="0.35">
      <c r="A11" s="2">
        <v>6</v>
      </c>
      <c r="B11" s="71">
        <v>45951</v>
      </c>
      <c r="C11" s="202">
        <v>500000</v>
      </c>
      <c r="D11" s="3">
        <f t="shared" si="14"/>
        <v>2500000</v>
      </c>
      <c r="E11" s="2" t="s">
        <v>30</v>
      </c>
      <c r="F11" s="2">
        <v>2</v>
      </c>
      <c r="H11" s="2"/>
      <c r="I11" s="504" t="s">
        <v>219</v>
      </c>
      <c r="J11" s="558">
        <v>38859.278477280182</v>
      </c>
    </row>
    <row r="12" spans="1:46" x14ac:dyDescent="0.35">
      <c r="A12" s="2">
        <v>7</v>
      </c>
      <c r="B12" s="71">
        <v>45990</v>
      </c>
      <c r="C12" s="202">
        <v>100000</v>
      </c>
      <c r="D12" s="3">
        <f t="shared" si="14"/>
        <v>2600000</v>
      </c>
      <c r="E12" s="2" t="s">
        <v>30</v>
      </c>
      <c r="F12" s="2">
        <v>2</v>
      </c>
      <c r="H12" s="2"/>
      <c r="I12" s="504" t="s">
        <v>537</v>
      </c>
      <c r="J12" s="558">
        <v>44812.293140660171</v>
      </c>
    </row>
    <row r="13" spans="1:46" x14ac:dyDescent="0.35">
      <c r="A13" s="2">
        <v>8</v>
      </c>
      <c r="B13" s="71">
        <v>46004</v>
      </c>
      <c r="C13" s="200">
        <v>200000</v>
      </c>
      <c r="D13" s="3">
        <f t="shared" si="14"/>
        <v>2800000</v>
      </c>
      <c r="E13" s="2" t="s">
        <v>30</v>
      </c>
      <c r="F13" s="2">
        <v>2</v>
      </c>
      <c r="H13" s="2"/>
      <c r="I13" s="504" t="s">
        <v>543</v>
      </c>
      <c r="J13" s="558">
        <v>115285.3558953902</v>
      </c>
    </row>
    <row r="14" spans="1:46" x14ac:dyDescent="0.35">
      <c r="A14" s="2">
        <v>9</v>
      </c>
      <c r="B14" s="71">
        <v>46026</v>
      </c>
      <c r="C14" s="202">
        <v>1200000</v>
      </c>
      <c r="D14" s="3">
        <f t="shared" si="14"/>
        <v>4000000</v>
      </c>
      <c r="E14" s="2" t="s">
        <v>30</v>
      </c>
      <c r="F14" s="2">
        <v>2</v>
      </c>
      <c r="H14" s="2"/>
      <c r="I14" s="504" t="s">
        <v>681</v>
      </c>
      <c r="J14" s="549">
        <f>'DETAILS (sorted)'!DC17</f>
        <v>163434.27470253402</v>
      </c>
    </row>
    <row r="15" spans="1:46" x14ac:dyDescent="0.35">
      <c r="A15" s="2">
        <v>10</v>
      </c>
      <c r="B15" s="71">
        <v>46141</v>
      </c>
      <c r="C15" s="3">
        <v>25000000</v>
      </c>
      <c r="D15" s="3">
        <f t="shared" si="14"/>
        <v>29000000</v>
      </c>
      <c r="E15" s="2" t="s">
        <v>30</v>
      </c>
      <c r="F15" s="2">
        <v>2</v>
      </c>
      <c r="H15" s="2"/>
      <c r="I15" s="504" t="s">
        <v>696</v>
      </c>
      <c r="J15" s="549">
        <f>'DETAILS (sorted)'!DD17</f>
        <v>110660.52687253273</v>
      </c>
    </row>
    <row r="16" spans="1:46" x14ac:dyDescent="0.35">
      <c r="A16" s="2">
        <v>11</v>
      </c>
      <c r="B16" s="71">
        <v>46214</v>
      </c>
      <c r="C16" s="3">
        <v>3000000</v>
      </c>
      <c r="D16" s="3">
        <f t="shared" ref="D16:D17" si="15">D15+C16</f>
        <v>32000000</v>
      </c>
      <c r="E16" s="2" t="s">
        <v>30</v>
      </c>
      <c r="F16" s="2">
        <v>2</v>
      </c>
      <c r="H16" s="2"/>
      <c r="I16" s="524" t="s">
        <v>887</v>
      </c>
      <c r="J16" s="549">
        <f>'DETAILS (sorted)'!DF17</f>
        <v>77755.628054931221</v>
      </c>
    </row>
    <row r="17" spans="1:10" x14ac:dyDescent="0.35">
      <c r="A17" s="2">
        <v>12</v>
      </c>
      <c r="B17" s="71">
        <v>46214</v>
      </c>
      <c r="C17" s="3">
        <v>2000000</v>
      </c>
      <c r="D17" s="3">
        <f t="shared" si="15"/>
        <v>34000000</v>
      </c>
      <c r="E17" s="2" t="s">
        <v>30</v>
      </c>
      <c r="F17" s="2">
        <v>2</v>
      </c>
      <c r="H17" s="2"/>
      <c r="I17" s="524" t="s">
        <v>889</v>
      </c>
      <c r="J17" s="549">
        <f>'DETAILS (sorted)'!DG17</f>
        <v>259625.44547137144</v>
      </c>
    </row>
    <row r="18" spans="1:10" x14ac:dyDescent="0.35">
      <c r="A18" s="2">
        <v>13</v>
      </c>
      <c r="B18" s="71"/>
      <c r="C18" s="3"/>
      <c r="D18" s="3"/>
      <c r="E18" s="2"/>
      <c r="F18" s="2"/>
      <c r="H18" s="2"/>
      <c r="I18" s="524" t="s">
        <v>891</v>
      </c>
      <c r="J18" s="549">
        <f>'DETAILS (sorted)'!DL17</f>
        <v>128999.73805361059</v>
      </c>
    </row>
    <row r="19" spans="1:10" x14ac:dyDescent="0.35">
      <c r="A19" s="2">
        <v>14</v>
      </c>
      <c r="B19" s="71"/>
      <c r="C19" s="3"/>
      <c r="D19" s="3"/>
      <c r="E19" s="2"/>
      <c r="F19" s="2"/>
      <c r="H19" s="2"/>
      <c r="I19" s="524" t="s">
        <v>894</v>
      </c>
      <c r="J19" s="549">
        <f>'DETAILS (sorted)'!DM17</f>
        <v>0</v>
      </c>
    </row>
    <row r="20" spans="1:10" x14ac:dyDescent="0.35">
      <c r="A20" s="2">
        <v>15</v>
      </c>
      <c r="B20" s="71"/>
      <c r="C20" s="3"/>
      <c r="D20" s="3"/>
      <c r="E20" s="2"/>
      <c r="F20" s="2"/>
      <c r="H20" s="2"/>
      <c r="I20" s="524" t="s">
        <v>893</v>
      </c>
      <c r="J20" s="549">
        <f>'DETAILS (sorted)'!DN17</f>
        <v>0</v>
      </c>
    </row>
    <row r="21" spans="1:10" x14ac:dyDescent="0.35">
      <c r="A21" s="2">
        <v>16</v>
      </c>
      <c r="B21" s="71"/>
      <c r="C21" s="3"/>
      <c r="D21" s="3"/>
      <c r="E21" s="2"/>
      <c r="F21" s="2"/>
      <c r="H21" s="2"/>
      <c r="I21" s="524" t="s">
        <v>895</v>
      </c>
      <c r="J21" s="549">
        <f>'DETAILS (sorted)'!DO17</f>
        <v>0</v>
      </c>
    </row>
    <row r="22" spans="1:10" x14ac:dyDescent="0.35">
      <c r="A22" s="2"/>
      <c r="B22" s="2"/>
      <c r="C22" s="3"/>
      <c r="D22" s="3"/>
      <c r="E22" s="2"/>
      <c r="F22" s="2"/>
      <c r="H22" s="2"/>
      <c r="I22" s="524" t="s">
        <v>897</v>
      </c>
      <c r="J22" s="549">
        <f>'DETAILS (sorted)'!DQ17</f>
        <v>0</v>
      </c>
    </row>
    <row r="23" spans="1:10" x14ac:dyDescent="0.35">
      <c r="A23" s="2"/>
      <c r="B23" s="2"/>
      <c r="C23" s="3"/>
      <c r="D23" s="3"/>
      <c r="E23" s="2"/>
      <c r="F23" s="2"/>
      <c r="H23" s="2"/>
      <c r="I23" s="524" t="s">
        <v>898</v>
      </c>
      <c r="J23" s="549">
        <f>'DETAILS (sorted)'!DR17</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34000000</v>
      </c>
      <c r="D35" s="191">
        <f>C35+J35</f>
        <v>35232989.858047985</v>
      </c>
      <c r="E35" s="191">
        <f>'DETAILS (sorted)'!DS17</f>
        <v>45696106.78383147</v>
      </c>
      <c r="F35" s="191">
        <f>D35-E35</f>
        <v>-10463116.925783485</v>
      </c>
      <c r="G35" s="5" t="b">
        <f>D35=E35</f>
        <v>0</v>
      </c>
      <c r="H35" s="74"/>
      <c r="I35" s="544"/>
      <c r="J35" s="548">
        <f>SUM(J5:J34)</f>
        <v>1232989.8580479855</v>
      </c>
    </row>
    <row r="37" spans="1:10" x14ac:dyDescent="0.35">
      <c r="C37" s="191" t="s">
        <v>644</v>
      </c>
      <c r="D37" s="191">
        <f>C35+J35</f>
        <v>35232989.858047985</v>
      </c>
      <c r="E37" s="122">
        <f>D37/D38</f>
        <v>0.70465979716095972</v>
      </c>
      <c r="F37" s="2" t="s">
        <v>652</v>
      </c>
    </row>
    <row r="38" spans="1:10" x14ac:dyDescent="0.35">
      <c r="C38" s="3"/>
      <c r="D38" s="3">
        <v>50000000</v>
      </c>
      <c r="E38" s="122">
        <f>D38/D38</f>
        <v>1</v>
      </c>
      <c r="F38" s="2" t="s">
        <v>654</v>
      </c>
    </row>
    <row r="39" spans="1:10" x14ac:dyDescent="0.35">
      <c r="C39" s="3"/>
      <c r="D39" s="3">
        <f>D37-D38</f>
        <v>-14767010.141952015</v>
      </c>
      <c r="E39" s="122">
        <f>D39/D38</f>
        <v>-0.29534020283904033</v>
      </c>
      <c r="F39" s="2" t="s">
        <v>653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37A02-30E2-44F0-A441-1E92356E3450}">
  <dimension ref="A2:J39"/>
  <sheetViews>
    <sheetView topLeftCell="A13" workbookViewId="0">
      <selection activeCell="D15" sqref="D15"/>
    </sheetView>
  </sheetViews>
  <sheetFormatPr defaultRowHeight="14.5" x14ac:dyDescent="0.35"/>
  <cols>
    <col min="1" max="1" width="12" bestFit="1" customWidth="1"/>
    <col min="2" max="2" width="16.1796875" bestFit="1" customWidth="1"/>
    <col min="3" max="3" width="11.36328125" style="1" bestFit="1" customWidth="1"/>
    <col min="4" max="4" width="14.453125" style="1" bestFit="1" customWidth="1"/>
    <col min="5" max="5" width="11.26953125" bestFit="1" customWidth="1"/>
    <col min="6" max="6" width="9.26953125" bestFit="1" customWidth="1"/>
    <col min="7" max="7" width="5.1796875" bestFit="1" customWidth="1"/>
    <col min="8" max="8" width="4.7265625" bestFit="1" customWidth="1"/>
    <col min="9" max="9" width="24.179687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246</v>
      </c>
      <c r="B3" s="7" t="s">
        <v>82</v>
      </c>
      <c r="C3" s="72" t="s">
        <v>83</v>
      </c>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45506</v>
      </c>
      <c r="C6" s="11">
        <v>900000</v>
      </c>
      <c r="D6" s="3">
        <f>C6</f>
        <v>900000</v>
      </c>
      <c r="E6" s="2" t="s">
        <v>144</v>
      </c>
      <c r="F6" s="2">
        <v>1</v>
      </c>
      <c r="H6" s="2"/>
      <c r="I6" s="503" t="s">
        <v>210</v>
      </c>
      <c r="J6" s="549">
        <v>26758.665007508087</v>
      </c>
    </row>
    <row r="7" spans="1:10" x14ac:dyDescent="0.35">
      <c r="A7" s="2">
        <v>2</v>
      </c>
      <c r="B7" s="71">
        <v>45685</v>
      </c>
      <c r="C7" s="11">
        <v>100000</v>
      </c>
      <c r="D7" s="3">
        <f>D6+C7</f>
        <v>1000000</v>
      </c>
      <c r="E7" s="2" t="s">
        <v>144</v>
      </c>
      <c r="F7" s="2">
        <v>1</v>
      </c>
      <c r="H7" s="2"/>
      <c r="I7" s="504" t="s">
        <v>212</v>
      </c>
      <c r="J7" s="549">
        <v>30121.481669668206</v>
      </c>
    </row>
    <row r="8" spans="1:10" x14ac:dyDescent="0.35">
      <c r="A8" s="2">
        <v>3</v>
      </c>
      <c r="B8" s="71">
        <v>45775</v>
      </c>
      <c r="C8" s="11">
        <v>100000</v>
      </c>
      <c r="D8" s="3">
        <f t="shared" ref="D8:D15" si="0">D7+C8</f>
        <v>1100000</v>
      </c>
      <c r="E8" s="2" t="s">
        <v>144</v>
      </c>
      <c r="F8" s="2">
        <v>1</v>
      </c>
      <c r="H8" s="2"/>
      <c r="I8" s="504" t="s">
        <v>213</v>
      </c>
      <c r="J8" s="549">
        <v>45940.755720238296</v>
      </c>
    </row>
    <row r="9" spans="1:10" x14ac:dyDescent="0.35">
      <c r="A9" s="2">
        <v>4</v>
      </c>
      <c r="B9" s="71">
        <v>45742</v>
      </c>
      <c r="C9" s="11">
        <v>200000</v>
      </c>
      <c r="D9" s="3">
        <f t="shared" si="0"/>
        <v>1300000</v>
      </c>
      <c r="E9" s="2" t="s">
        <v>144</v>
      </c>
      <c r="F9" s="2">
        <v>1</v>
      </c>
      <c r="H9" s="2"/>
      <c r="I9" s="504" t="s">
        <v>215</v>
      </c>
      <c r="J9" s="549">
        <v>46938.85139555022</v>
      </c>
    </row>
    <row r="10" spans="1:10" x14ac:dyDescent="0.35">
      <c r="A10" s="2">
        <v>5</v>
      </c>
      <c r="B10" s="71">
        <v>45775</v>
      </c>
      <c r="C10" s="11">
        <v>100000</v>
      </c>
      <c r="D10" s="3">
        <f t="shared" si="0"/>
        <v>1400000</v>
      </c>
      <c r="E10" s="2" t="s">
        <v>144</v>
      </c>
      <c r="F10" s="2">
        <v>1</v>
      </c>
      <c r="H10" s="2"/>
      <c r="I10" s="504" t="s">
        <v>217</v>
      </c>
      <c r="J10" s="549">
        <v>112045.2433136538</v>
      </c>
    </row>
    <row r="11" spans="1:10" x14ac:dyDescent="0.35">
      <c r="A11" s="2">
        <v>6</v>
      </c>
      <c r="B11" s="71">
        <v>45799</v>
      </c>
      <c r="C11" s="11">
        <v>200000</v>
      </c>
      <c r="D11" s="3">
        <f t="shared" si="0"/>
        <v>1600000</v>
      </c>
      <c r="E11" s="2" t="s">
        <v>144</v>
      </c>
      <c r="F11" s="2">
        <v>1</v>
      </c>
      <c r="H11" s="2"/>
      <c r="I11" s="504" t="s">
        <v>219</v>
      </c>
      <c r="J11" s="549">
        <v>32058.904743756149</v>
      </c>
    </row>
    <row r="12" spans="1:10" x14ac:dyDescent="0.35">
      <c r="A12" s="2">
        <v>7</v>
      </c>
      <c r="B12" s="71">
        <v>45833</v>
      </c>
      <c r="C12" s="11">
        <v>200000</v>
      </c>
      <c r="D12" s="3">
        <f t="shared" si="0"/>
        <v>1800000</v>
      </c>
      <c r="E12" s="2" t="s">
        <v>144</v>
      </c>
      <c r="F12" s="2">
        <v>1</v>
      </c>
      <c r="H12" s="2"/>
      <c r="I12" s="504" t="s">
        <v>537</v>
      </c>
      <c r="J12" s="549">
        <v>5099.329909109606</v>
      </c>
    </row>
    <row r="13" spans="1:10" x14ac:dyDescent="0.35">
      <c r="A13" s="2">
        <v>8</v>
      </c>
      <c r="B13" s="71">
        <v>45975</v>
      </c>
      <c r="C13" s="202">
        <v>500000</v>
      </c>
      <c r="D13" s="3">
        <f t="shared" si="0"/>
        <v>2300000</v>
      </c>
      <c r="E13" s="2" t="s">
        <v>30</v>
      </c>
      <c r="F13" s="2">
        <v>2</v>
      </c>
      <c r="H13" s="2"/>
      <c r="I13" s="504" t="s">
        <v>543</v>
      </c>
      <c r="J13" s="549">
        <v>13118.678429475436</v>
      </c>
    </row>
    <row r="14" spans="1:10" x14ac:dyDescent="0.35">
      <c r="A14" s="2">
        <v>9</v>
      </c>
      <c r="B14" s="71">
        <v>46014</v>
      </c>
      <c r="C14" s="200">
        <v>500000</v>
      </c>
      <c r="D14" s="3">
        <f t="shared" si="0"/>
        <v>2800000</v>
      </c>
      <c r="E14" s="2" t="s">
        <v>30</v>
      </c>
      <c r="F14" s="2">
        <v>2</v>
      </c>
      <c r="H14" s="2"/>
      <c r="I14" s="504" t="s">
        <v>681</v>
      </c>
      <c r="J14" s="549">
        <f>'DETAILS (sorted)'!DC18</f>
        <v>18597.69332821939</v>
      </c>
    </row>
    <row r="15" spans="1:10" x14ac:dyDescent="0.35">
      <c r="A15" s="2">
        <v>10</v>
      </c>
      <c r="B15" s="71">
        <v>46043</v>
      </c>
      <c r="C15" s="202">
        <v>500000</v>
      </c>
      <c r="D15" s="3">
        <f t="shared" si="0"/>
        <v>3300000</v>
      </c>
      <c r="E15" s="2" t="s">
        <v>30</v>
      </c>
      <c r="F15" s="2">
        <v>2</v>
      </c>
      <c r="H15" s="2"/>
      <c r="I15" s="504" t="s">
        <v>696</v>
      </c>
      <c r="J15" s="549">
        <f>'DETAILS (sorted)'!DD18</f>
        <v>12592.404782046828</v>
      </c>
    </row>
    <row r="16" spans="1:10" x14ac:dyDescent="0.35">
      <c r="A16" s="2">
        <v>11</v>
      </c>
      <c r="B16" s="294"/>
      <c r="C16" s="3"/>
      <c r="D16" s="3"/>
      <c r="E16" s="2"/>
      <c r="F16" s="2"/>
      <c r="H16" s="2"/>
      <c r="I16" s="524" t="s">
        <v>887</v>
      </c>
      <c r="J16" s="549">
        <f>'DETAILS (sorted)'!DF18</f>
        <v>8848.0542269404486</v>
      </c>
    </row>
    <row r="17" spans="1:10" x14ac:dyDescent="0.35">
      <c r="A17" s="2">
        <v>12</v>
      </c>
      <c r="B17" s="71"/>
      <c r="C17" s="3"/>
      <c r="D17" s="3"/>
      <c r="E17" s="2"/>
      <c r="F17" s="2"/>
      <c r="H17" s="2"/>
      <c r="I17" s="524" t="s">
        <v>889</v>
      </c>
      <c r="J17" s="549">
        <f>'DETAILS (sorted)'!DG18</f>
        <v>29543.585174328473</v>
      </c>
    </row>
    <row r="18" spans="1:10" x14ac:dyDescent="0.35">
      <c r="A18" s="2">
        <v>13</v>
      </c>
      <c r="B18" s="71"/>
      <c r="C18" s="3"/>
      <c r="D18" s="3"/>
      <c r="E18" s="2"/>
      <c r="F18" s="2"/>
      <c r="H18" s="2"/>
      <c r="I18" s="524" t="s">
        <v>891</v>
      </c>
      <c r="J18" s="549">
        <f>'DETAILS (sorted)'!DL18</f>
        <v>11101.758235434116</v>
      </c>
    </row>
    <row r="19" spans="1:10" x14ac:dyDescent="0.35">
      <c r="A19" s="2">
        <v>14</v>
      </c>
      <c r="B19" s="71"/>
      <c r="C19" s="3"/>
      <c r="D19" s="3"/>
      <c r="E19" s="2"/>
      <c r="F19" s="2"/>
      <c r="H19" s="2"/>
      <c r="I19" s="524" t="s">
        <v>894</v>
      </c>
      <c r="J19" s="549">
        <f>'DETAILS (sorted)'!DM18</f>
        <v>0</v>
      </c>
    </row>
    <row r="20" spans="1:10" x14ac:dyDescent="0.35">
      <c r="A20" s="2">
        <v>15</v>
      </c>
      <c r="B20" s="71"/>
      <c r="C20" s="3"/>
      <c r="D20" s="3"/>
      <c r="E20" s="2"/>
      <c r="F20" s="2"/>
      <c r="H20" s="2"/>
      <c r="I20" s="524" t="s">
        <v>893</v>
      </c>
      <c r="J20" s="549">
        <f>'DETAILS (sorted)'!DN18</f>
        <v>0</v>
      </c>
    </row>
    <row r="21" spans="1:10" x14ac:dyDescent="0.35">
      <c r="A21" s="2">
        <v>16</v>
      </c>
      <c r="B21" s="71"/>
      <c r="C21" s="3"/>
      <c r="D21" s="3"/>
      <c r="E21" s="2"/>
      <c r="F21" s="2"/>
      <c r="H21" s="2"/>
      <c r="I21" s="524" t="s">
        <v>895</v>
      </c>
      <c r="J21" s="549">
        <f>'DETAILS (sorted)'!DO18</f>
        <v>0</v>
      </c>
    </row>
    <row r="22" spans="1:10" x14ac:dyDescent="0.35">
      <c r="A22" s="2"/>
      <c r="B22" s="2"/>
      <c r="C22" s="3"/>
      <c r="D22" s="3"/>
      <c r="E22" s="2"/>
      <c r="F22" s="2"/>
      <c r="H22" s="2"/>
      <c r="I22" s="524" t="s">
        <v>897</v>
      </c>
      <c r="J22" s="549">
        <f>'DETAILS (sorted)'!DQ18</f>
        <v>0</v>
      </c>
    </row>
    <row r="23" spans="1:10" x14ac:dyDescent="0.35">
      <c r="A23" s="2"/>
      <c r="B23" s="2"/>
      <c r="C23" s="3"/>
      <c r="D23" s="3"/>
      <c r="E23" s="2"/>
      <c r="F23" s="2"/>
      <c r="H23" s="2"/>
      <c r="I23" s="524" t="s">
        <v>898</v>
      </c>
      <c r="J23" s="549">
        <f>'DETAILS (sorted)'!DR18</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3300000</v>
      </c>
      <c r="D35" s="191">
        <f>C35+J35</f>
        <v>3692765.4059359292</v>
      </c>
      <c r="E35" s="191">
        <f>'DETAILS (sorted)'!DS18</f>
        <v>3932621.3949663029</v>
      </c>
      <c r="F35" s="191">
        <f>D35-E35</f>
        <v>-239855.98903037375</v>
      </c>
      <c r="G35" s="5" t="b">
        <f>D35=E35</f>
        <v>0</v>
      </c>
      <c r="H35" s="74"/>
      <c r="I35" s="544"/>
      <c r="J35" s="548">
        <f>SUM(J6:J34)</f>
        <v>392765.40593592916</v>
      </c>
    </row>
    <row r="37" spans="1:10" x14ac:dyDescent="0.35">
      <c r="C37" s="191" t="s">
        <v>644</v>
      </c>
      <c r="D37" s="191">
        <f>C35+J35</f>
        <v>3692765.4059359292</v>
      </c>
      <c r="E37" s="122">
        <f>D37/D38</f>
        <v>0.36927654059359294</v>
      </c>
      <c r="F37" s="2" t="s">
        <v>652</v>
      </c>
    </row>
    <row r="38" spans="1:10" x14ac:dyDescent="0.35">
      <c r="C38" s="3"/>
      <c r="D38" s="3">
        <v>10000000</v>
      </c>
      <c r="E38" s="122">
        <f>D38/D38</f>
        <v>1</v>
      </c>
      <c r="F38" s="2" t="s">
        <v>654</v>
      </c>
    </row>
    <row r="39" spans="1:10" x14ac:dyDescent="0.35">
      <c r="C39" s="3"/>
      <c r="D39" s="3">
        <f>D37-D38</f>
        <v>-6307234.5940640708</v>
      </c>
      <c r="E39" s="122">
        <f>D39/D38</f>
        <v>-0.63072345940640706</v>
      </c>
      <c r="F39" s="2" t="s">
        <v>653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965C-02AA-4789-A2AD-501C940EA20C}">
  <dimension ref="A2:J39"/>
  <sheetViews>
    <sheetView topLeftCell="G7" workbookViewId="0">
      <selection activeCell="D15" sqref="D15"/>
    </sheetView>
  </sheetViews>
  <sheetFormatPr defaultRowHeight="14.5" x14ac:dyDescent="0.35"/>
  <cols>
    <col min="1" max="1" width="13.1796875" bestFit="1" customWidth="1"/>
    <col min="2" max="2" width="21" bestFit="1" customWidth="1"/>
    <col min="3" max="3" width="11.81640625" style="1" bestFit="1" customWidth="1"/>
    <col min="4" max="4" width="15" style="1" bestFit="1" customWidth="1"/>
    <col min="5" max="5" width="11.7265625" bestFit="1" customWidth="1"/>
    <col min="6" max="6" width="10.1796875" bestFit="1" customWidth="1"/>
    <col min="7" max="7" width="7.453125" bestFit="1" customWidth="1"/>
    <col min="8" max="8" width="5" bestFit="1" customWidth="1"/>
    <col min="9" max="9" width="26.2695312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247</v>
      </c>
      <c r="B3" s="7" t="s">
        <v>248</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45380</v>
      </c>
      <c r="C6" s="11">
        <v>170000</v>
      </c>
      <c r="D6" s="3">
        <f>C6</f>
        <v>170000</v>
      </c>
      <c r="E6" s="2" t="s">
        <v>144</v>
      </c>
      <c r="F6" s="2">
        <v>1</v>
      </c>
      <c r="H6" s="2"/>
      <c r="I6" s="503" t="s">
        <v>210</v>
      </c>
      <c r="J6" s="549">
        <v>14865.92500417116</v>
      </c>
    </row>
    <row r="7" spans="1:10" x14ac:dyDescent="0.35">
      <c r="A7" s="2">
        <v>2</v>
      </c>
      <c r="B7" s="71">
        <v>45380</v>
      </c>
      <c r="C7" s="11">
        <v>530000</v>
      </c>
      <c r="D7" s="3">
        <f t="shared" ref="D7:D17" si="0">D6+C7</f>
        <v>700000</v>
      </c>
      <c r="E7" s="2" t="s">
        <v>144</v>
      </c>
      <c r="F7" s="2">
        <v>1</v>
      </c>
      <c r="H7" s="2"/>
      <c r="I7" s="504" t="s">
        <v>212</v>
      </c>
      <c r="J7" s="549">
        <v>19644.44456717492</v>
      </c>
    </row>
    <row r="8" spans="1:10" x14ac:dyDescent="0.35">
      <c r="A8" s="2">
        <v>3</v>
      </c>
      <c r="B8" s="71">
        <v>45530</v>
      </c>
      <c r="C8" s="11">
        <v>100000</v>
      </c>
      <c r="D8" s="3">
        <f t="shared" si="0"/>
        <v>800000</v>
      </c>
      <c r="E8" s="2" t="s">
        <v>144</v>
      </c>
      <c r="F8" s="2">
        <v>1</v>
      </c>
      <c r="H8" s="2"/>
      <c r="I8" s="504" t="s">
        <v>213</v>
      </c>
      <c r="J8" s="549">
        <v>29961.362426242365</v>
      </c>
    </row>
    <row r="9" spans="1:10" x14ac:dyDescent="0.35">
      <c r="A9" s="2">
        <v>4</v>
      </c>
      <c r="B9" s="71">
        <v>45657</v>
      </c>
      <c r="C9" s="11">
        <v>200000</v>
      </c>
      <c r="D9" s="3">
        <f t="shared" si="0"/>
        <v>1000000</v>
      </c>
      <c r="E9" s="2" t="s">
        <v>144</v>
      </c>
      <c r="F9" s="2">
        <v>1</v>
      </c>
      <c r="H9" s="2"/>
      <c r="I9" s="504" t="s">
        <v>215</v>
      </c>
      <c r="J9" s="549">
        <v>41249.293650635038</v>
      </c>
    </row>
    <row r="10" spans="1:10" x14ac:dyDescent="0.35">
      <c r="A10" s="2">
        <v>5</v>
      </c>
      <c r="B10" s="71">
        <v>45990</v>
      </c>
      <c r="C10" s="202">
        <v>500000</v>
      </c>
      <c r="D10" s="3">
        <f t="shared" si="0"/>
        <v>1500000</v>
      </c>
      <c r="E10" s="2" t="s">
        <v>30</v>
      </c>
      <c r="F10" s="2">
        <v>2</v>
      </c>
      <c r="H10" s="2"/>
      <c r="I10" s="504" t="s">
        <v>217</v>
      </c>
      <c r="J10" s="549">
        <v>108649.93291020975</v>
      </c>
    </row>
    <row r="11" spans="1:10" x14ac:dyDescent="0.35">
      <c r="A11" s="2">
        <v>6</v>
      </c>
      <c r="B11" s="71">
        <v>46002</v>
      </c>
      <c r="C11" s="200">
        <v>1200000</v>
      </c>
      <c r="D11" s="3">
        <f t="shared" si="0"/>
        <v>2700000</v>
      </c>
      <c r="E11" s="2" t="s">
        <v>30</v>
      </c>
      <c r="F11" s="2">
        <v>2</v>
      </c>
      <c r="H11" s="2"/>
      <c r="I11" s="504" t="s">
        <v>219</v>
      </c>
      <c r="J11" s="549">
        <v>31087.422781824145</v>
      </c>
    </row>
    <row r="12" spans="1:10" x14ac:dyDescent="0.35">
      <c r="A12" s="2">
        <v>7</v>
      </c>
      <c r="B12" s="71">
        <v>46047</v>
      </c>
      <c r="C12" s="3">
        <v>200000</v>
      </c>
      <c r="D12" s="3">
        <f t="shared" si="0"/>
        <v>2900000</v>
      </c>
      <c r="E12" s="2" t="s">
        <v>30</v>
      </c>
      <c r="F12" s="2">
        <v>2</v>
      </c>
      <c r="H12" s="2"/>
      <c r="I12" s="504" t="s">
        <v>537</v>
      </c>
      <c r="J12" s="549">
        <v>9510.743215713961</v>
      </c>
    </row>
    <row r="13" spans="1:10" x14ac:dyDescent="0.35">
      <c r="A13" s="2">
        <v>8</v>
      </c>
      <c r="B13" s="71">
        <v>46081</v>
      </c>
      <c r="C13" s="231">
        <v>300000</v>
      </c>
      <c r="D13" s="3">
        <f t="shared" si="0"/>
        <v>3200000</v>
      </c>
      <c r="E13" s="2" t="s">
        <v>30</v>
      </c>
      <c r="F13" s="2">
        <v>2</v>
      </c>
      <c r="H13" s="2"/>
      <c r="I13" s="504" t="s">
        <v>543</v>
      </c>
      <c r="J13" s="549">
        <v>24467.603409886538</v>
      </c>
    </row>
    <row r="14" spans="1:10" x14ac:dyDescent="0.35">
      <c r="A14" s="2">
        <v>9</v>
      </c>
      <c r="B14" s="71">
        <v>46113</v>
      </c>
      <c r="C14" s="3">
        <f>500000</f>
        <v>500000</v>
      </c>
      <c r="D14" s="3">
        <f t="shared" si="0"/>
        <v>3700000</v>
      </c>
      <c r="E14" s="2" t="s">
        <v>30</v>
      </c>
      <c r="F14" s="2">
        <v>2</v>
      </c>
      <c r="H14" s="2"/>
      <c r="I14" s="504" t="s">
        <v>681</v>
      </c>
      <c r="J14" s="549">
        <f>'DETAILS (sorted)'!DC19</f>
        <v>66053.162517598495</v>
      </c>
    </row>
    <row r="15" spans="1:10" x14ac:dyDescent="0.35">
      <c r="A15" s="2">
        <v>10</v>
      </c>
      <c r="B15" s="71">
        <v>46116</v>
      </c>
      <c r="C15" s="3">
        <v>2249930</v>
      </c>
      <c r="D15" s="3">
        <f t="shared" si="0"/>
        <v>5949930</v>
      </c>
      <c r="E15" s="2" t="s">
        <v>30</v>
      </c>
      <c r="F15" s="2">
        <v>2</v>
      </c>
      <c r="H15" s="2"/>
      <c r="I15" s="504" t="s">
        <v>696</v>
      </c>
      <c r="J15" s="549">
        <f>'DETAILS (sorted)'!DD19</f>
        <v>44724.264718024584</v>
      </c>
    </row>
    <row r="16" spans="1:10" x14ac:dyDescent="0.35">
      <c r="A16" s="2">
        <v>11</v>
      </c>
      <c r="B16" s="71">
        <v>46128</v>
      </c>
      <c r="C16" s="3">
        <v>204889</v>
      </c>
      <c r="D16" s="3">
        <f t="shared" si="0"/>
        <v>6154819</v>
      </c>
      <c r="E16" s="2" t="s">
        <v>30</v>
      </c>
      <c r="F16" s="2">
        <v>2</v>
      </c>
      <c r="H16" s="2"/>
      <c r="I16" s="524" t="s">
        <v>887</v>
      </c>
      <c r="J16" s="549">
        <f>'DETAILS (sorted)'!DF19</f>
        <v>85050.079252448733</v>
      </c>
    </row>
    <row r="17" spans="1:10" x14ac:dyDescent="0.35">
      <c r="A17" s="2">
        <v>12</v>
      </c>
      <c r="B17" s="71">
        <v>46170</v>
      </c>
      <c r="C17" s="3">
        <v>5565744</v>
      </c>
      <c r="D17" s="3">
        <f t="shared" si="0"/>
        <v>11720563</v>
      </c>
      <c r="E17" s="2" t="s">
        <v>30</v>
      </c>
      <c r="F17" s="2">
        <v>2</v>
      </c>
      <c r="H17" s="2"/>
      <c r="I17" s="524" t="s">
        <v>889</v>
      </c>
      <c r="J17" s="549">
        <f>'DETAILS (sorted)'!DG19</f>
        <v>283981.56205095525</v>
      </c>
    </row>
    <row r="18" spans="1:10" x14ac:dyDescent="0.35">
      <c r="A18" s="2">
        <v>13</v>
      </c>
      <c r="B18" s="71">
        <v>46187</v>
      </c>
      <c r="C18" s="1">
        <v>1000000</v>
      </c>
      <c r="D18" s="3">
        <f t="shared" ref="D18" si="1">D17+C18</f>
        <v>12720563</v>
      </c>
      <c r="E18" s="2" t="s">
        <v>30</v>
      </c>
      <c r="F18" s="2">
        <v>2</v>
      </c>
      <c r="H18" s="2"/>
      <c r="I18" s="524" t="s">
        <v>891</v>
      </c>
      <c r="J18" s="549">
        <f>'DETAILS (sorted)'!DL19</f>
        <v>94323.954144388321</v>
      </c>
    </row>
    <row r="19" spans="1:10" x14ac:dyDescent="0.35">
      <c r="A19" s="2">
        <v>14</v>
      </c>
      <c r="B19" s="71">
        <v>46188</v>
      </c>
      <c r="C19" s="3">
        <v>3000000</v>
      </c>
      <c r="D19" s="3">
        <f t="shared" ref="D19" si="2">D18+C19</f>
        <v>15720563</v>
      </c>
      <c r="E19" s="2" t="s">
        <v>30</v>
      </c>
      <c r="F19" s="2">
        <v>2</v>
      </c>
      <c r="H19" s="2"/>
      <c r="I19" s="524" t="s">
        <v>894</v>
      </c>
      <c r="J19" s="549">
        <f>'DETAILS (sorted)'!DM19</f>
        <v>0</v>
      </c>
    </row>
    <row r="20" spans="1:10" x14ac:dyDescent="0.35">
      <c r="A20" s="2">
        <v>15</v>
      </c>
      <c r="B20" s="71">
        <v>46189</v>
      </c>
      <c r="C20" s="3">
        <v>16000000</v>
      </c>
      <c r="D20" s="3">
        <f t="shared" ref="D20" si="3">D19+C20</f>
        <v>31720563</v>
      </c>
      <c r="E20" s="2" t="s">
        <v>30</v>
      </c>
      <c r="F20" s="2">
        <v>2</v>
      </c>
      <c r="H20" s="2"/>
      <c r="I20" s="524" t="s">
        <v>893</v>
      </c>
      <c r="J20" s="549">
        <f>'DETAILS (sorted)'!DN19</f>
        <v>0</v>
      </c>
    </row>
    <row r="21" spans="1:10" x14ac:dyDescent="0.35">
      <c r="A21" s="2">
        <v>16</v>
      </c>
      <c r="B21" s="71"/>
      <c r="C21" s="3"/>
      <c r="D21" s="3"/>
      <c r="E21" s="2"/>
      <c r="F21" s="2"/>
      <c r="H21" s="2"/>
      <c r="I21" s="524" t="s">
        <v>895</v>
      </c>
      <c r="J21" s="549">
        <f>'DETAILS (sorted)'!DO19</f>
        <v>0</v>
      </c>
    </row>
    <row r="22" spans="1:10" x14ac:dyDescent="0.35">
      <c r="A22" s="2"/>
      <c r="B22" s="2"/>
      <c r="C22" s="3"/>
      <c r="D22" s="3"/>
      <c r="E22" s="2"/>
      <c r="F22" s="2"/>
      <c r="H22" s="2"/>
      <c r="I22" s="524" t="s">
        <v>897</v>
      </c>
      <c r="J22" s="549">
        <f>'DETAILS (sorted)'!DQ19</f>
        <v>0</v>
      </c>
    </row>
    <row r="23" spans="1:10" x14ac:dyDescent="0.35">
      <c r="A23" s="2"/>
      <c r="B23" s="2"/>
      <c r="C23" s="3"/>
      <c r="D23" s="3"/>
      <c r="E23" s="2"/>
      <c r="F23" s="2"/>
      <c r="H23" s="2"/>
      <c r="I23" s="524" t="s">
        <v>898</v>
      </c>
      <c r="J23" s="549">
        <f>'DETAILS (sorted)'!DR19</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31720563</v>
      </c>
      <c r="D35" s="191">
        <f>C35+J35</f>
        <v>32574132.750649273</v>
      </c>
      <c r="E35" s="191">
        <f>'DETAILS (sorted)'!DS19</f>
        <v>33412761.497731984</v>
      </c>
      <c r="F35" s="63">
        <f>D35-E35</f>
        <v>-838628.74708271027</v>
      </c>
      <c r="G35" s="197" t="b">
        <f>D35=E35</f>
        <v>0</v>
      </c>
      <c r="H35" s="74"/>
      <c r="I35" s="544"/>
      <c r="J35" s="548">
        <f>SUM(J6:J34)</f>
        <v>853569.75064927328</v>
      </c>
    </row>
    <row r="37" spans="1:10" x14ac:dyDescent="0.35">
      <c r="C37" s="191" t="s">
        <v>644</v>
      </c>
      <c r="D37" s="191">
        <f>C35+J35</f>
        <v>32574132.750649273</v>
      </c>
      <c r="E37" s="122">
        <f>D37/D38</f>
        <v>1.6287066375324637</v>
      </c>
      <c r="F37" s="2" t="s">
        <v>652</v>
      </c>
    </row>
    <row r="38" spans="1:10" x14ac:dyDescent="0.35">
      <c r="C38" s="3"/>
      <c r="D38" s="3">
        <v>20000000</v>
      </c>
      <c r="E38" s="122">
        <f>D38/D38</f>
        <v>1</v>
      </c>
      <c r="F38" s="2" t="s">
        <v>654</v>
      </c>
    </row>
    <row r="39" spans="1:10" x14ac:dyDescent="0.35">
      <c r="C39" s="3"/>
      <c r="D39" s="3">
        <f>D37-D38</f>
        <v>12574132.750649273</v>
      </c>
      <c r="E39" s="122">
        <f>D39/D38</f>
        <v>0.6287066375324637</v>
      </c>
      <c r="F39" s="2" t="s">
        <v>653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67955-1A98-453E-B863-34736FD69D70}">
  <dimension ref="A2:J39"/>
  <sheetViews>
    <sheetView topLeftCell="A17" workbookViewId="0">
      <selection activeCell="D15" sqref="D15"/>
    </sheetView>
  </sheetViews>
  <sheetFormatPr defaultRowHeight="14.5" x14ac:dyDescent="0.35"/>
  <cols>
    <col min="1" max="1" width="12" bestFit="1" customWidth="1"/>
    <col min="2" max="2" width="14.26953125" bestFit="1" customWidth="1"/>
    <col min="3" max="3" width="11.36328125" style="1" bestFit="1" customWidth="1"/>
    <col min="4" max="4" width="14.453125" style="1" bestFit="1" customWidth="1"/>
    <col min="5" max="5" width="12.7265625" bestFit="1" customWidth="1"/>
    <col min="6" max="6" width="13.453125" bestFit="1" customWidth="1"/>
    <col min="7" max="7" width="9.08984375" bestFit="1" customWidth="1"/>
    <col min="8" max="8" width="10.1796875" bestFit="1" customWidth="1"/>
    <col min="9" max="9" width="29.179687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249</v>
      </c>
      <c r="B3" s="7" t="s">
        <v>72</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45374</v>
      </c>
      <c r="C6" s="11">
        <v>170000</v>
      </c>
      <c r="D6" s="3">
        <f>C6</f>
        <v>170000</v>
      </c>
      <c r="E6" s="2" t="s">
        <v>144</v>
      </c>
      <c r="F6" s="2">
        <v>1</v>
      </c>
      <c r="H6" s="2"/>
      <c r="I6" s="503" t="s">
        <v>210</v>
      </c>
      <c r="J6" s="549">
        <v>22298.887506256742</v>
      </c>
    </row>
    <row r="7" spans="1:10" x14ac:dyDescent="0.35">
      <c r="A7" s="2">
        <v>2</v>
      </c>
      <c r="B7" s="71">
        <v>45374</v>
      </c>
      <c r="C7" s="11">
        <v>80000</v>
      </c>
      <c r="D7" s="3">
        <f>D6+C7</f>
        <v>250000</v>
      </c>
      <c r="E7" s="2" t="s">
        <v>144</v>
      </c>
      <c r="F7" s="2">
        <v>1</v>
      </c>
      <c r="H7" s="2"/>
      <c r="I7" s="504" t="s">
        <v>212</v>
      </c>
      <c r="J7" s="549">
        <v>32740.740945291534</v>
      </c>
    </row>
    <row r="8" spans="1:10" x14ac:dyDescent="0.35">
      <c r="A8" s="2">
        <v>3</v>
      </c>
      <c r="B8" s="71">
        <v>45448</v>
      </c>
      <c r="C8" s="11">
        <v>50000</v>
      </c>
      <c r="D8" s="3">
        <f t="shared" ref="D8:D16" si="0">D7+C8</f>
        <v>300000</v>
      </c>
      <c r="E8" s="2" t="s">
        <v>144</v>
      </c>
      <c r="F8" s="2">
        <v>1</v>
      </c>
      <c r="H8" s="2"/>
      <c r="I8" s="504" t="s">
        <v>213</v>
      </c>
      <c r="J8" s="549">
        <v>49935.604043737279</v>
      </c>
    </row>
    <row r="9" spans="1:10" x14ac:dyDescent="0.35">
      <c r="A9" s="2">
        <v>4</v>
      </c>
      <c r="B9" s="71">
        <v>45636</v>
      </c>
      <c r="C9" s="11">
        <v>300000</v>
      </c>
      <c r="D9" s="3">
        <f t="shared" si="0"/>
        <v>600000</v>
      </c>
      <c r="E9" s="2" t="s">
        <v>144</v>
      </c>
      <c r="F9" s="2">
        <v>1</v>
      </c>
      <c r="H9" s="2"/>
      <c r="I9" s="504" t="s">
        <v>215</v>
      </c>
      <c r="J9" s="549">
        <v>41249.293650635038</v>
      </c>
    </row>
    <row r="10" spans="1:10" x14ac:dyDescent="0.35">
      <c r="A10" s="2">
        <v>5</v>
      </c>
      <c r="B10" s="71">
        <v>45637</v>
      </c>
      <c r="C10" s="11">
        <v>200000</v>
      </c>
      <c r="D10" s="3">
        <f t="shared" si="0"/>
        <v>800000</v>
      </c>
      <c r="E10" s="2" t="s">
        <v>144</v>
      </c>
      <c r="F10" s="2">
        <v>1</v>
      </c>
      <c r="H10" s="2"/>
      <c r="I10" s="504" t="s">
        <v>217</v>
      </c>
      <c r="J10" s="549">
        <v>105254.62250676569</v>
      </c>
    </row>
    <row r="11" spans="1:10" x14ac:dyDescent="0.35">
      <c r="A11" s="2">
        <v>6</v>
      </c>
      <c r="B11" s="71">
        <v>45659</v>
      </c>
      <c r="C11" s="11">
        <v>200000</v>
      </c>
      <c r="D11" s="3">
        <f t="shared" si="0"/>
        <v>1000000</v>
      </c>
      <c r="E11" s="2" t="s">
        <v>144</v>
      </c>
      <c r="F11" s="2">
        <v>1</v>
      </c>
      <c r="H11" s="2"/>
      <c r="I11" s="504" t="s">
        <v>219</v>
      </c>
      <c r="J11" s="549">
        <v>34001.868667620161</v>
      </c>
    </row>
    <row r="12" spans="1:10" x14ac:dyDescent="0.35">
      <c r="A12" s="2">
        <v>7</v>
      </c>
      <c r="B12" s="71">
        <v>45911</v>
      </c>
      <c r="C12" s="11">
        <v>500000</v>
      </c>
      <c r="D12" s="3">
        <f t="shared" si="0"/>
        <v>1500000</v>
      </c>
      <c r="E12" s="2" t="s">
        <v>30</v>
      </c>
      <c r="F12" s="2">
        <v>1</v>
      </c>
      <c r="H12" s="2"/>
      <c r="I12" s="504" t="s">
        <v>537</v>
      </c>
      <c r="J12" s="549">
        <v>6953.631694240371</v>
      </c>
    </row>
    <row r="13" spans="1:10" x14ac:dyDescent="0.35">
      <c r="A13" s="2">
        <v>8</v>
      </c>
      <c r="B13" s="71">
        <v>45931</v>
      </c>
      <c r="C13" s="202">
        <f>400000</f>
        <v>400000</v>
      </c>
      <c r="D13" s="3">
        <f t="shared" si="0"/>
        <v>1900000</v>
      </c>
      <c r="E13" s="2" t="s">
        <v>30</v>
      </c>
      <c r="F13" s="2">
        <v>2</v>
      </c>
      <c r="H13" s="2"/>
      <c r="I13" s="504" t="s">
        <v>543</v>
      </c>
      <c r="J13" s="549">
        <v>17889.106949284684</v>
      </c>
    </row>
    <row r="14" spans="1:10" x14ac:dyDescent="0.35">
      <c r="A14" s="2">
        <v>9</v>
      </c>
      <c r="B14" s="71">
        <v>45931</v>
      </c>
      <c r="C14" s="202">
        <v>300000</v>
      </c>
      <c r="D14" s="3">
        <f t="shared" si="0"/>
        <v>2200000</v>
      </c>
      <c r="E14" s="2" t="s">
        <v>30</v>
      </c>
      <c r="F14" s="2">
        <v>2</v>
      </c>
      <c r="H14" s="2"/>
      <c r="I14" s="504" t="s">
        <v>681</v>
      </c>
      <c r="J14" s="549">
        <f>'DETAILS (sorted)'!DC20</f>
        <v>40576.785443387758</v>
      </c>
    </row>
    <row r="15" spans="1:10" x14ac:dyDescent="0.35">
      <c r="A15" s="2">
        <v>10</v>
      </c>
      <c r="B15" s="71">
        <v>45975</v>
      </c>
      <c r="C15" s="202">
        <v>300000</v>
      </c>
      <c r="D15" s="3">
        <f t="shared" si="0"/>
        <v>2500000</v>
      </c>
      <c r="E15" s="2" t="s">
        <v>30</v>
      </c>
      <c r="F15" s="2">
        <v>2</v>
      </c>
      <c r="H15" s="2"/>
      <c r="I15" s="504" t="s">
        <v>696</v>
      </c>
      <c r="J15" s="549">
        <f>'DETAILS (sorted)'!DD20</f>
        <v>27474.33770628399</v>
      </c>
    </row>
    <row r="16" spans="1:10" x14ac:dyDescent="0.35">
      <c r="A16" s="2">
        <v>11</v>
      </c>
      <c r="B16" s="71">
        <v>45998</v>
      </c>
      <c r="C16" s="202">
        <v>100000</v>
      </c>
      <c r="D16" s="3">
        <f t="shared" si="0"/>
        <v>2600000</v>
      </c>
      <c r="E16" s="2" t="s">
        <v>30</v>
      </c>
      <c r="F16" s="2">
        <v>2</v>
      </c>
      <c r="H16" s="2"/>
      <c r="I16" s="524" t="s">
        <v>887</v>
      </c>
      <c r="J16" s="549">
        <f>'DETAILS (sorted)'!DF20</f>
        <v>26544.162680821344</v>
      </c>
    </row>
    <row r="17" spans="1:10" x14ac:dyDescent="0.35">
      <c r="A17" s="2">
        <v>12</v>
      </c>
      <c r="B17" s="71">
        <v>46045</v>
      </c>
      <c r="C17" s="3">
        <v>300000</v>
      </c>
      <c r="D17" s="3">
        <f t="shared" ref="D17:D25" si="1">D16+C17</f>
        <v>2900000</v>
      </c>
      <c r="E17" s="2" t="s">
        <v>30</v>
      </c>
      <c r="F17" s="2">
        <v>2</v>
      </c>
      <c r="H17" s="2"/>
      <c r="I17" s="524" t="s">
        <v>889</v>
      </c>
      <c r="J17" s="549">
        <f>'DETAILS (sorted)'!DG20</f>
        <v>88630.755522985419</v>
      </c>
    </row>
    <row r="18" spans="1:10" x14ac:dyDescent="0.35">
      <c r="A18" s="2">
        <v>13</v>
      </c>
      <c r="B18" s="71">
        <v>46079</v>
      </c>
      <c r="C18" s="231">
        <v>200000</v>
      </c>
      <c r="D18" s="3">
        <f t="shared" si="1"/>
        <v>3100000</v>
      </c>
      <c r="E18" s="2" t="s">
        <v>30</v>
      </c>
      <c r="F18" s="2">
        <v>2</v>
      </c>
      <c r="H18" s="2"/>
      <c r="I18" s="524" t="s">
        <v>891</v>
      </c>
      <c r="J18" s="549">
        <f>'DETAILS (sorted)'!DL20</f>
        <v>35446.1916374797</v>
      </c>
    </row>
    <row r="19" spans="1:10" x14ac:dyDescent="0.35">
      <c r="A19" s="2">
        <v>14</v>
      </c>
      <c r="B19" s="71">
        <v>46082</v>
      </c>
      <c r="C19" s="231">
        <f>200000</f>
        <v>200000</v>
      </c>
      <c r="D19" s="3">
        <f t="shared" si="1"/>
        <v>3300000</v>
      </c>
      <c r="E19" s="2" t="s">
        <v>30</v>
      </c>
      <c r="F19" s="2">
        <v>2</v>
      </c>
      <c r="H19" s="2"/>
      <c r="I19" s="524" t="s">
        <v>894</v>
      </c>
      <c r="J19" s="549">
        <f>'DETAILS (sorted)'!DM20</f>
        <v>0</v>
      </c>
    </row>
    <row r="20" spans="1:10" x14ac:dyDescent="0.35">
      <c r="A20" s="2">
        <v>15</v>
      </c>
      <c r="B20" s="71">
        <v>46082</v>
      </c>
      <c r="C20" s="231">
        <f>200000</f>
        <v>200000</v>
      </c>
      <c r="D20" s="3">
        <f t="shared" si="1"/>
        <v>3500000</v>
      </c>
      <c r="E20" s="2" t="s">
        <v>30</v>
      </c>
      <c r="F20" s="2">
        <v>2</v>
      </c>
      <c r="H20" s="2"/>
      <c r="I20" s="524" t="s">
        <v>893</v>
      </c>
      <c r="J20" s="549">
        <f>'DETAILS (sorted)'!DN20</f>
        <v>0</v>
      </c>
    </row>
    <row r="21" spans="1:10" x14ac:dyDescent="0.35">
      <c r="A21" s="2">
        <v>16</v>
      </c>
      <c r="B21" s="71">
        <v>46114</v>
      </c>
      <c r="C21" s="3">
        <f>500000</f>
        <v>500000</v>
      </c>
      <c r="D21" s="3">
        <f t="shared" si="1"/>
        <v>4000000</v>
      </c>
      <c r="E21" s="2" t="s">
        <v>30</v>
      </c>
      <c r="F21" s="2">
        <v>2</v>
      </c>
      <c r="H21" s="2"/>
      <c r="I21" s="524" t="s">
        <v>895</v>
      </c>
      <c r="J21" s="549">
        <f>'DETAILS (sorted)'!DO20</f>
        <v>0</v>
      </c>
    </row>
    <row r="22" spans="1:10" x14ac:dyDescent="0.35">
      <c r="A22" s="2">
        <v>17</v>
      </c>
      <c r="B22" s="71">
        <v>46140</v>
      </c>
      <c r="C22" s="3">
        <f>500000</f>
        <v>500000</v>
      </c>
      <c r="D22" s="3">
        <f t="shared" si="1"/>
        <v>4500000</v>
      </c>
      <c r="E22" s="2" t="s">
        <v>30</v>
      </c>
      <c r="F22" s="2">
        <v>2</v>
      </c>
      <c r="H22" s="2"/>
      <c r="I22" s="524" t="s">
        <v>897</v>
      </c>
      <c r="J22" s="549">
        <f>'DETAILS (sorted)'!DQ20</f>
        <v>0</v>
      </c>
    </row>
    <row r="23" spans="1:10" x14ac:dyDescent="0.35">
      <c r="A23" s="2">
        <v>18</v>
      </c>
      <c r="B23" s="71">
        <v>46143</v>
      </c>
      <c r="C23" s="3">
        <f>700000</f>
        <v>700000</v>
      </c>
      <c r="D23" s="3">
        <f t="shared" si="1"/>
        <v>5200000</v>
      </c>
      <c r="E23" s="2" t="s">
        <v>30</v>
      </c>
      <c r="F23" s="2">
        <v>2</v>
      </c>
      <c r="H23" s="2"/>
      <c r="I23" s="524" t="s">
        <v>898</v>
      </c>
      <c r="J23" s="549">
        <f>'DETAILS (sorted)'!DR20</f>
        <v>0</v>
      </c>
    </row>
    <row r="24" spans="1:10" x14ac:dyDescent="0.35">
      <c r="A24" s="2">
        <v>19</v>
      </c>
      <c r="B24" s="71">
        <v>46143</v>
      </c>
      <c r="C24" s="3">
        <v>2000000</v>
      </c>
      <c r="D24" s="3">
        <f t="shared" si="1"/>
        <v>7200000</v>
      </c>
      <c r="E24" s="2" t="s">
        <v>30</v>
      </c>
      <c r="F24" s="2">
        <v>2</v>
      </c>
      <c r="H24" s="2"/>
      <c r="I24" s="484"/>
      <c r="J24" s="549"/>
    </row>
    <row r="25" spans="1:10" x14ac:dyDescent="0.35">
      <c r="A25" s="2">
        <v>20</v>
      </c>
      <c r="B25" s="71">
        <v>46189</v>
      </c>
      <c r="C25" s="3">
        <v>700000</v>
      </c>
      <c r="D25" s="3">
        <f t="shared" si="1"/>
        <v>7900000</v>
      </c>
      <c r="E25" s="2" t="s">
        <v>30</v>
      </c>
      <c r="F25" s="2">
        <v>2</v>
      </c>
      <c r="H25" s="2"/>
      <c r="I25" s="484"/>
      <c r="J25" s="549"/>
    </row>
    <row r="26" spans="1:10" x14ac:dyDescent="0.35">
      <c r="A26" s="2">
        <v>21</v>
      </c>
      <c r="B26" s="71">
        <v>46198</v>
      </c>
      <c r="C26" s="3">
        <v>1000000</v>
      </c>
      <c r="D26" s="3">
        <f t="shared" ref="D26" si="2">D25+C26</f>
        <v>8900000</v>
      </c>
      <c r="E26" s="2" t="s">
        <v>30</v>
      </c>
      <c r="F26" s="2">
        <v>2</v>
      </c>
      <c r="H26" s="2"/>
      <c r="I26" s="484"/>
      <c r="J26" s="549"/>
    </row>
    <row r="27" spans="1:10" x14ac:dyDescent="0.35">
      <c r="A27" s="2"/>
      <c r="B27" s="71">
        <v>46202</v>
      </c>
      <c r="C27" s="3">
        <v>1000000</v>
      </c>
      <c r="D27" s="3">
        <f t="shared" ref="D27" si="3">D26+C27</f>
        <v>9900000</v>
      </c>
      <c r="E27" s="2" t="s">
        <v>30</v>
      </c>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9900000</v>
      </c>
      <c r="D35" s="191">
        <f>C35+J35</f>
        <v>10428995.98895479</v>
      </c>
      <c r="E35" s="191">
        <f>'DETAILS (sorted)'!DS20</f>
        <v>12556249.978378084</v>
      </c>
      <c r="F35" s="191">
        <f>D35-E35</f>
        <v>-2127253.9894232936</v>
      </c>
      <c r="G35" s="5" t="b">
        <f>D35=E35</f>
        <v>0</v>
      </c>
      <c r="H35" s="74"/>
      <c r="I35" s="544"/>
      <c r="J35" s="548">
        <f>SUM(J6:J34)</f>
        <v>528995.9889547897</v>
      </c>
    </row>
    <row r="37" spans="1:10" x14ac:dyDescent="0.35">
      <c r="C37" s="191" t="s">
        <v>644</v>
      </c>
      <c r="D37" s="191">
        <f>C35+J35</f>
        <v>10428995.98895479</v>
      </c>
      <c r="E37" s="122">
        <f>D37/D38</f>
        <v>0.5214497994477395</v>
      </c>
      <c r="F37" s="2" t="s">
        <v>652</v>
      </c>
    </row>
    <row r="38" spans="1:10" x14ac:dyDescent="0.35">
      <c r="C38" s="3"/>
      <c r="D38" s="3">
        <v>20000000</v>
      </c>
      <c r="E38" s="122">
        <f>D38/D38</f>
        <v>1</v>
      </c>
      <c r="F38" s="2" t="s">
        <v>654</v>
      </c>
    </row>
    <row r="39" spans="1:10" x14ac:dyDescent="0.35">
      <c r="C39" s="3"/>
      <c r="D39" s="3">
        <f>D37-D38</f>
        <v>-9571004.0110452101</v>
      </c>
      <c r="E39" s="122">
        <f>D39/D38</f>
        <v>-0.4785502005522605</v>
      </c>
      <c r="F39" s="2" t="s">
        <v>653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8849E-45C1-475B-AA3C-7CB0375AA693}">
  <dimension ref="A2:J39"/>
  <sheetViews>
    <sheetView topLeftCell="A11" workbookViewId="0">
      <selection activeCell="D15" sqref="D15"/>
    </sheetView>
  </sheetViews>
  <sheetFormatPr defaultRowHeight="14.5" x14ac:dyDescent="0.35"/>
  <cols>
    <col min="1" max="1" width="12" bestFit="1" customWidth="1"/>
    <col min="2" max="2" width="14.1796875" customWidth="1"/>
    <col min="3" max="3" width="11.36328125" style="1" bestFit="1" customWidth="1"/>
    <col min="4" max="4" width="14.453125" style="1" bestFit="1" customWidth="1"/>
    <col min="5" max="5" width="11.26953125" bestFit="1" customWidth="1"/>
    <col min="6" max="6" width="9.26953125" bestFit="1" customWidth="1"/>
    <col min="7" max="7" width="5.1796875" bestFit="1" customWidth="1"/>
    <col min="8" max="8" width="4.7265625" bestFit="1" customWidth="1"/>
    <col min="9" max="9" width="23"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250</v>
      </c>
      <c r="B3" s="286" t="s">
        <v>251</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45370</v>
      </c>
      <c r="C6" s="11">
        <v>50000</v>
      </c>
      <c r="D6" s="3">
        <f>C6</f>
        <v>50000</v>
      </c>
      <c r="E6" s="2" t="s">
        <v>144</v>
      </c>
      <c r="F6" s="2">
        <v>1</v>
      </c>
      <c r="H6" s="2"/>
      <c r="I6" s="503" t="s">
        <v>210</v>
      </c>
      <c r="J6" s="549">
        <v>28245.257507925206</v>
      </c>
    </row>
    <row r="7" spans="1:10" x14ac:dyDescent="0.35">
      <c r="A7" s="2">
        <v>2</v>
      </c>
      <c r="B7" s="71">
        <v>45370</v>
      </c>
      <c r="C7" s="11">
        <v>90000</v>
      </c>
      <c r="D7" s="3">
        <f>D6+C7</f>
        <v>140000</v>
      </c>
      <c r="E7" s="2" t="s">
        <v>144</v>
      </c>
      <c r="F7" s="2">
        <v>1</v>
      </c>
      <c r="H7" s="2"/>
      <c r="I7" s="504" t="s">
        <v>212</v>
      </c>
      <c r="J7" s="549">
        <v>27502.222394044886</v>
      </c>
    </row>
    <row r="8" spans="1:10" x14ac:dyDescent="0.35">
      <c r="A8" s="2">
        <v>3</v>
      </c>
      <c r="B8" s="71">
        <v>45527</v>
      </c>
      <c r="C8" s="11">
        <v>660000</v>
      </c>
      <c r="D8" s="3">
        <f t="shared" ref="D8:D19" si="0">D7+C8</f>
        <v>800000</v>
      </c>
      <c r="E8" s="2" t="s">
        <v>144</v>
      </c>
      <c r="F8" s="2">
        <v>1</v>
      </c>
      <c r="H8" s="2"/>
      <c r="I8" s="504" t="s">
        <v>213</v>
      </c>
      <c r="J8" s="549">
        <v>41945.907396739312</v>
      </c>
    </row>
    <row r="9" spans="1:10" x14ac:dyDescent="0.35">
      <c r="A9" s="2">
        <v>4</v>
      </c>
      <c r="B9" s="71">
        <v>45655</v>
      </c>
      <c r="C9" s="11">
        <v>200000</v>
      </c>
      <c r="D9" s="3">
        <f t="shared" si="0"/>
        <v>1000000</v>
      </c>
      <c r="E9" s="2" t="s">
        <v>144</v>
      </c>
      <c r="F9" s="2">
        <v>1</v>
      </c>
      <c r="H9" s="2"/>
      <c r="I9" s="504" t="s">
        <v>215</v>
      </c>
      <c r="J9" s="549">
        <v>36982.125341948653</v>
      </c>
    </row>
    <row r="10" spans="1:10" x14ac:dyDescent="0.35">
      <c r="A10" s="2">
        <v>5</v>
      </c>
      <c r="B10" s="71">
        <v>45799</v>
      </c>
      <c r="C10" s="11">
        <v>400000</v>
      </c>
      <c r="D10" s="3">
        <f t="shared" si="0"/>
        <v>1400000</v>
      </c>
      <c r="E10" s="2" t="s">
        <v>144</v>
      </c>
      <c r="F10" s="2">
        <v>1</v>
      </c>
      <c r="H10" s="2"/>
      <c r="I10" s="504" t="s">
        <v>217</v>
      </c>
      <c r="J10" s="549">
        <v>88278.070489545426</v>
      </c>
    </row>
    <row r="11" spans="1:10" x14ac:dyDescent="0.35">
      <c r="A11" s="2">
        <v>6</v>
      </c>
      <c r="B11" s="71">
        <v>45916</v>
      </c>
      <c r="C11" s="11">
        <v>500000</v>
      </c>
      <c r="D11" s="3">
        <f t="shared" si="0"/>
        <v>1900000</v>
      </c>
      <c r="E11" s="2" t="s">
        <v>30</v>
      </c>
      <c r="F11" s="2">
        <v>1</v>
      </c>
      <c r="H11" s="2"/>
      <c r="I11" s="504" t="s">
        <v>219</v>
      </c>
      <c r="J11" s="549">
        <v>56345.953792056258</v>
      </c>
    </row>
    <row r="12" spans="1:10" x14ac:dyDescent="0.35">
      <c r="A12" s="2">
        <v>7</v>
      </c>
      <c r="B12" s="71">
        <v>45990</v>
      </c>
      <c r="C12" s="202">
        <v>200000</v>
      </c>
      <c r="D12" s="3">
        <f t="shared" si="0"/>
        <v>2100000</v>
      </c>
      <c r="E12" s="2" t="s">
        <v>30</v>
      </c>
      <c r="F12" s="2">
        <v>2</v>
      </c>
      <c r="H12" s="2"/>
      <c r="I12" s="504" t="s">
        <v>537</v>
      </c>
      <c r="J12" s="549">
        <v>13475.674647991556</v>
      </c>
    </row>
    <row r="13" spans="1:10" x14ac:dyDescent="0.35">
      <c r="A13" s="2">
        <v>8</v>
      </c>
      <c r="B13" s="71">
        <v>46022</v>
      </c>
      <c r="C13" s="200">
        <v>500000</v>
      </c>
      <c r="D13" s="3">
        <f t="shared" si="0"/>
        <v>2600000</v>
      </c>
      <c r="E13" s="2" t="s">
        <v>30</v>
      </c>
      <c r="F13" s="2">
        <v>2</v>
      </c>
      <c r="H13" s="2"/>
      <c r="I13" s="504" t="s">
        <v>543</v>
      </c>
      <c r="J13" s="549">
        <v>34667.89666058377</v>
      </c>
    </row>
    <row r="14" spans="1:10" x14ac:dyDescent="0.35">
      <c r="A14" s="2">
        <v>9</v>
      </c>
      <c r="B14" s="71">
        <v>46095</v>
      </c>
      <c r="C14" s="3">
        <f>1200000</f>
        <v>1200000</v>
      </c>
      <c r="D14" s="3">
        <f t="shared" si="0"/>
        <v>3800000</v>
      </c>
      <c r="E14" s="2" t="s">
        <v>30</v>
      </c>
      <c r="F14" s="2">
        <v>2</v>
      </c>
      <c r="H14" s="2"/>
      <c r="I14" s="504" t="s">
        <v>681</v>
      </c>
      <c r="J14" s="549">
        <f>'DETAILS (sorted)'!DC21</f>
        <v>74507.431571027293</v>
      </c>
    </row>
    <row r="15" spans="1:10" x14ac:dyDescent="0.35">
      <c r="A15" s="2">
        <v>10</v>
      </c>
      <c r="B15" s="71">
        <v>46095</v>
      </c>
      <c r="C15" s="3">
        <v>2000000</v>
      </c>
      <c r="D15" s="3">
        <f t="shared" si="0"/>
        <v>5800000</v>
      </c>
      <c r="E15" s="2" t="s">
        <v>30</v>
      </c>
      <c r="F15" s="2">
        <v>2</v>
      </c>
      <c r="H15" s="2"/>
      <c r="I15" s="504" t="s">
        <v>696</v>
      </c>
      <c r="J15" s="549">
        <f>'DETAILS (sorted)'!DD21</f>
        <v>50448.607849092878</v>
      </c>
    </row>
    <row r="16" spans="1:10" x14ac:dyDescent="0.35">
      <c r="A16" s="2">
        <v>11</v>
      </c>
      <c r="B16" s="71">
        <v>46128</v>
      </c>
      <c r="C16" s="3">
        <f>1920700</f>
        <v>1920700</v>
      </c>
      <c r="D16" s="3">
        <f t="shared" si="0"/>
        <v>7720700</v>
      </c>
      <c r="E16" s="2" t="s">
        <v>30</v>
      </c>
      <c r="F16" s="2">
        <v>2</v>
      </c>
      <c r="H16" s="2"/>
      <c r="I16" s="524" t="s">
        <v>887</v>
      </c>
      <c r="J16" s="549">
        <f>'DETAILS (sorted)'!DF21</f>
        <v>42150.789722867492</v>
      </c>
    </row>
    <row r="17" spans="1:10" x14ac:dyDescent="0.35">
      <c r="A17" s="2">
        <v>12</v>
      </c>
      <c r="B17" s="71">
        <v>46131</v>
      </c>
      <c r="C17" s="3">
        <v>1000000</v>
      </c>
      <c r="D17" s="3">
        <f t="shared" si="0"/>
        <v>8720700</v>
      </c>
      <c r="E17" s="2" t="s">
        <v>30</v>
      </c>
      <c r="F17" s="2">
        <v>2</v>
      </c>
      <c r="H17" s="2"/>
      <c r="I17" s="524" t="s">
        <v>889</v>
      </c>
      <c r="J17" s="549">
        <f>'DETAILS (sorted)'!DG21</f>
        <v>140741.16346971685</v>
      </c>
    </row>
    <row r="18" spans="1:10" x14ac:dyDescent="0.35">
      <c r="A18" s="2">
        <v>13</v>
      </c>
      <c r="B18" s="71">
        <v>46159</v>
      </c>
      <c r="C18" s="3">
        <v>2000000</v>
      </c>
      <c r="D18" s="3">
        <f t="shared" si="0"/>
        <v>10720700</v>
      </c>
      <c r="E18" s="2" t="s">
        <v>30</v>
      </c>
      <c r="F18" s="2">
        <v>2</v>
      </c>
      <c r="H18" s="2"/>
      <c r="I18" s="524" t="s">
        <v>891</v>
      </c>
      <c r="J18" s="549">
        <f>'DETAILS (sorted)'!DL21</f>
        <v>58219.184441209538</v>
      </c>
    </row>
    <row r="19" spans="1:10" x14ac:dyDescent="0.35">
      <c r="A19" s="2">
        <v>14</v>
      </c>
      <c r="B19" s="71">
        <v>46172</v>
      </c>
      <c r="C19" s="3">
        <v>2500000</v>
      </c>
      <c r="D19" s="3">
        <f t="shared" si="0"/>
        <v>13220700</v>
      </c>
      <c r="E19" s="2" t="s">
        <v>30</v>
      </c>
      <c r="F19" s="2">
        <v>2</v>
      </c>
      <c r="H19" s="2"/>
      <c r="I19" s="524" t="s">
        <v>894</v>
      </c>
      <c r="J19" s="549">
        <f>'DETAILS (sorted)'!DM21</f>
        <v>0</v>
      </c>
    </row>
    <row r="20" spans="1:10" x14ac:dyDescent="0.35">
      <c r="A20" s="2">
        <v>15</v>
      </c>
      <c r="B20" s="71">
        <v>46185</v>
      </c>
      <c r="C20" s="3">
        <v>2500000</v>
      </c>
      <c r="D20" s="3">
        <f t="shared" ref="D20" si="1">D19+C20</f>
        <v>15720700</v>
      </c>
      <c r="E20" s="2" t="s">
        <v>30</v>
      </c>
      <c r="F20" s="2">
        <v>2</v>
      </c>
      <c r="H20" s="2"/>
      <c r="I20" s="524" t="s">
        <v>893</v>
      </c>
      <c r="J20" s="549">
        <f>'DETAILS (sorted)'!DN21</f>
        <v>0</v>
      </c>
    </row>
    <row r="21" spans="1:10" x14ac:dyDescent="0.35">
      <c r="A21" s="2">
        <v>16</v>
      </c>
      <c r="B21" s="71"/>
      <c r="C21" s="3"/>
      <c r="D21" s="3"/>
      <c r="E21" s="2"/>
      <c r="F21" s="2"/>
      <c r="H21" s="2"/>
      <c r="I21" s="524" t="s">
        <v>895</v>
      </c>
      <c r="J21" s="549">
        <f>'DETAILS (sorted)'!DO21</f>
        <v>0</v>
      </c>
    </row>
    <row r="22" spans="1:10" x14ac:dyDescent="0.35">
      <c r="A22" s="2"/>
      <c r="B22" s="2"/>
      <c r="C22" s="3"/>
      <c r="D22" s="3"/>
      <c r="E22" s="2"/>
      <c r="F22" s="2"/>
      <c r="H22" s="2"/>
      <c r="I22" s="524" t="s">
        <v>897</v>
      </c>
      <c r="J22" s="549">
        <f>'DETAILS (sorted)'!DQ21</f>
        <v>0</v>
      </c>
    </row>
    <row r="23" spans="1:10" x14ac:dyDescent="0.35">
      <c r="A23" s="2"/>
      <c r="B23" s="2"/>
      <c r="C23" s="3"/>
      <c r="D23" s="3"/>
      <c r="E23" s="2"/>
      <c r="F23" s="2"/>
      <c r="H23" s="2"/>
      <c r="I23" s="524" t="s">
        <v>898</v>
      </c>
      <c r="J23" s="549">
        <f>'DETAILS (sorted)'!DR21</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15720700</v>
      </c>
      <c r="D35" s="191">
        <f>C35+J35</f>
        <v>16414210.285284748</v>
      </c>
      <c r="E35" s="191">
        <f>'DETAILS (sorted)'!DS21</f>
        <v>20623220.7075294</v>
      </c>
      <c r="F35" s="191">
        <f>D35-E35</f>
        <v>-4209010.4222446512</v>
      </c>
      <c r="G35" s="5" t="b">
        <f>D35=E35</f>
        <v>0</v>
      </c>
      <c r="H35" s="74"/>
      <c r="I35" s="544"/>
      <c r="J35" s="548">
        <f>SUM(J6:J34)</f>
        <v>693510.285284749</v>
      </c>
    </row>
    <row r="37" spans="1:10" x14ac:dyDescent="0.35">
      <c r="C37" s="191" t="s">
        <v>644</v>
      </c>
      <c r="D37" s="191">
        <f>C35+J35</f>
        <v>16414210.285284748</v>
      </c>
      <c r="E37" s="122">
        <f>D37/D38</f>
        <v>0.54714034284282498</v>
      </c>
      <c r="F37" s="2" t="s">
        <v>652</v>
      </c>
    </row>
    <row r="38" spans="1:10" x14ac:dyDescent="0.35">
      <c r="C38" s="3"/>
      <c r="D38" s="3">
        <v>30000000</v>
      </c>
      <c r="E38" s="122">
        <f>D38/D38</f>
        <v>1</v>
      </c>
      <c r="F38" s="2" t="s">
        <v>654</v>
      </c>
    </row>
    <row r="39" spans="1:10" x14ac:dyDescent="0.35">
      <c r="C39" s="3"/>
      <c r="D39" s="3">
        <f>D37-D38</f>
        <v>-13585789.714715252</v>
      </c>
      <c r="E39" s="122">
        <f>D39/D38</f>
        <v>-0.45285965715717508</v>
      </c>
      <c r="F39" s="2" t="s">
        <v>653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636F-9CB3-4B35-8117-7124D908E11E}">
  <dimension ref="A2:J39"/>
  <sheetViews>
    <sheetView topLeftCell="A12" workbookViewId="0">
      <selection activeCell="N16" sqref="N16"/>
    </sheetView>
  </sheetViews>
  <sheetFormatPr defaultRowHeight="14.5" x14ac:dyDescent="0.35"/>
  <cols>
    <col min="1" max="1" width="8.26953125" customWidth="1"/>
    <col min="2" max="2" width="14.7265625" customWidth="1"/>
    <col min="3" max="3" width="11.36328125" style="1" bestFit="1" customWidth="1"/>
    <col min="4" max="4" width="14.453125" style="1" bestFit="1" customWidth="1"/>
    <col min="5" max="5" width="12.7265625" bestFit="1" customWidth="1"/>
    <col min="6" max="6" width="9.26953125" bestFit="1" customWidth="1"/>
    <col min="7" max="7" width="5.1796875" bestFit="1" customWidth="1"/>
    <col min="8" max="8" width="11.1796875" hidden="1" customWidth="1"/>
    <col min="9" max="9" width="22.9062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28" x14ac:dyDescent="0.35">
      <c r="A3" s="210" t="s">
        <v>252</v>
      </c>
      <c r="B3" s="286" t="s">
        <v>651</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45361</v>
      </c>
      <c r="C6" s="11">
        <v>100000</v>
      </c>
      <c r="D6" s="3">
        <f>C6</f>
        <v>100000</v>
      </c>
      <c r="E6" s="2" t="s">
        <v>144</v>
      </c>
      <c r="F6" s="2">
        <v>1</v>
      </c>
      <c r="H6" s="2"/>
      <c r="I6" s="503" t="s">
        <v>210</v>
      </c>
      <c r="J6" s="549">
        <v>28245.257507925206</v>
      </c>
    </row>
    <row r="7" spans="1:10" x14ac:dyDescent="0.35">
      <c r="A7" s="2">
        <v>2</v>
      </c>
      <c r="B7" s="71">
        <v>45361</v>
      </c>
      <c r="C7" s="11">
        <v>250000</v>
      </c>
      <c r="D7" s="3">
        <f>D6+C7</f>
        <v>350000</v>
      </c>
      <c r="E7" s="2" t="s">
        <v>144</v>
      </c>
      <c r="F7" s="2">
        <v>1</v>
      </c>
      <c r="H7" s="2"/>
      <c r="I7" s="504" t="s">
        <v>212</v>
      </c>
      <c r="J7" s="549">
        <v>32740.740945291534</v>
      </c>
    </row>
    <row r="8" spans="1:10" x14ac:dyDescent="0.35">
      <c r="A8" s="2">
        <v>3</v>
      </c>
      <c r="B8" s="71">
        <v>45637</v>
      </c>
      <c r="C8" s="11">
        <v>450000</v>
      </c>
      <c r="D8" s="3">
        <f t="shared" ref="D8:D13" si="0">D7+C8</f>
        <v>800000</v>
      </c>
      <c r="E8" s="2" t="s">
        <v>144</v>
      </c>
      <c r="F8" s="2">
        <v>1</v>
      </c>
      <c r="H8" s="2"/>
      <c r="I8" s="504" t="s">
        <v>213</v>
      </c>
      <c r="J8" s="549">
        <v>49935.604043737279</v>
      </c>
    </row>
    <row r="9" spans="1:10" x14ac:dyDescent="0.35">
      <c r="A9" s="2">
        <v>4</v>
      </c>
      <c r="B9" s="71">
        <v>45650</v>
      </c>
      <c r="C9" s="11">
        <v>200000</v>
      </c>
      <c r="D9" s="3">
        <f t="shared" si="0"/>
        <v>1000000</v>
      </c>
      <c r="E9" s="2" t="s">
        <v>144</v>
      </c>
      <c r="F9" s="2">
        <v>1</v>
      </c>
      <c r="H9" s="2"/>
      <c r="I9" s="504" t="s">
        <v>215</v>
      </c>
      <c r="J9" s="549">
        <v>52628.409140465395</v>
      </c>
    </row>
    <row r="10" spans="1:10" x14ac:dyDescent="0.35">
      <c r="A10" s="2">
        <v>5</v>
      </c>
      <c r="B10" s="71">
        <v>45911</v>
      </c>
      <c r="C10" s="11">
        <v>900000</v>
      </c>
      <c r="D10" s="3">
        <f t="shared" si="0"/>
        <v>1900000</v>
      </c>
      <c r="E10" s="2" t="s">
        <v>144</v>
      </c>
      <c r="F10" s="2">
        <v>1</v>
      </c>
      <c r="H10" s="2"/>
      <c r="I10" s="504" t="s">
        <v>217</v>
      </c>
      <c r="J10" s="549">
        <v>125626.48492743002</v>
      </c>
    </row>
    <row r="11" spans="1:10" x14ac:dyDescent="0.35">
      <c r="A11" s="2">
        <v>6</v>
      </c>
      <c r="B11" s="71">
        <v>45951</v>
      </c>
      <c r="C11" s="202">
        <v>600000</v>
      </c>
      <c r="D11" s="3">
        <f t="shared" si="0"/>
        <v>2500000</v>
      </c>
      <c r="E11" s="2" t="s">
        <v>30</v>
      </c>
      <c r="F11" s="2">
        <v>2</v>
      </c>
      <c r="H11" s="2"/>
      <c r="I11" s="504" t="s">
        <v>219</v>
      </c>
      <c r="J11" s="549">
        <v>35944.83259148417</v>
      </c>
    </row>
    <row r="12" spans="1:10" x14ac:dyDescent="0.35">
      <c r="A12" s="2">
        <v>7</v>
      </c>
      <c r="B12" s="71">
        <v>46003</v>
      </c>
      <c r="C12" s="200">
        <v>1200000</v>
      </c>
      <c r="D12" s="3">
        <f t="shared" si="0"/>
        <v>3700000</v>
      </c>
      <c r="E12" s="2" t="s">
        <v>30</v>
      </c>
      <c r="F12" s="2">
        <v>2</v>
      </c>
      <c r="H12" s="2"/>
      <c r="I12" s="504" t="s">
        <v>537</v>
      </c>
      <c r="J12" s="549">
        <v>10353.184966980107</v>
      </c>
    </row>
    <row r="13" spans="1:10" x14ac:dyDescent="0.35">
      <c r="A13" s="2">
        <v>8</v>
      </c>
      <c r="B13" s="71">
        <v>46127</v>
      </c>
      <c r="C13" s="3">
        <v>3000000</v>
      </c>
      <c r="D13" s="3">
        <f t="shared" si="0"/>
        <v>6700000</v>
      </c>
      <c r="E13" s="2" t="s">
        <v>30</v>
      </c>
      <c r="F13" s="2">
        <v>2</v>
      </c>
      <c r="H13" s="2"/>
      <c r="I13" s="504" t="s">
        <v>543</v>
      </c>
      <c r="J13" s="549">
        <v>26634.892568934974</v>
      </c>
    </row>
    <row r="14" spans="1:10" x14ac:dyDescent="0.35">
      <c r="A14" s="2">
        <v>9</v>
      </c>
      <c r="B14" s="71">
        <v>46201</v>
      </c>
      <c r="C14" s="3">
        <v>3000000</v>
      </c>
      <c r="D14" s="3">
        <f t="shared" ref="D14" si="1">D13+C14</f>
        <v>9700000</v>
      </c>
      <c r="E14" s="2" t="s">
        <v>30</v>
      </c>
      <c r="F14" s="2">
        <v>2</v>
      </c>
      <c r="H14" s="2"/>
      <c r="I14" s="504" t="s">
        <v>681</v>
      </c>
      <c r="J14" s="549">
        <f>'DETAILS (sorted)'!DC22</f>
        <v>37758.953120930273</v>
      </c>
    </row>
    <row r="15" spans="1:10" x14ac:dyDescent="0.35">
      <c r="A15" s="2">
        <v>10</v>
      </c>
      <c r="B15" s="71">
        <v>46210</v>
      </c>
      <c r="C15" s="205">
        <v>3000000</v>
      </c>
      <c r="D15" s="3">
        <f t="shared" ref="D15" si="2">D14+C15</f>
        <v>12700000</v>
      </c>
      <c r="E15" s="2" t="s">
        <v>30</v>
      </c>
      <c r="F15" s="2"/>
      <c r="H15" s="2"/>
      <c r="I15" s="504" t="s">
        <v>696</v>
      </c>
      <c r="J15" s="549">
        <f>'DETAILS (sorted)'!DD22</f>
        <v>25566.397587792046</v>
      </c>
    </row>
    <row r="16" spans="1:10" x14ac:dyDescent="0.35">
      <c r="A16" s="2">
        <v>11</v>
      </c>
      <c r="B16" s="294"/>
      <c r="C16" s="3"/>
      <c r="D16" s="3"/>
      <c r="E16" s="2"/>
      <c r="F16" s="2"/>
      <c r="H16" s="2"/>
      <c r="I16" s="524" t="s">
        <v>887</v>
      </c>
      <c r="J16" s="549">
        <f>'DETAILS (sorted)'!DF22</f>
        <v>26007.916970097685</v>
      </c>
    </row>
    <row r="17" spans="1:10" hidden="1" x14ac:dyDescent="0.35">
      <c r="A17" s="2">
        <v>12</v>
      </c>
      <c r="B17" s="71"/>
      <c r="C17" s="3"/>
      <c r="D17" s="3"/>
      <c r="E17" s="2"/>
      <c r="F17" s="2"/>
      <c r="H17" s="2"/>
      <c r="I17" s="524" t="s">
        <v>889</v>
      </c>
      <c r="J17" s="549">
        <f>'DETAILS (sorted)'!DG22</f>
        <v>86840.23520938975</v>
      </c>
    </row>
    <row r="18" spans="1:10" hidden="1" x14ac:dyDescent="0.35">
      <c r="A18" s="2">
        <v>13</v>
      </c>
      <c r="B18" s="71"/>
      <c r="C18" s="3"/>
      <c r="D18" s="3"/>
      <c r="E18" s="2"/>
      <c r="F18" s="2"/>
      <c r="H18" s="2"/>
      <c r="I18" s="524" t="s">
        <v>891</v>
      </c>
      <c r="J18" s="549">
        <f>'DETAILS (sorted)'!DL22</f>
        <v>37862.171907013595</v>
      </c>
    </row>
    <row r="19" spans="1:10" hidden="1" x14ac:dyDescent="0.35">
      <c r="A19" s="2">
        <v>14</v>
      </c>
      <c r="B19" s="71"/>
      <c r="C19" s="3"/>
      <c r="D19" s="3"/>
      <c r="E19" s="2"/>
      <c r="F19" s="2"/>
      <c r="H19" s="2"/>
      <c r="I19" s="524" t="s">
        <v>894</v>
      </c>
      <c r="J19" s="549">
        <f>'DETAILS (sorted)'!DM22</f>
        <v>0</v>
      </c>
    </row>
    <row r="20" spans="1:10" hidden="1" x14ac:dyDescent="0.35">
      <c r="A20" s="2">
        <v>15</v>
      </c>
      <c r="B20" s="71"/>
      <c r="C20" s="3"/>
      <c r="D20" s="3"/>
      <c r="E20" s="2"/>
      <c r="F20" s="2"/>
      <c r="H20" s="2"/>
      <c r="I20" s="524" t="s">
        <v>893</v>
      </c>
      <c r="J20" s="549">
        <f>'DETAILS (sorted)'!DN22</f>
        <v>0</v>
      </c>
    </row>
    <row r="21" spans="1:10" hidden="1" x14ac:dyDescent="0.35">
      <c r="A21" s="2">
        <v>16</v>
      </c>
      <c r="B21" s="71"/>
      <c r="C21" s="3"/>
      <c r="D21" s="3"/>
      <c r="E21" s="2"/>
      <c r="F21" s="2"/>
      <c r="H21" s="2"/>
      <c r="I21" s="524" t="s">
        <v>895</v>
      </c>
      <c r="J21" s="549">
        <f>'DETAILS (sorted)'!DO22</f>
        <v>0</v>
      </c>
    </row>
    <row r="22" spans="1:10" hidden="1" x14ac:dyDescent="0.35">
      <c r="A22" s="2"/>
      <c r="B22" s="2"/>
      <c r="C22" s="3"/>
      <c r="D22" s="3"/>
      <c r="E22" s="2"/>
      <c r="F22" s="2"/>
      <c r="H22" s="2"/>
      <c r="I22" s="524" t="s">
        <v>897</v>
      </c>
      <c r="J22" s="549">
        <f>'DETAILS (sorted)'!DQ22</f>
        <v>0</v>
      </c>
    </row>
    <row r="23" spans="1:10" hidden="1" x14ac:dyDescent="0.35">
      <c r="A23" s="2"/>
      <c r="B23" s="2"/>
      <c r="C23" s="3"/>
      <c r="D23" s="3"/>
      <c r="E23" s="2"/>
      <c r="F23" s="2"/>
      <c r="H23" s="2"/>
      <c r="I23" s="524" t="s">
        <v>898</v>
      </c>
      <c r="J23" s="549">
        <f>'DETAILS (sorted)'!DR22</f>
        <v>0</v>
      </c>
    </row>
    <row r="24" spans="1:10" hidden="1" x14ac:dyDescent="0.35">
      <c r="A24" s="2"/>
      <c r="B24" s="2"/>
      <c r="C24" s="3"/>
      <c r="D24" s="3"/>
      <c r="E24" s="2"/>
      <c r="F24" s="2"/>
      <c r="H24" s="2"/>
      <c r="I24" s="484"/>
      <c r="J24" s="549"/>
    </row>
    <row r="25" spans="1:10" hidden="1" x14ac:dyDescent="0.35">
      <c r="A25" s="2"/>
      <c r="B25" s="2"/>
      <c r="C25" s="3"/>
      <c r="D25" s="3"/>
      <c r="E25" s="2"/>
      <c r="F25" s="2"/>
      <c r="H25" s="2"/>
      <c r="I25" s="484"/>
      <c r="J25" s="549"/>
    </row>
    <row r="26" spans="1:10" hidden="1" x14ac:dyDescent="0.35">
      <c r="A26" s="2"/>
      <c r="B26" s="2"/>
      <c r="C26" s="3"/>
      <c r="D26" s="3"/>
      <c r="E26" s="2"/>
      <c r="F26" s="2"/>
      <c r="H26" s="2"/>
      <c r="I26" s="484"/>
      <c r="J26" s="549"/>
    </row>
    <row r="27" spans="1:10" hidden="1" x14ac:dyDescent="0.35">
      <c r="A27" s="2"/>
      <c r="B27" s="2"/>
      <c r="C27" s="3"/>
      <c r="D27" s="3"/>
      <c r="E27" s="2"/>
      <c r="F27" s="2"/>
      <c r="H27" s="2"/>
      <c r="I27" s="484"/>
      <c r="J27" s="549"/>
    </row>
    <row r="28" spans="1:10" hidden="1" x14ac:dyDescent="0.35">
      <c r="A28" s="2"/>
      <c r="B28" s="2"/>
      <c r="C28" s="3"/>
      <c r="D28" s="3"/>
      <c r="E28" s="2"/>
      <c r="F28" s="2"/>
      <c r="H28" s="2"/>
      <c r="I28" s="484"/>
      <c r="J28" s="549"/>
    </row>
    <row r="29" spans="1:10" hidden="1" x14ac:dyDescent="0.35">
      <c r="A29" s="2"/>
      <c r="B29" s="2"/>
      <c r="C29" s="3"/>
      <c r="D29" s="3"/>
      <c r="E29" s="2"/>
      <c r="F29" s="2"/>
      <c r="H29" s="2"/>
      <c r="I29" s="484"/>
      <c r="J29" s="549"/>
    </row>
    <row r="30" spans="1:10" hidden="1"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12700000</v>
      </c>
      <c r="D35" s="191">
        <f>C35+J35</f>
        <v>13276145.081487473</v>
      </c>
      <c r="E35" s="191">
        <f>'DETAILS (sorted)'!DS22</f>
        <v>13412072.587400509</v>
      </c>
      <c r="F35" s="191">
        <f>D35-E35</f>
        <v>-135927.50591303594</v>
      </c>
      <c r="G35" s="5" t="b">
        <f>D35=E35</f>
        <v>0</v>
      </c>
      <c r="H35" s="74"/>
      <c r="I35" s="544"/>
      <c r="J35" s="548">
        <f>SUM(J6:J34)</f>
        <v>576145.08148747217</v>
      </c>
    </row>
    <row r="37" spans="1:10" x14ac:dyDescent="0.35">
      <c r="C37" s="191" t="s">
        <v>644</v>
      </c>
      <c r="D37" s="191">
        <f>C35+J35</f>
        <v>13276145.081487473</v>
      </c>
      <c r="E37" s="122">
        <f>D37/D38</f>
        <v>0.66380725407437369</v>
      </c>
      <c r="F37" s="2" t="s">
        <v>652</v>
      </c>
    </row>
    <row r="38" spans="1:10" x14ac:dyDescent="0.35">
      <c r="C38" s="3"/>
      <c r="D38" s="3">
        <v>20000000</v>
      </c>
      <c r="E38" s="122">
        <f>D38/D38</f>
        <v>1</v>
      </c>
      <c r="F38" s="2" t="s">
        <v>654</v>
      </c>
    </row>
    <row r="39" spans="1:10" x14ac:dyDescent="0.35">
      <c r="C39" s="3"/>
      <c r="D39" s="3">
        <f>D37-D38</f>
        <v>-6723854.9185125269</v>
      </c>
      <c r="E39" s="122">
        <f>D39/D38</f>
        <v>-0.33619274592562637</v>
      </c>
      <c r="F39" s="2" t="s">
        <v>653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20D2-61A3-47AF-8C67-A10D45A54CAB}">
  <dimension ref="A2:J39"/>
  <sheetViews>
    <sheetView topLeftCell="B10" workbookViewId="0">
      <selection activeCell="D15" sqref="D15"/>
    </sheetView>
  </sheetViews>
  <sheetFormatPr defaultRowHeight="14.5" x14ac:dyDescent="0.35"/>
  <cols>
    <col min="1" max="1" width="12" bestFit="1" customWidth="1"/>
    <col min="2" max="2" width="15" bestFit="1" customWidth="1"/>
    <col min="3" max="3" width="11.36328125" style="1" bestFit="1" customWidth="1"/>
    <col min="4" max="4" width="14.453125" style="1" bestFit="1" customWidth="1"/>
    <col min="5" max="5" width="12.7265625" bestFit="1" customWidth="1"/>
    <col min="6" max="6" width="13.453125" bestFit="1" customWidth="1"/>
    <col min="7" max="7" width="10.08984375" bestFit="1" customWidth="1"/>
    <col min="8" max="8" width="11.1796875" bestFit="1" customWidth="1"/>
    <col min="9" max="9" width="26.9062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253</v>
      </c>
      <c r="B3" s="7" t="s">
        <v>86</v>
      </c>
      <c r="C3" s="72" t="s">
        <v>618</v>
      </c>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45650</v>
      </c>
      <c r="C6" s="11">
        <v>800000</v>
      </c>
      <c r="D6" s="3">
        <f>C6</f>
        <v>800000</v>
      </c>
      <c r="E6" s="2" t="s">
        <v>144</v>
      </c>
      <c r="F6" s="2">
        <v>1</v>
      </c>
      <c r="H6" s="2"/>
      <c r="I6" s="503" t="s">
        <v>210</v>
      </c>
      <c r="J6" s="550">
        <v>22298.887506256742</v>
      </c>
    </row>
    <row r="7" spans="1:10" x14ac:dyDescent="0.35">
      <c r="A7" s="2">
        <v>2</v>
      </c>
      <c r="B7" s="71">
        <v>45653</v>
      </c>
      <c r="C7" s="11">
        <v>200000</v>
      </c>
      <c r="D7" s="3">
        <f>D6+C7</f>
        <v>1000000</v>
      </c>
      <c r="E7" s="2" t="s">
        <v>144</v>
      </c>
      <c r="F7" s="2">
        <v>1</v>
      </c>
      <c r="H7" s="2"/>
      <c r="I7" s="504" t="s">
        <v>212</v>
      </c>
      <c r="J7" s="550">
        <v>19644.44456717492</v>
      </c>
    </row>
    <row r="8" spans="1:10" x14ac:dyDescent="0.35">
      <c r="A8" s="2">
        <v>3</v>
      </c>
      <c r="B8" s="71">
        <v>45795</v>
      </c>
      <c r="C8" s="11">
        <v>400000</v>
      </c>
      <c r="D8" s="3">
        <f t="shared" ref="D8:D10" si="0">D7+C8</f>
        <v>1400000</v>
      </c>
      <c r="E8" s="2" t="s">
        <v>144</v>
      </c>
      <c r="F8" s="2">
        <v>1</v>
      </c>
      <c r="H8" s="2"/>
      <c r="I8" s="504" t="s">
        <v>213</v>
      </c>
      <c r="J8" s="550">
        <v>29961.362426242365</v>
      </c>
    </row>
    <row r="9" spans="1:10" x14ac:dyDescent="0.35">
      <c r="A9" s="2">
        <v>4</v>
      </c>
      <c r="B9" s="71">
        <v>45807</v>
      </c>
      <c r="C9" s="11">
        <v>100000</v>
      </c>
      <c r="D9" s="3">
        <f t="shared" si="0"/>
        <v>1500000</v>
      </c>
      <c r="E9" s="2" t="s">
        <v>144</v>
      </c>
      <c r="F9" s="2">
        <v>1</v>
      </c>
      <c r="H9" s="2"/>
      <c r="I9" s="504" t="s">
        <v>215</v>
      </c>
      <c r="J9" s="550">
        <v>66852.303502753333</v>
      </c>
    </row>
    <row r="10" spans="1:10" x14ac:dyDescent="0.35">
      <c r="A10" s="2">
        <v>5</v>
      </c>
      <c r="B10" s="71">
        <v>46053</v>
      </c>
      <c r="C10" s="3">
        <v>3200000</v>
      </c>
      <c r="D10" s="3">
        <f t="shared" si="0"/>
        <v>4700000</v>
      </c>
      <c r="E10" s="2" t="s">
        <v>30</v>
      </c>
      <c r="F10" s="2">
        <v>2</v>
      </c>
      <c r="H10" s="2"/>
      <c r="I10" s="504" t="s">
        <v>217</v>
      </c>
      <c r="J10" s="550">
        <v>159579.58896187058</v>
      </c>
    </row>
    <row r="11" spans="1:10" x14ac:dyDescent="0.35">
      <c r="A11" s="2">
        <v>6</v>
      </c>
      <c r="B11" s="71"/>
      <c r="C11" s="3"/>
      <c r="D11" s="3"/>
      <c r="E11" s="2"/>
      <c r="F11" s="2"/>
      <c r="H11" s="2"/>
      <c r="I11" s="504" t="s">
        <v>219</v>
      </c>
      <c r="J11" s="550">
        <v>45659.652210804212</v>
      </c>
    </row>
    <row r="12" spans="1:10" x14ac:dyDescent="0.35">
      <c r="A12" s="2">
        <v>7</v>
      </c>
      <c r="B12" s="71"/>
      <c r="C12" s="3"/>
      <c r="D12" s="3"/>
      <c r="E12" s="2"/>
      <c r="F12" s="2"/>
      <c r="H12" s="2"/>
      <c r="I12" s="504" t="s">
        <v>537</v>
      </c>
      <c r="J12" s="550">
        <v>7262.681991762166</v>
      </c>
    </row>
    <row r="13" spans="1:10" x14ac:dyDescent="0.35">
      <c r="A13" s="2">
        <v>8</v>
      </c>
      <c r="B13" s="294"/>
      <c r="C13" s="3"/>
      <c r="D13" s="3"/>
      <c r="E13" s="2"/>
      <c r="F13" s="2"/>
      <c r="H13" s="2"/>
      <c r="I13" s="504" t="s">
        <v>543</v>
      </c>
      <c r="J13" s="550">
        <v>18684.178369252895</v>
      </c>
    </row>
    <row r="14" spans="1:10" x14ac:dyDescent="0.35">
      <c r="A14" s="2">
        <v>9</v>
      </c>
      <c r="B14" s="294"/>
      <c r="C14" s="3"/>
      <c r="D14" s="3"/>
      <c r="E14" s="2"/>
      <c r="F14" s="2"/>
      <c r="H14" s="2"/>
      <c r="I14" s="504" t="s">
        <v>681</v>
      </c>
      <c r="J14" s="549">
        <f>'DETAILS (sorted)'!DC23</f>
        <v>26487.62383110034</v>
      </c>
    </row>
    <row r="15" spans="1:10" x14ac:dyDescent="0.35">
      <c r="A15" s="2">
        <v>10</v>
      </c>
      <c r="B15" s="294"/>
      <c r="C15" s="205"/>
      <c r="D15" s="3"/>
      <c r="E15" s="2"/>
      <c r="F15" s="2"/>
      <c r="H15" s="2"/>
      <c r="I15" s="504" t="s">
        <v>696</v>
      </c>
      <c r="J15" s="549">
        <f>'DETAILS (sorted)'!DD23</f>
        <v>17934.637113824272</v>
      </c>
    </row>
    <row r="16" spans="1:10" x14ac:dyDescent="0.35">
      <c r="A16" s="2">
        <v>11</v>
      </c>
      <c r="B16" s="294"/>
      <c r="C16" s="3"/>
      <c r="D16" s="3"/>
      <c r="E16" s="2"/>
      <c r="F16" s="2"/>
      <c r="H16" s="2"/>
      <c r="I16" s="524" t="s">
        <v>887</v>
      </c>
      <c r="J16" s="549">
        <f>'DETAILS (sorted)'!DF23</f>
        <v>12601.774202006094</v>
      </c>
    </row>
    <row r="17" spans="1:10" x14ac:dyDescent="0.35">
      <c r="A17" s="2">
        <v>12</v>
      </c>
      <c r="B17" s="71"/>
      <c r="C17" s="3"/>
      <c r="D17" s="3"/>
      <c r="E17" s="2"/>
      <c r="F17" s="2"/>
      <c r="H17" s="2"/>
      <c r="I17" s="524" t="s">
        <v>889</v>
      </c>
      <c r="J17" s="549">
        <f>'DETAILS (sorted)'!DG23</f>
        <v>42077.227369498127</v>
      </c>
    </row>
    <row r="18" spans="1:10" x14ac:dyDescent="0.35">
      <c r="A18" s="2">
        <v>13</v>
      </c>
      <c r="B18" s="71"/>
      <c r="C18" s="3"/>
      <c r="D18" s="3"/>
      <c r="E18" s="2"/>
      <c r="F18" s="2"/>
      <c r="H18" s="2"/>
      <c r="I18" s="524" t="s">
        <v>891</v>
      </c>
      <c r="J18" s="549">
        <f>'DETAILS (sorted)'!DL23</f>
        <v>14783.733477200278</v>
      </c>
    </row>
    <row r="19" spans="1:10" x14ac:dyDescent="0.35">
      <c r="A19" s="2">
        <v>14</v>
      </c>
      <c r="B19" s="71"/>
      <c r="C19" s="3"/>
      <c r="D19" s="3"/>
      <c r="E19" s="2"/>
      <c r="F19" s="2"/>
      <c r="H19" s="2"/>
      <c r="I19" s="524" t="s">
        <v>894</v>
      </c>
      <c r="J19" s="549">
        <f>'DETAILS (sorted)'!DM23</f>
        <v>0</v>
      </c>
    </row>
    <row r="20" spans="1:10" x14ac:dyDescent="0.35">
      <c r="A20" s="2">
        <v>15</v>
      </c>
      <c r="B20" s="71"/>
      <c r="C20" s="3"/>
      <c r="D20" s="3"/>
      <c r="E20" s="2"/>
      <c r="F20" s="2"/>
      <c r="H20" s="2"/>
      <c r="I20" s="524" t="s">
        <v>893</v>
      </c>
      <c r="J20" s="549">
        <f>'DETAILS (sorted)'!DN23</f>
        <v>0</v>
      </c>
    </row>
    <row r="21" spans="1:10" x14ac:dyDescent="0.35">
      <c r="A21" s="2">
        <v>16</v>
      </c>
      <c r="B21" s="71"/>
      <c r="C21" s="3"/>
      <c r="D21" s="3"/>
      <c r="E21" s="2"/>
      <c r="F21" s="2"/>
      <c r="H21" s="2"/>
      <c r="I21" s="524" t="s">
        <v>895</v>
      </c>
      <c r="J21" s="549">
        <f>'DETAILS (sorted)'!DO23</f>
        <v>0</v>
      </c>
    </row>
    <row r="22" spans="1:10" x14ac:dyDescent="0.35">
      <c r="A22" s="2"/>
      <c r="B22" s="2"/>
      <c r="C22" s="3"/>
      <c r="D22" s="3"/>
      <c r="E22" s="2"/>
      <c r="F22" s="2"/>
      <c r="H22" s="2"/>
      <c r="I22" s="524" t="s">
        <v>897</v>
      </c>
      <c r="J22" s="549">
        <f>'DETAILS (sorted)'!DQ23</f>
        <v>0</v>
      </c>
    </row>
    <row r="23" spans="1:10" x14ac:dyDescent="0.35">
      <c r="A23" s="2"/>
      <c r="B23" s="2"/>
      <c r="C23" s="3"/>
      <c r="D23" s="3"/>
      <c r="E23" s="2"/>
      <c r="F23" s="2"/>
      <c r="H23" s="2"/>
      <c r="I23" s="524" t="s">
        <v>898</v>
      </c>
      <c r="J23" s="549">
        <f>'DETAILS (sorted)'!DR23</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4700000</v>
      </c>
      <c r="D35" s="191">
        <f>C35+J35</f>
        <v>5183828.0955297463</v>
      </c>
      <c r="E35" s="191">
        <f>'DETAILS (sorted)'!DS23</f>
        <v>5236902.6001982624</v>
      </c>
      <c r="F35" s="191">
        <f>D35-E35</f>
        <v>-53074.504668516107</v>
      </c>
      <c r="G35" s="5" t="b">
        <f>D35=E35</f>
        <v>0</v>
      </c>
      <c r="H35" s="74"/>
      <c r="I35" s="544"/>
      <c r="J35" s="548">
        <f>SUM(J6:J34)</f>
        <v>483828.09552974632</v>
      </c>
    </row>
    <row r="37" spans="1:10" x14ac:dyDescent="0.35">
      <c r="C37" s="191" t="s">
        <v>644</v>
      </c>
      <c r="D37" s="191">
        <f>C35+J35</f>
        <v>5183828.0955297463</v>
      </c>
      <c r="E37" s="122">
        <f>D37/D38</f>
        <v>0.34558853970198311</v>
      </c>
      <c r="F37" s="2" t="s">
        <v>652</v>
      </c>
    </row>
    <row r="38" spans="1:10" x14ac:dyDescent="0.35">
      <c r="C38" s="3"/>
      <c r="D38" s="3">
        <v>15000000</v>
      </c>
      <c r="E38" s="122">
        <f>D38/D38</f>
        <v>1</v>
      </c>
      <c r="F38" s="2" t="s">
        <v>654</v>
      </c>
    </row>
    <row r="39" spans="1:10" x14ac:dyDescent="0.35">
      <c r="C39" s="3"/>
      <c r="D39" s="3">
        <f>D37-D38</f>
        <v>-9816171.9044702537</v>
      </c>
      <c r="E39" s="122">
        <f>D39/D38</f>
        <v>-0.65441146029801689</v>
      </c>
      <c r="F39" s="2" t="s">
        <v>653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62310-07B0-4612-A534-25043DC5325A}">
  <dimension ref="A2:J39"/>
  <sheetViews>
    <sheetView topLeftCell="A12" workbookViewId="0">
      <selection activeCell="D15" sqref="D15"/>
    </sheetView>
  </sheetViews>
  <sheetFormatPr defaultRowHeight="14.5" x14ac:dyDescent="0.35"/>
  <cols>
    <col min="1" max="1" width="12" bestFit="1" customWidth="1"/>
    <col min="2" max="2" width="14.26953125" bestFit="1" customWidth="1"/>
    <col min="3" max="3" width="11.36328125" style="1" bestFit="1" customWidth="1"/>
    <col min="4" max="4" width="14.453125" style="1" bestFit="1" customWidth="1"/>
    <col min="5" max="5" width="13.81640625" bestFit="1" customWidth="1"/>
    <col min="6" max="6" width="7.6328125" bestFit="1" customWidth="1"/>
    <col min="7" max="7" width="9.08984375" bestFit="1" customWidth="1"/>
    <col min="8" max="8" width="10.1796875" bestFit="1" customWidth="1"/>
    <col min="9" max="9" width="28.632812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254</v>
      </c>
      <c r="B3" s="7" t="s">
        <v>65</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45369</v>
      </c>
      <c r="C6" s="11">
        <v>220000</v>
      </c>
      <c r="D6" s="3">
        <f>C6</f>
        <v>220000</v>
      </c>
      <c r="E6" s="2" t="s">
        <v>144</v>
      </c>
      <c r="F6" s="2">
        <v>1</v>
      </c>
      <c r="H6" s="2"/>
      <c r="I6" s="503" t="s">
        <v>210</v>
      </c>
      <c r="J6" s="549">
        <v>31218.442508759435</v>
      </c>
    </row>
    <row r="7" spans="1:10" x14ac:dyDescent="0.35">
      <c r="A7" s="2">
        <v>2</v>
      </c>
      <c r="B7" s="71">
        <v>45369</v>
      </c>
      <c r="C7" s="11">
        <v>80000</v>
      </c>
      <c r="D7" s="3">
        <f>D6+C7</f>
        <v>300000</v>
      </c>
      <c r="E7" s="2" t="s">
        <v>144</v>
      </c>
      <c r="F7" s="2">
        <v>1</v>
      </c>
      <c r="H7" s="2"/>
      <c r="I7" s="504" t="s">
        <v>212</v>
      </c>
      <c r="J7" s="549">
        <v>34050.370583103191</v>
      </c>
    </row>
    <row r="8" spans="1:10" x14ac:dyDescent="0.35">
      <c r="A8" s="2">
        <v>3</v>
      </c>
      <c r="B8" s="71">
        <v>45524</v>
      </c>
      <c r="C8" s="11">
        <v>550000</v>
      </c>
      <c r="D8" s="3">
        <f t="shared" ref="D8:D11" si="0">D7+C8</f>
        <v>850000</v>
      </c>
      <c r="E8" s="2" t="s">
        <v>144</v>
      </c>
      <c r="F8" s="2">
        <v>1</v>
      </c>
      <c r="H8" s="2"/>
      <c r="I8" s="504" t="s">
        <v>213</v>
      </c>
      <c r="J8" s="549">
        <v>51933.028205486764</v>
      </c>
    </row>
    <row r="9" spans="1:10" x14ac:dyDescent="0.35">
      <c r="A9" s="2">
        <v>4</v>
      </c>
      <c r="B9" s="71">
        <v>45683</v>
      </c>
      <c r="C9" s="11">
        <v>150000</v>
      </c>
      <c r="D9" s="3">
        <f t="shared" si="0"/>
        <v>1000000</v>
      </c>
      <c r="E9" s="2" t="s">
        <v>144</v>
      </c>
      <c r="F9" s="2">
        <v>1</v>
      </c>
      <c r="H9" s="2"/>
      <c r="I9" s="504" t="s">
        <v>215</v>
      </c>
      <c r="J9" s="549">
        <v>51206.019704236598</v>
      </c>
    </row>
    <row r="10" spans="1:10" x14ac:dyDescent="0.35">
      <c r="A10" s="2">
        <v>5</v>
      </c>
      <c r="B10" s="71">
        <v>45778</v>
      </c>
      <c r="C10" s="11">
        <v>600000</v>
      </c>
      <c r="D10" s="3">
        <f t="shared" si="0"/>
        <v>1600000</v>
      </c>
      <c r="E10" s="2" t="s">
        <v>30</v>
      </c>
      <c r="F10" s="2">
        <v>1</v>
      </c>
      <c r="H10" s="2"/>
      <c r="I10" s="504" t="s">
        <v>217</v>
      </c>
      <c r="J10" s="549">
        <v>224090.4866273076</v>
      </c>
    </row>
    <row r="11" spans="1:10" x14ac:dyDescent="0.35">
      <c r="A11" s="2">
        <v>6</v>
      </c>
      <c r="B11" s="71">
        <v>45875</v>
      </c>
      <c r="C11" s="10">
        <v>500000</v>
      </c>
      <c r="D11" s="3">
        <f t="shared" si="0"/>
        <v>2100000</v>
      </c>
      <c r="E11" s="2" t="s">
        <v>30</v>
      </c>
      <c r="F11" s="2">
        <v>1</v>
      </c>
      <c r="H11" s="2"/>
      <c r="I11" s="504" t="s">
        <v>219</v>
      </c>
      <c r="J11" s="549">
        <v>83547.448726152375</v>
      </c>
    </row>
    <row r="12" spans="1:10" x14ac:dyDescent="0.35">
      <c r="A12" s="2">
        <v>7</v>
      </c>
      <c r="B12" s="71">
        <v>45951</v>
      </c>
      <c r="C12" s="202">
        <v>500000</v>
      </c>
      <c r="D12" s="3">
        <f t="shared" ref="D12:D19" si="1">D11+C12</f>
        <v>2600000</v>
      </c>
      <c r="E12" s="2" t="s">
        <v>30</v>
      </c>
      <c r="F12" s="2">
        <v>2</v>
      </c>
      <c r="H12" s="2"/>
      <c r="I12" s="504" t="s">
        <v>537</v>
      </c>
      <c r="J12" s="549">
        <v>17924.917256264067</v>
      </c>
    </row>
    <row r="13" spans="1:10" x14ac:dyDescent="0.35">
      <c r="A13" s="2">
        <v>8</v>
      </c>
      <c r="B13" s="206">
        <v>45999</v>
      </c>
      <c r="C13" s="200">
        <v>1000000</v>
      </c>
      <c r="D13" s="3">
        <f t="shared" si="1"/>
        <v>3600000</v>
      </c>
      <c r="E13" s="2" t="s">
        <v>30</v>
      </c>
      <c r="F13" s="2">
        <v>2</v>
      </c>
      <c r="H13" s="2"/>
      <c r="I13" s="504" t="s">
        <v>543</v>
      </c>
      <c r="J13" s="549">
        <v>46114.142358156074</v>
      </c>
    </row>
    <row r="14" spans="1:10" x14ac:dyDescent="0.35">
      <c r="A14" s="2">
        <v>9</v>
      </c>
      <c r="B14" s="71">
        <v>46079</v>
      </c>
      <c r="C14" s="231">
        <f>2000000</f>
        <v>2000000</v>
      </c>
      <c r="D14" s="3">
        <f t="shared" si="1"/>
        <v>5600000</v>
      </c>
      <c r="E14" s="2" t="s">
        <v>30</v>
      </c>
      <c r="F14" s="2">
        <v>2</v>
      </c>
      <c r="H14" s="2"/>
      <c r="I14" s="504" t="s">
        <v>681</v>
      </c>
      <c r="J14" s="549">
        <f>'DETAILS (sorted)'!DC24</f>
        <v>71009.374525928579</v>
      </c>
    </row>
    <row r="15" spans="1:10" x14ac:dyDescent="0.35">
      <c r="A15" s="2">
        <v>10</v>
      </c>
      <c r="B15" s="71">
        <v>46079</v>
      </c>
      <c r="C15" s="231">
        <v>1000000</v>
      </c>
      <c r="D15" s="3">
        <f t="shared" si="1"/>
        <v>6600000</v>
      </c>
      <c r="E15" s="2" t="s">
        <v>30</v>
      </c>
      <c r="F15" s="2">
        <v>2</v>
      </c>
      <c r="H15" s="2"/>
      <c r="I15" s="504" t="s">
        <v>696</v>
      </c>
      <c r="J15" s="549">
        <f>'DETAILS (sorted)'!DD24</f>
        <v>48080.090985996983</v>
      </c>
    </row>
    <row r="16" spans="1:10" x14ac:dyDescent="0.35">
      <c r="A16" s="2">
        <v>11</v>
      </c>
      <c r="B16" s="71">
        <v>46095</v>
      </c>
      <c r="C16" s="3">
        <v>2000000</v>
      </c>
      <c r="D16" s="3">
        <f t="shared" si="1"/>
        <v>8600000</v>
      </c>
      <c r="E16" s="2" t="s">
        <v>30</v>
      </c>
      <c r="F16" s="2">
        <v>2</v>
      </c>
      <c r="H16" s="2"/>
      <c r="I16" s="524" t="s">
        <v>887</v>
      </c>
      <c r="J16" s="549">
        <f>'DETAILS (sorted)'!DF24</f>
        <v>41827.165436445757</v>
      </c>
    </row>
    <row r="17" spans="1:10" x14ac:dyDescent="0.35">
      <c r="A17" s="2">
        <v>12</v>
      </c>
      <c r="B17" s="71">
        <v>46114</v>
      </c>
      <c r="C17" s="3">
        <f>1000000</f>
        <v>1000000</v>
      </c>
      <c r="D17" s="3">
        <f t="shared" si="1"/>
        <v>9600000</v>
      </c>
      <c r="E17" s="2" t="s">
        <v>30</v>
      </c>
      <c r="F17" s="2">
        <v>2</v>
      </c>
      <c r="H17" s="2"/>
      <c r="I17" s="524" t="s">
        <v>889</v>
      </c>
      <c r="J17" s="549">
        <f>'DETAILS (sorted)'!DG24</f>
        <v>139660.58446046186</v>
      </c>
    </row>
    <row r="18" spans="1:10" x14ac:dyDescent="0.35">
      <c r="A18" s="2">
        <v>13</v>
      </c>
      <c r="B18" s="71">
        <v>46114</v>
      </c>
      <c r="C18" s="3">
        <v>2000000</v>
      </c>
      <c r="D18" s="3">
        <f t="shared" si="1"/>
        <v>11600000</v>
      </c>
      <c r="E18" s="2" t="s">
        <v>30</v>
      </c>
      <c r="F18" s="2">
        <v>2</v>
      </c>
      <c r="H18" s="2"/>
      <c r="I18" s="524" t="s">
        <v>891</v>
      </c>
      <c r="J18" s="549">
        <f>'DETAILS (sorted)'!DL24</f>
        <v>64181.450937178364</v>
      </c>
    </row>
    <row r="19" spans="1:10" x14ac:dyDescent="0.35">
      <c r="A19" s="2">
        <v>14</v>
      </c>
      <c r="B19" s="71">
        <v>46143</v>
      </c>
      <c r="C19" s="3">
        <v>1000000</v>
      </c>
      <c r="D19" s="3">
        <f t="shared" si="1"/>
        <v>12600000</v>
      </c>
      <c r="E19" s="2" t="s">
        <v>30</v>
      </c>
      <c r="F19" s="2">
        <v>2</v>
      </c>
      <c r="H19" s="2"/>
      <c r="I19" s="524" t="s">
        <v>894</v>
      </c>
      <c r="J19" s="549">
        <f>'DETAILS (sorted)'!DM24</f>
        <v>0</v>
      </c>
    </row>
    <row r="20" spans="1:10" x14ac:dyDescent="0.35">
      <c r="A20" s="2">
        <v>15</v>
      </c>
      <c r="B20" s="71">
        <v>46200</v>
      </c>
      <c r="C20" s="3">
        <v>2000000</v>
      </c>
      <c r="D20" s="3">
        <f t="shared" ref="D20" si="2">D19+C20</f>
        <v>14600000</v>
      </c>
      <c r="E20" s="2" t="s">
        <v>30</v>
      </c>
      <c r="F20" s="2">
        <v>2</v>
      </c>
      <c r="H20" s="2"/>
      <c r="I20" s="524" t="s">
        <v>893</v>
      </c>
      <c r="J20" s="549">
        <f>'DETAILS (sorted)'!DN24</f>
        <v>0</v>
      </c>
    </row>
    <row r="21" spans="1:10" x14ac:dyDescent="0.35">
      <c r="A21" s="2">
        <v>16</v>
      </c>
      <c r="B21" s="71">
        <v>46202</v>
      </c>
      <c r="C21" s="3">
        <v>1000000</v>
      </c>
      <c r="D21" s="3">
        <f t="shared" ref="D21" si="3">D20+C21</f>
        <v>15600000</v>
      </c>
      <c r="E21" s="2" t="s">
        <v>30</v>
      </c>
      <c r="F21" s="2">
        <v>2</v>
      </c>
      <c r="H21" s="2"/>
      <c r="I21" s="524" t="s">
        <v>895</v>
      </c>
      <c r="J21" s="549">
        <f>'DETAILS (sorted)'!DO24</f>
        <v>0</v>
      </c>
    </row>
    <row r="22" spans="1:10" x14ac:dyDescent="0.35">
      <c r="A22" s="2"/>
      <c r="B22" s="2"/>
      <c r="C22" s="3"/>
      <c r="D22" s="3"/>
      <c r="E22" s="2"/>
      <c r="F22" s="2"/>
      <c r="H22" s="2"/>
      <c r="I22" s="524" t="s">
        <v>897</v>
      </c>
      <c r="J22" s="549">
        <f>'DETAILS (sorted)'!DQ24</f>
        <v>0</v>
      </c>
    </row>
    <row r="23" spans="1:10" x14ac:dyDescent="0.35">
      <c r="A23" s="2"/>
      <c r="B23" s="2"/>
      <c r="C23" s="3"/>
      <c r="D23" s="3"/>
      <c r="E23" s="2"/>
      <c r="F23" s="2"/>
      <c r="H23" s="2"/>
      <c r="I23" s="524" t="s">
        <v>898</v>
      </c>
      <c r="J23" s="549">
        <f>'DETAILS (sorted)'!DR24</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15600000</v>
      </c>
      <c r="D35" s="191">
        <f>C35+J35</f>
        <v>16504843.522315478</v>
      </c>
      <c r="E35" s="191">
        <f>'DETAILS (sorted)'!DS24</f>
        <v>22735258.844848908</v>
      </c>
      <c r="F35" s="74">
        <f>D35-E35</f>
        <v>-6230415.3225334305</v>
      </c>
      <c r="G35" s="5" t="b">
        <f>D35=E35</f>
        <v>0</v>
      </c>
      <c r="H35" s="74"/>
      <c r="I35" s="544"/>
      <c r="J35" s="548">
        <f>SUM(J6:J34)</f>
        <v>904843.5223154776</v>
      </c>
    </row>
    <row r="37" spans="1:10" x14ac:dyDescent="0.35">
      <c r="C37" s="191" t="s">
        <v>644</v>
      </c>
      <c r="D37" s="191">
        <f>C35+J35</f>
        <v>16504843.522315478</v>
      </c>
      <c r="E37" s="122">
        <f>D37/D38</f>
        <v>0.55016145074384926</v>
      </c>
      <c r="F37" s="2" t="s">
        <v>652</v>
      </c>
    </row>
    <row r="38" spans="1:10" x14ac:dyDescent="0.35">
      <c r="C38" s="3"/>
      <c r="D38" s="3">
        <v>30000000</v>
      </c>
      <c r="E38" s="122">
        <f>D38/D38</f>
        <v>1</v>
      </c>
      <c r="F38" s="2" t="s">
        <v>654</v>
      </c>
    </row>
    <row r="39" spans="1:10" x14ac:dyDescent="0.35">
      <c r="C39" s="3"/>
      <c r="D39" s="3">
        <f>D37-D38</f>
        <v>-13495156.477684522</v>
      </c>
      <c r="E39" s="122">
        <f>D39/D38</f>
        <v>-0.44983854925615074</v>
      </c>
      <c r="F39" s="2" t="s">
        <v>653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B063E-4C10-4B5C-A315-B89D75A7A204}">
  <dimension ref="A2:J44"/>
  <sheetViews>
    <sheetView topLeftCell="A23" workbookViewId="0">
      <selection activeCell="N16" sqref="N16"/>
    </sheetView>
  </sheetViews>
  <sheetFormatPr defaultRowHeight="14.5" x14ac:dyDescent="0.35"/>
  <cols>
    <col min="1" max="1" width="7.81640625" customWidth="1"/>
    <col min="2" max="2" width="18.26953125" bestFit="1" customWidth="1"/>
    <col min="3" max="3" width="11.81640625" style="1" bestFit="1" customWidth="1"/>
    <col min="4" max="4" width="15" style="1" bestFit="1" customWidth="1"/>
    <col min="5" max="5" width="11.7265625" bestFit="1" customWidth="1"/>
    <col min="6" max="6" width="10.81640625" bestFit="1" customWidth="1"/>
    <col min="7" max="7" width="5.90625" bestFit="1" customWidth="1"/>
    <col min="8" max="8" width="11.1796875" hidden="1" customWidth="1"/>
    <col min="9" max="9" width="24.5429687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28" x14ac:dyDescent="0.35">
      <c r="A3" s="210" t="s">
        <v>255</v>
      </c>
      <c r="B3" s="286" t="s">
        <v>61</v>
      </c>
      <c r="C3" s="7"/>
      <c r="D3" s="71"/>
      <c r="E3" s="11"/>
      <c r="F3" s="11"/>
      <c r="G3" s="71"/>
      <c r="H3" s="11"/>
      <c r="I3" s="545"/>
      <c r="J3" s="555"/>
    </row>
    <row r="4" spans="1:10" s="1" customFormat="1" x14ac:dyDescent="0.35">
      <c r="A4" s="210"/>
      <c r="B4" s="7"/>
      <c r="C4" s="7"/>
      <c r="D4" s="71"/>
      <c r="E4" s="11"/>
      <c r="F4" s="11"/>
      <c r="G4" s="71"/>
      <c r="H4" s="11"/>
      <c r="I4" s="545"/>
      <c r="J4" s="555"/>
    </row>
    <row r="5" spans="1:10" x14ac:dyDescent="0.35">
      <c r="A5" s="74" t="s">
        <v>487</v>
      </c>
      <c r="B5" s="74" t="s">
        <v>2</v>
      </c>
      <c r="C5" s="191" t="s">
        <v>124</v>
      </c>
      <c r="D5" s="191" t="s">
        <v>488</v>
      </c>
      <c r="E5" s="74" t="s">
        <v>489</v>
      </c>
      <c r="F5" s="74" t="s">
        <v>490</v>
      </c>
      <c r="H5" s="2"/>
      <c r="I5" s="484"/>
      <c r="J5" s="549"/>
    </row>
    <row r="6" spans="1:10" x14ac:dyDescent="0.35">
      <c r="A6" s="2">
        <v>1</v>
      </c>
      <c r="B6" s="71">
        <v>45363</v>
      </c>
      <c r="C6" s="11">
        <v>170000</v>
      </c>
      <c r="D6" s="3">
        <f>C6</f>
        <v>170000</v>
      </c>
      <c r="E6" s="2" t="s">
        <v>144</v>
      </c>
      <c r="F6" s="2">
        <v>1</v>
      </c>
      <c r="H6" s="2"/>
      <c r="I6" s="503" t="s">
        <v>210</v>
      </c>
      <c r="J6" s="549">
        <v>29731.850008342321</v>
      </c>
    </row>
    <row r="7" spans="1:10" x14ac:dyDescent="0.35">
      <c r="A7" s="2">
        <v>2</v>
      </c>
      <c r="B7" s="71">
        <v>45363</v>
      </c>
      <c r="C7" s="11">
        <v>130000</v>
      </c>
      <c r="D7" s="3">
        <f>D6+C7</f>
        <v>300000</v>
      </c>
      <c r="E7" s="2" t="s">
        <v>144</v>
      </c>
      <c r="F7" s="2">
        <v>1</v>
      </c>
      <c r="H7" s="2"/>
      <c r="I7" s="504" t="s">
        <v>212</v>
      </c>
      <c r="J7" s="549">
        <v>32740.740945291534</v>
      </c>
    </row>
    <row r="8" spans="1:10" x14ac:dyDescent="0.35">
      <c r="A8" s="2">
        <v>3</v>
      </c>
      <c r="B8" s="71">
        <v>45524</v>
      </c>
      <c r="C8" s="11">
        <v>220000</v>
      </c>
      <c r="D8" s="3">
        <f t="shared" ref="D8:D28" si="0">D7+C8</f>
        <v>520000</v>
      </c>
      <c r="E8" s="2" t="s">
        <v>144</v>
      </c>
      <c r="F8" s="2">
        <v>1</v>
      </c>
      <c r="H8" s="2"/>
      <c r="I8" s="504" t="s">
        <v>213</v>
      </c>
      <c r="J8" s="549">
        <v>49935.604043737279</v>
      </c>
    </row>
    <row r="9" spans="1:10" x14ac:dyDescent="0.35">
      <c r="A9" s="2">
        <v>4</v>
      </c>
      <c r="B9" s="71">
        <v>45530</v>
      </c>
      <c r="C9" s="11">
        <v>280000</v>
      </c>
      <c r="D9" s="3">
        <f t="shared" si="0"/>
        <v>800000</v>
      </c>
      <c r="E9" s="2" t="s">
        <v>144</v>
      </c>
      <c r="F9" s="2">
        <v>1</v>
      </c>
      <c r="H9" s="2"/>
      <c r="I9" s="504" t="s">
        <v>215</v>
      </c>
      <c r="J9" s="549">
        <v>44094.072523092625</v>
      </c>
    </row>
    <row r="10" spans="1:10" x14ac:dyDescent="0.35">
      <c r="A10" s="2">
        <v>5</v>
      </c>
      <c r="B10" s="71">
        <v>45659</v>
      </c>
      <c r="C10" s="11">
        <v>200000</v>
      </c>
      <c r="D10" s="3">
        <f t="shared" si="0"/>
        <v>1000000</v>
      </c>
      <c r="E10" s="2" t="s">
        <v>144</v>
      </c>
      <c r="F10" s="2">
        <v>1</v>
      </c>
      <c r="H10" s="2"/>
      <c r="I10" s="504" t="s">
        <v>217</v>
      </c>
      <c r="J10" s="549">
        <v>105254.62250676569</v>
      </c>
    </row>
    <row r="11" spans="1:10" x14ac:dyDescent="0.35">
      <c r="A11" s="2">
        <v>6</v>
      </c>
      <c r="B11" s="71">
        <v>45801</v>
      </c>
      <c r="C11" s="11">
        <v>400000</v>
      </c>
      <c r="D11" s="3">
        <f t="shared" si="0"/>
        <v>1400000</v>
      </c>
      <c r="E11" s="2" t="s">
        <v>30</v>
      </c>
      <c r="F11" s="2">
        <v>1</v>
      </c>
      <c r="H11" s="2"/>
      <c r="I11" s="504" t="s">
        <v>219</v>
      </c>
      <c r="J11" s="549">
        <v>59153.536662039747</v>
      </c>
    </row>
    <row r="12" spans="1:10" x14ac:dyDescent="0.35">
      <c r="A12" s="2">
        <v>7</v>
      </c>
      <c r="B12" s="71">
        <v>45835</v>
      </c>
      <c r="C12" s="11">
        <v>100000</v>
      </c>
      <c r="D12" s="3">
        <f t="shared" si="0"/>
        <v>1500000</v>
      </c>
      <c r="E12" s="2" t="s">
        <v>30</v>
      </c>
      <c r="F12" s="2">
        <v>1</v>
      </c>
      <c r="H12" s="2"/>
      <c r="I12" s="504" t="s">
        <v>537</v>
      </c>
      <c r="J12" s="549">
        <v>10336.187200616409</v>
      </c>
    </row>
    <row r="13" spans="1:10" x14ac:dyDescent="0.35">
      <c r="A13" s="2">
        <v>8</v>
      </c>
      <c r="B13" s="71">
        <v>45894</v>
      </c>
      <c r="C13" s="11">
        <v>200000</v>
      </c>
      <c r="D13" s="3">
        <f t="shared" si="0"/>
        <v>1700000</v>
      </c>
      <c r="E13" s="2" t="s">
        <v>30</v>
      </c>
      <c r="F13" s="2">
        <v>1</v>
      </c>
      <c r="H13" s="2"/>
      <c r="I13" s="504" t="s">
        <v>543</v>
      </c>
      <c r="J13" s="549">
        <v>26591.163640836723</v>
      </c>
    </row>
    <row r="14" spans="1:10" x14ac:dyDescent="0.35">
      <c r="A14" s="2">
        <v>9</v>
      </c>
      <c r="B14" s="71">
        <v>45911</v>
      </c>
      <c r="C14" s="11">
        <v>300000</v>
      </c>
      <c r="D14" s="3">
        <f t="shared" si="0"/>
        <v>2000000</v>
      </c>
      <c r="E14" s="2" t="s">
        <v>30</v>
      </c>
      <c r="F14" s="2">
        <v>1</v>
      </c>
      <c r="H14" s="2"/>
      <c r="I14" s="504" t="s">
        <v>681</v>
      </c>
      <c r="J14" s="549">
        <f>'DETAILS (sorted)'!DC25</f>
        <v>40796.576364539447</v>
      </c>
    </row>
    <row r="15" spans="1:10" x14ac:dyDescent="0.35">
      <c r="A15" s="2">
        <v>10</v>
      </c>
      <c r="B15" s="71">
        <v>45966</v>
      </c>
      <c r="C15" s="202">
        <f>200000</f>
        <v>200000</v>
      </c>
      <c r="D15" s="3">
        <f t="shared" si="0"/>
        <v>2200000</v>
      </c>
      <c r="E15" s="2" t="s">
        <v>30</v>
      </c>
      <c r="F15" s="2">
        <v>2</v>
      </c>
      <c r="H15" s="2"/>
      <c r="I15" s="504" t="s">
        <v>696</v>
      </c>
      <c r="J15" s="549">
        <f>'DETAILS (sorted)'!DD25</f>
        <v>27623.157035526361</v>
      </c>
    </row>
    <row r="16" spans="1:10" x14ac:dyDescent="0.35">
      <c r="A16" s="2">
        <v>11</v>
      </c>
      <c r="B16" s="71">
        <v>45978</v>
      </c>
      <c r="C16" s="202">
        <f>200000</f>
        <v>200000</v>
      </c>
      <c r="D16" s="3">
        <f t="shared" si="0"/>
        <v>2400000</v>
      </c>
      <c r="E16" s="2" t="s">
        <v>30</v>
      </c>
      <c r="F16" s="2">
        <v>2</v>
      </c>
      <c r="H16" s="2"/>
      <c r="I16" s="524" t="s">
        <v>887</v>
      </c>
      <c r="J16" s="549">
        <f>'DETAILS (sorted)'!DF25</f>
        <v>24369.68632383689</v>
      </c>
    </row>
    <row r="17" spans="1:10" x14ac:dyDescent="0.35">
      <c r="A17" s="2">
        <v>12</v>
      </c>
      <c r="B17" s="71">
        <v>45985</v>
      </c>
      <c r="C17" s="202">
        <v>100000</v>
      </c>
      <c r="D17" s="3">
        <f t="shared" si="0"/>
        <v>2500000</v>
      </c>
      <c r="E17" s="2" t="s">
        <v>30</v>
      </c>
      <c r="F17" s="2">
        <v>2</v>
      </c>
      <c r="H17" s="2"/>
      <c r="I17" s="524" t="s">
        <v>889</v>
      </c>
      <c r="J17" s="549">
        <f>'DETAILS (sorted)'!DG25</f>
        <v>81370.195651354996</v>
      </c>
    </row>
    <row r="18" spans="1:10" x14ac:dyDescent="0.35">
      <c r="A18" s="2">
        <v>13</v>
      </c>
      <c r="B18" s="206">
        <v>45997</v>
      </c>
      <c r="C18" s="200">
        <v>100000</v>
      </c>
      <c r="D18" s="3">
        <f t="shared" si="0"/>
        <v>2600000</v>
      </c>
      <c r="E18" s="2" t="s">
        <v>30</v>
      </c>
      <c r="F18" s="2">
        <v>2</v>
      </c>
      <c r="H18" s="2"/>
      <c r="I18" s="524" t="s">
        <v>891</v>
      </c>
      <c r="J18" s="549">
        <f>'DETAILS (sorted)'!DL25</f>
        <v>34020.306047225691</v>
      </c>
    </row>
    <row r="19" spans="1:10" x14ac:dyDescent="0.35">
      <c r="A19" s="2">
        <v>14</v>
      </c>
      <c r="B19" s="206">
        <v>45999</v>
      </c>
      <c r="C19" s="200">
        <v>100000</v>
      </c>
      <c r="D19" s="3">
        <f t="shared" si="0"/>
        <v>2700000</v>
      </c>
      <c r="E19" s="2" t="s">
        <v>30</v>
      </c>
      <c r="F19" s="2">
        <v>2</v>
      </c>
      <c r="H19" s="2"/>
      <c r="I19" s="524" t="s">
        <v>894</v>
      </c>
      <c r="J19" s="549">
        <f>'DETAILS (sorted)'!DM25</f>
        <v>0</v>
      </c>
    </row>
    <row r="20" spans="1:10" x14ac:dyDescent="0.35">
      <c r="A20" s="2">
        <v>15</v>
      </c>
      <c r="B20" s="71">
        <v>46052</v>
      </c>
      <c r="C20" s="3">
        <v>400000</v>
      </c>
      <c r="D20" s="3">
        <f t="shared" si="0"/>
        <v>3100000</v>
      </c>
      <c r="E20" s="2" t="s">
        <v>30</v>
      </c>
      <c r="F20" s="2">
        <v>2</v>
      </c>
      <c r="H20" s="2"/>
      <c r="I20" s="524" t="s">
        <v>893</v>
      </c>
      <c r="J20" s="549">
        <f>'DETAILS (sorted)'!DN25</f>
        <v>0</v>
      </c>
    </row>
    <row r="21" spans="1:10" x14ac:dyDescent="0.35">
      <c r="A21" s="2">
        <v>16</v>
      </c>
      <c r="B21" s="71">
        <v>46084</v>
      </c>
      <c r="C21" s="3">
        <f>500000</f>
        <v>500000</v>
      </c>
      <c r="D21" s="3">
        <f t="shared" si="0"/>
        <v>3600000</v>
      </c>
      <c r="E21" s="2" t="s">
        <v>30</v>
      </c>
      <c r="F21" s="2">
        <v>2</v>
      </c>
      <c r="H21" s="2"/>
      <c r="I21" s="524" t="s">
        <v>895</v>
      </c>
      <c r="J21" s="549">
        <f>'DETAILS (sorted)'!DO25</f>
        <v>0</v>
      </c>
    </row>
    <row r="22" spans="1:10" x14ac:dyDescent="0.35">
      <c r="A22" s="2">
        <v>17</v>
      </c>
      <c r="B22" s="71">
        <v>46093</v>
      </c>
      <c r="C22" s="3">
        <v>540000</v>
      </c>
      <c r="D22" s="3">
        <f t="shared" si="0"/>
        <v>4140000</v>
      </c>
      <c r="E22" s="2" t="s">
        <v>30</v>
      </c>
      <c r="F22" s="2">
        <v>2</v>
      </c>
      <c r="H22" s="2"/>
      <c r="I22" s="524" t="s">
        <v>897</v>
      </c>
      <c r="J22" s="549">
        <f>'DETAILS (sorted)'!DQ25</f>
        <v>0</v>
      </c>
    </row>
    <row r="23" spans="1:10" x14ac:dyDescent="0.35">
      <c r="A23" s="2">
        <v>18</v>
      </c>
      <c r="B23" s="71">
        <v>46097</v>
      </c>
      <c r="C23" s="3">
        <v>155000</v>
      </c>
      <c r="D23" s="3">
        <f t="shared" si="0"/>
        <v>4295000</v>
      </c>
      <c r="E23" s="2" t="s">
        <v>30</v>
      </c>
      <c r="F23" s="2">
        <v>2</v>
      </c>
      <c r="H23" s="2"/>
      <c r="I23" s="524" t="s">
        <v>898</v>
      </c>
      <c r="J23" s="549">
        <f>'DETAILS (sorted)'!DR25</f>
        <v>0</v>
      </c>
    </row>
    <row r="24" spans="1:10" x14ac:dyDescent="0.35">
      <c r="A24" s="2">
        <v>19</v>
      </c>
      <c r="B24" s="71">
        <v>46098</v>
      </c>
      <c r="C24" s="3">
        <v>644000</v>
      </c>
      <c r="D24" s="3">
        <f t="shared" si="0"/>
        <v>4939000</v>
      </c>
      <c r="E24" s="2" t="s">
        <v>30</v>
      </c>
      <c r="F24" s="2">
        <v>2</v>
      </c>
      <c r="H24" s="2"/>
      <c r="I24" s="484"/>
      <c r="J24" s="549"/>
    </row>
    <row r="25" spans="1:10" x14ac:dyDescent="0.35">
      <c r="A25" s="2">
        <v>20</v>
      </c>
      <c r="B25" s="71">
        <v>46099</v>
      </c>
      <c r="C25" s="3">
        <v>1000000</v>
      </c>
      <c r="D25" s="3">
        <f t="shared" si="0"/>
        <v>5939000</v>
      </c>
      <c r="E25" s="2" t="s">
        <v>30</v>
      </c>
      <c r="F25" s="2">
        <v>2</v>
      </c>
      <c r="H25" s="2"/>
      <c r="I25" s="484"/>
      <c r="J25" s="549"/>
    </row>
    <row r="26" spans="1:10" x14ac:dyDescent="0.35">
      <c r="A26" s="2">
        <v>21</v>
      </c>
      <c r="B26" s="71">
        <v>46109</v>
      </c>
      <c r="C26" s="3">
        <v>150000</v>
      </c>
      <c r="D26" s="3">
        <f t="shared" si="0"/>
        <v>6089000</v>
      </c>
      <c r="E26" s="2" t="s">
        <v>30</v>
      </c>
      <c r="F26" s="2">
        <v>2</v>
      </c>
      <c r="H26" s="2"/>
      <c r="I26" s="484"/>
      <c r="J26" s="549"/>
    </row>
    <row r="27" spans="1:10" x14ac:dyDescent="0.35">
      <c r="A27" s="2">
        <v>22</v>
      </c>
      <c r="B27" s="71">
        <v>46123</v>
      </c>
      <c r="C27" s="3">
        <v>300000</v>
      </c>
      <c r="D27" s="3">
        <f t="shared" si="0"/>
        <v>6389000</v>
      </c>
      <c r="E27" s="2" t="s">
        <v>30</v>
      </c>
      <c r="F27" s="2">
        <v>2</v>
      </c>
      <c r="H27" s="2"/>
      <c r="I27" s="484"/>
      <c r="J27" s="549"/>
    </row>
    <row r="28" spans="1:10" x14ac:dyDescent="0.35">
      <c r="A28" s="2">
        <v>23</v>
      </c>
      <c r="B28" s="71">
        <v>46132</v>
      </c>
      <c r="C28" s="3">
        <v>300000</v>
      </c>
      <c r="D28" s="3">
        <f t="shared" si="0"/>
        <v>6689000</v>
      </c>
      <c r="E28" s="2" t="s">
        <v>30</v>
      </c>
      <c r="F28" s="2">
        <v>2</v>
      </c>
      <c r="H28" s="2"/>
      <c r="I28" s="484"/>
      <c r="J28" s="549"/>
    </row>
    <row r="29" spans="1:10" x14ac:dyDescent="0.35">
      <c r="A29" s="2">
        <v>24</v>
      </c>
      <c r="B29" s="71">
        <v>46171</v>
      </c>
      <c r="C29" s="3">
        <v>550000</v>
      </c>
      <c r="D29" s="3">
        <f t="shared" ref="D29:D30" si="1">D28+C29</f>
        <v>7239000</v>
      </c>
      <c r="E29" s="2" t="s">
        <v>30</v>
      </c>
      <c r="F29" s="2">
        <v>2</v>
      </c>
      <c r="H29" s="2"/>
      <c r="I29" s="484"/>
      <c r="J29" s="549"/>
    </row>
    <row r="30" spans="1:10" x14ac:dyDescent="0.35">
      <c r="A30" s="2">
        <v>25</v>
      </c>
      <c r="B30" s="71">
        <v>46174</v>
      </c>
      <c r="C30" s="3">
        <v>350000</v>
      </c>
      <c r="D30" s="3">
        <f t="shared" si="1"/>
        <v>7589000</v>
      </c>
      <c r="E30" s="2" t="s">
        <v>30</v>
      </c>
      <c r="F30" s="2">
        <v>2</v>
      </c>
      <c r="H30" s="2"/>
      <c r="I30" s="484"/>
      <c r="J30" s="549"/>
    </row>
    <row r="31" spans="1:10" x14ac:dyDescent="0.35">
      <c r="A31" s="2">
        <v>26</v>
      </c>
      <c r="B31" s="71">
        <v>46179</v>
      </c>
      <c r="C31" s="3">
        <v>300000</v>
      </c>
      <c r="D31" s="3">
        <f t="shared" ref="D31" si="2">D30+C31</f>
        <v>7889000</v>
      </c>
      <c r="E31" s="2" t="s">
        <v>30</v>
      </c>
      <c r="F31" s="2">
        <v>2</v>
      </c>
      <c r="H31" s="2"/>
      <c r="I31" s="484"/>
      <c r="J31" s="549"/>
    </row>
    <row r="32" spans="1:10" x14ac:dyDescent="0.35">
      <c r="A32" s="2">
        <v>27</v>
      </c>
      <c r="B32" s="71">
        <v>46188</v>
      </c>
      <c r="C32" s="3">
        <v>300000</v>
      </c>
      <c r="D32" s="3">
        <f t="shared" ref="D32" si="3">D31+C32</f>
        <v>8189000</v>
      </c>
      <c r="E32" s="2" t="s">
        <v>30</v>
      </c>
      <c r="F32" s="2">
        <v>2</v>
      </c>
      <c r="H32" s="2"/>
      <c r="I32" s="484"/>
      <c r="J32" s="549"/>
    </row>
    <row r="33" spans="1:10" x14ac:dyDescent="0.35">
      <c r="A33" s="2">
        <v>28</v>
      </c>
      <c r="B33" s="71">
        <v>46191</v>
      </c>
      <c r="C33" s="3">
        <v>400000</v>
      </c>
      <c r="D33" s="3">
        <f t="shared" ref="D33" si="4">D32+C33</f>
        <v>8589000</v>
      </c>
      <c r="E33" s="2" t="s">
        <v>30</v>
      </c>
      <c r="F33" s="2">
        <v>2</v>
      </c>
      <c r="H33" s="2"/>
      <c r="I33" s="484"/>
      <c r="J33" s="549"/>
    </row>
    <row r="34" spans="1:10" x14ac:dyDescent="0.35">
      <c r="A34" s="2">
        <v>29</v>
      </c>
      <c r="B34" s="71">
        <v>46203</v>
      </c>
      <c r="C34" s="3">
        <v>500000</v>
      </c>
      <c r="D34" s="3">
        <f t="shared" ref="D34:D35" si="5">D33+C34</f>
        <v>9089000</v>
      </c>
      <c r="E34" s="2" t="s">
        <v>30</v>
      </c>
      <c r="F34" s="2">
        <v>2</v>
      </c>
      <c r="H34" s="2"/>
      <c r="I34" s="484"/>
      <c r="J34" s="549"/>
    </row>
    <row r="35" spans="1:10" x14ac:dyDescent="0.35">
      <c r="A35" s="2">
        <v>30</v>
      </c>
      <c r="B35" s="71">
        <v>46204</v>
      </c>
      <c r="C35" s="3">
        <v>500000</v>
      </c>
      <c r="D35" s="3">
        <f t="shared" si="5"/>
        <v>9589000</v>
      </c>
      <c r="E35" s="2" t="s">
        <v>30</v>
      </c>
      <c r="F35" s="2">
        <v>2</v>
      </c>
      <c r="H35" s="2"/>
      <c r="I35" s="484"/>
      <c r="J35" s="549"/>
    </row>
    <row r="36" spans="1:10" x14ac:dyDescent="0.35">
      <c r="A36" s="2">
        <v>31</v>
      </c>
      <c r="B36" s="71">
        <v>46207</v>
      </c>
      <c r="C36" s="3">
        <v>100000</v>
      </c>
      <c r="D36" s="3">
        <f>D35+C36</f>
        <v>9689000</v>
      </c>
      <c r="E36" s="2" t="s">
        <v>30</v>
      </c>
      <c r="F36" s="2">
        <v>2</v>
      </c>
      <c r="H36" s="2"/>
      <c r="I36" s="484"/>
      <c r="J36" s="549"/>
    </row>
    <row r="37" spans="1:10" x14ac:dyDescent="0.35">
      <c r="A37" s="2">
        <v>32</v>
      </c>
      <c r="B37" s="71">
        <v>46208</v>
      </c>
      <c r="C37" s="3">
        <v>127000</v>
      </c>
      <c r="D37" s="3">
        <f>D36+C37</f>
        <v>9816000</v>
      </c>
      <c r="E37" s="2" t="s">
        <v>30</v>
      </c>
      <c r="F37" s="2">
        <v>2</v>
      </c>
      <c r="H37" s="2"/>
      <c r="I37" s="484"/>
      <c r="J37" s="549"/>
    </row>
    <row r="38" spans="1:10" x14ac:dyDescent="0.35">
      <c r="A38" s="2"/>
      <c r="B38" s="71"/>
      <c r="C38" s="3"/>
      <c r="D38" s="3"/>
      <c r="E38" s="2"/>
      <c r="F38" s="2"/>
      <c r="H38" s="2"/>
      <c r="I38" s="484"/>
      <c r="J38" s="549"/>
    </row>
    <row r="39" spans="1:10" x14ac:dyDescent="0.35">
      <c r="A39" s="2"/>
      <c r="B39" s="2"/>
      <c r="C39" s="3"/>
      <c r="D39" s="3"/>
      <c r="E39" s="2"/>
      <c r="F39" s="2"/>
      <c r="H39" s="2"/>
      <c r="I39" s="484"/>
      <c r="J39" s="549"/>
    </row>
    <row r="40" spans="1:10" s="5" customFormat="1" x14ac:dyDescent="0.35">
      <c r="A40" s="74"/>
      <c r="B40" s="74"/>
      <c r="C40" s="191">
        <f>SUM(C6:C39)</f>
        <v>9816000</v>
      </c>
      <c r="D40" s="191">
        <f>C40+J40</f>
        <v>10382017.698953206</v>
      </c>
      <c r="E40" s="191">
        <f>'DETAILS (sorted)'!DS25</f>
        <v>12051152.67215956</v>
      </c>
      <c r="F40" s="191">
        <f>D40-E40</f>
        <v>-1669134.9732063543</v>
      </c>
      <c r="G40" s="5" t="b">
        <f>D40=E40</f>
        <v>0</v>
      </c>
      <c r="H40" s="74"/>
      <c r="I40" s="544"/>
      <c r="J40" s="548">
        <f>SUM(J6:J39)</f>
        <v>566017.69895320572</v>
      </c>
    </row>
    <row r="42" spans="1:10" x14ac:dyDescent="0.35">
      <c r="C42" s="191" t="s">
        <v>644</v>
      </c>
      <c r="D42" s="191">
        <f>C40+J40</f>
        <v>10382017.698953206</v>
      </c>
      <c r="E42" s="122">
        <f>D42/D43</f>
        <v>0.51910088494766027</v>
      </c>
      <c r="F42" s="2" t="s">
        <v>652</v>
      </c>
    </row>
    <row r="43" spans="1:10" x14ac:dyDescent="0.35">
      <c r="C43" s="3"/>
      <c r="D43" s="3">
        <v>20000000</v>
      </c>
      <c r="E43" s="122">
        <f>D43/D43</f>
        <v>1</v>
      </c>
      <c r="F43" s="2" t="s">
        <v>654</v>
      </c>
    </row>
    <row r="44" spans="1:10" x14ac:dyDescent="0.35">
      <c r="C44" s="3"/>
      <c r="D44" s="3">
        <f>D42-D43</f>
        <v>-9617982.3010467943</v>
      </c>
      <c r="E44" s="122">
        <f>D44/D43</f>
        <v>-0.48089911505233973</v>
      </c>
      <c r="F44" s="2" t="s">
        <v>653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3C70C-A311-4C5A-B37C-EC24B7C3013B}">
  <dimension ref="A2:J39"/>
  <sheetViews>
    <sheetView topLeftCell="A7" workbookViewId="0">
      <selection activeCell="D15" sqref="D15"/>
    </sheetView>
  </sheetViews>
  <sheetFormatPr defaultRowHeight="14.5" x14ac:dyDescent="0.35"/>
  <cols>
    <col min="1" max="1" width="13.1796875" bestFit="1" customWidth="1"/>
    <col min="2" max="2" width="15.54296875" bestFit="1" customWidth="1"/>
    <col min="3" max="3" width="11.81640625" style="1" bestFit="1" customWidth="1"/>
    <col min="4" max="4" width="15" style="1" bestFit="1" customWidth="1"/>
    <col min="5" max="5" width="11.7265625" bestFit="1" customWidth="1"/>
    <col min="6" max="6" width="9.90625" bestFit="1" customWidth="1"/>
    <col min="7" max="7" width="6.08984375" bestFit="1" customWidth="1"/>
    <col min="8" max="8" width="5" bestFit="1" customWidth="1"/>
    <col min="9" max="9" width="27.45312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256</v>
      </c>
      <c r="B3" s="7" t="s">
        <v>76</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45384</v>
      </c>
      <c r="C6" s="11">
        <v>30000</v>
      </c>
      <c r="D6" s="3">
        <f>C6</f>
        <v>30000</v>
      </c>
      <c r="E6" s="2" t="s">
        <v>144</v>
      </c>
      <c r="F6" s="2">
        <v>1</v>
      </c>
      <c r="H6" s="2"/>
      <c r="I6" s="503" t="s">
        <v>210</v>
      </c>
      <c r="J6" s="549">
        <v>14865.92500417116</v>
      </c>
    </row>
    <row r="7" spans="1:10" x14ac:dyDescent="0.35">
      <c r="A7" s="2">
        <v>2</v>
      </c>
      <c r="B7" s="71">
        <v>45384</v>
      </c>
      <c r="C7" s="11">
        <v>170000</v>
      </c>
      <c r="D7" s="3">
        <f>D6+C7</f>
        <v>200000</v>
      </c>
      <c r="E7" s="2" t="s">
        <v>144</v>
      </c>
      <c r="F7" s="2">
        <v>1</v>
      </c>
      <c r="H7" s="2"/>
      <c r="I7" s="504" t="s">
        <v>212</v>
      </c>
      <c r="J7" s="549">
        <v>19644.44456717492</v>
      </c>
    </row>
    <row r="8" spans="1:10" x14ac:dyDescent="0.35">
      <c r="A8" s="2">
        <v>3</v>
      </c>
      <c r="B8" s="71">
        <v>45657</v>
      </c>
      <c r="C8" s="11">
        <v>800000</v>
      </c>
      <c r="D8" s="3">
        <f t="shared" ref="D8:D9" si="0">D7+C8</f>
        <v>1000000</v>
      </c>
      <c r="E8" s="2" t="s">
        <v>30</v>
      </c>
      <c r="F8" s="2">
        <v>2</v>
      </c>
      <c r="H8" s="2"/>
      <c r="I8" s="504" t="s">
        <v>213</v>
      </c>
      <c r="J8" s="549">
        <v>29961.362426242365</v>
      </c>
    </row>
    <row r="9" spans="1:10" x14ac:dyDescent="0.35">
      <c r="A9" s="2">
        <v>4</v>
      </c>
      <c r="B9" s="71">
        <v>45946</v>
      </c>
      <c r="C9" s="200">
        <v>500000</v>
      </c>
      <c r="D9" s="3">
        <f t="shared" si="0"/>
        <v>1500000</v>
      </c>
      <c r="E9" s="2" t="s">
        <v>30</v>
      </c>
      <c r="F9" s="2">
        <v>2</v>
      </c>
      <c r="H9" s="2"/>
      <c r="I9" s="504" t="s">
        <v>215</v>
      </c>
      <c r="J9" s="549">
        <v>21335.841543431918</v>
      </c>
    </row>
    <row r="10" spans="1:10" x14ac:dyDescent="0.35">
      <c r="A10" s="2">
        <v>5</v>
      </c>
      <c r="B10" s="71">
        <v>46202</v>
      </c>
      <c r="C10" s="3">
        <v>1700000</v>
      </c>
      <c r="D10" s="3">
        <f t="shared" ref="D10" si="1">D9+C10</f>
        <v>3200000</v>
      </c>
      <c r="E10" s="2" t="s">
        <v>30</v>
      </c>
      <c r="F10" s="2">
        <v>2</v>
      </c>
      <c r="H10" s="2"/>
      <c r="I10" s="504" t="s">
        <v>217</v>
      </c>
      <c r="J10" s="549">
        <v>50929.656051660822</v>
      </c>
    </row>
    <row r="11" spans="1:10" x14ac:dyDescent="0.35">
      <c r="A11" s="2">
        <v>6</v>
      </c>
      <c r="B11" s="71">
        <v>46204</v>
      </c>
      <c r="C11" s="3">
        <v>200000</v>
      </c>
      <c r="D11" s="3">
        <f t="shared" ref="D11" si="2">D10+C11</f>
        <v>3400000</v>
      </c>
      <c r="E11" s="2" t="s">
        <v>30</v>
      </c>
      <c r="F11" s="2">
        <v>2</v>
      </c>
      <c r="H11" s="2"/>
      <c r="I11" s="504" t="s">
        <v>219</v>
      </c>
      <c r="J11" s="549">
        <v>14572.229428980067</v>
      </c>
    </row>
    <row r="12" spans="1:10" x14ac:dyDescent="0.35">
      <c r="A12" s="2">
        <v>7</v>
      </c>
      <c r="B12" s="71"/>
      <c r="C12" s="3"/>
      <c r="D12" s="3"/>
      <c r="E12" s="2"/>
      <c r="F12" s="2"/>
      <c r="H12" s="2"/>
      <c r="I12" s="504" t="s">
        <v>537</v>
      </c>
      <c r="J12" s="549">
        <v>2317.8772314134571</v>
      </c>
    </row>
    <row r="13" spans="1:10" x14ac:dyDescent="0.35">
      <c r="A13" s="2">
        <v>8</v>
      </c>
      <c r="B13" s="294"/>
      <c r="C13" s="3"/>
      <c r="D13" s="3"/>
      <c r="E13" s="2"/>
      <c r="F13" s="2"/>
      <c r="H13" s="2"/>
      <c r="I13" s="504" t="s">
        <v>543</v>
      </c>
      <c r="J13" s="549">
        <v>5963.0356497615612</v>
      </c>
    </row>
    <row r="14" spans="1:10" x14ac:dyDescent="0.35">
      <c r="A14" s="2">
        <v>9</v>
      </c>
      <c r="B14" s="294"/>
      <c r="C14" s="3"/>
      <c r="D14" s="3"/>
      <c r="E14" s="2"/>
      <c r="F14" s="2"/>
      <c r="H14" s="2"/>
      <c r="I14" s="504" t="s">
        <v>681</v>
      </c>
      <c r="J14" s="549">
        <f>'DETAILS (sorted)'!DC26</f>
        <v>8453.4969673724499</v>
      </c>
    </row>
    <row r="15" spans="1:10" x14ac:dyDescent="0.35">
      <c r="A15" s="2">
        <v>10</v>
      </c>
      <c r="B15" s="294"/>
      <c r="C15" s="205"/>
      <c r="D15" s="3"/>
      <c r="E15" s="2"/>
      <c r="F15" s="2"/>
      <c r="H15" s="2"/>
      <c r="I15" s="504" t="s">
        <v>696</v>
      </c>
      <c r="J15" s="549">
        <f>'DETAILS (sorted)'!DD26</f>
        <v>5723.8203554758311</v>
      </c>
    </row>
    <row r="16" spans="1:10" x14ac:dyDescent="0.35">
      <c r="A16" s="2">
        <v>11</v>
      </c>
      <c r="B16" s="294"/>
      <c r="C16" s="3"/>
      <c r="D16" s="3"/>
      <c r="E16" s="2"/>
      <c r="F16" s="2"/>
      <c r="H16" s="2"/>
      <c r="I16" s="524" t="s">
        <v>887</v>
      </c>
      <c r="J16" s="549">
        <f>'DETAILS (sorted)'!DF26</f>
        <v>8579.9313715786157</v>
      </c>
    </row>
    <row r="17" spans="1:10" x14ac:dyDescent="0.35">
      <c r="A17" s="2">
        <v>12</v>
      </c>
      <c r="B17" s="71"/>
      <c r="C17" s="3"/>
      <c r="D17" s="3"/>
      <c r="E17" s="2"/>
      <c r="F17" s="2"/>
      <c r="H17" s="2"/>
      <c r="I17" s="524" t="s">
        <v>889</v>
      </c>
      <c r="J17" s="549">
        <f>'DETAILS (sorted)'!DG26</f>
        <v>28648.325017530638</v>
      </c>
    </row>
    <row r="18" spans="1:10" x14ac:dyDescent="0.35">
      <c r="A18" s="2">
        <v>13</v>
      </c>
      <c r="B18" s="71"/>
      <c r="C18" s="3"/>
      <c r="D18" s="3"/>
      <c r="E18" s="2"/>
      <c r="F18" s="2"/>
      <c r="H18" s="2"/>
      <c r="I18" s="524" t="s">
        <v>891</v>
      </c>
      <c r="J18" s="549">
        <f>'DETAILS (sorted)'!DL26</f>
        <v>10327.634647349389</v>
      </c>
    </row>
    <row r="19" spans="1:10" x14ac:dyDescent="0.35">
      <c r="A19" s="2">
        <v>14</v>
      </c>
      <c r="B19" s="71"/>
      <c r="C19" s="3"/>
      <c r="D19" s="3"/>
      <c r="E19" s="2"/>
      <c r="F19" s="2"/>
      <c r="H19" s="2"/>
      <c r="I19" s="524" t="s">
        <v>894</v>
      </c>
      <c r="J19" s="549">
        <f>'DETAILS (sorted)'!DM26</f>
        <v>0</v>
      </c>
    </row>
    <row r="20" spans="1:10" x14ac:dyDescent="0.35">
      <c r="A20" s="2">
        <v>15</v>
      </c>
      <c r="B20" s="71"/>
      <c r="C20" s="3"/>
      <c r="D20" s="3"/>
      <c r="E20" s="2"/>
      <c r="F20" s="2"/>
      <c r="H20" s="2"/>
      <c r="I20" s="524" t="s">
        <v>893</v>
      </c>
      <c r="J20" s="549">
        <f>'DETAILS (sorted)'!DN26</f>
        <v>0</v>
      </c>
    </row>
    <row r="21" spans="1:10" x14ac:dyDescent="0.35">
      <c r="A21" s="2">
        <v>16</v>
      </c>
      <c r="B21" s="71"/>
      <c r="C21" s="3"/>
      <c r="D21" s="3"/>
      <c r="E21" s="2"/>
      <c r="F21" s="2"/>
      <c r="H21" s="2"/>
      <c r="I21" s="524" t="s">
        <v>895</v>
      </c>
      <c r="J21" s="549">
        <f>'DETAILS (sorted)'!DO26</f>
        <v>0</v>
      </c>
    </row>
    <row r="22" spans="1:10" x14ac:dyDescent="0.35">
      <c r="A22" s="2"/>
      <c r="B22" s="2"/>
      <c r="C22" s="3"/>
      <c r="D22" s="3"/>
      <c r="E22" s="2"/>
      <c r="F22" s="2"/>
      <c r="H22" s="2"/>
      <c r="I22" s="524" t="s">
        <v>897</v>
      </c>
      <c r="J22" s="549">
        <f>'DETAILS (sorted)'!DQ26</f>
        <v>0</v>
      </c>
    </row>
    <row r="23" spans="1:10" x14ac:dyDescent="0.35">
      <c r="A23" s="2"/>
      <c r="B23" s="2"/>
      <c r="C23" s="3"/>
      <c r="D23" s="3"/>
      <c r="E23" s="2"/>
      <c r="F23" s="2"/>
      <c r="H23" s="2"/>
      <c r="I23" s="524" t="s">
        <v>898</v>
      </c>
      <c r="J23" s="549">
        <f>'DETAILS (sorted)'!DR26</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3400000</v>
      </c>
      <c r="D35" s="191">
        <f>C35+J35</f>
        <v>3621323.5802621432</v>
      </c>
      <c r="E35" s="191">
        <f>'DETAILS (sorted)'!DS26</f>
        <v>3658400.4184066346</v>
      </c>
      <c r="F35" s="191">
        <f>D35-E35</f>
        <v>-37076.838144491427</v>
      </c>
      <c r="G35" s="5" t="b">
        <f>D35=E35</f>
        <v>0</v>
      </c>
      <c r="H35" s="74"/>
      <c r="I35" s="544"/>
      <c r="J35" s="548">
        <f>SUM(J6:J34)</f>
        <v>221323.58026214322</v>
      </c>
    </row>
    <row r="37" spans="1:10" x14ac:dyDescent="0.35">
      <c r="C37" s="191" t="s">
        <v>644</v>
      </c>
      <c r="D37" s="191">
        <f>C35+J35</f>
        <v>3621323.5802621432</v>
      </c>
      <c r="E37" s="122">
        <v>2.7783722240082031E-2</v>
      </c>
      <c r="F37" s="2" t="s">
        <v>652</v>
      </c>
    </row>
    <row r="38" spans="1:10" x14ac:dyDescent="0.35">
      <c r="C38" s="3"/>
      <c r="D38" s="3">
        <v>4000000</v>
      </c>
      <c r="E38" s="122">
        <v>1</v>
      </c>
      <c r="F38" s="2" t="s">
        <v>654</v>
      </c>
    </row>
    <row r="39" spans="1:10" x14ac:dyDescent="0.35">
      <c r="C39" s="3"/>
      <c r="D39" s="3">
        <f>D37-D38</f>
        <v>-378676.41973785684</v>
      </c>
      <c r="E39" s="122">
        <v>-0.97221627775991803</v>
      </c>
      <c r="F39" s="2" t="s">
        <v>653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DEBE8-E50D-4A06-8E3B-C19901E26833}">
  <dimension ref="A2:J39"/>
  <sheetViews>
    <sheetView topLeftCell="A12" workbookViewId="0">
      <selection activeCell="N16" sqref="N16"/>
    </sheetView>
  </sheetViews>
  <sheetFormatPr defaultRowHeight="14.5" x14ac:dyDescent="0.35"/>
  <cols>
    <col min="1" max="1" width="12" bestFit="1" customWidth="1"/>
    <col min="2" max="2" width="15.54296875" bestFit="1" customWidth="1"/>
    <col min="3" max="3" width="12.7265625" style="1" bestFit="1" customWidth="1"/>
    <col min="4" max="4" width="14.453125" style="1" bestFit="1" customWidth="1"/>
    <col min="5" max="5" width="11.26953125" bestFit="1" customWidth="1"/>
    <col min="6" max="6" width="9.26953125" bestFit="1" customWidth="1"/>
    <col min="7" max="7" width="5.1796875" bestFit="1" customWidth="1"/>
    <col min="8" max="8" width="11.1796875" hidden="1" customWidth="1"/>
    <col min="9" max="9" width="21" style="526" customWidth="1"/>
    <col min="10" max="10" width="11.1796875" style="550" bestFit="1" customWidth="1"/>
  </cols>
  <sheetData>
    <row r="2" spans="1:10" s="5" customFormat="1" ht="28" customHeight="1" x14ac:dyDescent="0.35">
      <c r="A2" s="74" t="s">
        <v>190</v>
      </c>
      <c r="B2" s="191" t="s">
        <v>0</v>
      </c>
      <c r="C2" s="191"/>
      <c r="D2" s="74" t="s">
        <v>1</v>
      </c>
      <c r="E2" s="75" t="s">
        <v>2</v>
      </c>
      <c r="F2" s="74"/>
      <c r="G2" s="74"/>
      <c r="H2" s="74"/>
      <c r="I2" s="544"/>
      <c r="J2" s="548"/>
    </row>
    <row r="3" spans="1:10" s="1" customFormat="1" x14ac:dyDescent="0.35">
      <c r="A3" s="210" t="s">
        <v>257</v>
      </c>
      <c r="B3" s="286" t="s">
        <v>1062</v>
      </c>
      <c r="C3" s="72"/>
      <c r="D3" s="71"/>
      <c r="E3" s="11"/>
      <c r="F3" s="11"/>
      <c r="G3" s="71"/>
      <c r="H3" s="11"/>
      <c r="I3" s="545"/>
      <c r="J3" s="54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45928</v>
      </c>
      <c r="C6" s="11">
        <v>1000000</v>
      </c>
      <c r="D6" s="3">
        <f>C6</f>
        <v>1000000</v>
      </c>
      <c r="E6" s="2" t="s">
        <v>30</v>
      </c>
      <c r="F6" s="2">
        <v>1</v>
      </c>
      <c r="H6" s="2"/>
      <c r="I6" s="503" t="s">
        <v>210</v>
      </c>
      <c r="J6" s="550">
        <v>28245.257507925206</v>
      </c>
    </row>
    <row r="7" spans="1:10" x14ac:dyDescent="0.35">
      <c r="A7" s="2">
        <v>2</v>
      </c>
      <c r="B7" s="71">
        <v>45847</v>
      </c>
      <c r="C7" s="11">
        <v>900000</v>
      </c>
      <c r="D7" s="3">
        <f>D6+C7</f>
        <v>1900000</v>
      </c>
      <c r="E7" s="2" t="s">
        <v>30</v>
      </c>
      <c r="F7" s="2">
        <v>1</v>
      </c>
      <c r="H7" s="2"/>
      <c r="I7" s="504" t="s">
        <v>212</v>
      </c>
      <c r="J7" s="550">
        <v>24882.963118421565</v>
      </c>
    </row>
    <row r="8" spans="1:10" x14ac:dyDescent="0.35">
      <c r="A8" s="2">
        <v>3</v>
      </c>
      <c r="B8" s="71">
        <v>45847</v>
      </c>
      <c r="C8" s="7">
        <v>10000000</v>
      </c>
      <c r="D8" s="3">
        <f>D7+C8</f>
        <v>11900000</v>
      </c>
      <c r="E8" s="2" t="s">
        <v>30</v>
      </c>
      <c r="F8" s="2">
        <v>2</v>
      </c>
      <c r="H8" s="2"/>
      <c r="I8" s="504" t="s">
        <v>213</v>
      </c>
      <c r="J8" s="550">
        <v>37951.059073240336</v>
      </c>
    </row>
    <row r="9" spans="1:10" x14ac:dyDescent="0.35">
      <c r="A9" s="2"/>
      <c r="B9" s="71"/>
      <c r="C9" s="3"/>
      <c r="D9" s="3"/>
      <c r="E9" s="2"/>
      <c r="F9" s="2"/>
      <c r="H9" s="2"/>
      <c r="I9" s="504" t="s">
        <v>215</v>
      </c>
      <c r="J9" s="550">
        <v>27025.399288347096</v>
      </c>
    </row>
    <row r="10" spans="1:10" x14ac:dyDescent="0.35">
      <c r="A10" s="2"/>
      <c r="B10" s="71"/>
      <c r="C10" s="3"/>
      <c r="D10" s="3"/>
      <c r="E10" s="2"/>
      <c r="F10" s="2"/>
      <c r="H10" s="2"/>
      <c r="I10" s="504" t="s">
        <v>217</v>
      </c>
      <c r="J10" s="550">
        <v>64510.897665437034</v>
      </c>
    </row>
    <row r="11" spans="1:10" x14ac:dyDescent="0.35">
      <c r="A11" s="2"/>
      <c r="B11" s="71"/>
      <c r="C11" s="3"/>
      <c r="D11" s="3"/>
      <c r="E11" s="2"/>
      <c r="F11" s="2"/>
      <c r="H11" s="2"/>
      <c r="I11" s="504" t="s">
        <v>219</v>
      </c>
      <c r="J11" s="550">
        <v>18458.157276708087</v>
      </c>
    </row>
    <row r="12" spans="1:10" x14ac:dyDescent="0.35">
      <c r="A12" s="2"/>
      <c r="B12" s="71"/>
      <c r="C12" s="3"/>
      <c r="D12" s="3"/>
      <c r="E12" s="2"/>
      <c r="F12" s="2"/>
      <c r="H12" s="2"/>
      <c r="I12" s="504" t="s">
        <v>537</v>
      </c>
      <c r="J12" s="550">
        <v>2935.9778264570455</v>
      </c>
    </row>
    <row r="13" spans="1:10" x14ac:dyDescent="0.35">
      <c r="A13" s="2"/>
      <c r="B13" s="294"/>
      <c r="C13" s="3"/>
      <c r="D13" s="3"/>
      <c r="E13" s="2"/>
      <c r="F13" s="2"/>
      <c r="H13" s="2"/>
      <c r="I13" s="504" t="s">
        <v>543</v>
      </c>
      <c r="J13" s="550">
        <v>7553.1784896979771</v>
      </c>
    </row>
    <row r="14" spans="1:10" ht="24.5" x14ac:dyDescent="0.35">
      <c r="A14" s="2"/>
      <c r="B14" s="294"/>
      <c r="C14" s="3"/>
      <c r="D14" s="3"/>
      <c r="E14" s="2"/>
      <c r="F14" s="2"/>
      <c r="H14" s="2"/>
      <c r="I14" s="504" t="s">
        <v>681</v>
      </c>
      <c r="J14" s="549">
        <f>'DETAILS (sorted)'!DC27</f>
        <v>10707.762825338437</v>
      </c>
    </row>
    <row r="15" spans="1:10" x14ac:dyDescent="0.35">
      <c r="A15" s="2"/>
      <c r="B15" s="294"/>
      <c r="C15" s="205"/>
      <c r="D15" s="3"/>
      <c r="E15" s="2"/>
      <c r="F15" s="2"/>
      <c r="H15" s="2"/>
      <c r="I15" s="504" t="s">
        <v>696</v>
      </c>
      <c r="J15" s="549">
        <f>'DETAILS (sorted)'!DD27</f>
        <v>7250.172450269386</v>
      </c>
    </row>
    <row r="16" spans="1:10" x14ac:dyDescent="0.35">
      <c r="A16" s="2"/>
      <c r="B16" s="294"/>
      <c r="C16" s="3"/>
      <c r="D16" s="3"/>
      <c r="E16" s="2"/>
      <c r="F16" s="2"/>
      <c r="H16" s="2"/>
      <c r="I16" s="524" t="s">
        <v>887</v>
      </c>
      <c r="J16" s="549">
        <f>'DETAILS (sorted)'!DF27</f>
        <v>5094.3342518748032</v>
      </c>
    </row>
    <row r="17" spans="1:10" x14ac:dyDescent="0.35">
      <c r="A17" s="2"/>
      <c r="B17" s="71"/>
      <c r="C17" s="3"/>
      <c r="D17" s="3"/>
      <c r="E17" s="2"/>
      <c r="F17" s="2"/>
      <c r="H17" s="2"/>
      <c r="I17" s="524" t="s">
        <v>889</v>
      </c>
      <c r="J17" s="549">
        <f>'DETAILS (sorted)'!DG27</f>
        <v>17009.942979158815</v>
      </c>
    </row>
    <row r="18" spans="1:10" x14ac:dyDescent="0.35">
      <c r="A18" s="2"/>
      <c r="B18" s="71"/>
      <c r="C18" s="3"/>
      <c r="D18" s="3"/>
      <c r="E18" s="2"/>
      <c r="F18" s="2"/>
      <c r="H18" s="2"/>
      <c r="I18" s="524" t="s">
        <v>891</v>
      </c>
      <c r="J18" s="549">
        <f>'DETAILS (sorted)'!DL27</f>
        <v>34754.274533372387</v>
      </c>
    </row>
    <row r="19" spans="1:10" x14ac:dyDescent="0.35">
      <c r="A19" s="2"/>
      <c r="B19" s="71"/>
      <c r="C19" s="3"/>
      <c r="D19" s="3"/>
      <c r="E19" s="2"/>
      <c r="F19" s="2"/>
      <c r="H19" s="2"/>
      <c r="I19" s="524" t="s">
        <v>894</v>
      </c>
      <c r="J19" s="549">
        <f>'DETAILS (sorted)'!DM27</f>
        <v>0</v>
      </c>
    </row>
    <row r="20" spans="1:10" hidden="1" x14ac:dyDescent="0.35">
      <c r="A20" s="2">
        <v>15</v>
      </c>
      <c r="B20" s="71"/>
      <c r="C20" s="3"/>
      <c r="D20" s="3"/>
      <c r="E20" s="2"/>
      <c r="F20" s="2"/>
      <c r="H20" s="2"/>
      <c r="I20" s="524" t="s">
        <v>893</v>
      </c>
      <c r="J20" s="549">
        <f>'DETAILS (sorted)'!DN27</f>
        <v>0</v>
      </c>
    </row>
    <row r="21" spans="1:10" hidden="1" x14ac:dyDescent="0.35">
      <c r="A21" s="2">
        <v>16</v>
      </c>
      <c r="B21" s="71"/>
      <c r="C21" s="3"/>
      <c r="D21" s="3"/>
      <c r="E21" s="2"/>
      <c r="F21" s="2"/>
      <c r="H21" s="2"/>
      <c r="I21" s="524" t="s">
        <v>895</v>
      </c>
      <c r="J21" s="549">
        <f>'DETAILS (sorted)'!DO27</f>
        <v>0</v>
      </c>
    </row>
    <row r="22" spans="1:10" hidden="1" x14ac:dyDescent="0.35">
      <c r="A22" s="2"/>
      <c r="B22" s="2"/>
      <c r="C22" s="3"/>
      <c r="D22" s="3"/>
      <c r="E22" s="2"/>
      <c r="F22" s="2"/>
      <c r="H22" s="2"/>
      <c r="I22" s="524" t="s">
        <v>897</v>
      </c>
      <c r="J22" s="549">
        <f>'DETAILS (sorted)'!DQ27</f>
        <v>0</v>
      </c>
    </row>
    <row r="23" spans="1:10" hidden="1" x14ac:dyDescent="0.35">
      <c r="A23" s="2"/>
      <c r="B23" s="2"/>
      <c r="C23" s="3"/>
      <c r="D23" s="3"/>
      <c r="E23" s="2"/>
      <c r="F23" s="2"/>
      <c r="H23" s="2"/>
      <c r="I23" s="524" t="s">
        <v>898</v>
      </c>
      <c r="J23" s="549">
        <f>'DETAILS (sorted)'!DR27</f>
        <v>0</v>
      </c>
    </row>
    <row r="24" spans="1:10" hidden="1" x14ac:dyDescent="0.35">
      <c r="A24" s="2"/>
      <c r="B24" s="2"/>
      <c r="C24" s="3"/>
      <c r="D24" s="3"/>
      <c r="E24" s="2"/>
      <c r="F24" s="2"/>
      <c r="H24" s="2"/>
      <c r="I24" s="484"/>
      <c r="J24" s="549"/>
    </row>
    <row r="25" spans="1:10" hidden="1" x14ac:dyDescent="0.35">
      <c r="A25" s="2"/>
      <c r="B25" s="2"/>
      <c r="C25" s="3"/>
      <c r="D25" s="3"/>
      <c r="E25" s="2"/>
      <c r="F25" s="2"/>
      <c r="H25" s="2"/>
      <c r="I25" s="484"/>
      <c r="J25" s="549"/>
    </row>
    <row r="26" spans="1:10" hidden="1" x14ac:dyDescent="0.35">
      <c r="A26" s="2"/>
      <c r="B26" s="2"/>
      <c r="C26" s="3"/>
      <c r="D26" s="3"/>
      <c r="E26" s="2"/>
      <c r="F26" s="2"/>
      <c r="H26" s="2"/>
      <c r="I26" s="484"/>
      <c r="J26" s="549"/>
    </row>
    <row r="27" spans="1:10" hidden="1" x14ac:dyDescent="0.35">
      <c r="A27" s="2"/>
      <c r="B27" s="2"/>
      <c r="C27" s="3"/>
      <c r="D27" s="3"/>
      <c r="E27" s="2"/>
      <c r="F27" s="2"/>
      <c r="H27" s="2"/>
      <c r="I27" s="484"/>
      <c r="J27" s="549"/>
    </row>
    <row r="28" spans="1:10" hidden="1" x14ac:dyDescent="0.35">
      <c r="A28" s="2"/>
      <c r="B28" s="2"/>
      <c r="C28" s="3"/>
      <c r="D28" s="3"/>
      <c r="E28" s="2"/>
      <c r="F28" s="2"/>
      <c r="H28" s="2"/>
      <c r="I28" s="484"/>
      <c r="J28" s="549"/>
    </row>
    <row r="29" spans="1:10" hidden="1" x14ac:dyDescent="0.35">
      <c r="A29" s="2"/>
      <c r="B29" s="2"/>
      <c r="C29" s="3"/>
      <c r="D29" s="3"/>
      <c r="E29" s="2"/>
      <c r="F29" s="2"/>
      <c r="H29" s="2"/>
      <c r="I29" s="484"/>
      <c r="J29" s="549"/>
    </row>
    <row r="30" spans="1:10" hidden="1" x14ac:dyDescent="0.35">
      <c r="A30" s="2"/>
      <c r="B30" s="2"/>
      <c r="C30" s="3"/>
      <c r="D30" s="3"/>
      <c r="E30" s="2"/>
      <c r="F30" s="2"/>
      <c r="H30" s="2"/>
      <c r="I30" s="484"/>
      <c r="J30" s="549"/>
    </row>
    <row r="31" spans="1:10" hidden="1"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11900000</v>
      </c>
      <c r="D35" s="191">
        <f>C35+J35</f>
        <v>12186379.377286248</v>
      </c>
      <c r="E35" s="191">
        <f>'DETAILS (sorted)'!DS27</f>
        <v>12311149.342113942</v>
      </c>
      <c r="F35" s="191">
        <f>D35-E35</f>
        <v>-124769.964827694</v>
      </c>
      <c r="G35" s="5" t="b">
        <f>D35=E35</f>
        <v>0</v>
      </c>
      <c r="H35" s="74"/>
      <c r="I35" s="544"/>
      <c r="J35" s="548">
        <f>SUM(J6:J34)</f>
        <v>286379.37728624814</v>
      </c>
    </row>
    <row r="37" spans="1:10" x14ac:dyDescent="0.35">
      <c r="C37" s="404" t="s">
        <v>644</v>
      </c>
      <c r="D37" s="404">
        <f>C35+J35</f>
        <v>12186379.377286248</v>
      </c>
      <c r="E37" s="94">
        <f>D37/D38</f>
        <v>0.40621264590954159</v>
      </c>
      <c r="F37" t="s">
        <v>652</v>
      </c>
    </row>
    <row r="38" spans="1:10" x14ac:dyDescent="0.35">
      <c r="D38" s="1">
        <v>30000000</v>
      </c>
      <c r="E38" s="94">
        <f>D38/D38</f>
        <v>1</v>
      </c>
      <c r="F38" t="s">
        <v>654</v>
      </c>
    </row>
    <row r="39" spans="1:10" x14ac:dyDescent="0.35">
      <c r="D39" s="1">
        <f>D37-D38</f>
        <v>-17813620.622713752</v>
      </c>
      <c r="E39" s="94">
        <f>D39/D38</f>
        <v>-0.59378735409045835</v>
      </c>
      <c r="F39" t="s">
        <v>653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797BF-E76D-4774-A85E-C9F2D17B62B0}">
  <dimension ref="A2:J39"/>
  <sheetViews>
    <sheetView topLeftCell="A14" workbookViewId="0">
      <selection activeCell="D15" sqref="D15"/>
    </sheetView>
  </sheetViews>
  <sheetFormatPr defaultRowHeight="14.5" x14ac:dyDescent="0.35"/>
  <cols>
    <col min="1" max="1" width="13.1796875" bestFit="1" customWidth="1"/>
    <col min="2" max="2" width="22.08984375" bestFit="1" customWidth="1"/>
    <col min="3" max="3" width="12.7265625" style="1" bestFit="1" customWidth="1"/>
    <col min="4" max="4" width="17.453125" style="1" bestFit="1" customWidth="1"/>
    <col min="5" max="5" width="12.7265625" bestFit="1" customWidth="1"/>
    <col min="6" max="6" width="10.81640625" bestFit="1" customWidth="1"/>
    <col min="7" max="7" width="6.08984375" bestFit="1" customWidth="1"/>
    <col min="8" max="8" width="5" bestFit="1" customWidth="1"/>
    <col min="9" max="9" width="24.5429687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258</v>
      </c>
      <c r="B3" s="7" t="s">
        <v>90</v>
      </c>
      <c r="C3" s="72"/>
      <c r="D3" s="71"/>
      <c r="E3" s="11"/>
      <c r="F3" s="11"/>
      <c r="G3" s="71"/>
      <c r="H3" s="11"/>
      <c r="I3" s="545"/>
      <c r="J3" s="54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45662</v>
      </c>
      <c r="C6" s="11">
        <v>1000000</v>
      </c>
      <c r="D6" s="3">
        <f>C6</f>
        <v>1000000</v>
      </c>
      <c r="E6" s="2" t="s">
        <v>144</v>
      </c>
      <c r="F6" s="2">
        <v>1</v>
      </c>
      <c r="H6" s="2"/>
      <c r="I6" s="503" t="s">
        <v>210</v>
      </c>
      <c r="J6" s="549">
        <v>14865.92500417116</v>
      </c>
    </row>
    <row r="7" spans="1:10" x14ac:dyDescent="0.35">
      <c r="A7" s="2">
        <v>2</v>
      </c>
      <c r="B7" s="71">
        <v>45990</v>
      </c>
      <c r="C7" s="200">
        <v>1000000</v>
      </c>
      <c r="D7" s="3">
        <f>D6+C7</f>
        <v>2000000</v>
      </c>
      <c r="E7" s="2" t="s">
        <v>30</v>
      </c>
      <c r="F7" s="2">
        <v>2</v>
      </c>
      <c r="H7" s="2"/>
      <c r="I7" s="504" t="s">
        <v>212</v>
      </c>
      <c r="J7" s="549">
        <v>26192.592756233225</v>
      </c>
    </row>
    <row r="8" spans="1:10" x14ac:dyDescent="0.35">
      <c r="A8" s="2">
        <v>3</v>
      </c>
      <c r="B8" s="71">
        <v>46204</v>
      </c>
      <c r="C8" s="7">
        <v>2000000</v>
      </c>
      <c r="D8" s="3">
        <f>D7+C8</f>
        <v>4000000</v>
      </c>
      <c r="E8" s="2" t="s">
        <v>30</v>
      </c>
      <c r="F8" s="2"/>
      <c r="H8" s="2"/>
      <c r="I8" s="504" t="s">
        <v>213</v>
      </c>
      <c r="J8" s="549">
        <v>39948.483234989821</v>
      </c>
    </row>
    <row r="9" spans="1:10" x14ac:dyDescent="0.35">
      <c r="A9" s="2">
        <v>4</v>
      </c>
      <c r="B9" s="71"/>
      <c r="C9" s="3"/>
      <c r="D9" s="3"/>
      <c r="E9" s="2"/>
      <c r="F9" s="2"/>
      <c r="H9" s="2"/>
      <c r="I9" s="504" t="s">
        <v>215</v>
      </c>
      <c r="J9" s="549">
        <v>28447.78872457589</v>
      </c>
    </row>
    <row r="10" spans="1:10" x14ac:dyDescent="0.35">
      <c r="A10" s="2">
        <v>5</v>
      </c>
      <c r="B10" s="71"/>
      <c r="C10" s="3"/>
      <c r="D10" s="3"/>
      <c r="E10" s="2"/>
      <c r="F10" s="2"/>
      <c r="H10" s="2"/>
      <c r="I10" s="504" t="s">
        <v>217</v>
      </c>
      <c r="J10" s="549">
        <v>67906.208068881097</v>
      </c>
    </row>
    <row r="11" spans="1:10" x14ac:dyDescent="0.35">
      <c r="A11" s="2">
        <v>6</v>
      </c>
      <c r="B11" s="71"/>
      <c r="C11" s="3"/>
      <c r="D11" s="3"/>
      <c r="E11" s="2"/>
      <c r="F11" s="2"/>
      <c r="H11" s="2"/>
      <c r="I11" s="504" t="s">
        <v>219</v>
      </c>
      <c r="J11" s="549">
        <v>19429.639238640091</v>
      </c>
    </row>
    <row r="12" spans="1:10" x14ac:dyDescent="0.35">
      <c r="A12" s="2">
        <v>7</v>
      </c>
      <c r="B12" s="71"/>
      <c r="C12" s="3"/>
      <c r="D12" s="3"/>
      <c r="E12" s="2"/>
      <c r="F12" s="2"/>
      <c r="H12" s="2"/>
      <c r="I12" s="504" t="s">
        <v>537</v>
      </c>
      <c r="J12" s="549">
        <v>3090.502975217943</v>
      </c>
    </row>
    <row r="13" spans="1:10" x14ac:dyDescent="0.35">
      <c r="A13" s="2">
        <v>8</v>
      </c>
      <c r="B13" s="294"/>
      <c r="C13" s="3"/>
      <c r="D13" s="3"/>
      <c r="E13" s="2"/>
      <c r="F13" s="2"/>
      <c r="H13" s="2"/>
      <c r="I13" s="504" t="s">
        <v>543</v>
      </c>
      <c r="J13" s="549">
        <v>7950.7141996820828</v>
      </c>
    </row>
    <row r="14" spans="1:10" x14ac:dyDescent="0.35">
      <c r="A14" s="2">
        <v>9</v>
      </c>
      <c r="B14" s="294"/>
      <c r="C14" s="3"/>
      <c r="D14" s="3"/>
      <c r="E14" s="2"/>
      <c r="F14" s="2"/>
      <c r="H14" s="2"/>
      <c r="I14" s="504" t="s">
        <v>681</v>
      </c>
      <c r="J14" s="549">
        <f>'DETAILS (sorted)'!DC28</f>
        <v>11271.329289829933</v>
      </c>
    </row>
    <row r="15" spans="1:10" x14ac:dyDescent="0.35">
      <c r="A15" s="2">
        <v>10</v>
      </c>
      <c r="B15" s="294"/>
      <c r="C15" s="205"/>
      <c r="D15" s="3"/>
      <c r="E15" s="2"/>
      <c r="F15" s="2"/>
      <c r="H15" s="2"/>
      <c r="I15" s="504" t="s">
        <v>696</v>
      </c>
      <c r="J15" s="549">
        <f>'DETAILS (sorted)'!DD28</f>
        <v>7631.7604739677754</v>
      </c>
    </row>
    <row r="16" spans="1:10" x14ac:dyDescent="0.35">
      <c r="A16" s="2">
        <v>11</v>
      </c>
      <c r="B16" s="294"/>
      <c r="C16" s="3"/>
      <c r="D16" s="3"/>
      <c r="E16" s="2"/>
      <c r="F16" s="2"/>
      <c r="H16" s="2"/>
      <c r="I16" s="524" t="s">
        <v>887</v>
      </c>
      <c r="J16" s="549">
        <f>'DETAILS (sorted)'!DF28</f>
        <v>5362.4571072366352</v>
      </c>
    </row>
    <row r="17" spans="1:10" x14ac:dyDescent="0.35">
      <c r="A17" s="2">
        <v>12</v>
      </c>
      <c r="B17" s="71"/>
      <c r="C17" s="3"/>
      <c r="D17" s="3"/>
      <c r="E17" s="2"/>
      <c r="F17" s="2"/>
      <c r="H17" s="2"/>
      <c r="I17" s="524" t="s">
        <v>889</v>
      </c>
      <c r="J17" s="549">
        <f>'DETAILS (sorted)'!DG28</f>
        <v>17905.20313595665</v>
      </c>
    </row>
    <row r="18" spans="1:10" x14ac:dyDescent="0.35">
      <c r="A18" s="2">
        <v>13</v>
      </c>
      <c r="B18" s="71"/>
      <c r="C18" s="3"/>
      <c r="D18" s="3"/>
      <c r="E18" s="2"/>
      <c r="F18" s="2"/>
      <c r="H18" s="2"/>
      <c r="I18" s="524" t="s">
        <v>891</v>
      </c>
      <c r="J18" s="549">
        <f>'DETAILS (sorted)'!DL28</f>
        <v>12155.226648720312</v>
      </c>
    </row>
    <row r="19" spans="1:10" x14ac:dyDescent="0.35">
      <c r="A19" s="2">
        <v>14</v>
      </c>
      <c r="B19" s="71"/>
      <c r="C19" s="3"/>
      <c r="D19" s="3"/>
      <c r="E19" s="2"/>
      <c r="F19" s="2"/>
      <c r="H19" s="2"/>
      <c r="I19" s="524" t="s">
        <v>894</v>
      </c>
      <c r="J19" s="549">
        <f>'DETAILS (sorted)'!DM28</f>
        <v>0</v>
      </c>
    </row>
    <row r="20" spans="1:10" x14ac:dyDescent="0.35">
      <c r="A20" s="2">
        <v>15</v>
      </c>
      <c r="B20" s="71"/>
      <c r="C20" s="3"/>
      <c r="D20" s="3"/>
      <c r="E20" s="2"/>
      <c r="F20" s="2"/>
      <c r="H20" s="2"/>
      <c r="I20" s="524" t="s">
        <v>893</v>
      </c>
      <c r="J20" s="549">
        <f>'DETAILS (sorted)'!DN28</f>
        <v>0</v>
      </c>
    </row>
    <row r="21" spans="1:10" x14ac:dyDescent="0.35">
      <c r="A21" s="2">
        <v>16</v>
      </c>
      <c r="B21" s="71"/>
      <c r="C21" s="3"/>
      <c r="D21" s="3"/>
      <c r="E21" s="2"/>
      <c r="F21" s="2"/>
      <c r="H21" s="2"/>
      <c r="I21" s="524" t="s">
        <v>895</v>
      </c>
      <c r="J21" s="549">
        <f>'DETAILS (sorted)'!DO28</f>
        <v>0</v>
      </c>
    </row>
    <row r="22" spans="1:10" x14ac:dyDescent="0.35">
      <c r="A22" s="2"/>
      <c r="B22" s="2"/>
      <c r="C22" s="3"/>
      <c r="D22" s="3"/>
      <c r="E22" s="2"/>
      <c r="F22" s="2"/>
      <c r="H22" s="2"/>
      <c r="I22" s="524" t="s">
        <v>897</v>
      </c>
      <c r="J22" s="549">
        <f>'DETAILS (sorted)'!DQ28</f>
        <v>0</v>
      </c>
    </row>
    <row r="23" spans="1:10" x14ac:dyDescent="0.35">
      <c r="A23" s="2"/>
      <c r="B23" s="2"/>
      <c r="C23" s="3"/>
      <c r="D23" s="3"/>
      <c r="E23" s="2"/>
      <c r="F23" s="2"/>
      <c r="H23" s="2"/>
      <c r="I23" s="524" t="s">
        <v>898</v>
      </c>
      <c r="J23" s="549">
        <f>'DETAILS (sorted)'!DR28</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4000000</v>
      </c>
      <c r="D35" s="191">
        <f>C35+J35</f>
        <v>4262157.830858103</v>
      </c>
      <c r="E35" s="191">
        <f>'DETAILS (sorted)'!DS28</f>
        <v>4305795.8357307743</v>
      </c>
      <c r="F35" s="191">
        <f>D35-E35</f>
        <v>-43638.004872671328</v>
      </c>
      <c r="G35" s="5" t="b">
        <f>D35=E35</f>
        <v>0</v>
      </c>
      <c r="H35" s="74"/>
      <c r="I35" s="544"/>
      <c r="J35" s="548">
        <f>SUM(J6:J34)</f>
        <v>262157.83085810265</v>
      </c>
    </row>
    <row r="37" spans="1:10" x14ac:dyDescent="0.35">
      <c r="C37" s="191" t="s">
        <v>644</v>
      </c>
      <c r="D37" s="191">
        <f>C35+J35</f>
        <v>4262157.830858103</v>
      </c>
      <c r="E37" s="122">
        <f>D37/D38</f>
        <v>1.0655394577145259</v>
      </c>
      <c r="F37" s="2" t="s">
        <v>652</v>
      </c>
    </row>
    <row r="38" spans="1:10" x14ac:dyDescent="0.35">
      <c r="C38" s="3"/>
      <c r="D38" s="3">
        <v>4000000</v>
      </c>
      <c r="E38" s="122">
        <f>D38/D38</f>
        <v>1</v>
      </c>
      <c r="F38" s="2" t="s">
        <v>654</v>
      </c>
    </row>
    <row r="39" spans="1:10" x14ac:dyDescent="0.35">
      <c r="C39" s="3"/>
      <c r="D39" s="3">
        <f>D37-D38</f>
        <v>262157.830858103</v>
      </c>
      <c r="E39" s="122">
        <f>D39/D38</f>
        <v>6.5539457714525753E-2</v>
      </c>
      <c r="F39" s="2" t="s">
        <v>653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93D05-C255-4EEA-BDD5-9A6F911DC789}">
  <dimension ref="A2:J39"/>
  <sheetViews>
    <sheetView topLeftCell="A3" workbookViewId="0">
      <selection activeCell="N16" sqref="N16"/>
    </sheetView>
  </sheetViews>
  <sheetFormatPr defaultRowHeight="14.5" x14ac:dyDescent="0.35"/>
  <cols>
    <col min="1" max="1" width="12" bestFit="1" customWidth="1"/>
    <col min="2" max="2" width="14.26953125" bestFit="1" customWidth="1"/>
    <col min="3" max="3" width="11.36328125" style="1" bestFit="1" customWidth="1"/>
    <col min="4" max="4" width="14.453125" style="1" bestFit="1" customWidth="1"/>
    <col min="5" max="5" width="12.7265625" bestFit="1" customWidth="1"/>
    <col min="6" max="6" width="13.453125" bestFit="1" customWidth="1"/>
    <col min="7" max="7" width="9.08984375" bestFit="1" customWidth="1"/>
    <col min="8" max="8" width="11.1796875" bestFit="1" customWidth="1"/>
    <col min="9" max="9" width="27.08984375" style="526" customWidth="1"/>
    <col min="10" max="10" width="11.8164062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259</v>
      </c>
      <c r="B3" s="7" t="s">
        <v>36</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45354</v>
      </c>
      <c r="C6" s="11">
        <v>100000</v>
      </c>
      <c r="D6" s="3">
        <f>C6</f>
        <v>100000</v>
      </c>
      <c r="E6" s="2" t="s">
        <v>144</v>
      </c>
      <c r="F6" s="2">
        <v>1</v>
      </c>
      <c r="H6" s="2"/>
      <c r="I6" s="503" t="s">
        <v>210</v>
      </c>
      <c r="J6" s="557">
        <v>25272.072507090972</v>
      </c>
    </row>
    <row r="7" spans="1:10" x14ac:dyDescent="0.35">
      <c r="A7" s="2">
        <v>2</v>
      </c>
      <c r="B7" s="71">
        <v>45361</v>
      </c>
      <c r="C7" s="11">
        <v>100000</v>
      </c>
      <c r="D7" s="3">
        <f>D6+C7</f>
        <v>200000</v>
      </c>
      <c r="E7" s="2" t="s">
        <v>144</v>
      </c>
      <c r="F7" s="2">
        <v>1</v>
      </c>
      <c r="H7" s="2"/>
      <c r="I7" s="504" t="s">
        <v>212</v>
      </c>
      <c r="J7" s="557">
        <v>22263.703842798241</v>
      </c>
    </row>
    <row r="8" spans="1:10" x14ac:dyDescent="0.35">
      <c r="A8" s="2">
        <v>3</v>
      </c>
      <c r="B8" s="71">
        <v>45411</v>
      </c>
      <c r="C8" s="11">
        <v>50000</v>
      </c>
      <c r="D8" s="3">
        <f t="shared" ref="D8:D16" si="0">D7+C8</f>
        <v>250000</v>
      </c>
      <c r="E8" s="2" t="s">
        <v>144</v>
      </c>
      <c r="F8" s="2">
        <v>1</v>
      </c>
      <c r="H8" s="2"/>
      <c r="I8" s="504" t="s">
        <v>213</v>
      </c>
      <c r="J8" s="557">
        <v>33956.210749741345</v>
      </c>
    </row>
    <row r="9" spans="1:10" x14ac:dyDescent="0.35">
      <c r="A9" s="2">
        <v>4</v>
      </c>
      <c r="B9" s="71">
        <v>45496</v>
      </c>
      <c r="C9" s="11">
        <v>100000</v>
      </c>
      <c r="D9" s="3">
        <f t="shared" si="0"/>
        <v>350000</v>
      </c>
      <c r="E9" s="2" t="s">
        <v>144</v>
      </c>
      <c r="F9" s="2">
        <v>1</v>
      </c>
      <c r="H9" s="2"/>
      <c r="I9" s="504" t="s">
        <v>215</v>
      </c>
      <c r="J9" s="557">
        <v>24180.620415889505</v>
      </c>
    </row>
    <row r="10" spans="1:10" x14ac:dyDescent="0.35">
      <c r="A10" s="2">
        <v>5</v>
      </c>
      <c r="B10" s="71">
        <v>45521</v>
      </c>
      <c r="C10" s="11">
        <v>650000</v>
      </c>
      <c r="D10" s="3">
        <f t="shared" si="0"/>
        <v>1000000</v>
      </c>
      <c r="E10" s="2" t="s">
        <v>144</v>
      </c>
      <c r="F10" s="2">
        <v>1</v>
      </c>
      <c r="H10" s="2"/>
      <c r="I10" s="504" t="s">
        <v>217</v>
      </c>
      <c r="J10" s="557">
        <v>57720.276858548925</v>
      </c>
    </row>
    <row r="11" spans="1:10" x14ac:dyDescent="0.35">
      <c r="A11" s="2">
        <v>6</v>
      </c>
      <c r="B11" s="71">
        <v>45742</v>
      </c>
      <c r="C11" s="11">
        <v>200000</v>
      </c>
      <c r="D11" s="3">
        <f t="shared" si="0"/>
        <v>1200000</v>
      </c>
      <c r="E11" s="2" t="s">
        <v>144</v>
      </c>
      <c r="F11" s="2">
        <v>1</v>
      </c>
      <c r="H11" s="2"/>
      <c r="I11" s="504" t="s">
        <v>219</v>
      </c>
      <c r="J11" s="557">
        <v>37304.907338188968</v>
      </c>
    </row>
    <row r="12" spans="1:10" x14ac:dyDescent="0.35">
      <c r="A12" s="2">
        <v>7</v>
      </c>
      <c r="B12" s="71">
        <v>45928</v>
      </c>
      <c r="C12" s="11">
        <v>500000</v>
      </c>
      <c r="D12" s="3">
        <f t="shared" si="0"/>
        <v>1700000</v>
      </c>
      <c r="E12" s="2" t="s">
        <v>30</v>
      </c>
      <c r="F12" s="2">
        <v>1</v>
      </c>
      <c r="H12" s="2"/>
      <c r="I12" s="504" t="s">
        <v>537</v>
      </c>
      <c r="J12" s="557">
        <v>7479.0172000274215</v>
      </c>
    </row>
    <row r="13" spans="1:10" x14ac:dyDescent="0.35">
      <c r="A13" s="2">
        <v>8</v>
      </c>
      <c r="B13" s="71">
        <v>46083</v>
      </c>
      <c r="C13" s="3">
        <f>1500000</f>
        <v>1500000</v>
      </c>
      <c r="D13" s="3">
        <f t="shared" si="0"/>
        <v>3200000</v>
      </c>
      <c r="E13" s="2" t="s">
        <v>30</v>
      </c>
      <c r="F13" s="2">
        <v>2</v>
      </c>
      <c r="H13" s="2"/>
      <c r="I13" s="504" t="s">
        <v>543</v>
      </c>
      <c r="J13" s="557">
        <v>19240.728363230639</v>
      </c>
    </row>
    <row r="14" spans="1:10" x14ac:dyDescent="0.35">
      <c r="A14" s="2">
        <v>9</v>
      </c>
      <c r="B14" s="71">
        <v>46107</v>
      </c>
      <c r="C14" s="3">
        <v>640000</v>
      </c>
      <c r="D14" s="3">
        <f t="shared" si="0"/>
        <v>3840000</v>
      </c>
      <c r="E14" s="2" t="s">
        <v>30</v>
      </c>
      <c r="F14" s="2">
        <v>2</v>
      </c>
      <c r="H14" s="2"/>
      <c r="I14" s="504" t="s">
        <v>681</v>
      </c>
      <c r="J14" s="549">
        <f>'DETAILS (sorted)'!DC29</f>
        <v>35730.113848760884</v>
      </c>
    </row>
    <row r="15" spans="1:10" x14ac:dyDescent="0.35">
      <c r="A15" s="2">
        <v>10</v>
      </c>
      <c r="B15" s="71">
        <v>46137</v>
      </c>
      <c r="C15" s="3">
        <v>1000000</v>
      </c>
      <c r="D15" s="3">
        <f t="shared" si="0"/>
        <v>4840000</v>
      </c>
      <c r="E15" s="2" t="s">
        <v>30</v>
      </c>
      <c r="F15" s="2">
        <v>2</v>
      </c>
      <c r="H15" s="2"/>
      <c r="I15" s="504" t="s">
        <v>696</v>
      </c>
      <c r="J15" s="549">
        <f>'DETAILS (sorted)'!DD29</f>
        <v>24192.680702477846</v>
      </c>
    </row>
    <row r="16" spans="1:10" x14ac:dyDescent="0.35">
      <c r="A16" s="2">
        <v>11</v>
      </c>
      <c r="B16" s="71">
        <v>46164</v>
      </c>
      <c r="C16" s="3">
        <v>1500000</v>
      </c>
      <c r="D16" s="3">
        <f t="shared" si="0"/>
        <v>6340000</v>
      </c>
      <c r="E16" s="2" t="s">
        <v>30</v>
      </c>
      <c r="F16" s="2">
        <v>2</v>
      </c>
      <c r="H16" s="2"/>
      <c r="I16" s="524" t="s">
        <v>887</v>
      </c>
      <c r="J16" s="549">
        <f>'DETAILS (sorted)'!DF29</f>
        <v>31745.746074840881</v>
      </c>
    </row>
    <row r="17" spans="1:10" x14ac:dyDescent="0.35">
      <c r="A17" s="2">
        <v>12</v>
      </c>
      <c r="B17" s="71">
        <v>46198</v>
      </c>
      <c r="C17" s="3">
        <v>3500000</v>
      </c>
      <c r="D17" s="3">
        <f t="shared" ref="D17" si="1">D16+C17</f>
        <v>9840000</v>
      </c>
      <c r="E17" s="2" t="s">
        <v>30</v>
      </c>
      <c r="F17" s="2">
        <v>2</v>
      </c>
      <c r="H17" s="2"/>
      <c r="I17" s="524" t="s">
        <v>889</v>
      </c>
      <c r="J17" s="549">
        <f>'DETAILS (sorted)'!DG29</f>
        <v>105998.80256486336</v>
      </c>
    </row>
    <row r="18" spans="1:10" x14ac:dyDescent="0.35">
      <c r="A18" s="2">
        <v>13</v>
      </c>
      <c r="B18" s="71">
        <v>46200</v>
      </c>
      <c r="C18" s="3">
        <v>2000000</v>
      </c>
      <c r="D18" s="3">
        <f t="shared" ref="D18" si="2">D17+C18</f>
        <v>11840000</v>
      </c>
      <c r="E18" s="2" t="s">
        <v>30</v>
      </c>
      <c r="F18" s="2">
        <v>2</v>
      </c>
      <c r="H18" s="2"/>
      <c r="I18" s="524" t="s">
        <v>891</v>
      </c>
      <c r="J18" s="549">
        <f>'DETAILS (sorted)'!DL29</f>
        <v>35078.775349502728</v>
      </c>
    </row>
    <row r="19" spans="1:10" x14ac:dyDescent="0.35">
      <c r="A19" s="2">
        <v>14</v>
      </c>
      <c r="B19" s="71"/>
      <c r="C19" s="3"/>
      <c r="D19" s="3"/>
      <c r="E19" s="2"/>
      <c r="F19" s="2"/>
      <c r="H19" s="2"/>
      <c r="I19" s="524" t="s">
        <v>894</v>
      </c>
      <c r="J19" s="549">
        <f>'DETAILS (sorted)'!DM29</f>
        <v>0</v>
      </c>
    </row>
    <row r="20" spans="1:10" x14ac:dyDescent="0.35">
      <c r="A20" s="2">
        <v>15</v>
      </c>
      <c r="B20" s="71"/>
      <c r="C20" s="3"/>
      <c r="D20" s="3"/>
      <c r="E20" s="2"/>
      <c r="F20" s="2"/>
      <c r="H20" s="2"/>
      <c r="I20" s="524" t="s">
        <v>893</v>
      </c>
      <c r="J20" s="549">
        <f>'DETAILS (sorted)'!DN29</f>
        <v>0</v>
      </c>
    </row>
    <row r="21" spans="1:10" x14ac:dyDescent="0.35">
      <c r="A21" s="2">
        <v>16</v>
      </c>
      <c r="B21" s="71"/>
      <c r="C21" s="3"/>
      <c r="D21" s="3"/>
      <c r="E21" s="2"/>
      <c r="F21" s="2"/>
      <c r="H21" s="2"/>
      <c r="I21" s="524" t="s">
        <v>895</v>
      </c>
      <c r="J21" s="549">
        <f>'DETAILS (sorted)'!DO29</f>
        <v>0</v>
      </c>
    </row>
    <row r="22" spans="1:10" x14ac:dyDescent="0.35">
      <c r="A22" s="2"/>
      <c r="B22" s="2"/>
      <c r="C22" s="3"/>
      <c r="D22" s="3"/>
      <c r="E22" s="2"/>
      <c r="F22" s="2"/>
      <c r="H22" s="2"/>
      <c r="I22" s="524" t="s">
        <v>897</v>
      </c>
      <c r="J22" s="549">
        <f>'DETAILS (sorted)'!DQ29</f>
        <v>0</v>
      </c>
    </row>
    <row r="23" spans="1:10" x14ac:dyDescent="0.35">
      <c r="A23" s="2"/>
      <c r="B23" s="2"/>
      <c r="C23" s="3"/>
      <c r="D23" s="3"/>
      <c r="E23" s="2"/>
      <c r="F23" s="2"/>
      <c r="H23" s="2"/>
      <c r="I23" s="524" t="s">
        <v>898</v>
      </c>
      <c r="J23" s="549">
        <f>'DETAILS (sorted)'!DR29</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11840000</v>
      </c>
      <c r="D35" s="191">
        <f>C35+J35</f>
        <v>12300163.655815963</v>
      </c>
      <c r="E35" s="191">
        <f>'DETAILS (sorted)'!DS29</f>
        <v>12426098.598361038</v>
      </c>
      <c r="F35" s="191">
        <f>D35-E35</f>
        <v>-125934.94254507497</v>
      </c>
      <c r="G35" s="5" t="b">
        <f>D35=E35</f>
        <v>0</v>
      </c>
      <c r="H35" s="74"/>
      <c r="I35" s="544"/>
      <c r="J35" s="548">
        <f>SUM(J6:J34)</f>
        <v>460163.65581596177</v>
      </c>
    </row>
    <row r="37" spans="1:10" x14ac:dyDescent="0.35">
      <c r="C37" s="191" t="s">
        <v>644</v>
      </c>
      <c r="D37" s="191">
        <f>C35+J35</f>
        <v>12300163.655815963</v>
      </c>
      <c r="E37" s="122">
        <f>D37/D38</f>
        <v>0.61500818279079816</v>
      </c>
      <c r="F37" s="2" t="s">
        <v>652</v>
      </c>
    </row>
    <row r="38" spans="1:10" x14ac:dyDescent="0.35">
      <c r="C38" s="3"/>
      <c r="D38" s="3">
        <v>20000000</v>
      </c>
      <c r="E38" s="122">
        <f>D38/D38</f>
        <v>1</v>
      </c>
      <c r="F38" s="2" t="s">
        <v>654</v>
      </c>
    </row>
    <row r="39" spans="1:10" x14ac:dyDescent="0.35">
      <c r="C39" s="3"/>
      <c r="D39" s="3">
        <f>D37-D38</f>
        <v>-7699836.3441840373</v>
      </c>
      <c r="E39" s="122">
        <f>D39/D38</f>
        <v>-0.38499181720920189</v>
      </c>
      <c r="F39" s="2" t="s">
        <v>653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E37E8-E7C1-40CD-86DC-E2DE5EA88965}">
  <dimension ref="A2:J39"/>
  <sheetViews>
    <sheetView topLeftCell="A4" workbookViewId="0">
      <selection activeCell="N16" sqref="N16"/>
    </sheetView>
  </sheetViews>
  <sheetFormatPr defaultRowHeight="14.5" x14ac:dyDescent="0.35"/>
  <cols>
    <col min="1" max="1" width="12" bestFit="1" customWidth="1"/>
    <col min="2" max="2" width="15.453125" bestFit="1" customWidth="1"/>
    <col min="3" max="3" width="11.36328125" style="1" bestFit="1" customWidth="1"/>
    <col min="4" max="4" width="14.453125" style="1" bestFit="1" customWidth="1"/>
    <col min="5" max="5" width="11.26953125" bestFit="1" customWidth="1"/>
    <col min="6" max="6" width="9.26953125" bestFit="1" customWidth="1"/>
    <col min="7" max="7" width="5.1796875" bestFit="1" customWidth="1"/>
    <col min="8" max="8" width="11.1796875" hidden="1" customWidth="1"/>
    <col min="9" max="9" width="25.726562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16" x14ac:dyDescent="0.4">
      <c r="A3" s="210" t="s">
        <v>260</v>
      </c>
      <c r="B3" s="128" t="s">
        <v>1060</v>
      </c>
      <c r="D3" s="72" t="s">
        <v>85</v>
      </c>
      <c r="E3" s="11"/>
      <c r="F3" s="11"/>
      <c r="G3" s="71"/>
      <c r="H3" s="11"/>
      <c r="I3" s="545"/>
      <c r="J3" s="555"/>
    </row>
    <row r="4" spans="1:10" s="1" customFormat="1" x14ac:dyDescent="0.35">
      <c r="A4" s="210"/>
      <c r="B4" s="7"/>
      <c r="C4" s="72"/>
      <c r="D4" s="71"/>
      <c r="E4" s="11"/>
      <c r="F4" s="11"/>
      <c r="G4" s="71"/>
      <c r="H4" s="11"/>
      <c r="I4" s="545"/>
      <c r="J4" s="555"/>
    </row>
    <row r="5" spans="1:10" x14ac:dyDescent="0.35">
      <c r="A5" s="74" t="s">
        <v>487</v>
      </c>
      <c r="B5" s="74" t="s">
        <v>2</v>
      </c>
      <c r="C5" s="191" t="s">
        <v>124</v>
      </c>
      <c r="D5" s="191" t="s">
        <v>488</v>
      </c>
      <c r="E5" s="74" t="s">
        <v>489</v>
      </c>
      <c r="F5" s="74" t="s">
        <v>490</v>
      </c>
      <c r="H5" s="2"/>
      <c r="I5" s="484"/>
      <c r="J5" s="549"/>
    </row>
    <row r="6" spans="1:10" x14ac:dyDescent="0.35">
      <c r="A6" s="2">
        <v>1</v>
      </c>
      <c r="B6" s="71">
        <v>45649</v>
      </c>
      <c r="C6" s="11">
        <v>800000</v>
      </c>
      <c r="D6" s="3">
        <f>C6</f>
        <v>800000</v>
      </c>
      <c r="E6" s="2" t="s">
        <v>144</v>
      </c>
      <c r="F6" s="2">
        <v>1</v>
      </c>
      <c r="H6" s="2"/>
      <c r="I6" s="503" t="s">
        <v>210</v>
      </c>
      <c r="J6" s="549">
        <v>20812.295005839624</v>
      </c>
    </row>
    <row r="7" spans="1:10" x14ac:dyDescent="0.35">
      <c r="A7" s="2">
        <v>2</v>
      </c>
      <c r="B7" s="71">
        <v>45655</v>
      </c>
      <c r="C7" s="11">
        <v>200000</v>
      </c>
      <c r="D7" s="3">
        <f>D6+C7</f>
        <v>1000000</v>
      </c>
      <c r="E7" s="2" t="s">
        <v>144</v>
      </c>
      <c r="F7" s="2">
        <v>1</v>
      </c>
      <c r="H7" s="2"/>
      <c r="I7" s="504" t="s">
        <v>212</v>
      </c>
      <c r="J7" s="549">
        <v>24882.963118421565</v>
      </c>
    </row>
    <row r="8" spans="1:10" x14ac:dyDescent="0.35">
      <c r="A8" s="2">
        <v>3</v>
      </c>
      <c r="B8" s="71">
        <v>45687</v>
      </c>
      <c r="C8" s="11">
        <v>200000</v>
      </c>
      <c r="D8" s="3">
        <f t="shared" ref="D8:D20" si="0">D7+C8</f>
        <v>1200000</v>
      </c>
      <c r="E8" s="2" t="s">
        <v>144</v>
      </c>
      <c r="F8" s="2">
        <v>1</v>
      </c>
      <c r="H8" s="2"/>
      <c r="I8" s="504" t="s">
        <v>213</v>
      </c>
      <c r="J8" s="549">
        <v>37951.059073240336</v>
      </c>
    </row>
    <row r="9" spans="1:10" x14ac:dyDescent="0.35">
      <c r="A9" s="2">
        <v>4</v>
      </c>
      <c r="B9" s="71">
        <v>45816</v>
      </c>
      <c r="C9" s="11">
        <v>200000</v>
      </c>
      <c r="D9" s="3">
        <f t="shared" si="0"/>
        <v>1400000</v>
      </c>
      <c r="E9" s="2" t="s">
        <v>30</v>
      </c>
      <c r="F9" s="2">
        <v>1</v>
      </c>
      <c r="H9" s="2"/>
      <c r="I9" s="504" t="s">
        <v>215</v>
      </c>
      <c r="J9" s="549">
        <v>41249.293650635038</v>
      </c>
    </row>
    <row r="10" spans="1:10" x14ac:dyDescent="0.35">
      <c r="A10" s="2">
        <v>5</v>
      </c>
      <c r="B10" s="71">
        <v>45946</v>
      </c>
      <c r="C10" s="200">
        <v>500000</v>
      </c>
      <c r="D10" s="3">
        <f t="shared" si="0"/>
        <v>1900000</v>
      </c>
      <c r="E10" s="2" t="s">
        <v>30</v>
      </c>
      <c r="F10" s="2">
        <v>2</v>
      </c>
      <c r="H10" s="2"/>
      <c r="I10" s="504" t="s">
        <v>217</v>
      </c>
      <c r="J10" s="549">
        <v>112045.2433136538</v>
      </c>
    </row>
    <row r="11" spans="1:10" x14ac:dyDescent="0.35">
      <c r="A11" s="2">
        <v>6</v>
      </c>
      <c r="B11" s="206">
        <v>45995</v>
      </c>
      <c r="C11" s="200">
        <f>500000</f>
        <v>500000</v>
      </c>
      <c r="D11" s="3">
        <f t="shared" si="0"/>
        <v>2400000</v>
      </c>
      <c r="E11" s="2" t="s">
        <v>30</v>
      </c>
      <c r="F11" s="2">
        <v>2</v>
      </c>
      <c r="H11" s="2"/>
      <c r="I11" s="504" t="s">
        <v>219</v>
      </c>
      <c r="J11" s="549">
        <v>42745.206325008192</v>
      </c>
    </row>
    <row r="12" spans="1:10" x14ac:dyDescent="0.35">
      <c r="A12" s="2">
        <v>7</v>
      </c>
      <c r="B12" s="206">
        <v>45995</v>
      </c>
      <c r="C12" s="421">
        <v>500000</v>
      </c>
      <c r="D12" s="3">
        <f t="shared" si="0"/>
        <v>2900000</v>
      </c>
      <c r="E12" s="2" t="s">
        <v>30</v>
      </c>
      <c r="F12" s="2">
        <v>2</v>
      </c>
      <c r="H12" s="2"/>
      <c r="I12" s="504" t="s">
        <v>537</v>
      </c>
      <c r="J12" s="549">
        <v>6799.1065454794743</v>
      </c>
    </row>
    <row r="13" spans="1:10" x14ac:dyDescent="0.35">
      <c r="A13" s="2">
        <v>8</v>
      </c>
      <c r="B13" s="71">
        <v>46059</v>
      </c>
      <c r="C13" s="232">
        <f>200000</f>
        <v>200000</v>
      </c>
      <c r="D13" s="3">
        <f t="shared" si="0"/>
        <v>3100000</v>
      </c>
      <c r="E13" s="2" t="s">
        <v>30</v>
      </c>
      <c r="F13" s="2">
        <v>2</v>
      </c>
      <c r="H13" s="2"/>
      <c r="I13" s="504" t="s">
        <v>543</v>
      </c>
      <c r="J13" s="549">
        <v>17491.571239300582</v>
      </c>
    </row>
    <row r="14" spans="1:10" x14ac:dyDescent="0.35">
      <c r="A14" s="2">
        <v>9</v>
      </c>
      <c r="B14" s="71">
        <v>46080</v>
      </c>
      <c r="C14" s="422">
        <v>200000</v>
      </c>
      <c r="D14" s="3">
        <f t="shared" si="0"/>
        <v>3300000</v>
      </c>
      <c r="E14" s="2" t="s">
        <v>30</v>
      </c>
      <c r="F14" s="2">
        <v>2</v>
      </c>
      <c r="H14" s="2"/>
      <c r="I14" s="504" t="s">
        <v>681</v>
      </c>
      <c r="J14" s="549">
        <f>'DETAILS (sorted)'!DC30</f>
        <v>58892.695539361404</v>
      </c>
    </row>
    <row r="15" spans="1:10" x14ac:dyDescent="0.35">
      <c r="A15" s="2">
        <v>10</v>
      </c>
      <c r="B15" s="71">
        <v>46084</v>
      </c>
      <c r="C15" s="3">
        <f>400000</f>
        <v>400000</v>
      </c>
      <c r="D15" s="3">
        <f t="shared" si="0"/>
        <v>3700000</v>
      </c>
      <c r="E15" s="2" t="s">
        <v>30</v>
      </c>
      <c r="F15" s="2">
        <v>2</v>
      </c>
      <c r="H15" s="2"/>
      <c r="I15" s="504" t="s">
        <v>696</v>
      </c>
      <c r="J15" s="549">
        <f>'DETAILS (sorted)'!DD30</f>
        <v>39875.94847648163</v>
      </c>
    </row>
    <row r="16" spans="1:10" x14ac:dyDescent="0.35">
      <c r="A16" s="2">
        <v>11</v>
      </c>
      <c r="B16" s="71">
        <v>46084</v>
      </c>
      <c r="C16" s="3">
        <f>400000</f>
        <v>400000</v>
      </c>
      <c r="D16" s="3">
        <f t="shared" si="0"/>
        <v>4100000</v>
      </c>
      <c r="E16" s="2" t="s">
        <v>30</v>
      </c>
      <c r="F16" s="2">
        <v>2</v>
      </c>
      <c r="H16" s="2"/>
      <c r="I16" s="524" t="s">
        <v>887</v>
      </c>
      <c r="J16" s="549">
        <f>'DETAILS (sorted)'!DF30</f>
        <v>28823.206951396915</v>
      </c>
    </row>
    <row r="17" spans="1:10" x14ac:dyDescent="0.35">
      <c r="A17" s="2">
        <v>12</v>
      </c>
      <c r="B17" s="71">
        <v>46084</v>
      </c>
      <c r="C17" s="422">
        <v>300000</v>
      </c>
      <c r="D17" s="3">
        <f t="shared" si="0"/>
        <v>4400000</v>
      </c>
      <c r="E17" s="2" t="s">
        <v>30</v>
      </c>
      <c r="F17" s="2">
        <v>2</v>
      </c>
      <c r="H17" s="2"/>
      <c r="I17" s="524" t="s">
        <v>889</v>
      </c>
      <c r="J17" s="549">
        <f>'DETAILS (sorted)'!DG30</f>
        <v>96240.466855766994</v>
      </c>
    </row>
    <row r="18" spans="1:10" x14ac:dyDescent="0.35">
      <c r="A18" s="2">
        <v>13</v>
      </c>
      <c r="B18" s="71">
        <v>46150</v>
      </c>
      <c r="C18" s="3">
        <v>5000000</v>
      </c>
      <c r="D18" s="3">
        <f t="shared" si="0"/>
        <v>9400000</v>
      </c>
      <c r="E18" s="2" t="s">
        <v>30</v>
      </c>
      <c r="F18" s="2">
        <v>2</v>
      </c>
      <c r="H18" s="2"/>
      <c r="I18" s="524" t="s">
        <v>891</v>
      </c>
      <c r="J18" s="549">
        <f>'DETAILS (sorted)'!DL30</f>
        <v>35115.167148068867</v>
      </c>
    </row>
    <row r="19" spans="1:10" x14ac:dyDescent="0.35">
      <c r="A19" s="2">
        <v>14</v>
      </c>
      <c r="B19" s="71">
        <v>46151</v>
      </c>
      <c r="C19" s="3">
        <v>350000</v>
      </c>
      <c r="D19" s="3">
        <f t="shared" si="0"/>
        <v>9750000</v>
      </c>
      <c r="E19" s="2" t="s">
        <v>30</v>
      </c>
      <c r="F19" s="2">
        <v>2</v>
      </c>
      <c r="H19" s="2"/>
      <c r="I19" s="524" t="s">
        <v>894</v>
      </c>
      <c r="J19" s="549">
        <f>'DETAILS (sorted)'!DM30</f>
        <v>0</v>
      </c>
    </row>
    <row r="20" spans="1:10" x14ac:dyDescent="0.35">
      <c r="A20" s="2">
        <v>15</v>
      </c>
      <c r="B20" s="71">
        <v>46167</v>
      </c>
      <c r="C20" s="3">
        <v>700000</v>
      </c>
      <c r="D20" s="3">
        <f t="shared" si="0"/>
        <v>10450000</v>
      </c>
      <c r="E20" s="2" t="s">
        <v>30</v>
      </c>
      <c r="F20" s="2">
        <v>2</v>
      </c>
      <c r="H20" s="2"/>
      <c r="I20" s="524" t="s">
        <v>893</v>
      </c>
      <c r="J20" s="549">
        <f>'DETAILS (sorted)'!DN30</f>
        <v>0</v>
      </c>
    </row>
    <row r="21" spans="1:10" x14ac:dyDescent="0.35">
      <c r="A21" s="2">
        <v>16</v>
      </c>
      <c r="B21" s="71">
        <v>46172</v>
      </c>
      <c r="C21" s="3">
        <v>300000</v>
      </c>
      <c r="D21" s="3">
        <f t="shared" ref="D21" si="1">D20+C21</f>
        <v>10750000</v>
      </c>
      <c r="E21" s="2" t="s">
        <v>30</v>
      </c>
      <c r="F21" s="2">
        <v>2</v>
      </c>
      <c r="H21" s="2"/>
      <c r="I21" s="524" t="s">
        <v>895</v>
      </c>
      <c r="J21" s="549">
        <f>'DETAILS (sorted)'!DO30</f>
        <v>0</v>
      </c>
    </row>
    <row r="22" spans="1:10" x14ac:dyDescent="0.35">
      <c r="A22" s="2"/>
      <c r="B22" s="2"/>
      <c r="C22" s="3"/>
      <c r="D22" s="3"/>
      <c r="E22" s="2"/>
      <c r="F22" s="2"/>
      <c r="H22" s="2"/>
      <c r="I22" s="524" t="s">
        <v>897</v>
      </c>
      <c r="J22" s="549">
        <f>'DETAILS (sorted)'!DQ30</f>
        <v>0</v>
      </c>
    </row>
    <row r="23" spans="1:10" x14ac:dyDescent="0.35">
      <c r="A23" s="2"/>
      <c r="B23" s="2"/>
      <c r="C23" s="3"/>
      <c r="D23" s="3"/>
      <c r="E23" s="2"/>
      <c r="F23" s="2"/>
      <c r="H23" s="2"/>
      <c r="I23" s="524" t="s">
        <v>898</v>
      </c>
      <c r="J23" s="549">
        <f>'DETAILS (sorted)'!DR30</f>
        <v>0</v>
      </c>
    </row>
    <row r="24" spans="1:10" hidden="1" x14ac:dyDescent="0.35">
      <c r="A24" s="2"/>
      <c r="B24" s="2"/>
      <c r="C24" s="3"/>
      <c r="D24" s="3"/>
      <c r="E24" s="2"/>
      <c r="F24" s="2"/>
      <c r="H24" s="2"/>
      <c r="I24" s="484"/>
      <c r="J24" s="549"/>
    </row>
    <row r="25" spans="1:10" hidden="1" x14ac:dyDescent="0.35">
      <c r="A25" s="2"/>
      <c r="B25" s="2"/>
      <c r="C25" s="3"/>
      <c r="D25" s="3"/>
      <c r="E25" s="2"/>
      <c r="F25" s="2"/>
      <c r="H25" s="2"/>
      <c r="I25" s="484"/>
      <c r="J25" s="549"/>
    </row>
    <row r="26" spans="1:10" hidden="1" x14ac:dyDescent="0.35">
      <c r="A26" s="2"/>
      <c r="B26" s="2"/>
      <c r="C26" s="3"/>
      <c r="D26" s="3"/>
      <c r="E26" s="2"/>
      <c r="F26" s="2"/>
      <c r="H26" s="2"/>
      <c r="I26" s="484"/>
      <c r="J26" s="549"/>
    </row>
    <row r="27" spans="1:10" hidden="1" x14ac:dyDescent="0.35">
      <c r="A27" s="2"/>
      <c r="B27" s="2"/>
      <c r="C27" s="3"/>
      <c r="D27" s="3"/>
      <c r="E27" s="2"/>
      <c r="F27" s="2"/>
      <c r="H27" s="2"/>
      <c r="I27" s="484"/>
      <c r="J27" s="549"/>
    </row>
    <row r="28" spans="1:10" hidden="1" x14ac:dyDescent="0.35">
      <c r="A28" s="2"/>
      <c r="B28" s="2"/>
      <c r="C28" s="3"/>
      <c r="D28" s="3"/>
      <c r="E28" s="2"/>
      <c r="F28" s="2"/>
      <c r="H28" s="2"/>
      <c r="I28" s="484"/>
      <c r="J28" s="549"/>
    </row>
    <row r="29" spans="1:10" hidden="1" x14ac:dyDescent="0.35">
      <c r="A29" s="2"/>
      <c r="B29" s="2"/>
      <c r="C29" s="3"/>
      <c r="D29" s="3"/>
      <c r="E29" s="2"/>
      <c r="F29" s="2"/>
      <c r="H29" s="2"/>
      <c r="I29" s="484"/>
      <c r="J29" s="549"/>
    </row>
    <row r="30" spans="1:10" hidden="1" x14ac:dyDescent="0.35">
      <c r="A30" s="2"/>
      <c r="B30" s="2"/>
      <c r="C30" s="3"/>
      <c r="D30" s="3"/>
      <c r="E30" s="2"/>
      <c r="F30" s="2"/>
      <c r="H30" s="2"/>
      <c r="I30" s="484"/>
      <c r="J30" s="549"/>
    </row>
    <row r="31" spans="1:10" hidden="1" x14ac:dyDescent="0.35">
      <c r="A31" s="2"/>
      <c r="B31" s="2"/>
      <c r="C31" s="3"/>
      <c r="D31" s="3"/>
      <c r="E31" s="2"/>
      <c r="F31" s="2"/>
      <c r="H31" s="2"/>
      <c r="I31" s="484"/>
      <c r="J31" s="549"/>
    </row>
    <row r="32" spans="1:10" hidden="1" x14ac:dyDescent="0.35">
      <c r="A32" s="2"/>
      <c r="B32" s="2"/>
      <c r="C32" s="3"/>
      <c r="D32" s="3"/>
      <c r="E32" s="2"/>
      <c r="F32" s="2"/>
      <c r="H32" s="2"/>
      <c r="I32" s="484"/>
      <c r="J32" s="549"/>
    </row>
    <row r="33" spans="1:10" hidden="1"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10750000</v>
      </c>
      <c r="D35" s="191">
        <f>C35+J35</f>
        <v>11312924.223242655</v>
      </c>
      <c r="E35" s="191">
        <f>'DETAILS (sorted)'!DS30</f>
        <v>12438989.814563684</v>
      </c>
      <c r="F35" s="191">
        <f>D35-E35</f>
        <v>-1126065.5913210288</v>
      </c>
      <c r="G35" s="5" t="b">
        <f>D35=E35</f>
        <v>0</v>
      </c>
      <c r="H35" s="74"/>
      <c r="I35" s="544"/>
      <c r="J35" s="548">
        <f>SUM(J6:J34)</f>
        <v>562924.22324265447</v>
      </c>
    </row>
    <row r="37" spans="1:10" x14ac:dyDescent="0.35">
      <c r="C37" s="191" t="s">
        <v>644</v>
      </c>
      <c r="D37" s="191">
        <f>C35+J35</f>
        <v>11312924.223242655</v>
      </c>
      <c r="E37" s="122">
        <f>D37/D38</f>
        <v>0.56564621116213276</v>
      </c>
      <c r="F37" s="2" t="s">
        <v>652</v>
      </c>
    </row>
    <row r="38" spans="1:10" x14ac:dyDescent="0.35">
      <c r="C38" s="3"/>
      <c r="D38" s="3">
        <v>20000000</v>
      </c>
      <c r="E38" s="122">
        <f>D38/D38</f>
        <v>1</v>
      </c>
      <c r="F38" s="2" t="s">
        <v>654</v>
      </c>
    </row>
    <row r="39" spans="1:10" x14ac:dyDescent="0.35">
      <c r="C39" s="3"/>
      <c r="D39" s="3">
        <f>D37-D38</f>
        <v>-8687075.7767573446</v>
      </c>
      <c r="E39" s="122">
        <f>D39/D38</f>
        <v>-0.43435378883786724</v>
      </c>
      <c r="F39" s="2" t="s">
        <v>653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0CDE0-3B8A-4A71-87A3-60B3555D665D}">
  <dimension ref="A2:J39"/>
  <sheetViews>
    <sheetView topLeftCell="A14" workbookViewId="0">
      <selection activeCell="N16" sqref="N16"/>
    </sheetView>
  </sheetViews>
  <sheetFormatPr defaultRowHeight="14.5" x14ac:dyDescent="0.35"/>
  <cols>
    <col min="1" max="1" width="12" bestFit="1" customWidth="1"/>
    <col min="2" max="2" width="14.453125" bestFit="1" customWidth="1"/>
    <col min="3" max="3" width="11.36328125" style="1" bestFit="1" customWidth="1"/>
    <col min="4" max="4" width="14.453125" style="1" bestFit="1" customWidth="1"/>
    <col min="5" max="5" width="13.81640625" bestFit="1" customWidth="1"/>
    <col min="6" max="6" width="12.7265625" bestFit="1" customWidth="1"/>
    <col min="7" max="7" width="5.90625" bestFit="1" customWidth="1"/>
    <col min="8" max="8" width="11.1796875" hidden="1" customWidth="1"/>
    <col min="9" max="9" width="25.7265625" style="526" customWidth="1"/>
    <col min="10" max="10" width="11.1796875" style="550" bestFit="1" customWidth="1"/>
  </cols>
  <sheetData>
    <row r="2" spans="1:10" s="5" customFormat="1" x14ac:dyDescent="0.35">
      <c r="A2" s="74" t="s">
        <v>190</v>
      </c>
      <c r="B2" s="191" t="s">
        <v>0</v>
      </c>
      <c r="C2" s="191"/>
      <c r="D2" s="74" t="s">
        <v>1</v>
      </c>
      <c r="E2" s="75" t="s">
        <v>2</v>
      </c>
      <c r="F2" s="74"/>
      <c r="G2" s="74"/>
      <c r="H2" s="74"/>
      <c r="I2" s="484"/>
      <c r="J2" s="548"/>
    </row>
    <row r="3" spans="1:10" s="1" customFormat="1" ht="16" x14ac:dyDescent="0.4">
      <c r="A3" s="210" t="s">
        <v>261</v>
      </c>
      <c r="B3" s="762" t="s">
        <v>185</v>
      </c>
      <c r="C3" s="763"/>
      <c r="D3" s="72" t="s">
        <v>92</v>
      </c>
      <c r="E3" s="11"/>
      <c r="F3" s="11"/>
      <c r="G3" s="71"/>
      <c r="H3" s="11"/>
      <c r="I3" s="545"/>
      <c r="J3" s="555"/>
    </row>
    <row r="4" spans="1:10" s="1" customFormat="1" x14ac:dyDescent="0.35">
      <c r="A4" s="210"/>
      <c r="B4" s="7"/>
      <c r="C4" s="72"/>
      <c r="D4" s="71"/>
      <c r="E4" s="11"/>
      <c r="F4" s="11"/>
      <c r="G4" s="71"/>
      <c r="H4" s="11"/>
      <c r="I4" s="545"/>
      <c r="J4" s="555"/>
    </row>
    <row r="5" spans="1:10" x14ac:dyDescent="0.35">
      <c r="A5" s="74" t="s">
        <v>487</v>
      </c>
      <c r="B5" s="74" t="s">
        <v>2</v>
      </c>
      <c r="C5" s="191" t="s">
        <v>124</v>
      </c>
      <c r="D5" s="191" t="s">
        <v>488</v>
      </c>
      <c r="E5" s="74" t="s">
        <v>489</v>
      </c>
      <c r="F5" s="74" t="s">
        <v>490</v>
      </c>
      <c r="H5" s="2"/>
      <c r="I5" s="484"/>
      <c r="J5" s="549"/>
    </row>
    <row r="6" spans="1:10" x14ac:dyDescent="0.35">
      <c r="A6" s="2">
        <v>1</v>
      </c>
      <c r="B6" s="71">
        <v>45669</v>
      </c>
      <c r="C6" s="7">
        <v>1000000</v>
      </c>
      <c r="D6" s="3">
        <f>C6</f>
        <v>1000000</v>
      </c>
      <c r="E6" s="2" t="s">
        <v>144</v>
      </c>
      <c r="F6" s="2">
        <v>1</v>
      </c>
      <c r="H6" s="2"/>
      <c r="I6" s="523" t="s">
        <v>210</v>
      </c>
      <c r="J6" s="549">
        <v>22298.887506256742</v>
      </c>
    </row>
    <row r="7" spans="1:10" x14ac:dyDescent="0.35">
      <c r="A7" s="2">
        <v>2</v>
      </c>
      <c r="B7" s="71">
        <v>45728</v>
      </c>
      <c r="C7" s="7">
        <v>200000</v>
      </c>
      <c r="D7" s="3">
        <f>D6+C7</f>
        <v>1200000</v>
      </c>
      <c r="E7" s="2" t="s">
        <v>144</v>
      </c>
      <c r="F7" s="2">
        <v>1</v>
      </c>
      <c r="H7" s="2"/>
      <c r="I7" s="524" t="s">
        <v>212</v>
      </c>
      <c r="J7" s="549">
        <v>24882.963118421565</v>
      </c>
    </row>
    <row r="8" spans="1:10" x14ac:dyDescent="0.35">
      <c r="A8" s="2">
        <v>3</v>
      </c>
      <c r="B8" s="71">
        <v>45919</v>
      </c>
      <c r="C8" s="7">
        <v>300000</v>
      </c>
      <c r="D8" s="3">
        <f>D7+C8</f>
        <v>1500000</v>
      </c>
      <c r="E8" s="2" t="s">
        <v>30</v>
      </c>
      <c r="F8" s="2">
        <v>2</v>
      </c>
      <c r="H8" s="2"/>
      <c r="I8" s="524" t="s">
        <v>213</v>
      </c>
      <c r="J8" s="549">
        <v>37951.059073240336</v>
      </c>
    </row>
    <row r="9" spans="1:10" x14ac:dyDescent="0.35">
      <c r="A9" s="2">
        <v>4</v>
      </c>
      <c r="B9" s="71">
        <v>45932</v>
      </c>
      <c r="C9" s="7">
        <v>200000</v>
      </c>
      <c r="D9" s="3">
        <f t="shared" ref="D9:D30" si="0">D8+C9</f>
        <v>1700000</v>
      </c>
      <c r="E9" s="2" t="s">
        <v>30</v>
      </c>
      <c r="F9" s="2">
        <v>2</v>
      </c>
      <c r="H9" s="2"/>
      <c r="I9" s="524" t="s">
        <v>215</v>
      </c>
      <c r="J9" s="549">
        <v>39115.709496291849</v>
      </c>
    </row>
    <row r="10" spans="1:10" x14ac:dyDescent="0.35">
      <c r="A10" s="2">
        <v>5</v>
      </c>
      <c r="B10" s="71">
        <v>45985</v>
      </c>
      <c r="C10" s="3">
        <v>200000</v>
      </c>
      <c r="D10" s="3">
        <f t="shared" si="0"/>
        <v>1900000</v>
      </c>
      <c r="E10" s="2" t="s">
        <v>30</v>
      </c>
      <c r="F10" s="2">
        <v>2</v>
      </c>
      <c r="H10" s="2"/>
      <c r="I10" s="524" t="s">
        <v>217</v>
      </c>
      <c r="J10" s="549">
        <v>110347.58811193178</v>
      </c>
    </row>
    <row r="11" spans="1:10" x14ac:dyDescent="0.35">
      <c r="A11" s="2">
        <v>6</v>
      </c>
      <c r="B11" s="206">
        <v>45997</v>
      </c>
      <c r="C11" s="3">
        <f>200000</f>
        <v>200000</v>
      </c>
      <c r="D11" s="3">
        <f t="shared" si="0"/>
        <v>2100000</v>
      </c>
      <c r="E11" s="2" t="s">
        <v>30</v>
      </c>
      <c r="F11" s="2">
        <v>2</v>
      </c>
      <c r="H11" s="2"/>
      <c r="I11" s="524" t="s">
        <v>219</v>
      </c>
      <c r="J11" s="549">
        <v>36430.573572450165</v>
      </c>
    </row>
    <row r="12" spans="1:10" x14ac:dyDescent="0.35">
      <c r="A12" s="2">
        <v>7</v>
      </c>
      <c r="B12" s="206">
        <v>45997</v>
      </c>
      <c r="C12" s="3">
        <f>200000</f>
        <v>200000</v>
      </c>
      <c r="D12" s="3">
        <f t="shared" si="0"/>
        <v>2300000</v>
      </c>
      <c r="E12" s="2" t="s">
        <v>30</v>
      </c>
      <c r="F12" s="2">
        <v>2</v>
      </c>
      <c r="H12" s="2"/>
      <c r="I12" s="524" t="s">
        <v>537</v>
      </c>
      <c r="J12" s="549">
        <v>9657.821797556071</v>
      </c>
    </row>
    <row r="13" spans="1:10" x14ac:dyDescent="0.35">
      <c r="A13" s="2">
        <v>8</v>
      </c>
      <c r="B13" s="71">
        <v>46042</v>
      </c>
      <c r="C13" s="178">
        <f>200000</f>
        <v>200000</v>
      </c>
      <c r="D13" s="3">
        <f t="shared" si="0"/>
        <v>2500000</v>
      </c>
      <c r="E13" s="2" t="s">
        <v>30</v>
      </c>
      <c r="F13" s="2">
        <v>2</v>
      </c>
      <c r="H13" s="2"/>
      <c r="I13" s="524" t="s">
        <v>543</v>
      </c>
      <c r="J13" s="549">
        <v>24845.981874006506</v>
      </c>
    </row>
    <row r="14" spans="1:10" x14ac:dyDescent="0.35">
      <c r="A14" s="2">
        <v>9</v>
      </c>
      <c r="B14" s="71">
        <v>46042</v>
      </c>
      <c r="C14" s="178">
        <v>250000</v>
      </c>
      <c r="D14" s="3">
        <f t="shared" si="0"/>
        <v>2750000</v>
      </c>
      <c r="E14" s="2" t="s">
        <v>30</v>
      </c>
      <c r="F14" s="2">
        <v>2</v>
      </c>
      <c r="H14" s="2"/>
      <c r="I14" s="524" t="s">
        <v>681</v>
      </c>
      <c r="J14" s="549">
        <f>'DETAILS (sorted)'!DC31</f>
        <v>54947.730287920924</v>
      </c>
    </row>
    <row r="15" spans="1:10" x14ac:dyDescent="0.35">
      <c r="A15" s="2">
        <v>10</v>
      </c>
      <c r="B15" s="71">
        <v>46059</v>
      </c>
      <c r="C15" s="232">
        <f>300000</f>
        <v>300000</v>
      </c>
      <c r="D15" s="3">
        <f t="shared" si="0"/>
        <v>3050000</v>
      </c>
      <c r="E15" s="2" t="s">
        <v>30</v>
      </c>
      <c r="F15" s="2">
        <v>2</v>
      </c>
      <c r="H15" s="2"/>
      <c r="I15" s="524" t="s">
        <v>696</v>
      </c>
      <c r="J15" s="549">
        <f>'DETAILS (sorted)'!DD31</f>
        <v>37204.832310592901</v>
      </c>
    </row>
    <row r="16" spans="1:10" x14ac:dyDescent="0.35">
      <c r="A16" s="2">
        <v>11</v>
      </c>
      <c r="B16" s="71">
        <v>46059</v>
      </c>
      <c r="C16" s="232">
        <v>200000</v>
      </c>
      <c r="D16" s="3">
        <f t="shared" si="0"/>
        <v>3250000</v>
      </c>
      <c r="E16" s="2" t="s">
        <v>30</v>
      </c>
      <c r="F16" s="2">
        <v>2</v>
      </c>
      <c r="H16" s="2"/>
      <c r="I16" s="524" t="s">
        <v>887</v>
      </c>
      <c r="J16" s="549">
        <f>'DETAILS (sorted)'!DF31</f>
        <v>34185.664058633549</v>
      </c>
    </row>
    <row r="17" spans="1:10" x14ac:dyDescent="0.35">
      <c r="A17" s="2">
        <v>12</v>
      </c>
      <c r="B17" s="71">
        <v>46100</v>
      </c>
      <c r="C17" s="3">
        <v>100000</v>
      </c>
      <c r="D17" s="3">
        <f t="shared" si="0"/>
        <v>3350000</v>
      </c>
      <c r="E17" s="2" t="s">
        <v>30</v>
      </c>
      <c r="F17" s="2">
        <v>2</v>
      </c>
      <c r="H17" s="2"/>
      <c r="I17" s="524" t="s">
        <v>889</v>
      </c>
      <c r="J17" s="549">
        <f>'DETAILS (sorted)'!DG31</f>
        <v>114145.66999172364</v>
      </c>
    </row>
    <row r="18" spans="1:10" x14ac:dyDescent="0.35">
      <c r="A18" s="2">
        <v>13</v>
      </c>
      <c r="B18" s="71">
        <v>46108</v>
      </c>
      <c r="C18" s="3">
        <v>200000</v>
      </c>
      <c r="D18" s="3">
        <f t="shared" si="0"/>
        <v>3550000</v>
      </c>
      <c r="E18" s="2" t="s">
        <v>30</v>
      </c>
      <c r="F18" s="2">
        <v>2</v>
      </c>
      <c r="H18" s="2"/>
      <c r="I18" s="524" t="s">
        <v>891</v>
      </c>
      <c r="J18" s="549">
        <f>'DETAILS (sorted)'!DL31</f>
        <v>38027.287179440813</v>
      </c>
    </row>
    <row r="19" spans="1:10" x14ac:dyDescent="0.35">
      <c r="A19" s="2">
        <v>14</v>
      </c>
      <c r="B19" s="71">
        <v>46112</v>
      </c>
      <c r="C19" s="3">
        <v>200000</v>
      </c>
      <c r="D19" s="3">
        <f t="shared" si="0"/>
        <v>3750000</v>
      </c>
      <c r="E19" s="2" t="s">
        <v>30</v>
      </c>
      <c r="F19" s="2">
        <v>2</v>
      </c>
      <c r="H19" s="2"/>
      <c r="I19" s="524" t="s">
        <v>894</v>
      </c>
      <c r="J19" s="549">
        <f>'DETAILS (sorted)'!DM31</f>
        <v>0</v>
      </c>
    </row>
    <row r="20" spans="1:10" x14ac:dyDescent="0.35">
      <c r="A20" s="2">
        <v>15</v>
      </c>
      <c r="B20" s="71">
        <v>46113</v>
      </c>
      <c r="C20" s="3">
        <f>200000</f>
        <v>200000</v>
      </c>
      <c r="D20" s="3">
        <f t="shared" si="0"/>
        <v>3950000</v>
      </c>
      <c r="E20" s="2" t="s">
        <v>30</v>
      </c>
      <c r="F20" s="2">
        <v>2</v>
      </c>
      <c r="H20" s="2"/>
      <c r="I20" s="524" t="s">
        <v>893</v>
      </c>
      <c r="J20" s="549">
        <f>'DETAILS (sorted)'!DN31</f>
        <v>0</v>
      </c>
    </row>
    <row r="21" spans="1:10" x14ac:dyDescent="0.35">
      <c r="A21" s="2">
        <v>16</v>
      </c>
      <c r="B21" s="71">
        <v>46113</v>
      </c>
      <c r="C21" s="3">
        <v>200000</v>
      </c>
      <c r="D21" s="3">
        <f t="shared" si="0"/>
        <v>4150000</v>
      </c>
      <c r="E21" s="2" t="s">
        <v>30</v>
      </c>
      <c r="F21" s="2">
        <v>2</v>
      </c>
      <c r="H21" s="2"/>
      <c r="I21" s="524" t="s">
        <v>895</v>
      </c>
      <c r="J21" s="549">
        <f>'DETAILS (sorted)'!DO31</f>
        <v>0</v>
      </c>
    </row>
    <row r="22" spans="1:10" x14ac:dyDescent="0.35">
      <c r="A22" s="2">
        <v>17</v>
      </c>
      <c r="B22" s="71">
        <v>46114</v>
      </c>
      <c r="C22" s="3">
        <v>200000</v>
      </c>
      <c r="D22" s="3">
        <f t="shared" si="0"/>
        <v>4350000</v>
      </c>
      <c r="E22" s="2" t="s">
        <v>30</v>
      </c>
      <c r="F22" s="2">
        <v>2</v>
      </c>
      <c r="H22" s="2"/>
      <c r="I22" s="524" t="s">
        <v>897</v>
      </c>
      <c r="J22" s="549">
        <f>'DETAILS (sorted)'!DQ31</f>
        <v>0</v>
      </c>
    </row>
    <row r="23" spans="1:10" x14ac:dyDescent="0.35">
      <c r="A23" s="2">
        <v>18</v>
      </c>
      <c r="B23" s="71">
        <v>46115</v>
      </c>
      <c r="C23" s="3">
        <v>500000</v>
      </c>
      <c r="D23" s="3">
        <f t="shared" si="0"/>
        <v>4850000</v>
      </c>
      <c r="E23" s="2" t="s">
        <v>30</v>
      </c>
      <c r="F23" s="2">
        <v>2</v>
      </c>
      <c r="H23" s="2"/>
      <c r="I23" s="524" t="s">
        <v>898</v>
      </c>
      <c r="J23" s="549">
        <f>'DETAILS (sorted)'!DR31</f>
        <v>0</v>
      </c>
    </row>
    <row r="24" spans="1:10" x14ac:dyDescent="0.35">
      <c r="A24" s="2">
        <v>19</v>
      </c>
      <c r="B24" s="71">
        <v>46116</v>
      </c>
      <c r="C24" s="3">
        <v>200000</v>
      </c>
      <c r="D24" s="3">
        <f t="shared" si="0"/>
        <v>5050000</v>
      </c>
      <c r="E24" s="2" t="s">
        <v>30</v>
      </c>
      <c r="F24" s="2">
        <v>2</v>
      </c>
      <c r="H24" s="2"/>
      <c r="I24" s="484"/>
      <c r="J24" s="549"/>
    </row>
    <row r="25" spans="1:10" x14ac:dyDescent="0.35">
      <c r="A25" s="2">
        <v>20</v>
      </c>
      <c r="B25" s="71">
        <v>46119</v>
      </c>
      <c r="C25" s="3">
        <v>200000</v>
      </c>
      <c r="D25" s="3">
        <f t="shared" si="0"/>
        <v>5250000</v>
      </c>
      <c r="E25" s="2" t="s">
        <v>30</v>
      </c>
      <c r="F25" s="2">
        <v>2</v>
      </c>
      <c r="H25" s="2"/>
      <c r="I25" s="484"/>
      <c r="J25" s="549"/>
    </row>
    <row r="26" spans="1:10" x14ac:dyDescent="0.35">
      <c r="A26" s="2">
        <v>21</v>
      </c>
      <c r="B26" s="71">
        <v>46133</v>
      </c>
      <c r="C26" s="3">
        <v>1000000</v>
      </c>
      <c r="D26" s="3">
        <f t="shared" si="0"/>
        <v>6250000</v>
      </c>
      <c r="E26" s="2" t="s">
        <v>30</v>
      </c>
      <c r="F26" s="2">
        <v>2</v>
      </c>
      <c r="H26" s="2"/>
      <c r="I26" s="484"/>
      <c r="J26" s="549"/>
    </row>
    <row r="27" spans="1:10" x14ac:dyDescent="0.35">
      <c r="A27" s="2">
        <v>22</v>
      </c>
      <c r="B27" s="71">
        <v>46144</v>
      </c>
      <c r="C27" s="3">
        <f>3000000</f>
        <v>3000000</v>
      </c>
      <c r="D27" s="3">
        <f t="shared" si="0"/>
        <v>9250000</v>
      </c>
      <c r="E27" s="2" t="s">
        <v>30</v>
      </c>
      <c r="F27" s="2">
        <v>2</v>
      </c>
      <c r="H27" s="2"/>
      <c r="I27" s="484"/>
      <c r="J27" s="549"/>
    </row>
    <row r="28" spans="1:10" x14ac:dyDescent="0.35">
      <c r="A28" s="2">
        <v>23</v>
      </c>
      <c r="B28" s="71">
        <v>46145</v>
      </c>
      <c r="C28" s="3">
        <v>500000</v>
      </c>
      <c r="D28" s="3">
        <f t="shared" si="0"/>
        <v>9750000</v>
      </c>
      <c r="E28" s="2" t="s">
        <v>30</v>
      </c>
      <c r="F28" s="2">
        <v>2</v>
      </c>
      <c r="H28" s="2"/>
      <c r="I28" s="484"/>
      <c r="J28" s="549"/>
    </row>
    <row r="29" spans="1:10" x14ac:dyDescent="0.35">
      <c r="A29" s="2">
        <v>24</v>
      </c>
      <c r="B29" s="71">
        <v>46175</v>
      </c>
      <c r="C29" s="3">
        <v>800000</v>
      </c>
      <c r="D29" s="3">
        <f t="shared" si="0"/>
        <v>10550000</v>
      </c>
      <c r="E29" s="2" t="s">
        <v>30</v>
      </c>
      <c r="F29" s="2">
        <v>2</v>
      </c>
      <c r="H29" s="2"/>
      <c r="I29" s="484"/>
      <c r="J29" s="549"/>
    </row>
    <row r="30" spans="1:10" x14ac:dyDescent="0.35">
      <c r="A30" s="2">
        <v>25</v>
      </c>
      <c r="B30" s="71">
        <v>46181</v>
      </c>
      <c r="C30" s="3">
        <v>200000</v>
      </c>
      <c r="D30" s="3">
        <f t="shared" si="0"/>
        <v>10750000</v>
      </c>
      <c r="E30" s="2" t="s">
        <v>30</v>
      </c>
      <c r="F30" s="2">
        <v>2</v>
      </c>
      <c r="H30" s="2"/>
      <c r="I30" s="484"/>
      <c r="J30" s="549"/>
    </row>
    <row r="31" spans="1:10" x14ac:dyDescent="0.35">
      <c r="A31" s="2">
        <v>26</v>
      </c>
      <c r="B31" s="71">
        <v>46195</v>
      </c>
      <c r="C31" s="3">
        <v>1000000</v>
      </c>
      <c r="D31" s="3">
        <f t="shared" ref="D31" si="1">D30+C31</f>
        <v>11750000</v>
      </c>
      <c r="E31" s="2" t="s">
        <v>30</v>
      </c>
      <c r="F31" s="2">
        <v>2</v>
      </c>
      <c r="H31" s="2"/>
      <c r="I31" s="484"/>
      <c r="J31" s="549"/>
    </row>
    <row r="32" spans="1:10" x14ac:dyDescent="0.35">
      <c r="A32" s="2">
        <v>27</v>
      </c>
      <c r="B32" s="71">
        <v>46197</v>
      </c>
      <c r="C32" s="3">
        <v>1000000</v>
      </c>
      <c r="D32" s="3">
        <f t="shared" ref="D32" si="2">D31+C32</f>
        <v>12750000</v>
      </c>
      <c r="E32" s="2" t="s">
        <v>30</v>
      </c>
      <c r="F32" s="2">
        <v>2</v>
      </c>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12750000</v>
      </c>
      <c r="D35" s="63">
        <f>C35+J35</f>
        <v>13334041.768378466</v>
      </c>
      <c r="E35" s="63">
        <f>'DETAILS (sorted)'!DS31</f>
        <v>13470562.048187941</v>
      </c>
      <c r="F35" s="63">
        <f>D35-E35</f>
        <v>-136520.27980947495</v>
      </c>
      <c r="G35" s="5" t="b">
        <f>D35=E35</f>
        <v>0</v>
      </c>
      <c r="H35" s="74"/>
      <c r="I35" s="484"/>
      <c r="J35" s="548">
        <f>SUM(J6:J34)</f>
        <v>584041.76837846683</v>
      </c>
    </row>
    <row r="37" spans="1:10" x14ac:dyDescent="0.35">
      <c r="C37" s="191" t="s">
        <v>644</v>
      </c>
      <c r="D37" s="191">
        <f>C35+J35</f>
        <v>13334041.768378466</v>
      </c>
      <c r="E37" s="122">
        <f>D37/D38</f>
        <v>0.44446805894594887</v>
      </c>
      <c r="F37" s="2" t="s">
        <v>652</v>
      </c>
    </row>
    <row r="38" spans="1:10" x14ac:dyDescent="0.35">
      <c r="C38" s="3"/>
      <c r="D38" s="3">
        <v>30000000</v>
      </c>
      <c r="E38" s="122">
        <f>D38/D38</f>
        <v>1</v>
      </c>
      <c r="F38" s="2" t="s">
        <v>654</v>
      </c>
    </row>
    <row r="39" spans="1:10" x14ac:dyDescent="0.35">
      <c r="C39" s="3"/>
      <c r="D39" s="3">
        <f>D37-D38</f>
        <v>-16665958.231621534</v>
      </c>
      <c r="E39" s="122">
        <f>D39/D38</f>
        <v>-0.55553194105405113</v>
      </c>
      <c r="F39" s="2" t="s">
        <v>653</v>
      </c>
    </row>
  </sheetData>
  <mergeCells count="1">
    <mergeCell ref="B3:C3"/>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1B43D-2DE6-4493-8CDF-D42FC0E1FBDD}">
  <dimension ref="A2:J39"/>
  <sheetViews>
    <sheetView workbookViewId="0">
      <selection activeCell="N16" sqref="N16"/>
    </sheetView>
  </sheetViews>
  <sheetFormatPr defaultRowHeight="14.5" x14ac:dyDescent="0.35"/>
  <cols>
    <col min="1" max="1" width="12" bestFit="1" customWidth="1"/>
    <col min="2" max="2" width="14.453125" bestFit="1" customWidth="1"/>
    <col min="3" max="3" width="11.36328125" style="1" bestFit="1" customWidth="1"/>
    <col min="4" max="4" width="14.453125" style="1" bestFit="1" customWidth="1"/>
    <col min="5" max="5" width="11.26953125" bestFit="1" customWidth="1"/>
    <col min="6" max="6" width="9.26953125" bestFit="1" customWidth="1"/>
    <col min="7" max="7" width="5.1796875" bestFit="1" customWidth="1"/>
    <col min="8" max="8" width="4.7265625" hidden="1" customWidth="1"/>
    <col min="9" max="9" width="25.726562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262</v>
      </c>
      <c r="B3" s="286" t="s">
        <v>38</v>
      </c>
      <c r="C3" s="7"/>
      <c r="D3" s="71"/>
      <c r="E3" s="11"/>
      <c r="F3" s="11"/>
      <c r="G3" s="70"/>
      <c r="H3" s="7"/>
      <c r="I3" s="556"/>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45355</v>
      </c>
      <c r="C6" s="11">
        <v>50000</v>
      </c>
      <c r="D6" s="3">
        <f>C6</f>
        <v>50000</v>
      </c>
      <c r="E6" s="2" t="s">
        <v>144</v>
      </c>
      <c r="F6" s="2">
        <v>1</v>
      </c>
      <c r="H6" s="2"/>
      <c r="I6" s="503" t="s">
        <v>210</v>
      </c>
      <c r="J6" s="549">
        <v>15163.243504254584</v>
      </c>
    </row>
    <row r="7" spans="1:10" x14ac:dyDescent="0.35">
      <c r="A7" s="2">
        <v>2</v>
      </c>
      <c r="B7" s="70">
        <v>45355</v>
      </c>
      <c r="C7" s="7">
        <v>50000</v>
      </c>
      <c r="D7" s="3">
        <f>D6+C7</f>
        <v>100000</v>
      </c>
      <c r="E7" s="2" t="s">
        <v>144</v>
      </c>
      <c r="F7" s="2">
        <v>1</v>
      </c>
      <c r="H7" s="2"/>
      <c r="I7" s="504" t="s">
        <v>212</v>
      </c>
      <c r="J7" s="549">
        <v>13358.222305678944</v>
      </c>
    </row>
    <row r="8" spans="1:10" x14ac:dyDescent="0.35">
      <c r="A8" s="2">
        <v>3</v>
      </c>
      <c r="B8" s="71">
        <v>45358</v>
      </c>
      <c r="C8" s="11">
        <v>120000</v>
      </c>
      <c r="D8" s="3">
        <f t="shared" ref="D8:D15" si="0">D7+C8</f>
        <v>220000</v>
      </c>
      <c r="E8" s="2" t="s">
        <v>144</v>
      </c>
      <c r="F8" s="2">
        <v>1</v>
      </c>
      <c r="H8" s="2"/>
      <c r="I8" s="504" t="s">
        <v>213</v>
      </c>
      <c r="J8" s="549">
        <v>20373.726449844809</v>
      </c>
    </row>
    <row r="9" spans="1:10" x14ac:dyDescent="0.35">
      <c r="A9" s="2">
        <v>4</v>
      </c>
      <c r="B9" s="71">
        <v>45650</v>
      </c>
      <c r="C9" s="11">
        <v>800000</v>
      </c>
      <c r="D9" s="3">
        <f t="shared" si="0"/>
        <v>1020000</v>
      </c>
      <c r="E9" s="2" t="s">
        <v>144</v>
      </c>
      <c r="F9" s="2">
        <v>1</v>
      </c>
      <c r="H9" s="2"/>
      <c r="I9" s="504" t="s">
        <v>215</v>
      </c>
      <c r="J9" s="549">
        <v>14508.372249533704</v>
      </c>
    </row>
    <row r="10" spans="1:10" x14ac:dyDescent="0.35">
      <c r="A10" s="2">
        <v>5</v>
      </c>
      <c r="B10" s="71">
        <v>46071</v>
      </c>
      <c r="C10" s="231">
        <v>200000</v>
      </c>
      <c r="D10" s="3">
        <f t="shared" si="0"/>
        <v>1220000</v>
      </c>
      <c r="E10" s="2" t="s">
        <v>144</v>
      </c>
      <c r="F10" s="2">
        <v>2</v>
      </c>
      <c r="H10" s="2"/>
      <c r="I10" s="504" t="s">
        <v>217</v>
      </c>
      <c r="J10" s="549">
        <v>41422.786922017469</v>
      </c>
    </row>
    <row r="11" spans="1:10" x14ac:dyDescent="0.35">
      <c r="A11" s="2">
        <v>6</v>
      </c>
      <c r="B11" s="71">
        <v>46108</v>
      </c>
      <c r="C11" s="3">
        <v>250000</v>
      </c>
      <c r="D11" s="3">
        <f t="shared" si="0"/>
        <v>1470000</v>
      </c>
      <c r="E11" s="2" t="s">
        <v>30</v>
      </c>
      <c r="F11" s="2">
        <v>2</v>
      </c>
      <c r="H11" s="2"/>
      <c r="I11" s="504" t="s">
        <v>219</v>
      </c>
      <c r="J11" s="549">
        <v>14280.784840400467</v>
      </c>
    </row>
    <row r="12" spans="1:10" x14ac:dyDescent="0.35">
      <c r="A12" s="2">
        <v>7</v>
      </c>
      <c r="B12" s="71">
        <v>46113</v>
      </c>
      <c r="C12" s="3">
        <f>250000</f>
        <v>250000</v>
      </c>
      <c r="D12" s="3">
        <f t="shared" si="0"/>
        <v>1720000</v>
      </c>
      <c r="E12" s="2" t="s">
        <v>30</v>
      </c>
      <c r="F12" s="2">
        <v>2</v>
      </c>
      <c r="H12" s="2"/>
      <c r="I12" s="504" t="s">
        <v>537</v>
      </c>
      <c r="J12" s="549">
        <v>4760.7544914140663</v>
      </c>
    </row>
    <row r="13" spans="1:10" x14ac:dyDescent="0.35">
      <c r="A13" s="2">
        <v>8</v>
      </c>
      <c r="B13" s="71">
        <v>46113</v>
      </c>
      <c r="C13" s="3">
        <v>500000</v>
      </c>
      <c r="D13" s="3">
        <f t="shared" si="0"/>
        <v>2220000</v>
      </c>
      <c r="E13" s="2" t="s">
        <v>30</v>
      </c>
      <c r="F13" s="2">
        <v>2</v>
      </c>
      <c r="H13" s="2"/>
      <c r="I13" s="504" t="s">
        <v>543</v>
      </c>
      <c r="J13" s="549">
        <v>12247.649861400565</v>
      </c>
    </row>
    <row r="14" spans="1:10" x14ac:dyDescent="0.35">
      <c r="A14" s="2">
        <v>9</v>
      </c>
      <c r="B14" s="71">
        <v>46113</v>
      </c>
      <c r="C14" s="3">
        <v>860893</v>
      </c>
      <c r="D14" s="3">
        <f t="shared" si="0"/>
        <v>3080893</v>
      </c>
      <c r="E14" s="2" t="s">
        <v>30</v>
      </c>
      <c r="F14" s="2">
        <v>2</v>
      </c>
      <c r="H14" s="2"/>
      <c r="I14" s="504" t="s">
        <v>681</v>
      </c>
      <c r="J14" s="549">
        <f>'DETAILS (sorted)'!DC32</f>
        <v>17362.879754866008</v>
      </c>
    </row>
    <row r="15" spans="1:10" x14ac:dyDescent="0.35">
      <c r="A15" s="2">
        <v>10</v>
      </c>
      <c r="B15" s="71">
        <v>46189</v>
      </c>
      <c r="C15" s="205">
        <v>500000</v>
      </c>
      <c r="D15" s="3">
        <f t="shared" si="0"/>
        <v>3580893</v>
      </c>
      <c r="E15" s="2" t="s">
        <v>30</v>
      </c>
      <c r="F15" s="2">
        <v>2</v>
      </c>
      <c r="H15" s="2"/>
      <c r="I15" s="504" t="s">
        <v>696</v>
      </c>
      <c r="J15" s="549">
        <f>'DETAILS (sorted)'!DD32</f>
        <v>11756.318710962001</v>
      </c>
    </row>
    <row r="16" spans="1:10" x14ac:dyDescent="0.35">
      <c r="A16" s="2">
        <v>11</v>
      </c>
      <c r="B16" s="71">
        <v>46198</v>
      </c>
      <c r="C16" s="3">
        <v>500000</v>
      </c>
      <c r="D16" s="3">
        <f t="shared" ref="D16" si="1">D15+C16</f>
        <v>4080893</v>
      </c>
      <c r="E16" s="2" t="s">
        <v>30</v>
      </c>
      <c r="F16" s="2">
        <v>2</v>
      </c>
      <c r="H16" s="2"/>
      <c r="I16" s="524" t="s">
        <v>887</v>
      </c>
      <c r="J16" s="549">
        <f>'DETAILS (sorted)'!DF32</f>
        <v>10941.806835861118</v>
      </c>
    </row>
    <row r="17" spans="1:10" x14ac:dyDescent="0.35">
      <c r="A17" s="2">
        <v>12</v>
      </c>
      <c r="B17" s="71"/>
      <c r="C17" s="3"/>
      <c r="D17" s="3"/>
      <c r="E17" s="2"/>
      <c r="F17" s="2"/>
      <c r="H17" s="2"/>
      <c r="I17" s="524" t="s">
        <v>889</v>
      </c>
      <c r="J17" s="549">
        <f>'DETAILS (sorted)'!DG32</f>
        <v>36534.609070551771</v>
      </c>
    </row>
    <row r="18" spans="1:10" x14ac:dyDescent="0.35">
      <c r="A18" s="2">
        <v>13</v>
      </c>
      <c r="B18" s="71"/>
      <c r="C18" s="3"/>
      <c r="D18" s="3"/>
      <c r="E18" s="2"/>
      <c r="F18" s="2"/>
      <c r="H18" s="2"/>
      <c r="I18" s="524" t="s">
        <v>891</v>
      </c>
      <c r="J18" s="549">
        <f>'DETAILS (sorted)'!DL32</f>
        <v>12279.929332792004</v>
      </c>
    </row>
    <row r="19" spans="1:10" x14ac:dyDescent="0.35">
      <c r="A19" s="2">
        <v>14</v>
      </c>
      <c r="B19" s="71"/>
      <c r="C19" s="3"/>
      <c r="D19" s="3"/>
      <c r="E19" s="2"/>
      <c r="F19" s="2"/>
      <c r="H19" s="2"/>
      <c r="I19" s="524" t="s">
        <v>894</v>
      </c>
      <c r="J19" s="549">
        <f>'DETAILS (sorted)'!DM32</f>
        <v>0</v>
      </c>
    </row>
    <row r="20" spans="1:10" x14ac:dyDescent="0.35">
      <c r="A20" s="2">
        <v>15</v>
      </c>
      <c r="B20" s="71"/>
      <c r="C20" s="3"/>
      <c r="D20" s="3"/>
      <c r="E20" s="2"/>
      <c r="F20" s="2"/>
      <c r="H20" s="2"/>
      <c r="I20" s="524" t="s">
        <v>893</v>
      </c>
      <c r="J20" s="549">
        <f>'DETAILS (sorted)'!DN32</f>
        <v>0</v>
      </c>
    </row>
    <row r="21" spans="1:10" x14ac:dyDescent="0.35">
      <c r="A21" s="2">
        <v>16</v>
      </c>
      <c r="B21" s="71"/>
      <c r="C21" s="3"/>
      <c r="D21" s="3"/>
      <c r="E21" s="2"/>
      <c r="F21" s="2"/>
      <c r="H21" s="2"/>
      <c r="I21" s="524" t="s">
        <v>895</v>
      </c>
      <c r="J21" s="549">
        <f>'DETAILS (sorted)'!DO32</f>
        <v>0</v>
      </c>
    </row>
    <row r="22" spans="1:10" x14ac:dyDescent="0.35">
      <c r="A22" s="2"/>
      <c r="B22" s="2"/>
      <c r="C22" s="3"/>
      <c r="D22" s="3"/>
      <c r="E22" s="2"/>
      <c r="F22" s="2"/>
      <c r="H22" s="2"/>
      <c r="I22" s="524" t="s">
        <v>897</v>
      </c>
      <c r="J22" s="549">
        <f>'DETAILS (sorted)'!DQ32</f>
        <v>0</v>
      </c>
    </row>
    <row r="23" spans="1:10" x14ac:dyDescent="0.35">
      <c r="A23" s="2"/>
      <c r="B23" s="2"/>
      <c r="C23" s="3"/>
      <c r="D23" s="3"/>
      <c r="E23" s="2"/>
      <c r="F23" s="2"/>
      <c r="H23" s="2"/>
      <c r="I23" s="524" t="s">
        <v>898</v>
      </c>
      <c r="J23" s="549">
        <f>'DETAILS (sorted)'!DR32</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4080893</v>
      </c>
      <c r="D35" s="191">
        <f>C35+J35</f>
        <v>4305884.0843295772</v>
      </c>
      <c r="E35" s="191">
        <f>'DETAILS (sorted)'!DS32</f>
        <v>4349969.7794422125</v>
      </c>
      <c r="F35" s="191">
        <f>D35-E35</f>
        <v>-44085.695112635382</v>
      </c>
      <c r="G35" s="5" t="b">
        <f>D35=E35</f>
        <v>0</v>
      </c>
      <c r="H35" s="74"/>
      <c r="I35" s="544"/>
      <c r="J35" s="548">
        <f>SUM(J6:J34)</f>
        <v>224991.08432957751</v>
      </c>
    </row>
    <row r="37" spans="1:10" x14ac:dyDescent="0.35">
      <c r="C37" s="191" t="s">
        <v>644</v>
      </c>
      <c r="D37" s="191">
        <f>C35+J35</f>
        <v>4305884.0843295772</v>
      </c>
      <c r="E37" s="122">
        <f>D37/D38</f>
        <v>0.4305884084329577</v>
      </c>
      <c r="F37" s="2" t="s">
        <v>652</v>
      </c>
    </row>
    <row r="38" spans="1:10" x14ac:dyDescent="0.35">
      <c r="C38" s="3"/>
      <c r="D38" s="3">
        <v>10000000</v>
      </c>
      <c r="E38" s="122">
        <f>D38/D38</f>
        <v>1</v>
      </c>
      <c r="F38" s="2" t="s">
        <v>654</v>
      </c>
    </row>
    <row r="39" spans="1:10" x14ac:dyDescent="0.35">
      <c r="C39" s="3"/>
      <c r="D39" s="3">
        <f>D37-D38</f>
        <v>-5694115.9156704228</v>
      </c>
      <c r="E39" s="122">
        <f>D39/D38</f>
        <v>-0.56941159156704224</v>
      </c>
      <c r="F39" s="2" t="s">
        <v>653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EE044-57AD-4662-8CEE-11B726FDA761}">
  <dimension ref="A2:J39"/>
  <sheetViews>
    <sheetView topLeftCell="E7" workbookViewId="0">
      <selection activeCell="N16" sqref="N16"/>
    </sheetView>
  </sheetViews>
  <sheetFormatPr defaultRowHeight="14.5" x14ac:dyDescent="0.35"/>
  <cols>
    <col min="1" max="1" width="12" bestFit="1" customWidth="1"/>
    <col min="2" max="2" width="14.26953125" bestFit="1" customWidth="1"/>
    <col min="3" max="3" width="12.7265625" style="1" bestFit="1" customWidth="1"/>
    <col min="4" max="4" width="14.453125" style="1" bestFit="1" customWidth="1"/>
    <col min="5" max="5" width="12.81640625" bestFit="1" customWidth="1"/>
    <col min="6" max="6" width="13.453125" bestFit="1" customWidth="1"/>
    <col min="7" max="7" width="9.1796875" bestFit="1" customWidth="1"/>
    <col min="8" max="8" width="11.1796875" bestFit="1" customWidth="1"/>
    <col min="9" max="9" width="24.5429687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263</v>
      </c>
      <c r="B3" s="7" t="s">
        <v>87</v>
      </c>
      <c r="C3" s="72"/>
      <c r="D3" s="71"/>
      <c r="E3" s="11"/>
      <c r="F3" s="11"/>
      <c r="G3" s="71"/>
      <c r="H3" s="11"/>
      <c r="I3" s="545"/>
      <c r="J3" s="54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45652</v>
      </c>
      <c r="C6" s="11">
        <v>1000000</v>
      </c>
      <c r="D6" s="3">
        <f>C6</f>
        <v>1000000</v>
      </c>
      <c r="E6" s="2" t="s">
        <v>144</v>
      </c>
      <c r="F6" s="2">
        <v>1</v>
      </c>
      <c r="H6" s="2"/>
      <c r="I6" s="503" t="s">
        <v>210</v>
      </c>
      <c r="J6" s="549">
        <v>17839.110005005394</v>
      </c>
    </row>
    <row r="7" spans="1:10" x14ac:dyDescent="0.35">
      <c r="A7" s="2">
        <v>2</v>
      </c>
      <c r="B7" s="71">
        <v>45729</v>
      </c>
      <c r="C7" s="11">
        <v>200000</v>
      </c>
      <c r="D7" s="3">
        <f>D6+C7</f>
        <v>1200000</v>
      </c>
      <c r="E7" s="2" t="s">
        <v>144</v>
      </c>
      <c r="F7" s="2">
        <v>1</v>
      </c>
      <c r="H7" s="2"/>
      <c r="I7" s="504" t="s">
        <v>212</v>
      </c>
      <c r="J7" s="549">
        <v>15715.555653739935</v>
      </c>
    </row>
    <row r="8" spans="1:10" x14ac:dyDescent="0.35">
      <c r="A8" s="2">
        <v>3</v>
      </c>
      <c r="B8" s="71">
        <v>46155</v>
      </c>
      <c r="C8" s="3">
        <v>2100000</v>
      </c>
      <c r="D8" s="3">
        <f>D7+C8</f>
        <v>3300000</v>
      </c>
      <c r="E8" s="2" t="s">
        <v>30</v>
      </c>
      <c r="F8" s="2">
        <v>2</v>
      </c>
      <c r="H8" s="2"/>
      <c r="I8" s="504" t="s">
        <v>213</v>
      </c>
      <c r="J8" s="549">
        <v>23969.089940993894</v>
      </c>
    </row>
    <row r="9" spans="1:10" x14ac:dyDescent="0.35">
      <c r="A9" s="2">
        <v>4</v>
      </c>
      <c r="B9" s="71"/>
      <c r="C9" s="3"/>
      <c r="D9" s="3"/>
      <c r="E9" s="2"/>
      <c r="F9" s="2"/>
      <c r="H9" s="2"/>
      <c r="I9" s="504" t="s">
        <v>215</v>
      </c>
      <c r="J9" s="549">
        <v>17068.673234745533</v>
      </c>
    </row>
    <row r="10" spans="1:10" x14ac:dyDescent="0.35">
      <c r="A10" s="2">
        <v>5</v>
      </c>
      <c r="B10" s="71"/>
      <c r="C10" s="3"/>
      <c r="D10" s="3"/>
      <c r="E10" s="2"/>
      <c r="F10" s="2"/>
      <c r="H10" s="2"/>
      <c r="I10" s="504" t="s">
        <v>217</v>
      </c>
      <c r="J10" s="549">
        <v>40743.724841328658</v>
      </c>
    </row>
    <row r="11" spans="1:10" x14ac:dyDescent="0.35">
      <c r="A11" s="2">
        <v>6</v>
      </c>
      <c r="B11" s="71"/>
      <c r="C11" s="3"/>
      <c r="D11" s="3"/>
      <c r="E11" s="2"/>
      <c r="F11" s="2"/>
      <c r="H11" s="2"/>
      <c r="I11" s="504" t="s">
        <v>219</v>
      </c>
      <c r="J11" s="549">
        <v>11657.783543184054</v>
      </c>
    </row>
    <row r="12" spans="1:10" x14ac:dyDescent="0.35">
      <c r="A12" s="2">
        <v>7</v>
      </c>
      <c r="B12" s="71"/>
      <c r="C12" s="3"/>
      <c r="D12" s="3"/>
      <c r="E12" s="2"/>
      <c r="F12" s="2"/>
      <c r="H12" s="2"/>
      <c r="I12" s="504" t="s">
        <v>537</v>
      </c>
      <c r="J12" s="549">
        <v>1854.3017851307657</v>
      </c>
    </row>
    <row r="13" spans="1:10" x14ac:dyDescent="0.35">
      <c r="A13" s="2">
        <v>8</v>
      </c>
      <c r="B13" s="294"/>
      <c r="C13" s="3"/>
      <c r="D13" s="3"/>
      <c r="E13" s="2"/>
      <c r="F13" s="2"/>
      <c r="H13" s="2"/>
      <c r="I13" s="504" t="s">
        <v>543</v>
      </c>
      <c r="J13" s="549">
        <v>4770.4285198092493</v>
      </c>
    </row>
    <row r="14" spans="1:10" x14ac:dyDescent="0.35">
      <c r="A14" s="2">
        <v>9</v>
      </c>
      <c r="B14" s="294"/>
      <c r="C14" s="3"/>
      <c r="D14" s="3"/>
      <c r="E14" s="2"/>
      <c r="F14" s="2"/>
      <c r="H14" s="2"/>
      <c r="I14" s="504" t="s">
        <v>681</v>
      </c>
      <c r="J14" s="549">
        <f>'DETAILS (sorted)'!DC33</f>
        <v>18597.69332821939</v>
      </c>
    </row>
    <row r="15" spans="1:10" x14ac:dyDescent="0.35">
      <c r="A15" s="2">
        <v>10</v>
      </c>
      <c r="B15" s="294"/>
      <c r="C15" s="205"/>
      <c r="D15" s="3"/>
      <c r="E15" s="2"/>
      <c r="F15" s="2"/>
      <c r="H15" s="2"/>
      <c r="I15" s="504" t="s">
        <v>696</v>
      </c>
      <c r="J15" s="549">
        <f>'DETAILS (sorted)'!DD33</f>
        <v>12592.404782046828</v>
      </c>
    </row>
    <row r="16" spans="1:10" x14ac:dyDescent="0.35">
      <c r="A16" s="2">
        <v>11</v>
      </c>
      <c r="B16" s="294"/>
      <c r="C16" s="3"/>
      <c r="D16" s="3"/>
      <c r="E16" s="2"/>
      <c r="F16" s="2"/>
      <c r="H16" s="2"/>
      <c r="I16" s="524" t="s">
        <v>887</v>
      </c>
      <c r="J16" s="549">
        <f>'DETAILS (sorted)'!DF33</f>
        <v>8848.0542269404486</v>
      </c>
    </row>
    <row r="17" spans="1:10" x14ac:dyDescent="0.35">
      <c r="A17" s="2">
        <v>12</v>
      </c>
      <c r="B17" s="71"/>
      <c r="C17" s="3"/>
      <c r="D17" s="3"/>
      <c r="E17" s="2"/>
      <c r="F17" s="2"/>
      <c r="H17" s="2"/>
      <c r="I17" s="524" t="s">
        <v>889</v>
      </c>
      <c r="J17" s="549">
        <f>'DETAILS (sorted)'!DG33</f>
        <v>29543.585174328473</v>
      </c>
    </row>
    <row r="18" spans="1:10" x14ac:dyDescent="0.35">
      <c r="A18" s="2">
        <v>13</v>
      </c>
      <c r="B18" s="71"/>
      <c r="C18" s="3"/>
      <c r="D18" s="3"/>
      <c r="E18" s="2"/>
      <c r="F18" s="2"/>
      <c r="H18" s="2"/>
      <c r="I18" s="524" t="s">
        <v>891</v>
      </c>
      <c r="J18" s="549">
        <f>'DETAILS (sorted)'!DL33</f>
        <v>10019.333841565123</v>
      </c>
    </row>
    <row r="19" spans="1:10" x14ac:dyDescent="0.35">
      <c r="A19" s="2">
        <v>14</v>
      </c>
      <c r="B19" s="71"/>
      <c r="C19" s="3"/>
      <c r="D19" s="3"/>
      <c r="E19" s="2"/>
      <c r="F19" s="2"/>
      <c r="H19" s="2"/>
      <c r="I19" s="524" t="s">
        <v>894</v>
      </c>
      <c r="J19" s="549">
        <f>'DETAILS (sorted)'!DM33</f>
        <v>0</v>
      </c>
    </row>
    <row r="20" spans="1:10" x14ac:dyDescent="0.35">
      <c r="A20" s="2">
        <v>15</v>
      </c>
      <c r="B20" s="71"/>
      <c r="C20" s="3"/>
      <c r="D20" s="3"/>
      <c r="E20" s="2"/>
      <c r="F20" s="2"/>
      <c r="H20" s="2"/>
      <c r="I20" s="524" t="s">
        <v>893</v>
      </c>
      <c r="J20" s="549">
        <f>'DETAILS (sorted)'!DN33</f>
        <v>0</v>
      </c>
    </row>
    <row r="21" spans="1:10" x14ac:dyDescent="0.35">
      <c r="A21" s="2">
        <v>16</v>
      </c>
      <c r="B21" s="71"/>
      <c r="C21" s="3"/>
      <c r="D21" s="3"/>
      <c r="E21" s="2"/>
      <c r="F21" s="2"/>
      <c r="H21" s="2"/>
      <c r="I21" s="524" t="s">
        <v>895</v>
      </c>
      <c r="J21" s="549">
        <f>'DETAILS (sorted)'!DO33</f>
        <v>0</v>
      </c>
    </row>
    <row r="22" spans="1:10" x14ac:dyDescent="0.35">
      <c r="A22" s="2"/>
      <c r="B22" s="2"/>
      <c r="C22" s="3"/>
      <c r="D22" s="3"/>
      <c r="E22" s="2"/>
      <c r="F22" s="2"/>
      <c r="H22" s="2"/>
      <c r="I22" s="524" t="s">
        <v>897</v>
      </c>
      <c r="J22" s="549">
        <f>'DETAILS (sorted)'!DQ33</f>
        <v>0</v>
      </c>
    </row>
    <row r="23" spans="1:10" x14ac:dyDescent="0.35">
      <c r="A23" s="2"/>
      <c r="B23" s="2"/>
      <c r="C23" s="3"/>
      <c r="D23" s="3"/>
      <c r="E23" s="2"/>
      <c r="F23" s="2"/>
      <c r="H23" s="2"/>
      <c r="I23" s="524" t="s">
        <v>898</v>
      </c>
      <c r="J23" s="549">
        <f>'DETAILS (sorted)'!DR33</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3300000</v>
      </c>
      <c r="D35" s="191">
        <f>C35+J35</f>
        <v>3513219.7388770375</v>
      </c>
      <c r="E35" s="191">
        <f>'DETAILS (sorted)'!DS33</f>
        <v>3549189.7583291377</v>
      </c>
      <c r="F35" s="191">
        <f>D35-E35</f>
        <v>-35970.019452100154</v>
      </c>
      <c r="G35" s="404" t="b">
        <f>D35=E35</f>
        <v>0</v>
      </c>
      <c r="H35" s="74"/>
      <c r="I35" s="544"/>
      <c r="J35" s="548">
        <f>SUM(J5:J34)</f>
        <v>213219.73887703771</v>
      </c>
    </row>
    <row r="37" spans="1:10" x14ac:dyDescent="0.35">
      <c r="C37" s="191" t="s">
        <v>644</v>
      </c>
      <c r="D37" s="191">
        <f>C35+J35</f>
        <v>3513219.7388770375</v>
      </c>
      <c r="E37" s="122">
        <f>D37/D38</f>
        <v>0.35132197388770375</v>
      </c>
      <c r="F37" s="2" t="s">
        <v>652</v>
      </c>
    </row>
    <row r="38" spans="1:10" x14ac:dyDescent="0.35">
      <c r="C38" s="3"/>
      <c r="D38" s="3">
        <v>10000000</v>
      </c>
      <c r="E38" s="122">
        <f>D38/D38</f>
        <v>1</v>
      </c>
      <c r="F38" s="2" t="s">
        <v>654</v>
      </c>
    </row>
    <row r="39" spans="1:10" x14ac:dyDescent="0.35">
      <c r="C39" s="3"/>
      <c r="D39" s="3">
        <f>D37-D38</f>
        <v>-6486780.2611229625</v>
      </c>
      <c r="E39" s="122">
        <f>D39/D38</f>
        <v>-0.64867802611229619</v>
      </c>
      <c r="F39" s="2" t="s">
        <v>653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A01FC-AE3A-464C-8363-C04100695E2A}">
  <dimension ref="A2:J39"/>
  <sheetViews>
    <sheetView topLeftCell="A8" workbookViewId="0">
      <selection activeCell="D15" sqref="D15"/>
    </sheetView>
  </sheetViews>
  <sheetFormatPr defaultRowHeight="14.5" x14ac:dyDescent="0.35"/>
  <cols>
    <col min="1" max="1" width="12" bestFit="1" customWidth="1"/>
    <col min="2" max="2" width="14.26953125" bestFit="1" customWidth="1"/>
    <col min="3" max="3" width="11.36328125" style="1" bestFit="1" customWidth="1"/>
    <col min="4" max="4" width="14.453125" style="1" bestFit="1" customWidth="1"/>
    <col min="5" max="5" width="11.26953125" bestFit="1" customWidth="1"/>
    <col min="6" max="6" width="9.26953125" bestFit="1" customWidth="1"/>
    <col min="7" max="7" width="5.1796875" bestFit="1" customWidth="1"/>
    <col min="8" max="8" width="4.7265625" hidden="1" customWidth="1"/>
    <col min="9" max="9" width="23.0898437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16" x14ac:dyDescent="0.4">
      <c r="A3" s="210" t="s">
        <v>264</v>
      </c>
      <c r="B3" s="128" t="s">
        <v>74</v>
      </c>
      <c r="C3" s="128"/>
      <c r="D3" s="71"/>
      <c r="E3" s="11"/>
      <c r="F3" s="11"/>
      <c r="G3" s="71"/>
      <c r="H3" s="11"/>
      <c r="I3" s="545"/>
      <c r="J3" s="555"/>
    </row>
    <row r="4" spans="1:10" x14ac:dyDescent="0.35">
      <c r="A4" s="2"/>
      <c r="B4" s="2"/>
      <c r="C4" s="3"/>
      <c r="D4" s="3"/>
      <c r="E4" s="2"/>
      <c r="F4" s="2"/>
      <c r="G4" s="2"/>
      <c r="H4" s="74" t="s">
        <v>643</v>
      </c>
      <c r="I4" s="544" t="s">
        <v>445</v>
      </c>
      <c r="J4" s="548" t="s">
        <v>568</v>
      </c>
    </row>
    <row r="5" spans="1:10" x14ac:dyDescent="0.35">
      <c r="A5" s="74" t="s">
        <v>487</v>
      </c>
      <c r="B5" s="74" t="s">
        <v>2</v>
      </c>
      <c r="C5" s="191" t="s">
        <v>124</v>
      </c>
      <c r="D5" s="191" t="s">
        <v>488</v>
      </c>
      <c r="E5" s="74" t="s">
        <v>489</v>
      </c>
      <c r="F5" s="74" t="s">
        <v>490</v>
      </c>
      <c r="G5" s="2"/>
      <c r="H5" s="2"/>
      <c r="I5" s="484"/>
      <c r="J5" s="549"/>
    </row>
    <row r="6" spans="1:10" x14ac:dyDescent="0.35">
      <c r="A6" s="2">
        <v>1</v>
      </c>
      <c r="B6" s="71">
        <v>45381</v>
      </c>
      <c r="C6" s="11">
        <v>50000</v>
      </c>
      <c r="D6" s="3">
        <f>C6</f>
        <v>50000</v>
      </c>
      <c r="E6" s="2" t="s">
        <v>144</v>
      </c>
      <c r="F6" s="2">
        <v>1</v>
      </c>
      <c r="G6" s="2"/>
      <c r="H6" s="2"/>
      <c r="I6" s="523" t="s">
        <v>210</v>
      </c>
      <c r="J6" s="549">
        <v>14865.92500417116</v>
      </c>
    </row>
    <row r="7" spans="1:10" x14ac:dyDescent="0.35">
      <c r="A7" s="2">
        <v>2</v>
      </c>
      <c r="B7" s="71">
        <v>45383</v>
      </c>
      <c r="C7" s="11">
        <v>10000</v>
      </c>
      <c r="D7" s="3">
        <f>D6+C7</f>
        <v>60000</v>
      </c>
      <c r="E7" s="2" t="s">
        <v>144</v>
      </c>
      <c r="F7" s="2">
        <v>1</v>
      </c>
      <c r="G7" s="2"/>
      <c r="H7" s="2"/>
      <c r="I7" s="524" t="s">
        <v>212</v>
      </c>
      <c r="J7" s="549">
        <v>19644.44456717492</v>
      </c>
    </row>
    <row r="8" spans="1:10" x14ac:dyDescent="0.35">
      <c r="A8" s="2">
        <v>3</v>
      </c>
      <c r="B8" s="71">
        <v>45408</v>
      </c>
      <c r="C8" s="11">
        <v>10000</v>
      </c>
      <c r="D8" s="3">
        <f t="shared" ref="D8:D17" si="0">D7+C8</f>
        <v>70000</v>
      </c>
      <c r="E8" s="2" t="s">
        <v>144</v>
      </c>
      <c r="F8" s="2">
        <v>1</v>
      </c>
      <c r="G8" s="2"/>
      <c r="H8" s="2"/>
      <c r="I8" s="524" t="s">
        <v>213</v>
      </c>
      <c r="J8" s="549">
        <v>29961.362426242365</v>
      </c>
    </row>
    <row r="9" spans="1:10" x14ac:dyDescent="0.35">
      <c r="A9" s="2">
        <v>4</v>
      </c>
      <c r="B9" s="71">
        <v>45529</v>
      </c>
      <c r="C9" s="11">
        <v>150000</v>
      </c>
      <c r="D9" s="3">
        <f t="shared" si="0"/>
        <v>220000</v>
      </c>
      <c r="E9" s="2" t="s">
        <v>144</v>
      </c>
      <c r="F9" s="2">
        <v>1</v>
      </c>
      <c r="G9" s="2"/>
      <c r="H9" s="2"/>
      <c r="I9" s="524" t="s">
        <v>215</v>
      </c>
      <c r="J9" s="549">
        <v>22758.230979660711</v>
      </c>
    </row>
    <row r="10" spans="1:10" x14ac:dyDescent="0.35">
      <c r="A10" s="2">
        <v>5</v>
      </c>
      <c r="B10" s="70">
        <v>45631</v>
      </c>
      <c r="C10" s="10">
        <v>580000</v>
      </c>
      <c r="D10" s="3">
        <f t="shared" si="0"/>
        <v>800000</v>
      </c>
      <c r="E10" s="2" t="s">
        <v>144</v>
      </c>
      <c r="F10" s="2">
        <v>1</v>
      </c>
      <c r="G10" s="2"/>
      <c r="H10" s="2"/>
      <c r="I10" s="524" t="s">
        <v>217</v>
      </c>
      <c r="J10" s="549">
        <v>54324.966455104877</v>
      </c>
    </row>
    <row r="11" spans="1:10" x14ac:dyDescent="0.35">
      <c r="A11" s="2">
        <v>6</v>
      </c>
      <c r="B11" s="70">
        <v>45652</v>
      </c>
      <c r="C11" s="10">
        <v>200000</v>
      </c>
      <c r="D11" s="3">
        <f t="shared" si="0"/>
        <v>1000000</v>
      </c>
      <c r="E11" s="2" t="s">
        <v>144</v>
      </c>
      <c r="F11" s="2">
        <v>1</v>
      </c>
      <c r="G11" s="2"/>
      <c r="H11" s="2"/>
      <c r="I11" s="524" t="s">
        <v>219</v>
      </c>
      <c r="J11" s="549">
        <v>28172.976896028129</v>
      </c>
    </row>
    <row r="12" spans="1:10" x14ac:dyDescent="0.35">
      <c r="A12" s="2">
        <v>7</v>
      </c>
      <c r="B12" s="71">
        <v>45957</v>
      </c>
      <c r="C12" s="200">
        <v>500000</v>
      </c>
      <c r="D12" s="3">
        <f t="shared" si="0"/>
        <v>1500000</v>
      </c>
      <c r="E12" s="2" t="s">
        <v>30</v>
      </c>
      <c r="F12" s="2">
        <v>2</v>
      </c>
      <c r="G12" s="2"/>
      <c r="H12" s="2"/>
      <c r="I12" s="524" t="s">
        <v>537</v>
      </c>
      <c r="J12" s="549">
        <v>4944.8047603487084</v>
      </c>
    </row>
    <row r="13" spans="1:10" x14ac:dyDescent="0.35">
      <c r="A13" s="2">
        <v>8</v>
      </c>
      <c r="B13" s="71">
        <v>46052</v>
      </c>
      <c r="C13" s="3">
        <v>100000</v>
      </c>
      <c r="D13" s="3">
        <f t="shared" si="0"/>
        <v>1600000</v>
      </c>
      <c r="E13" s="2" t="s">
        <v>30</v>
      </c>
      <c r="F13" s="2">
        <v>2</v>
      </c>
      <c r="G13" s="2"/>
      <c r="H13" s="2"/>
      <c r="I13" s="524" t="s">
        <v>543</v>
      </c>
      <c r="J13" s="549">
        <v>12721.142719491332</v>
      </c>
    </row>
    <row r="14" spans="1:10" x14ac:dyDescent="0.35">
      <c r="A14" s="2">
        <v>9</v>
      </c>
      <c r="B14" s="71">
        <v>46107</v>
      </c>
      <c r="C14" s="3">
        <f>500000</f>
        <v>500000</v>
      </c>
      <c r="D14" s="3">
        <f t="shared" si="0"/>
        <v>2100000</v>
      </c>
      <c r="E14" s="2" t="s">
        <v>30</v>
      </c>
      <c r="F14" s="2">
        <v>2</v>
      </c>
      <c r="G14" s="2"/>
      <c r="H14" s="2"/>
      <c r="I14" s="524" t="s">
        <v>681</v>
      </c>
      <c r="J14" s="549">
        <f>'DETAILS (sorted)'!DC34</f>
        <v>18034.126863727892</v>
      </c>
    </row>
    <row r="15" spans="1:10" x14ac:dyDescent="0.35">
      <c r="A15" s="21">
        <v>10</v>
      </c>
      <c r="B15" s="71">
        <v>46107</v>
      </c>
      <c r="C15" s="3">
        <v>800000</v>
      </c>
      <c r="D15" s="3">
        <f t="shared" si="0"/>
        <v>2900000</v>
      </c>
      <c r="E15" s="2" t="s">
        <v>30</v>
      </c>
      <c r="F15" s="2">
        <v>2</v>
      </c>
      <c r="H15" s="21"/>
      <c r="I15" s="524" t="s">
        <v>696</v>
      </c>
      <c r="J15" s="549">
        <f>'DETAILS (sorted)'!DD34</f>
        <v>12210.816758348439</v>
      </c>
    </row>
    <row r="16" spans="1:10" x14ac:dyDescent="0.35">
      <c r="A16" s="2">
        <v>11</v>
      </c>
      <c r="B16" s="71">
        <v>46140</v>
      </c>
      <c r="C16" s="3">
        <v>300000</v>
      </c>
      <c r="D16" s="3">
        <f t="shared" si="0"/>
        <v>3200000</v>
      </c>
      <c r="E16" s="2" t="s">
        <v>30</v>
      </c>
      <c r="F16" s="2">
        <v>2</v>
      </c>
      <c r="H16" s="2"/>
      <c r="I16" s="524" t="s">
        <v>887</v>
      </c>
      <c r="J16" s="549">
        <f>'DETAILS (sorted)'!DF34</f>
        <v>9384.2999376641128</v>
      </c>
    </row>
    <row r="17" spans="1:10" x14ac:dyDescent="0.35">
      <c r="A17" s="2">
        <v>12</v>
      </c>
      <c r="B17" s="71">
        <v>46182</v>
      </c>
      <c r="C17" s="3">
        <v>100000</v>
      </c>
      <c r="D17" s="3">
        <f t="shared" si="0"/>
        <v>3300000</v>
      </c>
      <c r="E17" s="2" t="s">
        <v>30</v>
      </c>
      <c r="F17" s="2">
        <v>2</v>
      </c>
      <c r="H17" s="2"/>
      <c r="I17" s="524" t="s">
        <v>889</v>
      </c>
      <c r="J17" s="549">
        <f>'DETAILS (sorted)'!DG34</f>
        <v>31334.105487924138</v>
      </c>
    </row>
    <row r="18" spans="1:10" x14ac:dyDescent="0.35">
      <c r="A18" s="2">
        <v>13</v>
      </c>
      <c r="B18" s="71">
        <v>46200</v>
      </c>
      <c r="C18" s="3">
        <v>200000</v>
      </c>
      <c r="D18" s="3">
        <f t="shared" ref="D18" si="1">D17+C18</f>
        <v>3500000</v>
      </c>
      <c r="E18" s="2" t="s">
        <v>30</v>
      </c>
      <c r="F18" s="2">
        <v>2</v>
      </c>
      <c r="H18" s="2"/>
      <c r="I18" s="524" t="s">
        <v>891</v>
      </c>
      <c r="J18" s="549">
        <f>'DETAILS (sorted)'!DL34</f>
        <v>12179.121231751104</v>
      </c>
    </row>
    <row r="19" spans="1:10" x14ac:dyDescent="0.35">
      <c r="A19" s="2">
        <v>14</v>
      </c>
      <c r="B19" s="71"/>
      <c r="C19" s="3"/>
      <c r="D19" s="3"/>
      <c r="E19" s="2"/>
      <c r="F19" s="2"/>
      <c r="H19" s="2"/>
      <c r="I19" s="524" t="s">
        <v>894</v>
      </c>
      <c r="J19" s="549">
        <f>'DETAILS (sorted)'!DM34</f>
        <v>0</v>
      </c>
    </row>
    <row r="20" spans="1:10" x14ac:dyDescent="0.35">
      <c r="A20" s="2">
        <v>15</v>
      </c>
      <c r="B20" s="71"/>
      <c r="C20" s="3"/>
      <c r="D20" s="3"/>
      <c r="E20" s="2"/>
      <c r="F20" s="2"/>
      <c r="H20" s="2"/>
      <c r="I20" s="524" t="s">
        <v>893</v>
      </c>
      <c r="J20" s="549">
        <f>'DETAILS (sorted)'!DN34</f>
        <v>0</v>
      </c>
    </row>
    <row r="21" spans="1:10" x14ac:dyDescent="0.35">
      <c r="A21" s="2">
        <v>16</v>
      </c>
      <c r="B21" s="71"/>
      <c r="C21" s="3"/>
      <c r="D21" s="3"/>
      <c r="E21" s="2"/>
      <c r="F21" s="2"/>
      <c r="H21" s="2"/>
      <c r="I21" s="524" t="s">
        <v>895</v>
      </c>
      <c r="J21" s="549">
        <f>'DETAILS (sorted)'!DO34</f>
        <v>0</v>
      </c>
    </row>
    <row r="22" spans="1:10" x14ac:dyDescent="0.35">
      <c r="A22" s="2"/>
      <c r="B22" s="2"/>
      <c r="C22" s="3"/>
      <c r="D22" s="3"/>
      <c r="E22" s="2"/>
      <c r="F22" s="2"/>
      <c r="H22" s="2"/>
      <c r="I22" s="524" t="s">
        <v>897</v>
      </c>
      <c r="J22" s="549">
        <f>'DETAILS (sorted)'!DQ34</f>
        <v>0</v>
      </c>
    </row>
    <row r="23" spans="1:10" x14ac:dyDescent="0.35">
      <c r="A23" s="2"/>
      <c r="B23" s="2"/>
      <c r="C23" s="3"/>
      <c r="D23" s="3"/>
      <c r="E23" s="2"/>
      <c r="F23" s="2"/>
      <c r="H23" s="2"/>
      <c r="I23" s="524" t="s">
        <v>898</v>
      </c>
      <c r="J23" s="549">
        <f>'DETAILS (sorted)'!DR34</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3500000</v>
      </c>
      <c r="D35" s="191">
        <f>C35+J35</f>
        <v>3770536.3240876379</v>
      </c>
      <c r="E35" s="191">
        <f>'DETAILS (sorted)'!DS34</f>
        <v>4314260.1119704396</v>
      </c>
      <c r="F35" s="191">
        <f>D35-E35</f>
        <v>-543723.78788280161</v>
      </c>
      <c r="G35" s="5" t="b">
        <f>D35=E35</f>
        <v>0</v>
      </c>
      <c r="H35" s="74"/>
      <c r="I35" s="544"/>
      <c r="J35" s="548">
        <f>SUM(J6:J34)</f>
        <v>270536.32408763788</v>
      </c>
    </row>
    <row r="37" spans="1:10" x14ac:dyDescent="0.35">
      <c r="C37" s="191" t="s">
        <v>644</v>
      </c>
      <c r="D37" s="191">
        <f>C35+J35</f>
        <v>3770536.3240876379</v>
      </c>
      <c r="E37" s="122">
        <f>D37/D38</f>
        <v>0.37705363240876377</v>
      </c>
      <c r="F37" s="2" t="s">
        <v>652</v>
      </c>
    </row>
    <row r="38" spans="1:10" x14ac:dyDescent="0.35">
      <c r="C38" s="3"/>
      <c r="D38" s="3">
        <v>10000000</v>
      </c>
      <c r="E38" s="122">
        <f>D38/D38</f>
        <v>1</v>
      </c>
      <c r="F38" s="2" t="s">
        <v>654</v>
      </c>
    </row>
    <row r="39" spans="1:10" x14ac:dyDescent="0.35">
      <c r="C39" s="3"/>
      <c r="D39" s="3">
        <f>D37-D38</f>
        <v>-6229463.6759123616</v>
      </c>
      <c r="E39" s="122">
        <f>D39/D38</f>
        <v>-0.62294636759123612</v>
      </c>
      <c r="F39" s="2" t="s">
        <v>653</v>
      </c>
    </row>
  </sheetData>
  <pageMargins left="0.7" right="0.7" top="0.75" bottom="0.75" header="0.3" footer="0.3"/>
  <pageSetup orientation="portrait" verticalDpi="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8149D-F0B8-48A0-867E-ABDC8A50E257}">
  <dimension ref="A2:J39"/>
  <sheetViews>
    <sheetView topLeftCell="A5" workbookViewId="0">
      <selection activeCell="D15" sqref="D15"/>
    </sheetView>
  </sheetViews>
  <sheetFormatPr defaultRowHeight="14.5" x14ac:dyDescent="0.35"/>
  <cols>
    <col min="1" max="1" width="8.7265625" customWidth="1"/>
    <col min="2" max="2" width="12" customWidth="1"/>
    <col min="3" max="3" width="11.36328125" style="1" bestFit="1" customWidth="1"/>
    <col min="4" max="4" width="14.453125" style="1" bestFit="1" customWidth="1"/>
    <col min="5" max="5" width="10.26953125" customWidth="1"/>
    <col min="6" max="6" width="8.6328125" customWidth="1"/>
    <col min="7" max="7" width="5.453125" bestFit="1" customWidth="1"/>
    <col min="8" max="8" width="10.1796875" hidden="1" customWidth="1"/>
    <col min="9" max="9" width="23"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28" x14ac:dyDescent="0.35">
      <c r="A3" s="210" t="s">
        <v>265</v>
      </c>
      <c r="B3" s="286" t="s">
        <v>57</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45360</v>
      </c>
      <c r="C6" s="11">
        <v>90000</v>
      </c>
      <c r="D6" s="3">
        <f>C6</f>
        <v>90000</v>
      </c>
      <c r="E6" s="2" t="s">
        <v>144</v>
      </c>
      <c r="F6" s="2">
        <v>1</v>
      </c>
      <c r="H6" s="2"/>
      <c r="I6" s="503" t="s">
        <v>210</v>
      </c>
      <c r="J6" s="549">
        <v>14865.92500417116</v>
      </c>
    </row>
    <row r="7" spans="1:10" x14ac:dyDescent="0.35">
      <c r="A7" s="2">
        <v>2</v>
      </c>
      <c r="B7" s="71">
        <v>45360</v>
      </c>
      <c r="C7" s="11">
        <v>60000</v>
      </c>
      <c r="D7" s="3">
        <f>D6+C7</f>
        <v>150000</v>
      </c>
      <c r="E7" s="2" t="s">
        <v>144</v>
      </c>
      <c r="F7" s="2">
        <v>1</v>
      </c>
      <c r="H7" s="2"/>
      <c r="I7" s="504" t="s">
        <v>212</v>
      </c>
      <c r="J7" s="549">
        <v>13096.296378116613</v>
      </c>
    </row>
    <row r="8" spans="1:10" x14ac:dyDescent="0.35">
      <c r="A8" s="2">
        <v>3</v>
      </c>
      <c r="B8" s="71">
        <v>45530</v>
      </c>
      <c r="C8" s="11">
        <v>600000</v>
      </c>
      <c r="D8" s="3">
        <f t="shared" ref="D8:D12" si="0">D7+C8</f>
        <v>750000</v>
      </c>
      <c r="E8" s="2" t="s">
        <v>144</v>
      </c>
      <c r="F8" s="2">
        <v>1</v>
      </c>
      <c r="H8" s="2"/>
      <c r="I8" s="504" t="s">
        <v>213</v>
      </c>
      <c r="J8" s="549">
        <v>19974.24161749491</v>
      </c>
    </row>
    <row r="9" spans="1:10" x14ac:dyDescent="0.35">
      <c r="A9" s="2">
        <v>4</v>
      </c>
      <c r="B9" s="71">
        <v>45530</v>
      </c>
      <c r="C9" s="11">
        <v>200000</v>
      </c>
      <c r="D9" s="3">
        <f t="shared" si="0"/>
        <v>950000</v>
      </c>
      <c r="E9" s="2" t="s">
        <v>144</v>
      </c>
      <c r="F9" s="2">
        <v>1</v>
      </c>
      <c r="H9" s="2"/>
      <c r="I9" s="504" t="s">
        <v>215</v>
      </c>
      <c r="J9" s="549">
        <v>14223.894362287945</v>
      </c>
    </row>
    <row r="10" spans="1:10" x14ac:dyDescent="0.35">
      <c r="A10" s="2">
        <v>5</v>
      </c>
      <c r="B10" s="71">
        <v>45657</v>
      </c>
      <c r="C10" s="11">
        <v>50000</v>
      </c>
      <c r="D10" s="3">
        <f t="shared" si="0"/>
        <v>1000000</v>
      </c>
      <c r="E10" s="2" t="s">
        <v>144</v>
      </c>
      <c r="F10" s="2">
        <v>1</v>
      </c>
      <c r="H10" s="2"/>
      <c r="I10" s="504" t="s">
        <v>217</v>
      </c>
      <c r="J10" s="549">
        <v>33953.104034440548</v>
      </c>
    </row>
    <row r="11" spans="1:10" x14ac:dyDescent="0.35">
      <c r="A11" s="2">
        <v>6</v>
      </c>
      <c r="B11" s="71">
        <v>46137</v>
      </c>
      <c r="C11" s="3">
        <v>1000000</v>
      </c>
      <c r="D11" s="3">
        <f t="shared" si="0"/>
        <v>2000000</v>
      </c>
      <c r="E11" s="2" t="s">
        <v>30</v>
      </c>
      <c r="F11" s="2">
        <v>2</v>
      </c>
      <c r="H11" s="2"/>
      <c r="I11" s="504" t="s">
        <v>219</v>
      </c>
      <c r="J11" s="549">
        <v>9714.8196193200456</v>
      </c>
    </row>
    <row r="12" spans="1:10" x14ac:dyDescent="0.35">
      <c r="A12" s="2">
        <v>7</v>
      </c>
      <c r="B12" s="71">
        <v>46172</v>
      </c>
      <c r="C12" s="3">
        <v>1200000</v>
      </c>
      <c r="D12" s="3">
        <f t="shared" si="0"/>
        <v>3200000</v>
      </c>
      <c r="E12" s="2" t="s">
        <v>30</v>
      </c>
      <c r="F12" s="2">
        <v>2</v>
      </c>
      <c r="H12" s="2"/>
      <c r="I12" s="504" t="s">
        <v>537</v>
      </c>
      <c r="J12" s="549">
        <v>3090.502975217943</v>
      </c>
    </row>
    <row r="13" spans="1:10" x14ac:dyDescent="0.35">
      <c r="A13" s="2">
        <v>8</v>
      </c>
      <c r="B13" s="71">
        <v>46204</v>
      </c>
      <c r="C13" s="3">
        <v>200000</v>
      </c>
      <c r="D13" s="3">
        <f t="shared" ref="D13" si="1">D12+C13</f>
        <v>3400000</v>
      </c>
      <c r="E13" s="2" t="s">
        <v>30</v>
      </c>
      <c r="F13" s="2">
        <v>2</v>
      </c>
      <c r="H13" s="2"/>
      <c r="I13" s="504" t="s">
        <v>543</v>
      </c>
      <c r="J13" s="549">
        <v>7950.7141996820828</v>
      </c>
    </row>
    <row r="14" spans="1:10" x14ac:dyDescent="0.35">
      <c r="A14" s="2">
        <v>9</v>
      </c>
      <c r="B14" s="294"/>
      <c r="C14" s="3"/>
      <c r="D14" s="3"/>
      <c r="E14" s="2"/>
      <c r="F14" s="2"/>
      <c r="H14" s="2"/>
      <c r="I14" s="504" t="s">
        <v>681</v>
      </c>
      <c r="J14" s="549">
        <f>'DETAILS (sorted)'!DC35</f>
        <v>18034.126863727892</v>
      </c>
    </row>
    <row r="15" spans="1:10" x14ac:dyDescent="0.35">
      <c r="A15" s="2">
        <v>10</v>
      </c>
      <c r="B15" s="294"/>
      <c r="C15" s="205"/>
      <c r="D15" s="3"/>
      <c r="E15" s="2"/>
      <c r="F15" s="2"/>
      <c r="H15" s="2"/>
      <c r="I15" s="504" t="s">
        <v>696</v>
      </c>
      <c r="J15" s="549">
        <f>'DETAILS (sorted)'!DD35</f>
        <v>12210.816758348439</v>
      </c>
    </row>
    <row r="16" spans="1:10" x14ac:dyDescent="0.35">
      <c r="A16" s="2">
        <v>11</v>
      </c>
      <c r="B16" s="294"/>
      <c r="C16" s="3"/>
      <c r="D16" s="3"/>
      <c r="E16" s="2"/>
      <c r="F16" s="2"/>
      <c r="H16" s="2"/>
      <c r="I16" s="524" t="s">
        <v>887</v>
      </c>
      <c r="J16" s="549">
        <f>'DETAILS (sorted)'!DF35</f>
        <v>8579.9313715786157</v>
      </c>
    </row>
    <row r="17" spans="1:10" x14ac:dyDescent="0.35">
      <c r="A17" s="2">
        <v>12</v>
      </c>
      <c r="B17" s="71"/>
      <c r="C17" s="3"/>
      <c r="D17" s="3"/>
      <c r="E17" s="2"/>
      <c r="F17" s="2"/>
      <c r="H17" s="2"/>
      <c r="I17" s="524" t="s">
        <v>889</v>
      </c>
      <c r="J17" s="549">
        <f>'DETAILS (sorted)'!DG35</f>
        <v>28648.325017530638</v>
      </c>
    </row>
    <row r="18" spans="1:10" x14ac:dyDescent="0.35">
      <c r="A18" s="2">
        <v>13</v>
      </c>
      <c r="B18" s="71"/>
      <c r="C18" s="3"/>
      <c r="D18" s="3"/>
      <c r="E18" s="2"/>
      <c r="F18" s="2"/>
      <c r="H18" s="2"/>
      <c r="I18" s="524" t="s">
        <v>891</v>
      </c>
      <c r="J18" s="549">
        <f>'DETAILS (sorted)'!DL35</f>
        <v>10251.404985064697</v>
      </c>
    </row>
    <row r="19" spans="1:10" x14ac:dyDescent="0.35">
      <c r="A19" s="2">
        <v>14</v>
      </c>
      <c r="B19" s="71"/>
      <c r="C19" s="3"/>
      <c r="D19" s="3"/>
      <c r="E19" s="2"/>
      <c r="F19" s="2"/>
      <c r="H19" s="2"/>
      <c r="I19" s="524" t="s">
        <v>894</v>
      </c>
      <c r="J19" s="549">
        <f>'DETAILS (sorted)'!DM35</f>
        <v>0</v>
      </c>
    </row>
    <row r="20" spans="1:10" x14ac:dyDescent="0.35">
      <c r="A20" s="2">
        <v>15</v>
      </c>
      <c r="B20" s="71"/>
      <c r="C20" s="3"/>
      <c r="D20" s="3"/>
      <c r="E20" s="2"/>
      <c r="F20" s="2"/>
      <c r="H20" s="2"/>
      <c r="I20" s="524" t="s">
        <v>893</v>
      </c>
      <c r="J20" s="549">
        <f>'DETAILS (sorted)'!DN35</f>
        <v>0</v>
      </c>
    </row>
    <row r="21" spans="1:10" x14ac:dyDescent="0.35">
      <c r="A21" s="2">
        <v>16</v>
      </c>
      <c r="B21" s="71"/>
      <c r="C21" s="3"/>
      <c r="D21" s="3"/>
      <c r="E21" s="2"/>
      <c r="F21" s="2"/>
      <c r="H21" s="2"/>
      <c r="I21" s="524" t="s">
        <v>895</v>
      </c>
      <c r="J21" s="549">
        <f>'DETAILS (sorted)'!DO35</f>
        <v>0</v>
      </c>
    </row>
    <row r="22" spans="1:10" x14ac:dyDescent="0.35">
      <c r="A22" s="2"/>
      <c r="B22" s="2"/>
      <c r="C22" s="3"/>
      <c r="D22" s="3"/>
      <c r="E22" s="2"/>
      <c r="F22" s="2"/>
      <c r="H22" s="2"/>
      <c r="I22" s="524" t="s">
        <v>897</v>
      </c>
      <c r="J22" s="549">
        <f>'DETAILS (sorted)'!DQ35</f>
        <v>0</v>
      </c>
    </row>
    <row r="23" spans="1:10" x14ac:dyDescent="0.35">
      <c r="A23" s="2"/>
      <c r="B23" s="2"/>
      <c r="C23" s="3"/>
      <c r="D23" s="3"/>
      <c r="E23" s="2"/>
      <c r="F23" s="2"/>
      <c r="H23" s="2"/>
      <c r="I23" s="524" t="s">
        <v>898</v>
      </c>
      <c r="J23" s="549">
        <f>'DETAILS (sorted)'!DR35</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3400000</v>
      </c>
      <c r="D35" s="191">
        <f>C35+J35</f>
        <v>3594594.1031869818</v>
      </c>
      <c r="E35" s="191">
        <f>'DETAILS (sorted)'!DS35</f>
        <v>3631397.2721955236</v>
      </c>
      <c r="F35" s="191">
        <f>D35-E35</f>
        <v>-36803.169008541852</v>
      </c>
      <c r="G35" s="5" t="b">
        <f>D35=E35</f>
        <v>0</v>
      </c>
      <c r="H35" s="74"/>
      <c r="I35" s="544"/>
      <c r="J35" s="548">
        <f>SUM(J6:J34)</f>
        <v>194594.10318698155</v>
      </c>
    </row>
    <row r="37" spans="1:10" x14ac:dyDescent="0.35">
      <c r="C37" s="191" t="s">
        <v>644</v>
      </c>
      <c r="D37" s="191">
        <f>C35+J35</f>
        <v>3594594.1031869818</v>
      </c>
      <c r="E37" s="122">
        <f>D37/D38</f>
        <v>0.35945941031869816</v>
      </c>
      <c r="F37" s="2" t="s">
        <v>652</v>
      </c>
    </row>
    <row r="38" spans="1:10" x14ac:dyDescent="0.35">
      <c r="C38" s="3"/>
      <c r="D38" s="3">
        <v>10000000</v>
      </c>
      <c r="E38" s="122">
        <f>D38/D38</f>
        <v>1</v>
      </c>
      <c r="F38" s="2" t="s">
        <v>654</v>
      </c>
    </row>
    <row r="39" spans="1:10" x14ac:dyDescent="0.35">
      <c r="C39" s="3"/>
      <c r="D39" s="3">
        <f>D37-D38</f>
        <v>-6405405.8968130182</v>
      </c>
      <c r="E39" s="122">
        <f>D39/D38</f>
        <v>-0.64054058968130179</v>
      </c>
      <c r="F39" s="2" t="s">
        <v>653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91B05-9046-4DD6-B961-54E27B86BE6B}">
  <dimension ref="A2:J39"/>
  <sheetViews>
    <sheetView topLeftCell="A7" workbookViewId="0">
      <selection activeCell="D15" sqref="D15"/>
    </sheetView>
  </sheetViews>
  <sheetFormatPr defaultRowHeight="14.5" x14ac:dyDescent="0.35"/>
  <cols>
    <col min="1" max="1" width="12" bestFit="1" customWidth="1"/>
    <col min="2" max="2" width="14.26953125" bestFit="1" customWidth="1"/>
    <col min="3" max="3" width="11.36328125" style="1" bestFit="1" customWidth="1"/>
    <col min="4" max="4" width="14.453125" style="1" bestFit="1" customWidth="1"/>
    <col min="5" max="5" width="12.7265625" bestFit="1" customWidth="1"/>
    <col min="6" max="6" width="10.1796875" bestFit="1" customWidth="1"/>
    <col min="7" max="7" width="9.08984375" bestFit="1" customWidth="1"/>
    <col min="8" max="8" width="11.1796875" hidden="1" customWidth="1"/>
    <col min="9" max="9" width="25.0898437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266</v>
      </c>
      <c r="B3" s="7" t="s">
        <v>63</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45363</v>
      </c>
      <c r="C6" s="11">
        <v>50000</v>
      </c>
      <c r="D6" s="3">
        <f>C6</f>
        <v>50000</v>
      </c>
      <c r="E6" s="2" t="s">
        <v>144</v>
      </c>
      <c r="F6" s="2">
        <v>1</v>
      </c>
      <c r="H6" s="2"/>
      <c r="I6" s="503" t="s">
        <v>210</v>
      </c>
      <c r="J6" s="549">
        <v>14865.92500417116</v>
      </c>
    </row>
    <row r="7" spans="1:10" x14ac:dyDescent="0.35">
      <c r="A7" s="2">
        <v>2</v>
      </c>
      <c r="B7" s="71">
        <v>45382</v>
      </c>
      <c r="C7" s="11">
        <v>100000</v>
      </c>
      <c r="D7" s="3">
        <f>D6+C7</f>
        <v>150000</v>
      </c>
      <c r="E7" s="2" t="s">
        <v>144</v>
      </c>
      <c r="F7" s="2">
        <v>1</v>
      </c>
      <c r="H7" s="2"/>
      <c r="I7" s="504" t="s">
        <v>212</v>
      </c>
      <c r="J7" s="549">
        <v>13096.296378116613</v>
      </c>
    </row>
    <row r="8" spans="1:10" x14ac:dyDescent="0.35">
      <c r="A8" s="2">
        <v>3</v>
      </c>
      <c r="B8" s="71">
        <v>45487</v>
      </c>
      <c r="C8" s="11">
        <v>100000</v>
      </c>
      <c r="D8" s="3">
        <f t="shared" ref="D8:D15" si="0">D7+C8</f>
        <v>250000</v>
      </c>
      <c r="E8" s="2" t="s">
        <v>144</v>
      </c>
      <c r="F8" s="2">
        <v>1</v>
      </c>
      <c r="H8" s="2"/>
      <c r="I8" s="504" t="s">
        <v>213</v>
      </c>
      <c r="J8" s="549">
        <v>19974.24161749491</v>
      </c>
    </row>
    <row r="9" spans="1:10" x14ac:dyDescent="0.35">
      <c r="A9" s="2">
        <v>4</v>
      </c>
      <c r="B9" s="71">
        <v>45652</v>
      </c>
      <c r="C9" s="11">
        <v>200000</v>
      </c>
      <c r="D9" s="3">
        <f t="shared" si="0"/>
        <v>450000</v>
      </c>
      <c r="E9" s="2" t="s">
        <v>144</v>
      </c>
      <c r="F9" s="2">
        <v>1</v>
      </c>
      <c r="H9" s="2"/>
      <c r="I9" s="504" t="s">
        <v>215</v>
      </c>
      <c r="J9" s="549">
        <v>25603.009852118299</v>
      </c>
    </row>
    <row r="10" spans="1:10" x14ac:dyDescent="0.35">
      <c r="A10" s="2">
        <v>5</v>
      </c>
      <c r="B10" s="71">
        <v>45656</v>
      </c>
      <c r="C10" s="11">
        <v>550000</v>
      </c>
      <c r="D10" s="3">
        <f t="shared" si="0"/>
        <v>1000000</v>
      </c>
      <c r="E10" s="2" t="s">
        <v>144</v>
      </c>
      <c r="F10" s="2">
        <v>1</v>
      </c>
      <c r="H10" s="2"/>
      <c r="I10" s="504" t="s">
        <v>217</v>
      </c>
      <c r="J10" s="549">
        <v>61115.587261992987</v>
      </c>
    </row>
    <row r="11" spans="1:10" x14ac:dyDescent="0.35">
      <c r="A11" s="2">
        <v>6</v>
      </c>
      <c r="B11" s="71">
        <v>46038</v>
      </c>
      <c r="C11" s="204">
        <f>500000</f>
        <v>500000</v>
      </c>
      <c r="D11" s="3">
        <f t="shared" si="0"/>
        <v>1500000</v>
      </c>
      <c r="E11" s="2" t="s">
        <v>30</v>
      </c>
      <c r="F11" s="2">
        <v>2</v>
      </c>
      <c r="H11" s="2"/>
      <c r="I11" s="504" t="s">
        <v>219</v>
      </c>
      <c r="J11" s="549">
        <v>29824.496231312536</v>
      </c>
    </row>
    <row r="12" spans="1:10" x14ac:dyDescent="0.35">
      <c r="A12" s="2">
        <v>7</v>
      </c>
      <c r="B12" s="71">
        <v>46038</v>
      </c>
      <c r="C12" s="204">
        <v>300000</v>
      </c>
      <c r="D12" s="3">
        <f t="shared" si="0"/>
        <v>1800000</v>
      </c>
      <c r="E12" s="2" t="s">
        <v>30</v>
      </c>
      <c r="F12" s="2">
        <v>2</v>
      </c>
      <c r="H12" s="2"/>
      <c r="I12" s="504" t="s">
        <v>537</v>
      </c>
      <c r="J12" s="549">
        <v>4743.9220669595416</v>
      </c>
    </row>
    <row r="13" spans="1:10" x14ac:dyDescent="0.35">
      <c r="A13" s="2">
        <v>8</v>
      </c>
      <c r="B13" s="71">
        <v>46089</v>
      </c>
      <c r="C13" s="3">
        <f>1070000</f>
        <v>1070000</v>
      </c>
      <c r="D13" s="3">
        <f t="shared" si="0"/>
        <v>2870000</v>
      </c>
      <c r="E13" s="2" t="s">
        <v>30</v>
      </c>
      <c r="F13" s="2">
        <v>2</v>
      </c>
      <c r="H13" s="2"/>
      <c r="I13" s="504" t="s">
        <v>543</v>
      </c>
      <c r="J13" s="549">
        <v>12204.346296511996</v>
      </c>
    </row>
    <row r="14" spans="1:10" x14ac:dyDescent="0.35">
      <c r="A14" s="2">
        <v>9</v>
      </c>
      <c r="B14" s="71">
        <v>46089</v>
      </c>
      <c r="C14" s="3">
        <v>200000</v>
      </c>
      <c r="D14" s="3">
        <f t="shared" si="0"/>
        <v>3070000</v>
      </c>
      <c r="E14" s="2" t="s">
        <v>30</v>
      </c>
      <c r="F14" s="2">
        <v>2</v>
      </c>
      <c r="H14" s="2"/>
      <c r="I14" s="504" t="s">
        <v>681</v>
      </c>
      <c r="J14" s="549">
        <f>'DETAILS (sorted)'!DC36</f>
        <v>17301.490459888944</v>
      </c>
    </row>
    <row r="15" spans="1:10" x14ac:dyDescent="0.35">
      <c r="A15" s="2">
        <v>10</v>
      </c>
      <c r="B15" s="71">
        <v>46185</v>
      </c>
      <c r="C15" s="205">
        <v>200000</v>
      </c>
      <c r="D15" s="3">
        <f t="shared" si="0"/>
        <v>3270000</v>
      </c>
      <c r="E15" s="2" t="s">
        <v>30</v>
      </c>
      <c r="F15" s="2">
        <v>2</v>
      </c>
      <c r="H15" s="2"/>
      <c r="I15" s="504" t="s">
        <v>696</v>
      </c>
      <c r="J15" s="549">
        <f>'DETAILS (sorted)'!DD36</f>
        <v>11714.752327540533</v>
      </c>
    </row>
    <row r="16" spans="1:10" x14ac:dyDescent="0.35">
      <c r="A16" s="2">
        <v>11</v>
      </c>
      <c r="B16" s="294"/>
      <c r="C16" s="3"/>
      <c r="D16" s="3"/>
      <c r="E16" s="2"/>
      <c r="F16" s="2"/>
      <c r="H16" s="2"/>
      <c r="I16" s="524" t="s">
        <v>887</v>
      </c>
      <c r="J16" s="549">
        <f>'DETAILS (sorted)'!DF36</f>
        <v>8767.6173703318982</v>
      </c>
    </row>
    <row r="17" spans="1:10" x14ac:dyDescent="0.35">
      <c r="A17" s="2">
        <v>12</v>
      </c>
      <c r="B17" s="71"/>
      <c r="C17" s="3"/>
      <c r="D17" s="3"/>
      <c r="E17" s="2"/>
      <c r="F17" s="2"/>
      <c r="H17" s="2"/>
      <c r="I17" s="524" t="s">
        <v>889</v>
      </c>
      <c r="J17" s="549">
        <f>'DETAILS (sorted)'!DG36</f>
        <v>29275.007127289122</v>
      </c>
    </row>
    <row r="18" spans="1:10" x14ac:dyDescent="0.35">
      <c r="A18" s="2">
        <v>13</v>
      </c>
      <c r="B18" s="71"/>
      <c r="C18" s="3"/>
      <c r="D18" s="3"/>
      <c r="E18" s="2"/>
      <c r="F18" s="2"/>
      <c r="H18" s="2"/>
      <c r="I18" s="524" t="s">
        <v>891</v>
      </c>
      <c r="J18" s="549">
        <f>'DETAILS (sorted)'!DL36</f>
        <v>10063.053410680433</v>
      </c>
    </row>
    <row r="19" spans="1:10" x14ac:dyDescent="0.35">
      <c r="A19" s="2">
        <v>14</v>
      </c>
      <c r="B19" s="71"/>
      <c r="C19" s="3"/>
      <c r="D19" s="3"/>
      <c r="E19" s="2"/>
      <c r="F19" s="2"/>
      <c r="H19" s="2"/>
      <c r="I19" s="524" t="s">
        <v>894</v>
      </c>
      <c r="J19" s="549">
        <f>'DETAILS (sorted)'!DM36</f>
        <v>0</v>
      </c>
    </row>
    <row r="20" spans="1:10" x14ac:dyDescent="0.35">
      <c r="A20" s="2">
        <v>15</v>
      </c>
      <c r="B20" s="71"/>
      <c r="C20" s="3"/>
      <c r="D20" s="3"/>
      <c r="E20" s="2"/>
      <c r="F20" s="2"/>
      <c r="H20" s="2"/>
      <c r="I20" s="524" t="s">
        <v>893</v>
      </c>
      <c r="J20" s="549">
        <f>'DETAILS (sorted)'!DN36</f>
        <v>0</v>
      </c>
    </row>
    <row r="21" spans="1:10" x14ac:dyDescent="0.35">
      <c r="A21" s="2">
        <v>16</v>
      </c>
      <c r="B21" s="71"/>
      <c r="C21" s="3"/>
      <c r="D21" s="3"/>
      <c r="E21" s="2"/>
      <c r="F21" s="2"/>
      <c r="H21" s="2"/>
      <c r="I21" s="524" t="s">
        <v>895</v>
      </c>
      <c r="J21" s="549">
        <f>'DETAILS (sorted)'!DO36</f>
        <v>0</v>
      </c>
    </row>
    <row r="22" spans="1:10" x14ac:dyDescent="0.35">
      <c r="A22" s="2"/>
      <c r="B22" s="2"/>
      <c r="C22" s="3"/>
      <c r="D22" s="3"/>
      <c r="E22" s="2"/>
      <c r="F22" s="2"/>
      <c r="H22" s="2"/>
      <c r="I22" s="524" t="s">
        <v>897</v>
      </c>
      <c r="J22" s="549">
        <f>'DETAILS (sorted)'!DQ36</f>
        <v>0</v>
      </c>
    </row>
    <row r="23" spans="1:10" x14ac:dyDescent="0.35">
      <c r="A23" s="2"/>
      <c r="B23" s="2"/>
      <c r="C23" s="3"/>
      <c r="D23" s="3"/>
      <c r="E23" s="2"/>
      <c r="F23" s="2"/>
      <c r="H23" s="2"/>
      <c r="I23" s="524" t="s">
        <v>898</v>
      </c>
      <c r="J23" s="549">
        <f>'DETAILS (sorted)'!DR36</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3270000</v>
      </c>
      <c r="D35" s="191">
        <f>C35+J35</f>
        <v>3528549.7454044092</v>
      </c>
      <c r="E35" s="191">
        <f>'DETAILS (sorted)'!DS36</f>
        <v>3564676.720775573</v>
      </c>
      <c r="F35" s="191">
        <f>D35-E35</f>
        <v>-36126.975371163804</v>
      </c>
      <c r="G35" s="5" t="b">
        <f>D35=E35</f>
        <v>0</v>
      </c>
      <c r="H35" s="74"/>
      <c r="I35" s="544"/>
      <c r="J35" s="548">
        <f>SUM(J6:J34)</f>
        <v>258549.74540440901</v>
      </c>
    </row>
    <row r="37" spans="1:10" x14ac:dyDescent="0.35">
      <c r="C37" s="191" t="s">
        <v>644</v>
      </c>
      <c r="D37" s="191">
        <f>C35+J35</f>
        <v>3528549.7454044092</v>
      </c>
      <c r="E37" s="122">
        <f>D37/D38</f>
        <v>0.3528549745404409</v>
      </c>
      <c r="F37" s="2" t="s">
        <v>652</v>
      </c>
    </row>
    <row r="38" spans="1:10" x14ac:dyDescent="0.35">
      <c r="C38" s="3"/>
      <c r="D38" s="3">
        <v>10000000</v>
      </c>
      <c r="E38" s="122">
        <f>D38/D38</f>
        <v>1</v>
      </c>
      <c r="F38" s="2" t="s">
        <v>654</v>
      </c>
    </row>
    <row r="39" spans="1:10" x14ac:dyDescent="0.35">
      <c r="C39" s="3"/>
      <c r="D39" s="3">
        <f>D37-D38</f>
        <v>-6471450.2545955908</v>
      </c>
      <c r="E39" s="122">
        <f>D39/D38</f>
        <v>-0.6471450254595591</v>
      </c>
      <c r="F39" s="2" t="s">
        <v>653</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A9E12-C479-476E-A4C5-E7C6F67723EB}">
  <dimension ref="A2:J39"/>
  <sheetViews>
    <sheetView topLeftCell="A7" workbookViewId="0">
      <selection activeCell="D15" sqref="D15"/>
    </sheetView>
  </sheetViews>
  <sheetFormatPr defaultRowHeight="14.5" x14ac:dyDescent="0.35"/>
  <cols>
    <col min="1" max="1" width="12" bestFit="1" customWidth="1"/>
    <col min="2" max="2" width="20.08984375" bestFit="1" customWidth="1"/>
    <col min="3" max="3" width="12.7265625" style="1" bestFit="1" customWidth="1"/>
    <col min="4" max="4" width="14.453125" style="1" bestFit="1" customWidth="1"/>
    <col min="5" max="5" width="12.7265625" bestFit="1" customWidth="1"/>
    <col min="6" max="6" width="13.453125" bestFit="1" customWidth="1"/>
    <col min="7" max="7" width="9.08984375" bestFit="1" customWidth="1"/>
    <col min="8" max="8" width="10.1796875" bestFit="1" customWidth="1"/>
    <col min="9" max="9" width="29.0898437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267</v>
      </c>
      <c r="B3" s="7" t="s">
        <v>268</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45361</v>
      </c>
      <c r="C6" s="11">
        <v>50000</v>
      </c>
      <c r="D6" s="3">
        <f>C6</f>
        <v>50000</v>
      </c>
      <c r="E6" s="2" t="s">
        <v>144</v>
      </c>
      <c r="F6" s="2">
        <v>1</v>
      </c>
      <c r="H6" s="2"/>
      <c r="I6" s="503" t="s">
        <v>210</v>
      </c>
      <c r="J6" s="549">
        <v>16352.517504588277</v>
      </c>
    </row>
    <row r="7" spans="1:10" x14ac:dyDescent="0.35">
      <c r="A7" s="2">
        <v>2</v>
      </c>
      <c r="B7" s="71">
        <v>45361</v>
      </c>
      <c r="C7" s="11">
        <v>50000</v>
      </c>
      <c r="D7" s="3">
        <f>D6+C7</f>
        <v>100000</v>
      </c>
      <c r="E7" s="2" t="s">
        <v>144</v>
      </c>
      <c r="F7" s="2">
        <v>1</v>
      </c>
      <c r="H7" s="2"/>
      <c r="I7" s="504" t="s">
        <v>212</v>
      </c>
      <c r="J7" s="549">
        <v>14405.926015928275</v>
      </c>
    </row>
    <row r="8" spans="1:10" x14ac:dyDescent="0.35">
      <c r="A8" s="2">
        <v>3</v>
      </c>
      <c r="B8" s="71">
        <v>45669</v>
      </c>
      <c r="C8" s="11">
        <v>1000000</v>
      </c>
      <c r="D8" s="3">
        <f t="shared" ref="D8:D10" si="0">D7+C8</f>
        <v>1100000</v>
      </c>
      <c r="E8" s="2" t="s">
        <v>144</v>
      </c>
      <c r="F8" s="2">
        <v>1</v>
      </c>
      <c r="H8" s="2"/>
      <c r="I8" s="504" t="s">
        <v>213</v>
      </c>
      <c r="J8" s="549">
        <v>21971.665779244402</v>
      </c>
    </row>
    <row r="9" spans="1:10" x14ac:dyDescent="0.35">
      <c r="A9" s="2">
        <v>4</v>
      </c>
      <c r="B9" s="71">
        <v>46128</v>
      </c>
      <c r="C9" s="3">
        <f>1800000</f>
        <v>1800000</v>
      </c>
      <c r="D9" s="3">
        <f t="shared" si="0"/>
        <v>2900000</v>
      </c>
      <c r="E9" s="2" t="s">
        <v>30</v>
      </c>
      <c r="F9" s="2">
        <v>2</v>
      </c>
      <c r="H9" s="2"/>
      <c r="I9" s="504" t="s">
        <v>215</v>
      </c>
      <c r="J9" s="549">
        <v>15646.283798516739</v>
      </c>
    </row>
    <row r="10" spans="1:10" x14ac:dyDescent="0.35">
      <c r="A10" s="2">
        <v>5</v>
      </c>
      <c r="B10" s="71">
        <v>46128</v>
      </c>
      <c r="C10" s="1">
        <v>100000</v>
      </c>
      <c r="D10" s="3">
        <f t="shared" si="0"/>
        <v>3000000</v>
      </c>
      <c r="E10" s="2" t="s">
        <v>30</v>
      </c>
      <c r="F10" s="2">
        <v>2</v>
      </c>
      <c r="H10" s="2"/>
      <c r="I10" s="504" t="s">
        <v>217</v>
      </c>
      <c r="J10" s="549">
        <v>37348.414437884603</v>
      </c>
    </row>
    <row r="11" spans="1:10" x14ac:dyDescent="0.35">
      <c r="A11" s="2">
        <v>6</v>
      </c>
      <c r="B11" s="71">
        <v>46154</v>
      </c>
      <c r="C11" s="3">
        <v>500000</v>
      </c>
      <c r="D11" s="3">
        <f>D9+C11</f>
        <v>3400000</v>
      </c>
      <c r="E11" s="2" t="s">
        <v>30</v>
      </c>
      <c r="F11" s="2">
        <v>2</v>
      </c>
      <c r="H11" s="2"/>
      <c r="I11" s="504" t="s">
        <v>219</v>
      </c>
      <c r="J11" s="549">
        <v>10686.301581252048</v>
      </c>
    </row>
    <row r="12" spans="1:10" x14ac:dyDescent="0.35">
      <c r="A12" s="2">
        <v>7</v>
      </c>
      <c r="B12" s="71"/>
      <c r="C12" s="3"/>
      <c r="D12" s="3"/>
      <c r="E12" s="2"/>
      <c r="F12" s="2"/>
      <c r="H12" s="2"/>
      <c r="I12" s="504" t="s">
        <v>537</v>
      </c>
      <c r="J12" s="549">
        <v>4635.7544628269143</v>
      </c>
    </row>
    <row r="13" spans="1:10" x14ac:dyDescent="0.35">
      <c r="A13" s="2">
        <v>8</v>
      </c>
      <c r="B13" s="294"/>
      <c r="C13" s="3"/>
      <c r="D13" s="3"/>
      <c r="E13" s="2"/>
      <c r="F13" s="2"/>
      <c r="H13" s="2"/>
      <c r="I13" s="504" t="s">
        <v>543</v>
      </c>
      <c r="J13" s="549">
        <v>11926.071299523122</v>
      </c>
    </row>
    <row r="14" spans="1:10" x14ac:dyDescent="0.35">
      <c r="A14" s="2">
        <v>9</v>
      </c>
      <c r="B14" s="294"/>
      <c r="C14" s="3"/>
      <c r="D14" s="3"/>
      <c r="E14" s="2"/>
      <c r="F14" s="2"/>
      <c r="H14" s="2"/>
      <c r="I14" s="504" t="s">
        <v>681</v>
      </c>
      <c r="J14" s="549">
        <f>'DETAILS (sorted)'!DC37</f>
        <v>19724.826257202381</v>
      </c>
    </row>
    <row r="15" spans="1:10" x14ac:dyDescent="0.35">
      <c r="A15" s="2">
        <v>10</v>
      </c>
      <c r="B15" s="294"/>
      <c r="C15" s="205"/>
      <c r="D15" s="3"/>
      <c r="E15" s="2"/>
      <c r="F15" s="2"/>
      <c r="H15" s="2"/>
      <c r="I15" s="504" t="s">
        <v>696</v>
      </c>
      <c r="J15" s="549">
        <f>'DETAILS (sorted)'!DD37</f>
        <v>13355.580829443606</v>
      </c>
    </row>
    <row r="16" spans="1:10" x14ac:dyDescent="0.35">
      <c r="A16" s="2">
        <v>11</v>
      </c>
      <c r="B16" s="294"/>
      <c r="C16" s="3"/>
      <c r="D16" s="3"/>
      <c r="E16" s="2"/>
      <c r="F16" s="2"/>
      <c r="H16" s="2"/>
      <c r="I16" s="524" t="s">
        <v>887</v>
      </c>
      <c r="J16" s="549">
        <f>'DETAILS (sorted)'!DF37</f>
        <v>9384.2999376641128</v>
      </c>
    </row>
    <row r="17" spans="1:10" x14ac:dyDescent="0.35">
      <c r="A17" s="2">
        <v>12</v>
      </c>
      <c r="B17" s="71"/>
      <c r="C17" s="3"/>
      <c r="D17" s="3"/>
      <c r="E17" s="2"/>
      <c r="F17" s="2"/>
      <c r="H17" s="2"/>
      <c r="I17" s="524" t="s">
        <v>889</v>
      </c>
      <c r="J17" s="549">
        <f>'DETAILS (sorted)'!DG37</f>
        <v>31334.105487924138</v>
      </c>
    </row>
    <row r="18" spans="1:10" x14ac:dyDescent="0.35">
      <c r="A18" s="2">
        <v>13</v>
      </c>
      <c r="B18" s="71"/>
      <c r="C18" s="3"/>
      <c r="D18" s="3"/>
      <c r="E18" s="2"/>
      <c r="F18" s="2"/>
      <c r="H18" s="2"/>
      <c r="I18" s="524" t="s">
        <v>891</v>
      </c>
      <c r="J18" s="549">
        <f>'DETAILS (sorted)'!DL37</f>
        <v>10601.558380222346</v>
      </c>
    </row>
    <row r="19" spans="1:10" x14ac:dyDescent="0.35">
      <c r="A19" s="2">
        <v>14</v>
      </c>
      <c r="B19" s="71"/>
      <c r="C19" s="3"/>
      <c r="D19" s="3"/>
      <c r="E19" s="2"/>
      <c r="F19" s="2"/>
      <c r="H19" s="2"/>
      <c r="I19" s="524" t="s">
        <v>894</v>
      </c>
      <c r="J19" s="549">
        <f>'DETAILS (sorted)'!DM37</f>
        <v>0</v>
      </c>
    </row>
    <row r="20" spans="1:10" x14ac:dyDescent="0.35">
      <c r="A20" s="2">
        <v>15</v>
      </c>
      <c r="B20" s="71"/>
      <c r="C20" s="3"/>
      <c r="D20" s="3"/>
      <c r="E20" s="2"/>
      <c r="F20" s="2"/>
      <c r="H20" s="2"/>
      <c r="I20" s="524" t="s">
        <v>893</v>
      </c>
      <c r="J20" s="549">
        <f>'DETAILS (sorted)'!DN37</f>
        <v>0</v>
      </c>
    </row>
    <row r="21" spans="1:10" x14ac:dyDescent="0.35">
      <c r="A21" s="2">
        <v>16</v>
      </c>
      <c r="B21" s="71"/>
      <c r="C21" s="3"/>
      <c r="D21" s="3"/>
      <c r="E21" s="2"/>
      <c r="F21" s="2"/>
      <c r="H21" s="2"/>
      <c r="I21" s="524" t="s">
        <v>895</v>
      </c>
      <c r="J21" s="549">
        <f>'DETAILS (sorted)'!DO37</f>
        <v>0</v>
      </c>
    </row>
    <row r="22" spans="1:10" x14ac:dyDescent="0.35">
      <c r="A22" s="2"/>
      <c r="B22" s="2"/>
      <c r="C22" s="3"/>
      <c r="D22" s="3"/>
      <c r="E22" s="2"/>
      <c r="F22" s="2"/>
      <c r="H22" s="2"/>
      <c r="I22" s="524" t="s">
        <v>897</v>
      </c>
      <c r="J22" s="549">
        <f>'DETAILS (sorted)'!DQ37</f>
        <v>0</v>
      </c>
    </row>
    <row r="23" spans="1:10" x14ac:dyDescent="0.35">
      <c r="A23" s="2"/>
      <c r="B23" s="2"/>
      <c r="C23" s="3"/>
      <c r="D23" s="3"/>
      <c r="E23" s="2"/>
      <c r="F23" s="2"/>
      <c r="H23" s="2"/>
      <c r="I23" s="524" t="s">
        <v>898</v>
      </c>
      <c r="J23" s="549">
        <f>'DETAILS (sorted)'!DR37</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3500000</v>
      </c>
      <c r="D35" s="191">
        <f>C35+J35</f>
        <v>3717373.3057722212</v>
      </c>
      <c r="E35" s="191">
        <f>'DETAILS (sorted)'!DS37</f>
        <v>3755433.5468211006</v>
      </c>
      <c r="F35" s="191">
        <f>D35-E35</f>
        <v>-38060.241048879456</v>
      </c>
      <c r="G35" s="5" t="b">
        <f>D35=E35</f>
        <v>0</v>
      </c>
      <c r="H35" s="74"/>
      <c r="I35" s="544"/>
      <c r="J35" s="548">
        <f>SUM(J6:J34)</f>
        <v>217373.30577222098</v>
      </c>
    </row>
    <row r="37" spans="1:10" x14ac:dyDescent="0.35">
      <c r="C37" s="191" t="s">
        <v>644</v>
      </c>
      <c r="D37" s="191">
        <f>C35+J35</f>
        <v>3717373.3057722212</v>
      </c>
      <c r="E37" s="122">
        <f>D37/D38</f>
        <v>0.37173733057722214</v>
      </c>
      <c r="F37" s="2" t="s">
        <v>652</v>
      </c>
    </row>
    <row r="38" spans="1:10" x14ac:dyDescent="0.35">
      <c r="C38" s="3"/>
      <c r="D38" s="3">
        <v>10000000</v>
      </c>
      <c r="E38" s="122">
        <f>D38/D38</f>
        <v>1</v>
      </c>
      <c r="F38" s="2" t="s">
        <v>654</v>
      </c>
    </row>
    <row r="39" spans="1:10" x14ac:dyDescent="0.35">
      <c r="C39" s="3"/>
      <c r="D39" s="3">
        <f>D37-D38</f>
        <v>-6282626.6942277793</v>
      </c>
      <c r="E39" s="122">
        <f>D39/D38</f>
        <v>-0.62826266942277798</v>
      </c>
      <c r="F39" s="2" t="s">
        <v>653</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4C6D7-5430-409E-98F8-5429F7B0695F}">
  <dimension ref="A2:J39"/>
  <sheetViews>
    <sheetView topLeftCell="A11" workbookViewId="0">
      <selection activeCell="D15" sqref="D15"/>
    </sheetView>
  </sheetViews>
  <sheetFormatPr defaultRowHeight="14.5" x14ac:dyDescent="0.35"/>
  <cols>
    <col min="1" max="1" width="8.1796875" bestFit="1" customWidth="1"/>
    <col min="2" max="2" width="16.7265625" bestFit="1" customWidth="1"/>
    <col min="3" max="3" width="11.36328125" style="1" bestFit="1" customWidth="1"/>
    <col min="4" max="4" width="14.453125" style="1" bestFit="1" customWidth="1"/>
    <col min="5" max="5" width="11.26953125" bestFit="1" customWidth="1"/>
    <col min="6" max="6" width="10.81640625" bestFit="1" customWidth="1"/>
    <col min="7" max="7" width="5.1796875" bestFit="1" customWidth="1"/>
    <col min="8" max="8" width="4.7265625" hidden="1" customWidth="1"/>
    <col min="9" max="9" width="25.8164062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28" x14ac:dyDescent="0.35">
      <c r="A3" s="210" t="s">
        <v>269</v>
      </c>
      <c r="B3" s="286" t="s">
        <v>46</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45357</v>
      </c>
      <c r="C6" s="11">
        <v>250000</v>
      </c>
      <c r="D6" s="3">
        <f>C6</f>
        <v>250000</v>
      </c>
      <c r="E6" s="2" t="s">
        <v>144</v>
      </c>
      <c r="F6" s="2">
        <v>1</v>
      </c>
      <c r="H6" s="2"/>
      <c r="I6" s="503" t="s">
        <v>210</v>
      </c>
      <c r="J6" s="549">
        <v>14865.92500417116</v>
      </c>
    </row>
    <row r="7" spans="1:10" x14ac:dyDescent="0.35">
      <c r="A7" s="2">
        <v>2</v>
      </c>
      <c r="B7" s="71">
        <v>45365</v>
      </c>
      <c r="C7" s="11">
        <v>100000</v>
      </c>
      <c r="D7" s="3">
        <f>D6+C7</f>
        <v>350000</v>
      </c>
      <c r="E7" s="2" t="s">
        <v>144</v>
      </c>
      <c r="F7" s="2">
        <v>1</v>
      </c>
      <c r="H7" s="2"/>
      <c r="I7" s="504" t="s">
        <v>212</v>
      </c>
      <c r="J7" s="549">
        <v>15715.555653739935</v>
      </c>
    </row>
    <row r="8" spans="1:10" x14ac:dyDescent="0.35">
      <c r="A8" s="2">
        <v>3</v>
      </c>
      <c r="B8" s="71">
        <v>45530</v>
      </c>
      <c r="C8" s="11">
        <v>230000</v>
      </c>
      <c r="D8" s="3">
        <f t="shared" ref="D8:D10" si="0">D7+C8</f>
        <v>580000</v>
      </c>
      <c r="E8" s="2" t="s">
        <v>144</v>
      </c>
      <c r="F8" s="2">
        <v>1</v>
      </c>
      <c r="H8" s="2"/>
      <c r="I8" s="504" t="s">
        <v>213</v>
      </c>
      <c r="J8" s="549">
        <v>23969.089940993894</v>
      </c>
    </row>
    <row r="9" spans="1:10" x14ac:dyDescent="0.35">
      <c r="A9" s="2">
        <v>4</v>
      </c>
      <c r="B9" s="71">
        <v>45687</v>
      </c>
      <c r="C9" s="11">
        <v>420000</v>
      </c>
      <c r="D9" s="3">
        <f t="shared" si="0"/>
        <v>1000000</v>
      </c>
      <c r="E9" s="2" t="s">
        <v>144</v>
      </c>
      <c r="F9" s="2">
        <v>1</v>
      </c>
      <c r="H9" s="2"/>
      <c r="I9" s="504" t="s">
        <v>215</v>
      </c>
      <c r="J9" s="549">
        <v>29870.178160804684</v>
      </c>
    </row>
    <row r="10" spans="1:10" x14ac:dyDescent="0.35">
      <c r="A10" s="2">
        <v>5</v>
      </c>
      <c r="B10" s="71">
        <v>45989</v>
      </c>
      <c r="C10" s="200">
        <v>200000</v>
      </c>
      <c r="D10" s="3">
        <f t="shared" si="0"/>
        <v>1200000</v>
      </c>
      <c r="E10" s="2" t="s">
        <v>30</v>
      </c>
      <c r="F10" s="2">
        <v>2</v>
      </c>
      <c r="H10" s="2"/>
      <c r="I10" s="504" t="s">
        <v>217</v>
      </c>
      <c r="J10" s="549">
        <v>105254.62250676569</v>
      </c>
    </row>
    <row r="11" spans="1:10" x14ac:dyDescent="0.35">
      <c r="A11" s="2">
        <v>6</v>
      </c>
      <c r="B11" s="206">
        <v>46001</v>
      </c>
      <c r="C11" s="200">
        <v>400000</v>
      </c>
      <c r="D11" s="3">
        <f t="shared" ref="D11:D16" si="1">D10+C11</f>
        <v>1600000</v>
      </c>
      <c r="E11" s="2" t="s">
        <v>30</v>
      </c>
      <c r="F11" s="2">
        <v>2</v>
      </c>
      <c r="H11" s="2"/>
      <c r="I11" s="504" t="s">
        <v>219</v>
      </c>
      <c r="J11" s="549">
        <v>49545.580058532236</v>
      </c>
    </row>
    <row r="12" spans="1:10" x14ac:dyDescent="0.35">
      <c r="A12" s="2">
        <v>7</v>
      </c>
      <c r="B12" s="71">
        <v>46053</v>
      </c>
      <c r="C12" s="3">
        <v>500000</v>
      </c>
      <c r="D12" s="3">
        <f t="shared" si="1"/>
        <v>2100000</v>
      </c>
      <c r="E12" s="2" t="s">
        <v>30</v>
      </c>
      <c r="F12" s="2">
        <v>2</v>
      </c>
      <c r="H12" s="2"/>
      <c r="I12" s="504" t="s">
        <v>537</v>
      </c>
      <c r="J12" s="549">
        <v>9426.0340744147252</v>
      </c>
    </row>
    <row r="13" spans="1:10" x14ac:dyDescent="0.35">
      <c r="A13" s="2">
        <v>8</v>
      </c>
      <c r="B13" s="71">
        <v>46058</v>
      </c>
      <c r="C13" s="232">
        <v>1000000</v>
      </c>
      <c r="D13" s="3">
        <f t="shared" si="1"/>
        <v>3100000</v>
      </c>
      <c r="E13" s="2" t="s">
        <v>30</v>
      </c>
      <c r="F13" s="2">
        <v>2</v>
      </c>
      <c r="H13" s="2"/>
      <c r="I13" s="504" t="s">
        <v>543</v>
      </c>
      <c r="J13" s="549">
        <v>24249.678309030351</v>
      </c>
    </row>
    <row r="14" spans="1:10" x14ac:dyDescent="0.35">
      <c r="A14" s="2">
        <v>9</v>
      </c>
      <c r="B14" s="71">
        <v>46090</v>
      </c>
      <c r="C14" s="3">
        <v>2000000</v>
      </c>
      <c r="D14" s="3">
        <f t="shared" si="1"/>
        <v>5100000</v>
      </c>
      <c r="E14" s="2" t="s">
        <v>30</v>
      </c>
      <c r="F14" s="2">
        <v>2</v>
      </c>
      <c r="H14" s="2"/>
      <c r="I14" s="504" t="s">
        <v>681</v>
      </c>
      <c r="J14" s="549">
        <f>'DETAILS (sorted)'!DC38</f>
        <v>34377.554333981294</v>
      </c>
    </row>
    <row r="15" spans="1:10" x14ac:dyDescent="0.35">
      <c r="A15" s="2">
        <v>10</v>
      </c>
      <c r="B15" s="71">
        <v>46123</v>
      </c>
      <c r="C15" s="3">
        <v>1000000</v>
      </c>
      <c r="D15" s="3">
        <f t="shared" si="1"/>
        <v>6100000</v>
      </c>
      <c r="E15" s="2" t="s">
        <v>30</v>
      </c>
      <c r="F15" s="2">
        <v>2</v>
      </c>
      <c r="H15" s="2"/>
      <c r="I15" s="504" t="s">
        <v>696</v>
      </c>
      <c r="J15" s="549">
        <f>'DETAILS (sorted)'!DD38</f>
        <v>23276.869445601711</v>
      </c>
    </row>
    <row r="16" spans="1:10" x14ac:dyDescent="0.35">
      <c r="A16" s="2">
        <v>11</v>
      </c>
      <c r="B16" s="71">
        <v>46192</v>
      </c>
      <c r="C16" s="3">
        <v>6000000</v>
      </c>
      <c r="D16" s="3">
        <f t="shared" si="1"/>
        <v>12100000</v>
      </c>
      <c r="E16" s="2" t="s">
        <v>30</v>
      </c>
      <c r="F16" s="2">
        <v>2</v>
      </c>
      <c r="H16" s="2"/>
      <c r="I16" s="524" t="s">
        <v>887</v>
      </c>
      <c r="J16" s="549">
        <f>'DETAILS (sorted)'!DF38</f>
        <v>48530.236820491547</v>
      </c>
    </row>
    <row r="17" spans="1:10" x14ac:dyDescent="0.35">
      <c r="A17" s="2">
        <v>12</v>
      </c>
      <c r="B17" s="71">
        <v>46193</v>
      </c>
      <c r="C17" s="3">
        <v>4000000</v>
      </c>
      <c r="D17" s="3">
        <f t="shared" ref="D17" si="2">D16+C17</f>
        <v>16100000</v>
      </c>
      <c r="E17" s="2" t="s">
        <v>30</v>
      </c>
      <c r="F17" s="2">
        <v>2</v>
      </c>
      <c r="H17" s="2"/>
      <c r="I17" s="524" t="s">
        <v>889</v>
      </c>
      <c r="J17" s="549">
        <f>'DETAILS (sorted)'!DG38</f>
        <v>162042.08838040766</v>
      </c>
    </row>
    <row r="18" spans="1:10" x14ac:dyDescent="0.35">
      <c r="A18" s="2">
        <v>13</v>
      </c>
      <c r="B18" s="71">
        <v>46203</v>
      </c>
      <c r="C18" s="3">
        <v>2000000</v>
      </c>
      <c r="D18" s="3">
        <f t="shared" ref="D18" si="3">D17+C18</f>
        <v>18100000</v>
      </c>
      <c r="E18" s="2" t="s">
        <v>30</v>
      </c>
      <c r="F18" s="2">
        <v>2</v>
      </c>
      <c r="H18" s="2"/>
      <c r="I18" s="524" t="s">
        <v>891</v>
      </c>
      <c r="J18" s="549">
        <f>'DETAILS (sorted)'!DL38</f>
        <v>53314.574406043736</v>
      </c>
    </row>
    <row r="19" spans="1:10" x14ac:dyDescent="0.35">
      <c r="A19" s="2">
        <v>14</v>
      </c>
      <c r="B19" s="71"/>
      <c r="C19" s="3"/>
      <c r="D19" s="3"/>
      <c r="E19" s="2"/>
      <c r="F19" s="2">
        <v>2</v>
      </c>
      <c r="H19" s="2"/>
      <c r="I19" s="524" t="s">
        <v>894</v>
      </c>
      <c r="J19" s="549">
        <f>'DETAILS (sorted)'!DM38</f>
        <v>0</v>
      </c>
    </row>
    <row r="20" spans="1:10" x14ac:dyDescent="0.35">
      <c r="A20" s="2">
        <v>15</v>
      </c>
      <c r="B20" s="71"/>
      <c r="C20" s="3"/>
      <c r="D20" s="3"/>
      <c r="E20" s="2"/>
      <c r="F20" s="2">
        <v>2</v>
      </c>
      <c r="H20" s="2"/>
      <c r="I20" s="524" t="s">
        <v>893</v>
      </c>
      <c r="J20" s="549">
        <f>'DETAILS (sorted)'!DN38</f>
        <v>0</v>
      </c>
    </row>
    <row r="21" spans="1:10" x14ac:dyDescent="0.35">
      <c r="A21" s="2">
        <v>16</v>
      </c>
      <c r="B21" s="71"/>
      <c r="C21" s="3"/>
      <c r="D21" s="3"/>
      <c r="E21" s="2"/>
      <c r="F21" s="2">
        <v>2</v>
      </c>
      <c r="H21" s="2"/>
      <c r="I21" s="524" t="s">
        <v>895</v>
      </c>
      <c r="J21" s="549">
        <f>'DETAILS (sorted)'!DO38</f>
        <v>0</v>
      </c>
    </row>
    <row r="22" spans="1:10" x14ac:dyDescent="0.35">
      <c r="A22" s="2"/>
      <c r="B22" s="2"/>
      <c r="C22" s="3"/>
      <c r="D22" s="3"/>
      <c r="E22" s="2"/>
      <c r="F22" s="2">
        <v>2</v>
      </c>
      <c r="H22" s="2"/>
      <c r="I22" s="524" t="s">
        <v>897</v>
      </c>
      <c r="J22" s="549">
        <f>'DETAILS (sorted)'!DQ38</f>
        <v>0</v>
      </c>
    </row>
    <row r="23" spans="1:10" x14ac:dyDescent="0.35">
      <c r="A23" s="2"/>
      <c r="B23" s="2"/>
      <c r="C23" s="3"/>
      <c r="D23" s="3"/>
      <c r="E23" s="2"/>
      <c r="F23" s="2">
        <v>2</v>
      </c>
      <c r="H23" s="2"/>
      <c r="I23" s="524" t="s">
        <v>898</v>
      </c>
      <c r="J23" s="549">
        <f>'DETAILS (sorted)'!DR38</f>
        <v>0</v>
      </c>
    </row>
    <row r="24" spans="1:10" x14ac:dyDescent="0.35">
      <c r="A24" s="2"/>
      <c r="B24" s="2"/>
      <c r="C24" s="3"/>
      <c r="D24" s="3"/>
      <c r="E24" s="2"/>
      <c r="F24" s="2">
        <v>2</v>
      </c>
      <c r="H24" s="2"/>
      <c r="I24" s="484"/>
      <c r="J24" s="549"/>
    </row>
    <row r="25" spans="1:10" x14ac:dyDescent="0.35">
      <c r="A25" s="2"/>
      <c r="B25" s="2"/>
      <c r="C25" s="3"/>
      <c r="D25" s="3"/>
      <c r="E25" s="2"/>
      <c r="F25" s="2">
        <v>2</v>
      </c>
      <c r="H25" s="2"/>
      <c r="I25" s="484"/>
      <c r="J25" s="549"/>
    </row>
    <row r="26" spans="1:10" x14ac:dyDescent="0.35">
      <c r="A26" s="2"/>
      <c r="B26" s="2"/>
      <c r="C26" s="3"/>
      <c r="D26" s="3"/>
      <c r="E26" s="2"/>
      <c r="F26" s="2">
        <v>2</v>
      </c>
      <c r="H26" s="2"/>
      <c r="I26" s="484"/>
      <c r="J26" s="549"/>
    </row>
    <row r="27" spans="1:10" x14ac:dyDescent="0.35">
      <c r="A27" s="2"/>
      <c r="B27" s="2"/>
      <c r="C27" s="3"/>
      <c r="D27" s="3"/>
      <c r="E27" s="2"/>
      <c r="F27" s="2">
        <v>2</v>
      </c>
      <c r="H27" s="2"/>
      <c r="I27" s="484"/>
      <c r="J27" s="549"/>
    </row>
    <row r="28" spans="1:10" x14ac:dyDescent="0.35">
      <c r="A28" s="2"/>
      <c r="B28" s="2"/>
      <c r="C28" s="3"/>
      <c r="D28" s="3"/>
      <c r="E28" s="2"/>
      <c r="F28" s="2">
        <v>2</v>
      </c>
      <c r="H28" s="2"/>
      <c r="I28" s="484"/>
      <c r="J28" s="549"/>
    </row>
    <row r="29" spans="1:10" x14ac:dyDescent="0.35">
      <c r="A29" s="2"/>
      <c r="B29" s="2"/>
      <c r="C29" s="3"/>
      <c r="D29" s="3"/>
      <c r="E29" s="2"/>
      <c r="F29" s="2">
        <v>2</v>
      </c>
      <c r="H29" s="2"/>
      <c r="I29" s="484"/>
      <c r="J29" s="549"/>
    </row>
    <row r="30" spans="1:10" x14ac:dyDescent="0.35">
      <c r="A30" s="2"/>
      <c r="B30" s="2"/>
      <c r="C30" s="3"/>
      <c r="D30" s="3"/>
      <c r="E30" s="2"/>
      <c r="F30" s="2">
        <v>2</v>
      </c>
      <c r="H30" s="2"/>
      <c r="I30" s="484"/>
      <c r="J30" s="549"/>
    </row>
    <row r="31" spans="1:10" x14ac:dyDescent="0.35">
      <c r="A31" s="2"/>
      <c r="B31" s="2"/>
      <c r="C31" s="3"/>
      <c r="D31" s="3"/>
      <c r="E31" s="2"/>
      <c r="F31" s="2">
        <v>2</v>
      </c>
      <c r="H31" s="2"/>
      <c r="I31" s="484"/>
      <c r="J31" s="549"/>
    </row>
    <row r="32" spans="1:10" x14ac:dyDescent="0.35">
      <c r="A32" s="2"/>
      <c r="B32" s="2"/>
      <c r="C32" s="3"/>
      <c r="D32" s="3"/>
      <c r="E32" s="2"/>
      <c r="F32" s="2">
        <v>2</v>
      </c>
      <c r="H32" s="2"/>
      <c r="I32" s="484"/>
      <c r="J32" s="549"/>
    </row>
    <row r="33" spans="1:10" x14ac:dyDescent="0.35">
      <c r="A33" s="2"/>
      <c r="B33" s="2"/>
      <c r="C33" s="3"/>
      <c r="D33" s="3"/>
      <c r="E33" s="2"/>
      <c r="F33" s="2">
        <v>2</v>
      </c>
      <c r="H33" s="2"/>
      <c r="I33" s="484"/>
      <c r="J33" s="549"/>
    </row>
    <row r="34" spans="1:10" x14ac:dyDescent="0.35">
      <c r="A34" s="2"/>
      <c r="B34" s="2"/>
      <c r="C34" s="3"/>
      <c r="D34" s="3"/>
      <c r="E34" s="2"/>
      <c r="F34" s="2">
        <v>2</v>
      </c>
      <c r="H34" s="2"/>
      <c r="I34" s="484"/>
      <c r="J34" s="549"/>
    </row>
    <row r="35" spans="1:10" s="5" customFormat="1" x14ac:dyDescent="0.35">
      <c r="A35" s="74"/>
      <c r="B35" s="74"/>
      <c r="C35" s="191">
        <f>SUM(C6:C34)</f>
        <v>18100000</v>
      </c>
      <c r="D35" s="191">
        <f>C35+J35</f>
        <v>18694437.98709498</v>
      </c>
      <c r="E35" s="191">
        <f>'DETAILS (sorted)'!DS38</f>
        <v>18885840.560239132</v>
      </c>
      <c r="F35" s="191">
        <f>D35-E35</f>
        <v>-191402.57314415276</v>
      </c>
      <c r="G35" s="5" t="b">
        <f>D35=E35</f>
        <v>0</v>
      </c>
      <c r="H35" s="74"/>
      <c r="I35" s="544"/>
      <c r="J35" s="548">
        <f>SUM(J6:J34)</f>
        <v>594437.98709497869</v>
      </c>
    </row>
    <row r="37" spans="1:10" x14ac:dyDescent="0.35">
      <c r="C37" s="191" t="s">
        <v>644</v>
      </c>
      <c r="D37" s="191">
        <f>C35+J35</f>
        <v>18694437.98709498</v>
      </c>
      <c r="E37" s="122">
        <f>D37/D38</f>
        <v>0.62314793290316595</v>
      </c>
      <c r="F37" s="2" t="s">
        <v>652</v>
      </c>
    </row>
    <row r="38" spans="1:10" x14ac:dyDescent="0.35">
      <c r="C38" s="3"/>
      <c r="D38" s="3">
        <v>30000000</v>
      </c>
      <c r="E38" s="122">
        <f>D38/D38</f>
        <v>1</v>
      </c>
      <c r="F38" s="2" t="s">
        <v>654</v>
      </c>
    </row>
    <row r="39" spans="1:10" x14ac:dyDescent="0.35">
      <c r="C39" s="3"/>
      <c r="D39" s="3">
        <f>D37-D38</f>
        <v>-11305562.01290502</v>
      </c>
      <c r="E39" s="122">
        <f>D39/D38</f>
        <v>-0.376852067096834</v>
      </c>
      <c r="F39" s="2" t="s">
        <v>653</v>
      </c>
    </row>
  </sheetData>
  <sortState xmlns:xlrd2="http://schemas.microsoft.com/office/spreadsheetml/2017/richdata2" ref="B2:C61">
    <sortCondition ref="C2:C61"/>
  </sortState>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6A50F-3B30-4D68-9880-AA714368B2EB}">
  <dimension ref="A2:J39"/>
  <sheetViews>
    <sheetView topLeftCell="D28" workbookViewId="0">
      <selection activeCell="N16" sqref="N16"/>
    </sheetView>
  </sheetViews>
  <sheetFormatPr defaultRowHeight="14.5" x14ac:dyDescent="0.35"/>
  <cols>
    <col min="1" max="1" width="12" bestFit="1" customWidth="1"/>
    <col min="2" max="2" width="17.7265625" bestFit="1" customWidth="1"/>
    <col min="3" max="3" width="11.36328125" style="1" bestFit="1" customWidth="1"/>
    <col min="4" max="4" width="14.453125" style="1" bestFit="1" customWidth="1"/>
    <col min="5" max="5" width="12.7265625" bestFit="1" customWidth="1"/>
    <col min="6" max="6" width="13.453125" bestFit="1" customWidth="1"/>
    <col min="7" max="7" width="9.08984375" bestFit="1" customWidth="1"/>
    <col min="8" max="8" width="11.1796875" bestFit="1" customWidth="1"/>
    <col min="9" max="9" width="27.1796875" style="526" customWidth="1"/>
    <col min="10" max="10" width="10.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270</v>
      </c>
      <c r="B3" s="7" t="s">
        <v>271</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45382</v>
      </c>
      <c r="C6" s="11">
        <v>100000</v>
      </c>
      <c r="D6" s="3">
        <f>C6</f>
        <v>100000</v>
      </c>
      <c r="E6" s="2" t="s">
        <v>144</v>
      </c>
      <c r="F6" s="2">
        <v>1</v>
      </c>
      <c r="H6" s="2"/>
      <c r="I6" s="503" t="s">
        <v>210</v>
      </c>
      <c r="J6" s="549">
        <v>14865.92500417116</v>
      </c>
    </row>
    <row r="7" spans="1:10" x14ac:dyDescent="0.35">
      <c r="A7" s="2">
        <v>2</v>
      </c>
      <c r="B7" s="71">
        <v>45382</v>
      </c>
      <c r="C7" s="11">
        <v>100000</v>
      </c>
      <c r="D7" s="3">
        <f>D6+C7</f>
        <v>200000</v>
      </c>
      <c r="E7" s="2" t="s">
        <v>144</v>
      </c>
      <c r="F7" s="2">
        <v>1</v>
      </c>
      <c r="H7" s="2"/>
      <c r="I7" s="504" t="s">
        <v>212</v>
      </c>
      <c r="J7" s="549">
        <v>13096.296378116613</v>
      </c>
    </row>
    <row r="8" spans="1:10" x14ac:dyDescent="0.35">
      <c r="A8" s="2">
        <v>3</v>
      </c>
      <c r="B8" s="71">
        <v>45693</v>
      </c>
      <c r="C8" s="11">
        <v>500000</v>
      </c>
      <c r="D8" s="3">
        <f t="shared" ref="D8:D9" si="0">D7+C8</f>
        <v>700000</v>
      </c>
      <c r="E8" s="2" t="s">
        <v>144</v>
      </c>
      <c r="F8" s="2">
        <v>1</v>
      </c>
      <c r="H8" s="2"/>
      <c r="I8" s="504" t="s">
        <v>213</v>
      </c>
      <c r="J8" s="549">
        <v>19974.24161749491</v>
      </c>
    </row>
    <row r="9" spans="1:10" x14ac:dyDescent="0.35">
      <c r="A9" s="2">
        <v>4</v>
      </c>
      <c r="B9" s="71">
        <v>45881</v>
      </c>
      <c r="C9" s="11">
        <v>300000</v>
      </c>
      <c r="D9" s="3">
        <f t="shared" si="0"/>
        <v>1000000</v>
      </c>
      <c r="E9" s="2" t="s">
        <v>30</v>
      </c>
      <c r="F9" s="2">
        <v>2</v>
      </c>
      <c r="H9" s="2"/>
      <c r="I9" s="504" t="s">
        <v>215</v>
      </c>
      <c r="J9" s="549">
        <v>24921.173251967666</v>
      </c>
    </row>
    <row r="10" spans="1:10" x14ac:dyDescent="0.35">
      <c r="A10" s="2">
        <v>5</v>
      </c>
      <c r="B10" s="71">
        <v>46045</v>
      </c>
      <c r="C10" s="3">
        <v>752064</v>
      </c>
      <c r="D10" s="3">
        <f t="shared" ref="D10:D15" si="1">D9+C10</f>
        <v>1752064</v>
      </c>
      <c r="E10" s="2" t="s">
        <v>30</v>
      </c>
      <c r="F10" s="2">
        <v>2</v>
      </c>
      <c r="H10" s="2"/>
      <c r="I10" s="504" t="s">
        <v>217</v>
      </c>
      <c r="J10" s="549">
        <v>59488.011266998044</v>
      </c>
    </row>
    <row r="11" spans="1:10" x14ac:dyDescent="0.35">
      <c r="A11" s="2">
        <v>6</v>
      </c>
      <c r="B11" s="71">
        <v>46082</v>
      </c>
      <c r="C11" s="231">
        <f>500000</f>
        <v>500000</v>
      </c>
      <c r="D11" s="3">
        <f t="shared" si="1"/>
        <v>2252064</v>
      </c>
      <c r="E11" s="2" t="s">
        <v>30</v>
      </c>
      <c r="F11" s="2">
        <v>2</v>
      </c>
      <c r="H11" s="2"/>
      <c r="I11" s="504" t="s">
        <v>219</v>
      </c>
      <c r="J11" s="549">
        <v>37907.84790304245</v>
      </c>
    </row>
    <row r="12" spans="1:10" x14ac:dyDescent="0.35">
      <c r="A12" s="2">
        <v>7</v>
      </c>
      <c r="B12" s="71">
        <v>46082</v>
      </c>
      <c r="C12" s="231">
        <v>650000</v>
      </c>
      <c r="D12" s="3">
        <f t="shared" si="1"/>
        <v>2902064</v>
      </c>
      <c r="E12" s="2" t="s">
        <v>30</v>
      </c>
      <c r="F12" s="2">
        <v>2</v>
      </c>
      <c r="H12" s="2"/>
      <c r="I12" s="504" t="s">
        <v>537</v>
      </c>
      <c r="J12" s="549">
        <v>7801.8727743395148</v>
      </c>
    </row>
    <row r="13" spans="1:10" x14ac:dyDescent="0.35">
      <c r="A13" s="2">
        <v>8</v>
      </c>
      <c r="B13" s="71">
        <v>46082</v>
      </c>
      <c r="C13" s="231">
        <v>1000000</v>
      </c>
      <c r="D13" s="3">
        <f t="shared" si="1"/>
        <v>3902064</v>
      </c>
      <c r="E13" s="2" t="s">
        <v>30</v>
      </c>
      <c r="F13" s="2">
        <v>2</v>
      </c>
      <c r="H13" s="2"/>
      <c r="I13" s="504" t="s">
        <v>543</v>
      </c>
      <c r="J13" s="549">
        <v>20071.31562352883</v>
      </c>
    </row>
    <row r="14" spans="1:10" x14ac:dyDescent="0.35">
      <c r="A14" s="2">
        <v>9</v>
      </c>
      <c r="B14" s="71">
        <v>46113</v>
      </c>
      <c r="C14" s="3">
        <f>608288</f>
        <v>608288</v>
      </c>
      <c r="D14" s="3">
        <f t="shared" si="1"/>
        <v>4510352</v>
      </c>
      <c r="E14" s="2" t="s">
        <v>30</v>
      </c>
      <c r="F14" s="2">
        <v>2</v>
      </c>
      <c r="H14" s="2"/>
      <c r="I14" s="504" t="s">
        <v>681</v>
      </c>
      <c r="J14" s="549">
        <f>'DETAILS (sorted)'!DC39</f>
        <v>28454.098838309103</v>
      </c>
    </row>
    <row r="15" spans="1:10" x14ac:dyDescent="0.35">
      <c r="A15" s="2">
        <v>10</v>
      </c>
      <c r="B15" s="71">
        <v>46142</v>
      </c>
      <c r="C15" s="3">
        <v>538582</v>
      </c>
      <c r="D15" s="3">
        <f t="shared" si="1"/>
        <v>5048934</v>
      </c>
      <c r="E15" s="2" t="s">
        <v>30</v>
      </c>
      <c r="F15" s="2">
        <v>2</v>
      </c>
      <c r="H15" s="2"/>
      <c r="I15" s="504" t="s">
        <v>696</v>
      </c>
      <c r="J15" s="549">
        <f>'DETAILS (sorted)'!DD39</f>
        <v>19266.127468436007</v>
      </c>
    </row>
    <row r="16" spans="1:10" x14ac:dyDescent="0.35">
      <c r="A16" s="2">
        <v>11</v>
      </c>
      <c r="B16" s="71">
        <v>46174</v>
      </c>
      <c r="C16" s="3">
        <v>1200000</v>
      </c>
      <c r="D16" s="3">
        <f t="shared" ref="D16" si="2">D15+C16</f>
        <v>6248934</v>
      </c>
      <c r="E16" s="2" t="s">
        <v>30</v>
      </c>
      <c r="F16" s="2">
        <v>2</v>
      </c>
      <c r="H16" s="2"/>
      <c r="I16" s="524" t="s">
        <v>887</v>
      </c>
      <c r="J16" s="549">
        <f>'DETAILS (sorted)'!DF39</f>
        <v>16754.820270476328</v>
      </c>
    </row>
    <row r="17" spans="1:10" x14ac:dyDescent="0.35">
      <c r="A17" s="2">
        <v>12</v>
      </c>
      <c r="B17" s="71">
        <v>46204</v>
      </c>
      <c r="C17" s="3">
        <v>1752610</v>
      </c>
      <c r="D17" s="3">
        <f t="shared" ref="D17" si="3">D16+C17</f>
        <v>8001544</v>
      </c>
      <c r="E17" s="2" t="s">
        <v>30</v>
      </c>
      <c r="F17" s="2">
        <v>2</v>
      </c>
      <c r="H17" s="2"/>
      <c r="I17" s="524" t="s">
        <v>889</v>
      </c>
      <c r="J17" s="549">
        <f>'DETAILS (sorted)'!DG39</f>
        <v>55944.216326593065</v>
      </c>
    </row>
    <row r="18" spans="1:10" x14ac:dyDescent="0.35">
      <c r="A18" s="2">
        <v>13</v>
      </c>
      <c r="B18" s="71"/>
      <c r="C18" s="3"/>
      <c r="D18" s="3"/>
      <c r="E18" s="2"/>
      <c r="F18" s="2"/>
      <c r="H18" s="2"/>
      <c r="I18" s="524" t="s">
        <v>891</v>
      </c>
      <c r="J18" s="549">
        <f>'DETAILS (sorted)'!DL39</f>
        <v>23795.886369574728</v>
      </c>
    </row>
    <row r="19" spans="1:10" x14ac:dyDescent="0.35">
      <c r="A19" s="2">
        <v>14</v>
      </c>
      <c r="B19" s="71"/>
      <c r="C19" s="3"/>
      <c r="D19" s="3"/>
      <c r="E19" s="2"/>
      <c r="F19" s="2"/>
      <c r="H19" s="2"/>
      <c r="I19" s="524" t="s">
        <v>894</v>
      </c>
      <c r="J19" s="549">
        <f>'DETAILS (sorted)'!DM39</f>
        <v>0</v>
      </c>
    </row>
    <row r="20" spans="1:10" x14ac:dyDescent="0.35">
      <c r="A20" s="2">
        <v>15</v>
      </c>
      <c r="B20" s="71"/>
      <c r="C20" s="3"/>
      <c r="D20" s="3"/>
      <c r="E20" s="2"/>
      <c r="F20" s="2"/>
      <c r="H20" s="2"/>
      <c r="I20" s="524" t="s">
        <v>893</v>
      </c>
      <c r="J20" s="549">
        <f>'DETAILS (sorted)'!DN39</f>
        <v>0</v>
      </c>
    </row>
    <row r="21" spans="1:10" x14ac:dyDescent="0.35">
      <c r="A21" s="2">
        <v>16</v>
      </c>
      <c r="B21" s="71"/>
      <c r="C21" s="3"/>
      <c r="D21" s="3"/>
      <c r="E21" s="2"/>
      <c r="F21" s="2"/>
      <c r="H21" s="2"/>
      <c r="I21" s="524" t="s">
        <v>895</v>
      </c>
      <c r="J21" s="549">
        <f>'DETAILS (sorted)'!DO39</f>
        <v>0</v>
      </c>
    </row>
    <row r="22" spans="1:10" x14ac:dyDescent="0.35">
      <c r="A22" s="2"/>
      <c r="B22" s="2"/>
      <c r="C22" s="3"/>
      <c r="D22" s="3"/>
      <c r="E22" s="2"/>
      <c r="F22" s="2"/>
      <c r="H22" s="2"/>
      <c r="I22" s="524" t="s">
        <v>897</v>
      </c>
      <c r="J22" s="549">
        <f>'DETAILS (sorted)'!DQ39</f>
        <v>0</v>
      </c>
    </row>
    <row r="23" spans="1:10" x14ac:dyDescent="0.35">
      <c r="A23" s="2"/>
      <c r="B23" s="2"/>
      <c r="C23" s="3"/>
      <c r="D23" s="3"/>
      <c r="E23" s="2"/>
      <c r="F23" s="2"/>
      <c r="H23" s="2"/>
      <c r="I23" s="524" t="s">
        <v>898</v>
      </c>
      <c r="J23" s="549">
        <f>'DETAILS (sorted)'!DR39</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8001544</v>
      </c>
      <c r="D35" s="191">
        <f>C35+J35</f>
        <v>8343885.8330930481</v>
      </c>
      <c r="E35" s="191">
        <f>'DETAILS (sorted)'!DS39</f>
        <v>8429314.5161899924</v>
      </c>
      <c r="F35" s="191">
        <f>D35-E35</f>
        <v>-85428.683096944354</v>
      </c>
      <c r="G35" s="5" t="b">
        <f>D35=E35</f>
        <v>0</v>
      </c>
      <c r="H35" s="74"/>
      <c r="I35" s="544"/>
      <c r="J35" s="548">
        <f>SUM(J6:J34)</f>
        <v>342341.83309304842</v>
      </c>
    </row>
    <row r="37" spans="1:10" x14ac:dyDescent="0.35">
      <c r="C37" s="191" t="s">
        <v>644</v>
      </c>
      <c r="D37" s="191">
        <f>C35+J35</f>
        <v>8343885.8330930481</v>
      </c>
      <c r="E37" s="122">
        <f>D37/D38</f>
        <v>0.55625905553953658</v>
      </c>
      <c r="F37" s="2" t="s">
        <v>652</v>
      </c>
    </row>
    <row r="38" spans="1:10" x14ac:dyDescent="0.35">
      <c r="C38" s="3"/>
      <c r="D38" s="3">
        <v>15000000</v>
      </c>
      <c r="E38" s="122">
        <f>D38/D38</f>
        <v>1</v>
      </c>
      <c r="F38" s="2" t="s">
        <v>654</v>
      </c>
    </row>
    <row r="39" spans="1:10" x14ac:dyDescent="0.35">
      <c r="C39" s="3"/>
      <c r="D39" s="3">
        <f>D37-D38</f>
        <v>-6656114.1669069519</v>
      </c>
      <c r="E39" s="122">
        <f>D39/D38</f>
        <v>-0.44374094446046347</v>
      </c>
      <c r="F39" s="2" t="s">
        <v>653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F2D13-E90B-4966-9B15-1274B2D7D0AE}">
  <dimension ref="A2:J39"/>
  <sheetViews>
    <sheetView topLeftCell="A10" workbookViewId="0">
      <selection activeCell="D15" sqref="D15"/>
    </sheetView>
  </sheetViews>
  <sheetFormatPr defaultRowHeight="14.5" x14ac:dyDescent="0.35"/>
  <cols>
    <col min="1" max="1" width="12" bestFit="1" customWidth="1"/>
    <col min="2" max="2" width="14.26953125" bestFit="1" customWidth="1"/>
    <col min="3" max="3" width="11.36328125" style="1" bestFit="1" customWidth="1"/>
    <col min="4" max="4" width="14.453125" style="1" bestFit="1" customWidth="1"/>
    <col min="5" max="5" width="12.7265625" bestFit="1" customWidth="1"/>
    <col min="6" max="6" width="13.453125" bestFit="1" customWidth="1"/>
    <col min="7" max="7" width="9.08984375" bestFit="1" customWidth="1"/>
    <col min="8" max="8" width="11.1796875" bestFit="1" customWidth="1"/>
    <col min="9" max="9" width="24.2695312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272</v>
      </c>
      <c r="B3" s="7" t="s">
        <v>71</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45372</v>
      </c>
      <c r="C6" s="11">
        <v>80000</v>
      </c>
      <c r="D6" s="3">
        <f>C6</f>
        <v>80000</v>
      </c>
      <c r="E6" s="2" t="s">
        <v>144</v>
      </c>
      <c r="F6" s="2">
        <v>1</v>
      </c>
      <c r="H6" s="2"/>
      <c r="I6" s="503" t="s">
        <v>210</v>
      </c>
      <c r="J6" s="549">
        <v>14865.92500417116</v>
      </c>
    </row>
    <row r="7" spans="1:10" x14ac:dyDescent="0.35">
      <c r="A7" s="2">
        <v>2</v>
      </c>
      <c r="B7" s="71">
        <v>45372</v>
      </c>
      <c r="C7" s="11">
        <v>100000</v>
      </c>
      <c r="D7" s="3">
        <f>D6+C7</f>
        <v>180000</v>
      </c>
      <c r="E7" s="2" t="s">
        <v>144</v>
      </c>
      <c r="F7" s="2">
        <v>1</v>
      </c>
      <c r="H7" s="2"/>
      <c r="I7" s="504" t="s">
        <v>212</v>
      </c>
      <c r="J7" s="549">
        <v>13096.296378116613</v>
      </c>
    </row>
    <row r="8" spans="1:10" x14ac:dyDescent="0.35">
      <c r="A8" s="2">
        <v>3</v>
      </c>
      <c r="B8" s="71">
        <v>45661</v>
      </c>
      <c r="C8" s="11">
        <v>820000</v>
      </c>
      <c r="D8" s="3">
        <f t="shared" ref="D8:D9" si="0">D7+C8</f>
        <v>1000000</v>
      </c>
      <c r="E8" s="2" t="s">
        <v>144</v>
      </c>
      <c r="F8" s="2">
        <v>1</v>
      </c>
      <c r="H8" s="2"/>
      <c r="I8" s="504" t="s">
        <v>213</v>
      </c>
      <c r="J8" s="549">
        <v>19974.24161749491</v>
      </c>
    </row>
    <row r="9" spans="1:10" x14ac:dyDescent="0.35">
      <c r="A9" s="2">
        <v>4</v>
      </c>
      <c r="B9" s="206">
        <v>46003</v>
      </c>
      <c r="C9" s="200">
        <v>500000</v>
      </c>
      <c r="D9" s="3">
        <f t="shared" si="0"/>
        <v>1500000</v>
      </c>
      <c r="E9" s="2" t="s">
        <v>30</v>
      </c>
      <c r="F9" s="2">
        <v>2</v>
      </c>
      <c r="H9" s="2"/>
      <c r="I9" s="504" t="s">
        <v>215</v>
      </c>
      <c r="J9" s="549">
        <v>22758.230979660711</v>
      </c>
    </row>
    <row r="10" spans="1:10" x14ac:dyDescent="0.35">
      <c r="A10" s="2">
        <v>5</v>
      </c>
      <c r="B10" s="71">
        <v>46049</v>
      </c>
      <c r="C10" s="3">
        <v>100000</v>
      </c>
      <c r="D10" s="3">
        <f t="shared" ref="D10:D11" si="1">D9+C10</f>
        <v>1600000</v>
      </c>
      <c r="E10" s="2" t="s">
        <v>30</v>
      </c>
      <c r="F10" s="2">
        <v>2</v>
      </c>
      <c r="H10" s="2"/>
      <c r="I10" s="504" t="s">
        <v>217</v>
      </c>
      <c r="J10" s="549">
        <v>54324.966455104877</v>
      </c>
    </row>
    <row r="11" spans="1:10" x14ac:dyDescent="0.35">
      <c r="A11" s="2">
        <v>6</v>
      </c>
      <c r="B11" s="71">
        <v>46146</v>
      </c>
      <c r="C11" s="3">
        <v>260000</v>
      </c>
      <c r="D11" s="3">
        <f t="shared" si="1"/>
        <v>1860000</v>
      </c>
      <c r="E11" s="2" t="s">
        <v>30</v>
      </c>
      <c r="F11" s="2">
        <v>2</v>
      </c>
      <c r="H11" s="2"/>
      <c r="I11" s="504" t="s">
        <v>219</v>
      </c>
      <c r="J11" s="549">
        <v>15543.711390912073</v>
      </c>
    </row>
    <row r="12" spans="1:10" x14ac:dyDescent="0.35">
      <c r="A12" s="2">
        <v>7</v>
      </c>
      <c r="B12" s="71">
        <v>46203</v>
      </c>
      <c r="C12" s="3">
        <v>1000000</v>
      </c>
      <c r="D12" s="3">
        <f t="shared" ref="D12:D13" si="2">D11+C12</f>
        <v>2860000</v>
      </c>
      <c r="E12" s="2" t="s">
        <v>30</v>
      </c>
      <c r="F12" s="2"/>
      <c r="H12" s="2"/>
      <c r="I12" s="504" t="s">
        <v>537</v>
      </c>
      <c r="J12" s="549">
        <v>2472.4023801743542</v>
      </c>
    </row>
    <row r="13" spans="1:10" x14ac:dyDescent="0.35">
      <c r="A13" s="2">
        <v>8</v>
      </c>
      <c r="B13" s="71">
        <v>46204</v>
      </c>
      <c r="C13" s="3">
        <v>500000</v>
      </c>
      <c r="D13" s="3">
        <f t="shared" si="2"/>
        <v>3360000</v>
      </c>
      <c r="E13" s="2" t="s">
        <v>30</v>
      </c>
      <c r="F13" s="2"/>
      <c r="H13" s="2"/>
      <c r="I13" s="504" t="s">
        <v>543</v>
      </c>
      <c r="J13" s="549">
        <v>6360.5713597456661</v>
      </c>
    </row>
    <row r="14" spans="1:10" x14ac:dyDescent="0.35">
      <c r="A14" s="2">
        <v>9</v>
      </c>
      <c r="B14" s="294"/>
      <c r="C14" s="3"/>
      <c r="D14" s="3"/>
      <c r="E14" s="2"/>
      <c r="F14" s="2"/>
      <c r="H14" s="2"/>
      <c r="I14" s="504" t="s">
        <v>681</v>
      </c>
      <c r="J14" s="549">
        <f>'DETAILS (sorted)'!DC40</f>
        <v>10482.336239541837</v>
      </c>
    </row>
    <row r="15" spans="1:10" x14ac:dyDescent="0.35">
      <c r="A15" s="2">
        <v>10</v>
      </c>
      <c r="B15" s="294"/>
      <c r="C15" s="205"/>
      <c r="D15" s="3"/>
      <c r="E15" s="2"/>
      <c r="F15" s="2"/>
      <c r="H15" s="2"/>
      <c r="I15" s="504" t="s">
        <v>696</v>
      </c>
      <c r="J15" s="549">
        <f>'DETAILS (sorted)'!DD40</f>
        <v>7097.5372407900304</v>
      </c>
    </row>
    <row r="16" spans="1:10" x14ac:dyDescent="0.35">
      <c r="A16" s="2">
        <v>11</v>
      </c>
      <c r="B16" s="294"/>
      <c r="C16" s="3"/>
      <c r="D16" s="3"/>
      <c r="E16" s="2"/>
      <c r="F16" s="2"/>
      <c r="H16" s="2"/>
      <c r="I16" s="524" t="s">
        <v>887</v>
      </c>
      <c r="J16" s="549">
        <f>'DETAILS (sorted)'!DF40</f>
        <v>4987.0851097300711</v>
      </c>
    </row>
    <row r="17" spans="1:10" x14ac:dyDescent="0.35">
      <c r="A17" s="2">
        <v>12</v>
      </c>
      <c r="B17" s="71"/>
      <c r="C17" s="3"/>
      <c r="D17" s="3"/>
      <c r="E17" s="2"/>
      <c r="F17" s="2"/>
      <c r="H17" s="2"/>
      <c r="I17" s="524" t="s">
        <v>889</v>
      </c>
      <c r="J17" s="549">
        <f>'DETAILS (sorted)'!DG40</f>
        <v>16651.838916439683</v>
      </c>
    </row>
    <row r="18" spans="1:10" x14ac:dyDescent="0.35">
      <c r="A18" s="2">
        <v>13</v>
      </c>
      <c r="B18" s="71"/>
      <c r="C18" s="3"/>
      <c r="D18" s="3"/>
      <c r="E18" s="2"/>
      <c r="F18" s="2"/>
      <c r="H18" s="2"/>
      <c r="I18" s="524" t="s">
        <v>891</v>
      </c>
      <c r="J18" s="549">
        <f>'DETAILS (sorted)'!DL40</f>
        <v>10149.222334687001</v>
      </c>
    </row>
    <row r="19" spans="1:10" x14ac:dyDescent="0.35">
      <c r="A19" s="2">
        <v>14</v>
      </c>
      <c r="B19" s="71"/>
      <c r="C19" s="3"/>
      <c r="D19" s="3"/>
      <c r="E19" s="2"/>
      <c r="F19" s="2"/>
      <c r="H19" s="2"/>
      <c r="I19" s="524" t="s">
        <v>894</v>
      </c>
      <c r="J19" s="549">
        <f>'DETAILS (sorted)'!DM40</f>
        <v>0</v>
      </c>
    </row>
    <row r="20" spans="1:10" x14ac:dyDescent="0.35">
      <c r="A20" s="2">
        <v>15</v>
      </c>
      <c r="B20" s="71"/>
      <c r="C20" s="3"/>
      <c r="D20" s="3"/>
      <c r="E20" s="2"/>
      <c r="F20" s="2"/>
      <c r="H20" s="2"/>
      <c r="I20" s="524" t="s">
        <v>893</v>
      </c>
      <c r="J20" s="549">
        <f>'DETAILS (sorted)'!DN40</f>
        <v>0</v>
      </c>
    </row>
    <row r="21" spans="1:10" x14ac:dyDescent="0.35">
      <c r="A21" s="2">
        <v>16</v>
      </c>
      <c r="B21" s="71"/>
      <c r="C21" s="3"/>
      <c r="D21" s="3"/>
      <c r="E21" s="2"/>
      <c r="F21" s="2"/>
      <c r="H21" s="2"/>
      <c r="I21" s="524" t="s">
        <v>895</v>
      </c>
      <c r="J21" s="549">
        <f>'DETAILS (sorted)'!DO40</f>
        <v>0</v>
      </c>
    </row>
    <row r="22" spans="1:10" x14ac:dyDescent="0.35">
      <c r="A22" s="2"/>
      <c r="B22" s="2"/>
      <c r="C22" s="3"/>
      <c r="D22" s="3"/>
      <c r="E22" s="2"/>
      <c r="F22" s="2"/>
      <c r="H22" s="2"/>
      <c r="I22" s="524" t="s">
        <v>897</v>
      </c>
      <c r="J22" s="549">
        <f>'DETAILS (sorted)'!DQ40</f>
        <v>0</v>
      </c>
    </row>
    <row r="23" spans="1:10" x14ac:dyDescent="0.35">
      <c r="A23" s="2"/>
      <c r="B23" s="2"/>
      <c r="C23" s="3"/>
      <c r="D23" s="3"/>
      <c r="E23" s="2"/>
      <c r="F23" s="2"/>
      <c r="H23" s="2"/>
      <c r="I23" s="524" t="s">
        <v>898</v>
      </c>
      <c r="J23" s="549">
        <f>'DETAILS (sorted)'!DR40</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3360000</v>
      </c>
      <c r="D35" s="191">
        <f>C35+J35</f>
        <v>3558764.3654065691</v>
      </c>
      <c r="E35" s="191">
        <f>'DETAILS (sorted)'!DS40</f>
        <v>3595200.6924693417</v>
      </c>
      <c r="F35" s="191">
        <f>D35-E35</f>
        <v>-36436.327062772587</v>
      </c>
      <c r="G35" s="5" t="b">
        <f>D35=E35</f>
        <v>0</v>
      </c>
      <c r="H35" s="74"/>
      <c r="I35" s="544"/>
      <c r="J35" s="548">
        <f>SUM(J6:J34)</f>
        <v>198764.36540656898</v>
      </c>
    </row>
    <row r="37" spans="1:10" x14ac:dyDescent="0.35">
      <c r="C37" s="191" t="s">
        <v>644</v>
      </c>
      <c r="D37" s="191">
        <f>C35+J35</f>
        <v>3558764.3654065691</v>
      </c>
      <c r="E37" s="122">
        <f>D37/D38</f>
        <v>0.88969109135164226</v>
      </c>
      <c r="F37" s="2" t="s">
        <v>652</v>
      </c>
    </row>
    <row r="38" spans="1:10" x14ac:dyDescent="0.35">
      <c r="C38" s="3"/>
      <c r="D38" s="3">
        <v>4000000</v>
      </c>
      <c r="E38" s="122">
        <f>D38/D38</f>
        <v>1</v>
      </c>
      <c r="F38" s="2" t="s">
        <v>654</v>
      </c>
    </row>
    <row r="39" spans="1:10" x14ac:dyDescent="0.35">
      <c r="C39" s="3"/>
      <c r="D39" s="3">
        <f>D37-D38</f>
        <v>-441235.63459343091</v>
      </c>
      <c r="E39" s="122">
        <f>D39/D38</f>
        <v>-0.11030890864835773</v>
      </c>
      <c r="F39" s="2" t="s">
        <v>653</v>
      </c>
    </row>
  </sheetData>
  <pageMargins left="0.7" right="0.7" top="0.75" bottom="0.75" header="0.3" footer="0.3"/>
  <legacy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85BD4-843D-4859-A7D3-22F080A5EC88}">
  <dimension ref="A2:J39"/>
  <sheetViews>
    <sheetView topLeftCell="A19" workbookViewId="0">
      <selection activeCell="D15" sqref="D15"/>
    </sheetView>
  </sheetViews>
  <sheetFormatPr defaultRowHeight="14.5" x14ac:dyDescent="0.35"/>
  <cols>
    <col min="1" max="1" width="12" bestFit="1" customWidth="1"/>
    <col min="2" max="2" width="14.26953125" bestFit="1" customWidth="1"/>
    <col min="3" max="3" width="11.36328125" style="1" bestFit="1" customWidth="1"/>
    <col min="4" max="4" width="14.453125" style="1" bestFit="1" customWidth="1"/>
    <col min="5" max="5" width="12.7265625" bestFit="1" customWidth="1"/>
    <col min="6" max="6" width="13.453125" bestFit="1" customWidth="1"/>
    <col min="7" max="7" width="8.08984375" bestFit="1" customWidth="1"/>
    <col min="8" max="8" width="10.1796875" hidden="1" customWidth="1"/>
    <col min="9" max="9" width="24.179687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273</v>
      </c>
      <c r="B3" s="286" t="s">
        <v>43</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45356</v>
      </c>
      <c r="C6" s="11">
        <v>50000</v>
      </c>
      <c r="D6" s="3">
        <f>C6</f>
        <v>50000</v>
      </c>
      <c r="E6" s="2" t="s">
        <v>144</v>
      </c>
      <c r="F6" s="2">
        <v>1</v>
      </c>
      <c r="H6" s="2"/>
      <c r="I6" s="523" t="s">
        <v>210</v>
      </c>
      <c r="J6" s="549">
        <v>15460.562004338006</v>
      </c>
    </row>
    <row r="7" spans="1:10" x14ac:dyDescent="0.35">
      <c r="A7" s="2">
        <v>2</v>
      </c>
      <c r="B7" s="71">
        <v>45359</v>
      </c>
      <c r="C7" s="11">
        <v>40000</v>
      </c>
      <c r="D7" s="3">
        <f>D6+C7</f>
        <v>90000</v>
      </c>
      <c r="E7" s="2" t="s">
        <v>144</v>
      </c>
      <c r="F7" s="2">
        <v>1</v>
      </c>
      <c r="H7" s="2"/>
      <c r="I7" s="524" t="s">
        <v>212</v>
      </c>
      <c r="J7" s="549">
        <v>30645.333524792874</v>
      </c>
    </row>
    <row r="8" spans="1:10" x14ac:dyDescent="0.35">
      <c r="A8" s="2">
        <v>3</v>
      </c>
      <c r="B8" s="71">
        <v>45373</v>
      </c>
      <c r="C8" s="11">
        <v>50000</v>
      </c>
      <c r="D8" s="3">
        <f t="shared" ref="D8:D14" si="0">D7+C8</f>
        <v>140000</v>
      </c>
      <c r="E8" s="2" t="s">
        <v>144</v>
      </c>
      <c r="F8" s="2">
        <v>1</v>
      </c>
      <c r="H8" s="2"/>
      <c r="I8" s="524" t="s">
        <v>213</v>
      </c>
      <c r="J8" s="549">
        <v>46739.725384938094</v>
      </c>
    </row>
    <row r="9" spans="1:10" x14ac:dyDescent="0.35">
      <c r="A9" s="2">
        <v>4</v>
      </c>
      <c r="B9" s="71">
        <v>45373</v>
      </c>
      <c r="C9" s="11">
        <v>120000</v>
      </c>
      <c r="D9" s="3">
        <f t="shared" si="0"/>
        <v>260000</v>
      </c>
      <c r="E9" s="2" t="s">
        <v>144</v>
      </c>
      <c r="F9" s="2">
        <v>1</v>
      </c>
      <c r="H9" s="2"/>
      <c r="I9" s="524" t="s">
        <v>215</v>
      </c>
      <c r="J9" s="549">
        <v>43240.63886135535</v>
      </c>
    </row>
    <row r="10" spans="1:10" x14ac:dyDescent="0.35">
      <c r="A10" s="2">
        <v>5</v>
      </c>
      <c r="B10" s="71">
        <v>45663</v>
      </c>
      <c r="C10" s="11">
        <v>780000</v>
      </c>
      <c r="D10" s="3">
        <f t="shared" si="0"/>
        <v>1040000</v>
      </c>
      <c r="E10" s="2" t="s">
        <v>144</v>
      </c>
      <c r="F10" s="2">
        <v>1</v>
      </c>
      <c r="H10" s="2"/>
      <c r="I10" s="524" t="s">
        <v>217</v>
      </c>
      <c r="J10" s="549">
        <v>103217.43626469927</v>
      </c>
    </row>
    <row r="11" spans="1:10" x14ac:dyDescent="0.35">
      <c r="A11" s="2">
        <v>6</v>
      </c>
      <c r="B11" s="71">
        <v>45953</v>
      </c>
      <c r="C11" s="202">
        <v>500000</v>
      </c>
      <c r="D11" s="3">
        <f t="shared" si="0"/>
        <v>1540000</v>
      </c>
      <c r="E11" s="2" t="s">
        <v>30</v>
      </c>
      <c r="F11" s="2">
        <v>2</v>
      </c>
      <c r="H11" s="2"/>
      <c r="I11" s="524" t="s">
        <v>219</v>
      </c>
      <c r="J11" s="549">
        <v>34390.461452392956</v>
      </c>
    </row>
    <row r="12" spans="1:10" x14ac:dyDescent="0.35">
      <c r="A12" s="2">
        <v>7</v>
      </c>
      <c r="B12" s="71">
        <v>45972</v>
      </c>
      <c r="C12" s="202">
        <v>800000</v>
      </c>
      <c r="D12" s="3">
        <f t="shared" si="0"/>
        <v>2340000</v>
      </c>
      <c r="E12" s="2" t="s">
        <v>30</v>
      </c>
      <c r="F12" s="2">
        <v>2</v>
      </c>
      <c r="H12" s="2"/>
      <c r="I12" s="524" t="s">
        <v>537</v>
      </c>
      <c r="J12" s="549">
        <v>6221.6553360689268</v>
      </c>
    </row>
    <row r="13" spans="1:10" x14ac:dyDescent="0.35">
      <c r="A13" s="2">
        <v>8</v>
      </c>
      <c r="B13" s="206">
        <v>45994</v>
      </c>
      <c r="C13" s="204">
        <f>200000</f>
        <v>200000</v>
      </c>
      <c r="D13" s="3">
        <f t="shared" si="0"/>
        <v>2540000</v>
      </c>
      <c r="E13" s="2" t="s">
        <v>30</v>
      </c>
      <c r="F13" s="2">
        <v>2</v>
      </c>
      <c r="H13" s="2"/>
      <c r="I13" s="524" t="s">
        <v>543</v>
      </c>
      <c r="J13" s="549">
        <v>16006.004143232583</v>
      </c>
    </row>
    <row r="14" spans="1:10" x14ac:dyDescent="0.35">
      <c r="A14" s="2">
        <v>9</v>
      </c>
      <c r="B14" s="206">
        <v>45994</v>
      </c>
      <c r="C14" s="204">
        <v>300000</v>
      </c>
      <c r="D14" s="3">
        <f t="shared" si="0"/>
        <v>2840000</v>
      </c>
      <c r="E14" s="2" t="s">
        <v>30</v>
      </c>
      <c r="F14" s="2">
        <v>2</v>
      </c>
      <c r="H14" s="2"/>
      <c r="I14" s="524" t="s">
        <v>681</v>
      </c>
      <c r="J14" s="549">
        <f>'DETAILS (sorted)'!DC41</f>
        <v>24945.176231774985</v>
      </c>
    </row>
    <row r="15" spans="1:10" x14ac:dyDescent="0.35">
      <c r="A15" s="2">
        <v>10</v>
      </c>
      <c r="B15" s="71">
        <v>46026</v>
      </c>
      <c r="C15" s="204">
        <v>200000</v>
      </c>
      <c r="D15" s="3">
        <f t="shared" ref="D15:D19" si="1">D14+C15</f>
        <v>3040000</v>
      </c>
      <c r="E15" s="2" t="s">
        <v>30</v>
      </c>
      <c r="F15" s="2">
        <v>2</v>
      </c>
      <c r="H15" s="2"/>
      <c r="I15" s="524" t="s">
        <v>696</v>
      </c>
      <c r="J15" s="549">
        <f>'DETAILS (sorted)'!DD41</f>
        <v>16890.253588243202</v>
      </c>
    </row>
    <row r="16" spans="1:10" x14ac:dyDescent="0.35">
      <c r="A16" s="2">
        <v>11</v>
      </c>
      <c r="B16" s="71">
        <v>46085</v>
      </c>
      <c r="C16" s="3">
        <v>500000</v>
      </c>
      <c r="D16" s="3">
        <f t="shared" si="1"/>
        <v>3540000</v>
      </c>
      <c r="E16" s="2" t="s">
        <v>30</v>
      </c>
      <c r="F16" s="2">
        <v>2</v>
      </c>
      <c r="H16" s="2"/>
      <c r="I16" s="524" t="s">
        <v>887</v>
      </c>
      <c r="J16" s="549">
        <f>'DETAILS (sorted)'!DF41</f>
        <v>12940.42945569941</v>
      </c>
    </row>
    <row r="17" spans="1:10" x14ac:dyDescent="0.35">
      <c r="A17" s="2">
        <v>12</v>
      </c>
      <c r="B17" s="71">
        <v>46121</v>
      </c>
      <c r="C17" s="3">
        <f>400000</f>
        <v>400000</v>
      </c>
      <c r="D17" s="3">
        <f t="shared" si="1"/>
        <v>3940000</v>
      </c>
      <c r="E17" s="2" t="s">
        <v>30</v>
      </c>
      <c r="F17" s="2">
        <v>2</v>
      </c>
      <c r="H17" s="2"/>
      <c r="I17" s="524" t="s">
        <v>889</v>
      </c>
      <c r="J17" s="549">
        <f>'DETAILS (sorted)'!DG41</f>
        <v>43207.994663143203</v>
      </c>
    </row>
    <row r="18" spans="1:10" x14ac:dyDescent="0.35">
      <c r="A18" s="2">
        <v>13</v>
      </c>
      <c r="B18" s="71">
        <v>46128</v>
      </c>
      <c r="C18" s="3">
        <v>86306</v>
      </c>
      <c r="D18" s="3">
        <f t="shared" si="1"/>
        <v>4026306</v>
      </c>
      <c r="E18" s="2" t="s">
        <v>30</v>
      </c>
      <c r="F18" s="2">
        <v>2</v>
      </c>
      <c r="H18" s="2"/>
      <c r="I18" s="524" t="s">
        <v>891</v>
      </c>
      <c r="J18" s="549">
        <f>'DETAILS (sorted)'!DL41</f>
        <v>28658.322187247111</v>
      </c>
    </row>
    <row r="19" spans="1:10" x14ac:dyDescent="0.35">
      <c r="A19" s="2">
        <v>14</v>
      </c>
      <c r="B19" s="71">
        <v>46145</v>
      </c>
      <c r="C19" s="3">
        <v>400000</v>
      </c>
      <c r="D19" s="3">
        <f t="shared" si="1"/>
        <v>4426306</v>
      </c>
      <c r="E19" s="2" t="s">
        <v>30</v>
      </c>
      <c r="F19" s="2">
        <v>2</v>
      </c>
      <c r="H19" s="2"/>
      <c r="I19" s="524" t="s">
        <v>894</v>
      </c>
      <c r="J19" s="549">
        <f>'DETAILS (sorted)'!DM41</f>
        <v>0</v>
      </c>
    </row>
    <row r="20" spans="1:10" x14ac:dyDescent="0.35">
      <c r="A20" s="2">
        <v>15</v>
      </c>
      <c r="B20" s="71">
        <v>46201</v>
      </c>
      <c r="C20" s="3">
        <v>400000</v>
      </c>
      <c r="D20" s="3">
        <f t="shared" ref="D20" si="2">D19+C20</f>
        <v>4826306</v>
      </c>
      <c r="E20" s="2" t="s">
        <v>30</v>
      </c>
      <c r="F20" s="2">
        <v>2</v>
      </c>
      <c r="H20" s="2"/>
      <c r="I20" s="524" t="s">
        <v>893</v>
      </c>
      <c r="J20" s="549">
        <f>'DETAILS (sorted)'!DN41</f>
        <v>0</v>
      </c>
    </row>
    <row r="21" spans="1:10" x14ac:dyDescent="0.35">
      <c r="A21" s="2">
        <v>16</v>
      </c>
      <c r="B21" s="71"/>
      <c r="C21" s="3"/>
      <c r="D21" s="3"/>
      <c r="E21" s="2"/>
      <c r="F21" s="2"/>
      <c r="H21" s="2"/>
      <c r="I21" s="524" t="s">
        <v>895</v>
      </c>
      <c r="J21" s="549">
        <f>'DETAILS (sorted)'!DO41</f>
        <v>0</v>
      </c>
    </row>
    <row r="22" spans="1:10" x14ac:dyDescent="0.35">
      <c r="A22" s="2"/>
      <c r="B22" s="2"/>
      <c r="C22" s="3"/>
      <c r="D22" s="3"/>
      <c r="E22" s="2"/>
      <c r="F22" s="2"/>
      <c r="H22" s="2"/>
      <c r="I22" s="524" t="s">
        <v>897</v>
      </c>
      <c r="J22" s="549">
        <f>'DETAILS (sorted)'!DQ41</f>
        <v>0</v>
      </c>
    </row>
    <row r="23" spans="1:10" x14ac:dyDescent="0.35">
      <c r="A23" s="2"/>
      <c r="B23" s="2"/>
      <c r="C23" s="3"/>
      <c r="D23" s="3"/>
      <c r="E23" s="2"/>
      <c r="F23" s="2"/>
      <c r="H23" s="2"/>
      <c r="I23" s="524" t="s">
        <v>898</v>
      </c>
      <c r="J23" s="549">
        <f>'DETAILS (sorted)'!DR41</f>
        <v>0</v>
      </c>
    </row>
    <row r="24" spans="1:10" x14ac:dyDescent="0.35">
      <c r="A24" s="2"/>
      <c r="B24" s="2"/>
      <c r="C24" s="3"/>
      <c r="D24" s="3"/>
      <c r="E24" s="2"/>
      <c r="F24" s="2"/>
      <c r="H24" s="2"/>
      <c r="I24" s="524"/>
      <c r="J24" s="549"/>
    </row>
    <row r="25" spans="1:10" x14ac:dyDescent="0.35">
      <c r="A25" s="2"/>
      <c r="B25" s="2"/>
      <c r="C25" s="3"/>
      <c r="D25" s="3"/>
      <c r="E25" s="2"/>
      <c r="F25" s="2"/>
      <c r="H25" s="2"/>
      <c r="I25" s="524"/>
      <c r="J25" s="549"/>
    </row>
    <row r="26" spans="1:10" x14ac:dyDescent="0.35">
      <c r="A26" s="2"/>
      <c r="B26" s="2"/>
      <c r="C26" s="3"/>
      <c r="D26" s="3"/>
      <c r="E26" s="2"/>
      <c r="F26" s="2"/>
      <c r="H26" s="2"/>
      <c r="I26" s="524"/>
      <c r="J26" s="549"/>
    </row>
    <row r="27" spans="1:10" x14ac:dyDescent="0.35">
      <c r="A27" s="2"/>
      <c r="B27" s="2"/>
      <c r="C27" s="3"/>
      <c r="D27" s="3"/>
      <c r="E27" s="2"/>
      <c r="F27" s="2"/>
      <c r="H27" s="2"/>
      <c r="I27" s="524"/>
      <c r="J27" s="549"/>
    </row>
    <row r="28" spans="1:10" x14ac:dyDescent="0.35">
      <c r="A28" s="2"/>
      <c r="B28" s="2"/>
      <c r="C28" s="3"/>
      <c r="D28" s="3"/>
      <c r="E28" s="2"/>
      <c r="F28" s="2"/>
      <c r="H28" s="2"/>
      <c r="I28" s="524"/>
      <c r="J28" s="549"/>
    </row>
    <row r="29" spans="1:10" x14ac:dyDescent="0.35">
      <c r="A29" s="2"/>
      <c r="B29" s="2"/>
      <c r="C29" s="3"/>
      <c r="D29" s="3"/>
      <c r="E29" s="2"/>
      <c r="F29" s="2"/>
      <c r="H29" s="2"/>
      <c r="I29" s="524"/>
      <c r="J29" s="549"/>
    </row>
    <row r="30" spans="1:10" x14ac:dyDescent="0.35">
      <c r="A30" s="2"/>
      <c r="B30" s="2"/>
      <c r="C30" s="3"/>
      <c r="D30" s="3"/>
      <c r="E30" s="2"/>
      <c r="F30" s="2"/>
      <c r="H30" s="2"/>
      <c r="I30" s="524"/>
      <c r="J30" s="549"/>
    </row>
    <row r="31" spans="1:10" x14ac:dyDescent="0.35">
      <c r="A31" s="2"/>
      <c r="B31" s="2"/>
      <c r="C31" s="3"/>
      <c r="D31" s="3"/>
      <c r="E31" s="2"/>
      <c r="F31" s="2"/>
      <c r="H31" s="2"/>
      <c r="I31" s="52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4826306</v>
      </c>
      <c r="D35" s="191">
        <f>C35+J35</f>
        <v>5248869.9930979256</v>
      </c>
      <c r="E35" s="191">
        <f>'DETAILS (sorted)'!DS41</f>
        <v>10151755.117282866</v>
      </c>
      <c r="F35" s="191">
        <f>D35-E35</f>
        <v>-4902885.12418494</v>
      </c>
      <c r="G35" s="5" t="b">
        <f>D35=E35</f>
        <v>0</v>
      </c>
      <c r="H35" s="74"/>
      <c r="I35" s="544"/>
      <c r="J35" s="548">
        <f>SUM(J6:J34)</f>
        <v>422563.99309792597</v>
      </c>
    </row>
    <row r="37" spans="1:10" x14ac:dyDescent="0.35">
      <c r="C37" s="191" t="s">
        <v>644</v>
      </c>
      <c r="D37" s="191">
        <f>C35+J35</f>
        <v>5248869.9930979256</v>
      </c>
      <c r="E37" s="122">
        <f>D37/D38</f>
        <v>0.34992466620652835</v>
      </c>
      <c r="F37" s="2" t="s">
        <v>652</v>
      </c>
    </row>
    <row r="38" spans="1:10" x14ac:dyDescent="0.35">
      <c r="C38" s="3"/>
      <c r="D38" s="3">
        <v>15000000</v>
      </c>
      <c r="E38" s="122">
        <f>D38/D38</f>
        <v>1</v>
      </c>
      <c r="F38" s="2" t="s">
        <v>654</v>
      </c>
    </row>
    <row r="39" spans="1:10" x14ac:dyDescent="0.35">
      <c r="C39" s="3"/>
      <c r="D39" s="3">
        <f>D37-D38</f>
        <v>-9751130.0069020744</v>
      </c>
      <c r="E39" s="122">
        <f>D39/D38</f>
        <v>-0.6500753337934716</v>
      </c>
      <c r="F39" s="2" t="s">
        <v>653</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E92F1-E22B-4A83-A0F8-5AB3C70A91B7}">
  <dimension ref="A2:L39"/>
  <sheetViews>
    <sheetView workbookViewId="0">
      <selection activeCell="N16" sqref="N16"/>
    </sheetView>
  </sheetViews>
  <sheetFormatPr defaultRowHeight="14.5" x14ac:dyDescent="0.35"/>
  <cols>
    <col min="1" max="1" width="12" bestFit="1" customWidth="1"/>
    <col min="2" max="2" width="14.26953125" bestFit="1" customWidth="1"/>
    <col min="3" max="3" width="12.7265625" style="1" bestFit="1" customWidth="1"/>
    <col min="4" max="4" width="14.453125" style="1" bestFit="1" customWidth="1"/>
    <col min="5" max="5" width="12.7265625" bestFit="1" customWidth="1"/>
    <col min="6" max="6" width="13.453125" bestFit="1" customWidth="1"/>
    <col min="7" max="7" width="8.08984375" bestFit="1" customWidth="1"/>
    <col min="8" max="8" width="11.1796875" bestFit="1" customWidth="1"/>
    <col min="9" max="9" width="24.7265625" style="526" customWidth="1"/>
    <col min="10" max="10" width="11.1796875" style="550" bestFit="1" customWidth="1"/>
  </cols>
  <sheetData>
    <row r="2" spans="1:12" s="5" customFormat="1" x14ac:dyDescent="0.35">
      <c r="A2" s="74" t="s">
        <v>190</v>
      </c>
      <c r="B2" s="191" t="s">
        <v>0</v>
      </c>
      <c r="C2" s="191"/>
      <c r="D2" s="74" t="s">
        <v>1</v>
      </c>
      <c r="E2" s="75" t="s">
        <v>2</v>
      </c>
      <c r="F2" s="74"/>
      <c r="G2" s="74"/>
      <c r="H2" s="74"/>
      <c r="I2" s="544"/>
      <c r="J2" s="548"/>
      <c r="L2" s="5" t="s">
        <v>1300</v>
      </c>
    </row>
    <row r="3" spans="1:12" s="1" customFormat="1" x14ac:dyDescent="0.35">
      <c r="A3" s="210" t="s">
        <v>274</v>
      </c>
      <c r="B3" s="286" t="s">
        <v>1298</v>
      </c>
      <c r="C3" s="7"/>
      <c r="D3" s="71"/>
      <c r="E3" s="11"/>
      <c r="F3" s="7"/>
      <c r="G3" s="71"/>
      <c r="H3" s="11"/>
      <c r="I3" s="545"/>
      <c r="J3" s="555"/>
    </row>
    <row r="4" spans="1:12" x14ac:dyDescent="0.35">
      <c r="H4" s="74" t="s">
        <v>643</v>
      </c>
      <c r="I4" s="544" t="s">
        <v>445</v>
      </c>
      <c r="J4" s="548" t="s">
        <v>568</v>
      </c>
    </row>
    <row r="5" spans="1:12" x14ac:dyDescent="0.35">
      <c r="A5" s="74" t="s">
        <v>487</v>
      </c>
      <c r="B5" s="74" t="s">
        <v>2</v>
      </c>
      <c r="C5" s="191" t="s">
        <v>124</v>
      </c>
      <c r="D5" s="191" t="s">
        <v>488</v>
      </c>
      <c r="E5" s="74" t="s">
        <v>489</v>
      </c>
      <c r="F5" s="74" t="s">
        <v>490</v>
      </c>
      <c r="H5" s="2"/>
      <c r="I5" s="484"/>
      <c r="J5" s="549"/>
    </row>
    <row r="6" spans="1:12" x14ac:dyDescent="0.35">
      <c r="A6" s="2">
        <v>1</v>
      </c>
      <c r="B6" s="71">
        <v>45359</v>
      </c>
      <c r="C6" s="11">
        <v>100000</v>
      </c>
      <c r="D6" s="3">
        <f>C6</f>
        <v>100000</v>
      </c>
      <c r="E6" s="2" t="s">
        <v>144</v>
      </c>
      <c r="F6" s="2">
        <v>1</v>
      </c>
      <c r="H6" s="2"/>
      <c r="I6" s="523" t="s">
        <v>210</v>
      </c>
      <c r="J6" s="549">
        <v>28542.576008008629</v>
      </c>
    </row>
    <row r="7" spans="1:12" x14ac:dyDescent="0.35">
      <c r="A7" s="2">
        <v>2</v>
      </c>
      <c r="B7" s="71">
        <v>45359</v>
      </c>
      <c r="C7" s="11">
        <v>130000</v>
      </c>
      <c r="D7" s="3">
        <f>D6+C7</f>
        <v>230000</v>
      </c>
      <c r="E7" s="2" t="s">
        <v>144</v>
      </c>
      <c r="F7" s="2">
        <v>1</v>
      </c>
      <c r="H7" s="2"/>
      <c r="I7" s="524" t="s">
        <v>212</v>
      </c>
      <c r="J7" s="549">
        <v>34770.116839451723</v>
      </c>
    </row>
    <row r="8" spans="1:12" x14ac:dyDescent="0.35">
      <c r="A8" s="2">
        <v>3</v>
      </c>
      <c r="B8" s="71">
        <v>45383</v>
      </c>
      <c r="C8" s="11">
        <v>70000</v>
      </c>
      <c r="D8" s="3">
        <f t="shared" ref="D8:D11" si="0">D7+C8</f>
        <v>300000</v>
      </c>
      <c r="E8" s="2" t="s">
        <v>144</v>
      </c>
      <c r="F8" s="2">
        <v>1</v>
      </c>
      <c r="H8" s="2"/>
      <c r="I8" s="524" t="s">
        <v>213</v>
      </c>
      <c r="J8" s="549">
        <v>53030.772576301053</v>
      </c>
    </row>
    <row r="9" spans="1:12" x14ac:dyDescent="0.35">
      <c r="A9" s="2">
        <v>4</v>
      </c>
      <c r="B9" s="71">
        <v>45383</v>
      </c>
      <c r="C9" s="11">
        <v>120000</v>
      </c>
      <c r="D9" s="3">
        <f t="shared" si="0"/>
        <v>420000</v>
      </c>
      <c r="E9" s="2" t="s">
        <v>144</v>
      </c>
      <c r="F9" s="2">
        <v>1</v>
      </c>
      <c r="H9" s="2"/>
      <c r="I9" s="524" t="s">
        <v>215</v>
      </c>
      <c r="J9" s="549">
        <v>37763.842128311277</v>
      </c>
    </row>
    <row r="10" spans="1:12" x14ac:dyDescent="0.35">
      <c r="A10" s="2">
        <v>5</v>
      </c>
      <c r="B10" s="71">
        <v>45910</v>
      </c>
      <c r="C10" s="11">
        <v>1500000</v>
      </c>
      <c r="D10" s="3">
        <f t="shared" si="0"/>
        <v>1920000</v>
      </c>
      <c r="E10" s="2" t="s">
        <v>30</v>
      </c>
      <c r="F10" s="2">
        <v>1</v>
      </c>
      <c r="H10" s="2"/>
      <c r="I10" s="524" t="s">
        <v>217</v>
      </c>
      <c r="J10" s="549">
        <v>90144.065181070211</v>
      </c>
    </row>
    <row r="11" spans="1:12" x14ac:dyDescent="0.35">
      <c r="A11" s="2">
        <v>6</v>
      </c>
      <c r="B11" s="71">
        <v>45957</v>
      </c>
      <c r="C11" s="202">
        <v>734958</v>
      </c>
      <c r="D11" s="3">
        <f t="shared" si="0"/>
        <v>2654958</v>
      </c>
      <c r="E11" s="2" t="s">
        <v>30</v>
      </c>
      <c r="F11" s="2">
        <v>2</v>
      </c>
      <c r="H11" s="2"/>
      <c r="I11" s="524" t="s">
        <v>219</v>
      </c>
      <c r="J11" s="484">
        <v>25792.438066870709</v>
      </c>
    </row>
    <row r="12" spans="1:12" x14ac:dyDescent="0.35">
      <c r="A12" s="2">
        <v>7</v>
      </c>
      <c r="B12" s="71">
        <v>46223</v>
      </c>
      <c r="C12" s="202">
        <v>1000000</v>
      </c>
      <c r="D12" s="3">
        <f t="shared" ref="D12" si="1">D11+C12</f>
        <v>3654958</v>
      </c>
      <c r="E12" s="2" t="s">
        <v>30</v>
      </c>
      <c r="F12" s="2">
        <v>2</v>
      </c>
      <c r="H12" s="2"/>
      <c r="I12" s="524" t="s">
        <v>537</v>
      </c>
      <c r="J12" s="484">
        <v>4102.577799039339</v>
      </c>
    </row>
    <row r="13" spans="1:12" x14ac:dyDescent="0.35">
      <c r="A13" s="2">
        <v>8</v>
      </c>
      <c r="B13" s="294"/>
      <c r="C13" s="3"/>
      <c r="D13" s="3"/>
      <c r="E13" s="2"/>
      <c r="F13" s="2"/>
      <c r="H13" s="2"/>
      <c r="I13" s="524" t="s">
        <v>543</v>
      </c>
      <c r="J13" s="484">
        <v>10554.406135079769</v>
      </c>
    </row>
    <row r="14" spans="1:12" x14ac:dyDescent="0.35">
      <c r="A14" s="2">
        <v>9</v>
      </c>
      <c r="B14" s="294"/>
      <c r="C14" s="3"/>
      <c r="D14" s="3"/>
      <c r="E14" s="2"/>
      <c r="F14" s="2"/>
      <c r="H14" s="2"/>
      <c r="I14" s="524" t="s">
        <v>681</v>
      </c>
      <c r="J14" s="484">
        <v>14962.452934334149</v>
      </c>
    </row>
    <row r="15" spans="1:12" x14ac:dyDescent="0.35">
      <c r="A15" s="2">
        <v>10</v>
      </c>
      <c r="B15" s="294"/>
      <c r="C15" s="205"/>
      <c r="D15" s="3"/>
      <c r="E15" s="2"/>
      <c r="F15" s="2"/>
      <c r="H15" s="2"/>
      <c r="I15" s="524" t="s">
        <v>696</v>
      </c>
      <c r="J15" s="484">
        <v>10131.001762222268</v>
      </c>
    </row>
    <row r="16" spans="1:12" x14ac:dyDescent="0.35">
      <c r="A16" s="2">
        <v>11</v>
      </c>
      <c r="B16" s="294"/>
      <c r="C16" s="3"/>
      <c r="D16" s="3"/>
      <c r="E16" s="2"/>
      <c r="F16" s="2"/>
      <c r="H16" s="2"/>
      <c r="I16" s="524" t="s">
        <v>887</v>
      </c>
      <c r="J16" s="549">
        <f>'DETAILS (sorted)'!DF42</f>
        <v>7118.5491982573822</v>
      </c>
    </row>
    <row r="17" spans="1:10" x14ac:dyDescent="0.35">
      <c r="A17" s="2">
        <v>12</v>
      </c>
      <c r="B17" s="71"/>
      <c r="C17" s="3"/>
      <c r="D17" s="3"/>
      <c r="E17" s="2"/>
      <c r="F17" s="2"/>
      <c r="H17" s="2"/>
      <c r="I17" s="524" t="s">
        <v>889</v>
      </c>
      <c r="J17" s="549">
        <f>'DETAILS (sorted)'!DG42</f>
        <v>23768.781153716598</v>
      </c>
    </row>
    <row r="18" spans="1:10" hidden="1" x14ac:dyDescent="0.35">
      <c r="A18" s="2">
        <v>13</v>
      </c>
      <c r="B18" s="71"/>
      <c r="C18" s="3"/>
      <c r="D18" s="3"/>
      <c r="E18" s="2"/>
      <c r="F18" s="2"/>
      <c r="H18" s="2"/>
      <c r="I18" s="524" t="s">
        <v>891</v>
      </c>
      <c r="J18" s="549">
        <f>'DETAILS (sorted)'!DL42</f>
        <v>25742.293420559756</v>
      </c>
    </row>
    <row r="19" spans="1:10" hidden="1" x14ac:dyDescent="0.35">
      <c r="A19" s="2">
        <v>14</v>
      </c>
      <c r="B19" s="71"/>
      <c r="C19" s="3"/>
      <c r="D19" s="3"/>
      <c r="E19" s="2"/>
      <c r="F19" s="2"/>
      <c r="H19" s="2"/>
      <c r="I19" s="524" t="s">
        <v>894</v>
      </c>
      <c r="J19" s="549">
        <f>'DETAILS (sorted)'!DM42</f>
        <v>0</v>
      </c>
    </row>
    <row r="20" spans="1:10" hidden="1" x14ac:dyDescent="0.35">
      <c r="A20" s="2">
        <v>15</v>
      </c>
      <c r="B20" s="71"/>
      <c r="C20" s="3"/>
      <c r="D20" s="3"/>
      <c r="E20" s="2"/>
      <c r="F20" s="2"/>
      <c r="H20" s="2"/>
      <c r="I20" s="524" t="s">
        <v>893</v>
      </c>
      <c r="J20" s="549">
        <f>'DETAILS (sorted)'!DN42</f>
        <v>0</v>
      </c>
    </row>
    <row r="21" spans="1:10" hidden="1" x14ac:dyDescent="0.35">
      <c r="A21" s="2">
        <v>16</v>
      </c>
      <c r="B21" s="71"/>
      <c r="C21" s="3"/>
      <c r="D21" s="3"/>
      <c r="E21" s="2"/>
      <c r="F21" s="2"/>
      <c r="H21" s="2"/>
      <c r="I21" s="524" t="s">
        <v>895</v>
      </c>
      <c r="J21" s="549">
        <f>'DETAILS (sorted)'!DO42</f>
        <v>0</v>
      </c>
    </row>
    <row r="22" spans="1:10" hidden="1" x14ac:dyDescent="0.35">
      <c r="A22" s="2"/>
      <c r="B22" s="2"/>
      <c r="C22" s="3"/>
      <c r="D22" s="3"/>
      <c r="E22" s="2"/>
      <c r="F22" s="2"/>
      <c r="H22" s="2"/>
      <c r="I22" s="524" t="s">
        <v>897</v>
      </c>
      <c r="J22" s="549">
        <f>'DETAILS (sorted)'!DQ42</f>
        <v>0</v>
      </c>
    </row>
    <row r="23" spans="1:10" hidden="1" x14ac:dyDescent="0.35">
      <c r="A23" s="2"/>
      <c r="B23" s="2"/>
      <c r="C23" s="3"/>
      <c r="D23" s="3"/>
      <c r="E23" s="2"/>
      <c r="F23" s="2"/>
      <c r="H23" s="2"/>
      <c r="I23" s="524" t="s">
        <v>898</v>
      </c>
      <c r="J23" s="549">
        <f>'DETAILS (sorted)'!DR42</f>
        <v>0</v>
      </c>
    </row>
    <row r="24" spans="1:10" hidden="1" x14ac:dyDescent="0.35">
      <c r="A24" s="2"/>
      <c r="B24" s="2"/>
      <c r="C24" s="3"/>
      <c r="D24" s="3"/>
      <c r="E24" s="2"/>
      <c r="F24" s="2"/>
      <c r="H24" s="2"/>
      <c r="I24" s="484"/>
      <c r="J24" s="549"/>
    </row>
    <row r="25" spans="1:10" hidden="1" x14ac:dyDescent="0.35">
      <c r="A25" s="2"/>
      <c r="B25" s="2"/>
      <c r="C25" s="3"/>
      <c r="D25" s="3"/>
      <c r="E25" s="2"/>
      <c r="F25" s="2"/>
      <c r="H25" s="2"/>
      <c r="I25" s="484"/>
      <c r="J25" s="549"/>
    </row>
    <row r="26" spans="1:10" hidden="1" x14ac:dyDescent="0.35">
      <c r="A26" s="2"/>
      <c r="B26" s="2"/>
      <c r="C26" s="3"/>
      <c r="D26" s="3"/>
      <c r="E26" s="2"/>
      <c r="F26" s="2"/>
      <c r="H26" s="2"/>
      <c r="I26" s="484"/>
      <c r="J26" s="549"/>
    </row>
    <row r="27" spans="1:10" hidden="1" x14ac:dyDescent="0.35">
      <c r="A27" s="2"/>
      <c r="B27" s="2"/>
      <c r="C27" s="3"/>
      <c r="D27" s="3"/>
      <c r="E27" s="2"/>
      <c r="F27" s="2"/>
      <c r="H27" s="2"/>
      <c r="I27" s="484"/>
      <c r="J27" s="549"/>
    </row>
    <row r="28" spans="1:10" hidden="1" x14ac:dyDescent="0.35">
      <c r="A28" s="2"/>
      <c r="B28" s="2"/>
      <c r="C28" s="3"/>
      <c r="D28" s="3"/>
      <c r="E28" s="2"/>
      <c r="F28" s="2"/>
      <c r="H28" s="2"/>
      <c r="I28" s="484"/>
      <c r="J28" s="549"/>
    </row>
    <row r="29" spans="1:10" hidden="1" x14ac:dyDescent="0.35">
      <c r="A29" s="2"/>
      <c r="B29" s="2"/>
      <c r="C29" s="3"/>
      <c r="D29" s="3"/>
      <c r="E29" s="2"/>
      <c r="F29" s="2"/>
      <c r="H29" s="2"/>
      <c r="I29" s="484"/>
      <c r="J29" s="549"/>
    </row>
    <row r="30" spans="1:10" hidden="1" x14ac:dyDescent="0.35">
      <c r="A30" s="2"/>
      <c r="B30" s="2"/>
      <c r="C30" s="3"/>
      <c r="D30" s="3"/>
      <c r="E30" s="2"/>
      <c r="F30" s="2"/>
      <c r="H30" s="2"/>
      <c r="I30" s="484"/>
      <c r="J30" s="549"/>
    </row>
    <row r="31" spans="1:10" hidden="1" x14ac:dyDescent="0.35">
      <c r="A31" s="2"/>
      <c r="B31" s="2"/>
      <c r="C31" s="3"/>
      <c r="D31" s="3"/>
      <c r="E31" s="2"/>
      <c r="F31" s="2"/>
      <c r="H31" s="2"/>
      <c r="I31" s="484"/>
      <c r="J31" s="549"/>
    </row>
    <row r="32" spans="1:10" hidden="1" x14ac:dyDescent="0.35">
      <c r="A32" s="2"/>
      <c r="B32" s="2"/>
      <c r="C32" s="3"/>
      <c r="D32" s="3"/>
      <c r="E32" s="2"/>
      <c r="F32" s="2"/>
      <c r="H32" s="2"/>
      <c r="I32" s="484"/>
      <c r="J32" s="549"/>
    </row>
    <row r="33" spans="1:10" hidden="1"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3654958</v>
      </c>
      <c r="D35" s="191">
        <f>C35+J35</f>
        <v>4021381.8732032226</v>
      </c>
      <c r="E35" s="191">
        <f>'DETAILS (sorted)'!DS42</f>
        <v>9118798.2763015889</v>
      </c>
      <c r="F35" s="191">
        <f>D35-E35</f>
        <v>-5097416.4030983662</v>
      </c>
      <c r="G35" s="5" t="b">
        <f>D35=E35</f>
        <v>0</v>
      </c>
      <c r="H35" s="74"/>
      <c r="I35" s="544"/>
      <c r="J35" s="548">
        <f>SUM(J6:J34)</f>
        <v>366423.87320322287</v>
      </c>
    </row>
    <row r="37" spans="1:10" x14ac:dyDescent="0.35">
      <c r="C37" s="191" t="s">
        <v>644</v>
      </c>
      <c r="D37" s="191">
        <f>C35+J35</f>
        <v>4021381.8732032226</v>
      </c>
      <c r="E37" s="122">
        <f>D37/D38</f>
        <v>0.13404606244010742</v>
      </c>
      <c r="F37" s="2" t="s">
        <v>652</v>
      </c>
    </row>
    <row r="38" spans="1:10" x14ac:dyDescent="0.35">
      <c r="C38" s="3"/>
      <c r="D38" s="3">
        <v>30000000</v>
      </c>
      <c r="E38" s="122">
        <f>D38/D38</f>
        <v>1</v>
      </c>
      <c r="F38" s="2" t="s">
        <v>654</v>
      </c>
    </row>
    <row r="39" spans="1:10" x14ac:dyDescent="0.35">
      <c r="C39" s="3"/>
      <c r="D39" s="3">
        <f>D37-D38</f>
        <v>-25978618.126796778</v>
      </c>
      <c r="E39" s="122">
        <f>D39/D38</f>
        <v>-0.86595393755989258</v>
      </c>
      <c r="F39" s="2" t="s">
        <v>653</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59BF7-C4DC-4E02-B11F-A1635FEFFE1C}">
  <dimension ref="A2:J39"/>
  <sheetViews>
    <sheetView topLeftCell="B3" workbookViewId="0">
      <selection activeCell="D15" sqref="D15"/>
    </sheetView>
  </sheetViews>
  <sheetFormatPr defaultRowHeight="14.5" x14ac:dyDescent="0.35"/>
  <cols>
    <col min="1" max="1" width="12" bestFit="1" customWidth="1"/>
    <col min="2" max="2" width="14.26953125" bestFit="1" customWidth="1"/>
    <col min="3" max="3" width="11.36328125" style="1" bestFit="1" customWidth="1"/>
    <col min="4" max="4" width="14.453125" style="1" bestFit="1" customWidth="1"/>
    <col min="5" max="5" width="13.81640625" bestFit="1" customWidth="1"/>
    <col min="6" max="6" width="14.453125" bestFit="1" customWidth="1"/>
    <col min="7" max="7" width="9.08984375" bestFit="1" customWidth="1"/>
    <col min="8" max="8" width="11.1796875" bestFit="1" customWidth="1"/>
    <col min="9" max="9" width="23.3632812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275</v>
      </c>
      <c r="B3" s="7" t="s">
        <v>79</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45409</v>
      </c>
      <c r="C6" s="11">
        <v>250000</v>
      </c>
      <c r="D6" s="3">
        <f>C6</f>
        <v>250000</v>
      </c>
      <c r="E6" s="2" t="s">
        <v>144</v>
      </c>
      <c r="F6" s="2">
        <v>1</v>
      </c>
      <c r="H6" s="2"/>
      <c r="I6" s="503" t="s">
        <v>210</v>
      </c>
      <c r="J6" s="549">
        <v>14865.92500417116</v>
      </c>
    </row>
    <row r="7" spans="1:10" x14ac:dyDescent="0.35">
      <c r="A7" s="2">
        <v>2</v>
      </c>
      <c r="B7" s="71">
        <v>45393</v>
      </c>
      <c r="C7" s="11">
        <v>100000</v>
      </c>
      <c r="D7" s="3">
        <f>D6+C7</f>
        <v>350000</v>
      </c>
      <c r="E7" s="2" t="s">
        <v>144</v>
      </c>
      <c r="F7" s="2">
        <v>1</v>
      </c>
      <c r="H7" s="2"/>
      <c r="I7" s="504" t="s">
        <v>212</v>
      </c>
      <c r="J7" s="549">
        <v>13096.296378116613</v>
      </c>
    </row>
    <row r="8" spans="1:10" x14ac:dyDescent="0.35">
      <c r="A8" s="2">
        <v>3</v>
      </c>
      <c r="B8" s="71">
        <v>45530</v>
      </c>
      <c r="C8" s="11">
        <v>450000</v>
      </c>
      <c r="D8" s="3">
        <f t="shared" ref="D8:D10" si="0">D7+C8</f>
        <v>800000</v>
      </c>
      <c r="E8" s="2" t="s">
        <v>144</v>
      </c>
      <c r="F8" s="2">
        <v>1</v>
      </c>
      <c r="H8" s="2"/>
      <c r="I8" s="504" t="s">
        <v>213</v>
      </c>
      <c r="J8" s="549">
        <v>19974.24161749491</v>
      </c>
    </row>
    <row r="9" spans="1:10" x14ac:dyDescent="0.35">
      <c r="A9" s="2">
        <v>4</v>
      </c>
      <c r="B9" s="71">
        <v>45657</v>
      </c>
      <c r="C9" s="11">
        <v>200000</v>
      </c>
      <c r="D9" s="3">
        <f t="shared" si="0"/>
        <v>1000000</v>
      </c>
      <c r="E9" s="2" t="s">
        <v>144</v>
      </c>
      <c r="F9" s="2">
        <v>1</v>
      </c>
      <c r="H9" s="2"/>
      <c r="I9" s="504" t="s">
        <v>215</v>
      </c>
      <c r="J9" s="549">
        <v>42671.683086863835</v>
      </c>
    </row>
    <row r="10" spans="1:10" x14ac:dyDescent="0.35">
      <c r="A10" s="2">
        <v>5</v>
      </c>
      <c r="B10" s="71">
        <v>46037</v>
      </c>
      <c r="C10" s="204">
        <v>2000000</v>
      </c>
      <c r="D10" s="3">
        <f t="shared" si="0"/>
        <v>3000000</v>
      </c>
      <c r="E10" s="2" t="s">
        <v>30</v>
      </c>
      <c r="F10" s="2">
        <v>2</v>
      </c>
      <c r="H10" s="2"/>
      <c r="I10" s="504" t="s">
        <v>217</v>
      </c>
      <c r="J10" s="549">
        <v>101859.31210332164</v>
      </c>
    </row>
    <row r="11" spans="1:10" x14ac:dyDescent="0.35">
      <c r="A11" s="2">
        <v>6</v>
      </c>
      <c r="B11" s="71">
        <v>46142</v>
      </c>
      <c r="C11" s="3">
        <v>10000000</v>
      </c>
      <c r="D11" s="3">
        <f t="shared" ref="D11" si="1">D10+C11</f>
        <v>13000000</v>
      </c>
      <c r="E11" s="2" t="s">
        <v>30</v>
      </c>
      <c r="F11" s="2">
        <v>2</v>
      </c>
      <c r="H11" s="2"/>
      <c r="I11" s="504" t="s">
        <v>219</v>
      </c>
      <c r="J11" s="549">
        <v>29144.458857960133</v>
      </c>
    </row>
    <row r="12" spans="1:10" x14ac:dyDescent="0.35">
      <c r="A12" s="2">
        <v>7</v>
      </c>
      <c r="B12" s="71"/>
      <c r="C12" s="3"/>
      <c r="D12" s="3"/>
      <c r="E12" s="2"/>
      <c r="F12" s="2"/>
      <c r="H12" s="2"/>
      <c r="I12" s="504" t="s">
        <v>537</v>
      </c>
      <c r="J12" s="549">
        <v>20088.269338916627</v>
      </c>
    </row>
    <row r="13" spans="1:10" x14ac:dyDescent="0.35">
      <c r="A13" s="2">
        <v>8</v>
      </c>
      <c r="B13" s="294"/>
      <c r="C13" s="3"/>
      <c r="D13" s="3"/>
      <c r="E13" s="2"/>
      <c r="F13" s="2"/>
      <c r="H13" s="2"/>
      <c r="I13" s="504" t="s">
        <v>543</v>
      </c>
      <c r="J13" s="549">
        <v>51679.642297933533</v>
      </c>
    </row>
    <row r="14" spans="1:10" x14ac:dyDescent="0.35">
      <c r="A14" s="2">
        <v>9</v>
      </c>
      <c r="B14" s="294"/>
      <c r="C14" s="3"/>
      <c r="D14" s="3"/>
      <c r="E14" s="2"/>
      <c r="F14" s="2"/>
      <c r="H14" s="2"/>
      <c r="I14" s="504" t="s">
        <v>681</v>
      </c>
      <c r="J14" s="549">
        <f>'DETAILS (sorted)'!DC43</f>
        <v>73263.64038389457</v>
      </c>
    </row>
    <row r="15" spans="1:10" x14ac:dyDescent="0.35">
      <c r="A15" s="2">
        <v>10</v>
      </c>
      <c r="B15" s="294"/>
      <c r="C15" s="205"/>
      <c r="D15" s="3"/>
      <c r="E15" s="2"/>
      <c r="F15" s="2"/>
      <c r="H15" s="2"/>
      <c r="I15" s="504" t="s">
        <v>696</v>
      </c>
      <c r="J15" s="549">
        <f>'DETAILS (sorted)'!DD43</f>
        <v>49606.443080790537</v>
      </c>
    </row>
    <row r="16" spans="1:10" x14ac:dyDescent="0.35">
      <c r="A16" s="2">
        <v>11</v>
      </c>
      <c r="B16" s="294"/>
      <c r="C16" s="3"/>
      <c r="D16" s="3"/>
      <c r="E16" s="2"/>
      <c r="F16" s="2"/>
      <c r="H16" s="2"/>
      <c r="I16" s="524" t="s">
        <v>887</v>
      </c>
      <c r="J16" s="549">
        <f>'DETAILS (sorted)'!DF43</f>
        <v>34855.971197038132</v>
      </c>
    </row>
    <row r="17" spans="1:10" x14ac:dyDescent="0.35">
      <c r="A17" s="2">
        <v>12</v>
      </c>
      <c r="B17" s="71"/>
      <c r="C17" s="3"/>
      <c r="D17" s="3"/>
      <c r="E17" s="2"/>
      <c r="F17" s="2"/>
      <c r="H17" s="2"/>
      <c r="I17" s="524" t="s">
        <v>889</v>
      </c>
      <c r="J17" s="549">
        <f>'DETAILS (sorted)'!DG43</f>
        <v>116383.82038371822</v>
      </c>
    </row>
    <row r="18" spans="1:10" x14ac:dyDescent="0.35">
      <c r="A18" s="2">
        <v>13</v>
      </c>
      <c r="B18" s="71"/>
      <c r="C18" s="3"/>
      <c r="D18" s="3"/>
      <c r="E18" s="2"/>
      <c r="F18" s="2"/>
      <c r="H18" s="2"/>
      <c r="I18" s="524" t="s">
        <v>891</v>
      </c>
      <c r="J18" s="549">
        <f>'DETAILS (sorted)'!DL43</f>
        <v>38803.720317648833</v>
      </c>
    </row>
    <row r="19" spans="1:10" x14ac:dyDescent="0.35">
      <c r="A19" s="2">
        <v>14</v>
      </c>
      <c r="B19" s="71"/>
      <c r="C19" s="3"/>
      <c r="D19" s="3"/>
      <c r="E19" s="2"/>
      <c r="F19" s="2"/>
      <c r="H19" s="2"/>
      <c r="I19" s="524" t="s">
        <v>894</v>
      </c>
      <c r="J19" s="549">
        <f>'DETAILS (sorted)'!DM43</f>
        <v>0</v>
      </c>
    </row>
    <row r="20" spans="1:10" x14ac:dyDescent="0.35">
      <c r="A20" s="2">
        <v>15</v>
      </c>
      <c r="B20" s="71"/>
      <c r="C20" s="3"/>
      <c r="D20" s="3"/>
      <c r="E20" s="2"/>
      <c r="F20" s="2"/>
      <c r="H20" s="2"/>
      <c r="I20" s="524" t="s">
        <v>893</v>
      </c>
      <c r="J20" s="549">
        <f>'DETAILS (sorted)'!DN43</f>
        <v>0</v>
      </c>
    </row>
    <row r="21" spans="1:10" x14ac:dyDescent="0.35">
      <c r="A21" s="2">
        <v>16</v>
      </c>
      <c r="B21" s="71"/>
      <c r="C21" s="3"/>
      <c r="D21" s="3"/>
      <c r="E21" s="2"/>
      <c r="F21" s="2"/>
      <c r="H21" s="2"/>
      <c r="I21" s="524" t="s">
        <v>895</v>
      </c>
      <c r="J21" s="549">
        <f>'DETAILS (sorted)'!DO43</f>
        <v>0</v>
      </c>
    </row>
    <row r="22" spans="1:10" x14ac:dyDescent="0.35">
      <c r="A22" s="2"/>
      <c r="B22" s="2"/>
      <c r="C22" s="3"/>
      <c r="D22" s="3"/>
      <c r="E22" s="2"/>
      <c r="F22" s="2"/>
      <c r="H22" s="2"/>
      <c r="I22" s="524" t="s">
        <v>897</v>
      </c>
      <c r="J22" s="549">
        <f>'DETAILS (sorted)'!DQ43</f>
        <v>0</v>
      </c>
    </row>
    <row r="23" spans="1:10" x14ac:dyDescent="0.35">
      <c r="A23" s="2"/>
      <c r="B23" s="2"/>
      <c r="C23" s="3"/>
      <c r="D23" s="3"/>
      <c r="E23" s="2"/>
      <c r="F23" s="2"/>
      <c r="H23" s="2"/>
      <c r="I23" s="524" t="s">
        <v>898</v>
      </c>
      <c r="J23" s="549">
        <f>'DETAILS (sorted)'!DR43</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13000000</v>
      </c>
      <c r="D35" s="191">
        <f>C35+J35</f>
        <v>13606293.424047869</v>
      </c>
      <c r="E35" s="191">
        <f>'DETAILS (sorted)'!DS43</f>
        <v>13745601.146169009</v>
      </c>
      <c r="F35" s="191">
        <f>D35-E35</f>
        <v>-139307.72212113999</v>
      </c>
      <c r="G35" s="5" t="b">
        <f>D35=E35</f>
        <v>0</v>
      </c>
      <c r="H35" s="74"/>
      <c r="I35" s="544"/>
      <c r="J35" s="548">
        <f>SUM(J6:J34)</f>
        <v>606293.4240478687</v>
      </c>
    </row>
    <row r="37" spans="1:10" x14ac:dyDescent="0.35">
      <c r="C37" s="191" t="s">
        <v>644</v>
      </c>
      <c r="D37" s="191">
        <f>C35+J35</f>
        <v>13606293.424047869</v>
      </c>
      <c r="E37" s="122">
        <f>D37/D38</f>
        <v>0.45354311413492898</v>
      </c>
      <c r="F37" s="2" t="s">
        <v>652</v>
      </c>
    </row>
    <row r="38" spans="1:10" x14ac:dyDescent="0.35">
      <c r="C38" s="3"/>
      <c r="D38" s="3">
        <v>30000000</v>
      </c>
      <c r="E38" s="122">
        <f>D38/D38</f>
        <v>1</v>
      </c>
      <c r="F38" s="2" t="s">
        <v>654</v>
      </c>
    </row>
    <row r="39" spans="1:10" x14ac:dyDescent="0.35">
      <c r="C39" s="3"/>
      <c r="D39" s="3">
        <f>D37-D38</f>
        <v>-16393706.575952131</v>
      </c>
      <c r="E39" s="122">
        <f>D39/D38</f>
        <v>-0.54645688586507102</v>
      </c>
      <c r="F39" s="2" t="s">
        <v>653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B45F-8095-4ED6-B94D-8D7B4946F30A}">
  <dimension ref="A2:J39"/>
  <sheetViews>
    <sheetView topLeftCell="B10" workbookViewId="0">
      <selection activeCell="D15" sqref="D15"/>
    </sheetView>
  </sheetViews>
  <sheetFormatPr defaultRowHeight="14.5" x14ac:dyDescent="0.35"/>
  <cols>
    <col min="1" max="1" width="8.1796875" bestFit="1" customWidth="1"/>
    <col min="2" max="2" width="18.6328125" bestFit="1" customWidth="1"/>
    <col min="3" max="3" width="11.36328125" style="1" bestFit="1" customWidth="1"/>
    <col min="4" max="4" width="14.453125" style="1" bestFit="1" customWidth="1"/>
    <col min="5" max="5" width="12.7265625" bestFit="1" customWidth="1"/>
    <col min="6" max="6" width="13.453125" bestFit="1" customWidth="1"/>
    <col min="7" max="7" width="9.08984375" bestFit="1" customWidth="1"/>
    <col min="8" max="8" width="11.1796875" bestFit="1" customWidth="1"/>
    <col min="9" max="9" width="23.8164062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28" x14ac:dyDescent="0.35">
      <c r="A3" s="210" t="s">
        <v>276</v>
      </c>
      <c r="B3" s="7" t="s">
        <v>617</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45357</v>
      </c>
      <c r="C6" s="11">
        <v>50000</v>
      </c>
      <c r="D6" s="3">
        <f>C6</f>
        <v>50000</v>
      </c>
      <c r="E6" s="2" t="s">
        <v>144</v>
      </c>
      <c r="F6" s="2">
        <v>1</v>
      </c>
      <c r="H6" s="2"/>
      <c r="I6" s="503" t="s">
        <v>210</v>
      </c>
      <c r="J6" s="549">
        <v>14865.92500417116</v>
      </c>
    </row>
    <row r="7" spans="1:10" x14ac:dyDescent="0.35">
      <c r="A7" s="2">
        <v>2</v>
      </c>
      <c r="B7" s="71">
        <v>45381</v>
      </c>
      <c r="C7" s="11">
        <v>150000</v>
      </c>
      <c r="D7" s="3">
        <f>D6+C7</f>
        <v>200000</v>
      </c>
      <c r="E7" s="2" t="s">
        <v>144</v>
      </c>
      <c r="F7" s="2">
        <v>1</v>
      </c>
      <c r="H7" s="2"/>
      <c r="I7" s="504" t="s">
        <v>212</v>
      </c>
      <c r="J7" s="549">
        <v>13096.296378116613</v>
      </c>
    </row>
    <row r="8" spans="1:10" x14ac:dyDescent="0.35">
      <c r="A8" s="2">
        <v>3</v>
      </c>
      <c r="B8" s="71">
        <v>45649</v>
      </c>
      <c r="C8" s="11">
        <v>300000</v>
      </c>
      <c r="D8" s="3">
        <f t="shared" ref="D8:D9" si="0">D7+C8</f>
        <v>500000</v>
      </c>
      <c r="E8" s="2" t="s">
        <v>144</v>
      </c>
      <c r="F8" s="2">
        <v>1</v>
      </c>
      <c r="H8" s="2"/>
      <c r="I8" s="504" t="s">
        <v>213</v>
      </c>
      <c r="J8" s="549">
        <v>19974.24161749491</v>
      </c>
    </row>
    <row r="9" spans="1:10" x14ac:dyDescent="0.35">
      <c r="A9" s="2">
        <v>4</v>
      </c>
      <c r="B9" s="71">
        <v>45659</v>
      </c>
      <c r="C9" s="11">
        <v>500000</v>
      </c>
      <c r="D9" s="3">
        <f t="shared" si="0"/>
        <v>1000000</v>
      </c>
      <c r="E9" s="2" t="s">
        <v>30</v>
      </c>
      <c r="F9" s="2">
        <v>1</v>
      </c>
      <c r="H9" s="2"/>
      <c r="I9" s="504" t="s">
        <v>215</v>
      </c>
      <c r="J9" s="549">
        <v>21335.841543431918</v>
      </c>
    </row>
    <row r="10" spans="1:10" x14ac:dyDescent="0.35">
      <c r="A10" s="2">
        <v>5</v>
      </c>
      <c r="B10" s="206">
        <v>46022</v>
      </c>
      <c r="C10" s="204">
        <f>200000</f>
        <v>200000</v>
      </c>
      <c r="D10" s="3">
        <f t="shared" ref="D10:D12" si="1">D9+C10</f>
        <v>1200000</v>
      </c>
      <c r="E10" s="2" t="s">
        <v>30</v>
      </c>
      <c r="F10" s="2">
        <v>2</v>
      </c>
      <c r="H10" s="2"/>
      <c r="I10" s="504" t="s">
        <v>217</v>
      </c>
      <c r="J10" s="549">
        <v>67906.208068881097</v>
      </c>
    </row>
    <row r="11" spans="1:10" x14ac:dyDescent="0.35">
      <c r="A11" s="2">
        <v>6</v>
      </c>
      <c r="B11" s="206">
        <v>46022</v>
      </c>
      <c r="C11" s="204">
        <v>300000</v>
      </c>
      <c r="D11" s="3">
        <f t="shared" si="1"/>
        <v>1500000</v>
      </c>
      <c r="E11" s="2" t="s">
        <v>30</v>
      </c>
      <c r="F11" s="2">
        <v>2</v>
      </c>
      <c r="H11" s="2"/>
      <c r="I11" s="504" t="s">
        <v>219</v>
      </c>
      <c r="J11" s="549">
        <v>29144.458857960133</v>
      </c>
    </row>
    <row r="12" spans="1:10" x14ac:dyDescent="0.35">
      <c r="A12" s="2">
        <v>7</v>
      </c>
      <c r="B12" s="71">
        <v>46078</v>
      </c>
      <c r="C12" s="231">
        <v>500000</v>
      </c>
      <c r="D12" s="3">
        <f t="shared" si="1"/>
        <v>2000000</v>
      </c>
      <c r="E12" s="2" t="s">
        <v>30</v>
      </c>
      <c r="F12" s="2">
        <v>2</v>
      </c>
      <c r="H12" s="2"/>
      <c r="I12" s="504" t="s">
        <v>537</v>
      </c>
      <c r="J12" s="549">
        <v>4635.7544628269143</v>
      </c>
    </row>
    <row r="13" spans="1:10" x14ac:dyDescent="0.35">
      <c r="A13" s="2">
        <v>8</v>
      </c>
      <c r="B13" s="71">
        <v>46099</v>
      </c>
      <c r="C13" s="3">
        <v>1000000</v>
      </c>
      <c r="D13" s="3">
        <f t="shared" ref="D13" si="2">D12+C13</f>
        <v>3000000</v>
      </c>
      <c r="E13" s="2" t="s">
        <v>30</v>
      </c>
      <c r="F13" s="2">
        <v>2</v>
      </c>
      <c r="H13" s="2"/>
      <c r="I13" s="504" t="s">
        <v>543</v>
      </c>
      <c r="J13" s="549">
        <v>11926.071299523122</v>
      </c>
    </row>
    <row r="14" spans="1:10" x14ac:dyDescent="0.35">
      <c r="A14" s="2">
        <v>9</v>
      </c>
      <c r="B14" s="71">
        <v>46174</v>
      </c>
      <c r="C14" s="3">
        <v>500000</v>
      </c>
      <c r="D14" s="3">
        <f t="shared" ref="D14" si="3">D13+C14</f>
        <v>3500000</v>
      </c>
      <c r="E14" s="2" t="s">
        <v>30</v>
      </c>
      <c r="F14" s="2">
        <v>2</v>
      </c>
      <c r="H14" s="2"/>
      <c r="I14" s="504" t="s">
        <v>681</v>
      </c>
      <c r="J14" s="549">
        <f>'DETAILS (sorted)'!DC44</f>
        <v>16906.9939347449</v>
      </c>
    </row>
    <row r="15" spans="1:10" x14ac:dyDescent="0.35">
      <c r="A15" s="2">
        <v>10</v>
      </c>
      <c r="B15" s="294"/>
      <c r="C15" s="205"/>
      <c r="D15" s="3"/>
      <c r="E15" s="2"/>
      <c r="F15" s="2"/>
      <c r="H15" s="2"/>
      <c r="I15" s="504" t="s">
        <v>696</v>
      </c>
      <c r="J15" s="549">
        <f>'DETAILS (sorted)'!DD44</f>
        <v>11447.640710951662</v>
      </c>
    </row>
    <row r="16" spans="1:10" x14ac:dyDescent="0.35">
      <c r="A16" s="2">
        <v>11</v>
      </c>
      <c r="B16" s="294"/>
      <c r="C16" s="3"/>
      <c r="D16" s="3"/>
      <c r="E16" s="2"/>
      <c r="F16" s="2"/>
      <c r="H16" s="2"/>
      <c r="I16" s="524" t="s">
        <v>887</v>
      </c>
      <c r="J16" s="549">
        <f>'DETAILS (sorted)'!DF44</f>
        <v>9384.2999376641128</v>
      </c>
    </row>
    <row r="17" spans="1:10" x14ac:dyDescent="0.35">
      <c r="A17" s="2">
        <v>12</v>
      </c>
      <c r="B17" s="71"/>
      <c r="C17" s="3"/>
      <c r="D17" s="3"/>
      <c r="E17" s="2"/>
      <c r="F17" s="2"/>
      <c r="H17" s="2"/>
      <c r="I17" s="524" t="s">
        <v>889</v>
      </c>
      <c r="J17" s="549">
        <f>'DETAILS (sorted)'!DG44</f>
        <v>31334.105487924138</v>
      </c>
    </row>
    <row r="18" spans="1:10" x14ac:dyDescent="0.35">
      <c r="A18" s="2">
        <v>13</v>
      </c>
      <c r="B18" s="71"/>
      <c r="C18" s="3"/>
      <c r="D18" s="3"/>
      <c r="E18" s="2"/>
      <c r="F18" s="2"/>
      <c r="H18" s="2"/>
      <c r="I18" s="524" t="s">
        <v>891</v>
      </c>
      <c r="J18" s="549">
        <f>'DETAILS (sorted)'!DL44</f>
        <v>10730.792927914643</v>
      </c>
    </row>
    <row r="19" spans="1:10" x14ac:dyDescent="0.35">
      <c r="A19" s="2">
        <v>14</v>
      </c>
      <c r="B19" s="71"/>
      <c r="C19" s="3"/>
      <c r="D19" s="3"/>
      <c r="E19" s="2"/>
      <c r="F19" s="2"/>
      <c r="H19" s="2"/>
      <c r="I19" s="524" t="s">
        <v>894</v>
      </c>
      <c r="J19" s="549">
        <f>'DETAILS (sorted)'!DM44</f>
        <v>0</v>
      </c>
    </row>
    <row r="20" spans="1:10" x14ac:dyDescent="0.35">
      <c r="A20" s="2">
        <v>15</v>
      </c>
      <c r="B20" s="71"/>
      <c r="C20" s="3"/>
      <c r="D20" s="3"/>
      <c r="E20" s="2"/>
      <c r="F20" s="2"/>
      <c r="H20" s="2"/>
      <c r="I20" s="524" t="s">
        <v>893</v>
      </c>
      <c r="J20" s="549">
        <f>'DETAILS (sorted)'!DN44</f>
        <v>0</v>
      </c>
    </row>
    <row r="21" spans="1:10" x14ac:dyDescent="0.35">
      <c r="A21" s="2">
        <v>16</v>
      </c>
      <c r="B21" s="71"/>
      <c r="C21" s="3"/>
      <c r="D21" s="3"/>
      <c r="E21" s="2"/>
      <c r="F21" s="2"/>
      <c r="H21" s="2"/>
      <c r="I21" s="524" t="s">
        <v>895</v>
      </c>
      <c r="J21" s="549">
        <f>'DETAILS (sorted)'!DO44</f>
        <v>0</v>
      </c>
    </row>
    <row r="22" spans="1:10" x14ac:dyDescent="0.35">
      <c r="A22" s="2"/>
      <c r="B22" s="2"/>
      <c r="C22" s="3"/>
      <c r="D22" s="3"/>
      <c r="E22" s="2"/>
      <c r="F22" s="2"/>
      <c r="H22" s="2"/>
      <c r="I22" s="524" t="s">
        <v>897</v>
      </c>
      <c r="J22" s="549">
        <f>'DETAILS (sorted)'!DQ44</f>
        <v>0</v>
      </c>
    </row>
    <row r="23" spans="1:10" x14ac:dyDescent="0.35">
      <c r="A23" s="2"/>
      <c r="B23" s="2"/>
      <c r="C23" s="3"/>
      <c r="D23" s="3"/>
      <c r="E23" s="2"/>
      <c r="F23" s="2"/>
      <c r="H23" s="2"/>
      <c r="I23" s="524" t="s">
        <v>898</v>
      </c>
      <c r="J23" s="549">
        <f>'DETAILS (sorted)'!DR44</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3500000</v>
      </c>
      <c r="D35" s="191">
        <f>C35+J35</f>
        <v>3762688.6302316054</v>
      </c>
      <c r="E35" s="191">
        <f>'DETAILS (sorted)'!DS44</f>
        <v>3801212.8311871896</v>
      </c>
      <c r="F35" s="191">
        <f>D35-E35</f>
        <v>-38524.20095558418</v>
      </c>
      <c r="G35" s="5" t="b">
        <f>D35=E35</f>
        <v>0</v>
      </c>
      <c r="H35" s="74"/>
      <c r="I35" s="544"/>
      <c r="J35" s="548">
        <f>SUM(J6:J34)</f>
        <v>262688.63023160532</v>
      </c>
    </row>
    <row r="37" spans="1:10" x14ac:dyDescent="0.35">
      <c r="C37" s="191" t="s">
        <v>644</v>
      </c>
      <c r="D37" s="191">
        <f>C35+J35</f>
        <v>3762688.6302316054</v>
      </c>
      <c r="E37" s="122">
        <f>D37/D38</f>
        <v>0.94067215755790135</v>
      </c>
      <c r="F37" s="2" t="s">
        <v>652</v>
      </c>
    </row>
    <row r="38" spans="1:10" x14ac:dyDescent="0.35">
      <c r="C38" s="3"/>
      <c r="D38" s="3">
        <v>4000000</v>
      </c>
      <c r="E38" s="122">
        <f>D38/D38</f>
        <v>1</v>
      </c>
      <c r="F38" s="2" t="s">
        <v>654</v>
      </c>
    </row>
    <row r="39" spans="1:10" x14ac:dyDescent="0.35">
      <c r="C39" s="3"/>
      <c r="D39" s="3">
        <f>D37-D38</f>
        <v>-237311.36976839462</v>
      </c>
      <c r="E39" s="122">
        <f>D39/D38</f>
        <v>-5.9327842442098655E-2</v>
      </c>
      <c r="F39" s="2" t="s">
        <v>653</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AAD9-DC86-4462-B6DD-1E5AB32E8915}">
  <dimension ref="A2:J39"/>
  <sheetViews>
    <sheetView topLeftCell="A9" workbookViewId="0">
      <selection activeCell="D15" sqref="D15"/>
    </sheetView>
  </sheetViews>
  <sheetFormatPr defaultRowHeight="14.5" x14ac:dyDescent="0.35"/>
  <cols>
    <col min="1" max="1" width="12" bestFit="1" customWidth="1"/>
    <col min="2" max="2" width="15.26953125" bestFit="1" customWidth="1"/>
    <col min="3" max="3" width="11.36328125" style="1" bestFit="1" customWidth="1"/>
    <col min="4" max="4" width="14.453125" style="1" bestFit="1" customWidth="1"/>
    <col min="5" max="5" width="11.26953125" bestFit="1" customWidth="1"/>
    <col min="6" max="6" width="9.26953125" bestFit="1" customWidth="1"/>
    <col min="7" max="7" width="5.1796875" bestFit="1" customWidth="1"/>
    <col min="8" max="8" width="4.7265625" hidden="1" customWidth="1"/>
    <col min="9" max="9" width="25.726562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277</v>
      </c>
      <c r="B3" s="286" t="s">
        <v>58</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45361</v>
      </c>
      <c r="C6" s="11">
        <v>280000</v>
      </c>
      <c r="D6" s="3">
        <f>C6</f>
        <v>280000</v>
      </c>
      <c r="E6" s="2" t="s">
        <v>144</v>
      </c>
      <c r="F6" s="2">
        <v>1</v>
      </c>
      <c r="H6" s="2"/>
      <c r="I6" s="503" t="s">
        <v>210</v>
      </c>
      <c r="J6" s="549">
        <v>9365.5327526278306</v>
      </c>
    </row>
    <row r="7" spans="1:10" x14ac:dyDescent="0.35">
      <c r="A7" s="2">
        <v>2</v>
      </c>
      <c r="B7" s="71">
        <v>45361</v>
      </c>
      <c r="C7" s="11">
        <v>70000</v>
      </c>
      <c r="D7" s="3">
        <f>D6+C7</f>
        <v>350000</v>
      </c>
      <c r="E7" s="2" t="s">
        <v>144</v>
      </c>
      <c r="F7" s="2">
        <v>1</v>
      </c>
      <c r="H7" s="2"/>
      <c r="I7" s="504" t="s">
        <v>212</v>
      </c>
      <c r="J7" s="549">
        <v>8250.6667182134661</v>
      </c>
    </row>
    <row r="8" spans="1:10" x14ac:dyDescent="0.35">
      <c r="A8" s="2">
        <v>3</v>
      </c>
      <c r="B8" s="71">
        <v>45361</v>
      </c>
      <c r="C8" s="11">
        <v>280000</v>
      </c>
      <c r="D8" s="3">
        <f>D7+C8</f>
        <v>630000</v>
      </c>
      <c r="E8" s="2" t="s">
        <v>144</v>
      </c>
      <c r="F8" s="2">
        <v>1</v>
      </c>
      <c r="H8" s="2"/>
      <c r="I8" s="504" t="s">
        <v>213</v>
      </c>
      <c r="J8" s="549">
        <v>12583.772219021794</v>
      </c>
    </row>
    <row r="9" spans="1:10" x14ac:dyDescent="0.35">
      <c r="A9" s="2">
        <v>4</v>
      </c>
      <c r="B9" s="71">
        <v>46063</v>
      </c>
      <c r="C9" s="231">
        <v>2000000</v>
      </c>
      <c r="D9" s="3">
        <f>D8+C9</f>
        <v>2630000</v>
      </c>
      <c r="E9" s="2" t="s">
        <v>30</v>
      </c>
      <c r="F9" s="2">
        <v>2</v>
      </c>
      <c r="H9" s="2"/>
      <c r="I9" s="504" t="s">
        <v>215</v>
      </c>
      <c r="J9" s="549">
        <v>8961.0534482414059</v>
      </c>
    </row>
    <row r="10" spans="1:10" x14ac:dyDescent="0.35">
      <c r="A10" s="2">
        <v>5</v>
      </c>
      <c r="B10" s="71">
        <v>46137</v>
      </c>
      <c r="C10" s="3">
        <v>500000</v>
      </c>
      <c r="D10" s="3">
        <f t="shared" ref="D10:D11" si="0">D9+C10</f>
        <v>3130000</v>
      </c>
      <c r="E10" s="2" t="s">
        <v>30</v>
      </c>
      <c r="F10" s="2">
        <v>2</v>
      </c>
      <c r="H10" s="2"/>
      <c r="I10" s="504" t="s">
        <v>217</v>
      </c>
      <c r="J10" s="549">
        <v>89296.663610578631</v>
      </c>
    </row>
    <row r="11" spans="1:10" x14ac:dyDescent="0.35">
      <c r="A11" s="2">
        <v>6</v>
      </c>
      <c r="B11" s="71">
        <v>46139</v>
      </c>
      <c r="C11" s="3">
        <v>1000000</v>
      </c>
      <c r="D11" s="3">
        <f t="shared" si="0"/>
        <v>4130000</v>
      </c>
      <c r="E11" s="2" t="s">
        <v>30</v>
      </c>
      <c r="F11" s="2">
        <v>2</v>
      </c>
      <c r="H11" s="2"/>
      <c r="I11" s="504" t="s">
        <v>219</v>
      </c>
      <c r="J11" s="549">
        <v>25549.975598811718</v>
      </c>
    </row>
    <row r="12" spans="1:10" x14ac:dyDescent="0.35">
      <c r="A12" s="2">
        <v>7</v>
      </c>
      <c r="B12" s="71">
        <v>46150</v>
      </c>
      <c r="C12" s="3">
        <f>1000000</f>
        <v>1000000</v>
      </c>
      <c r="D12" s="3">
        <f t="shared" ref="D12:D18" si="1">D11+C12</f>
        <v>5130000</v>
      </c>
      <c r="E12" s="2" t="s">
        <v>30</v>
      </c>
      <c r="F12" s="2">
        <v>2</v>
      </c>
      <c r="H12" s="2"/>
      <c r="I12" s="504" t="s">
        <v>537</v>
      </c>
      <c r="J12" s="549">
        <v>6381.8886438250511</v>
      </c>
    </row>
    <row r="13" spans="1:10" x14ac:dyDescent="0.35">
      <c r="A13" s="2">
        <v>8</v>
      </c>
      <c r="B13" s="71">
        <v>46153</v>
      </c>
      <c r="C13" s="3">
        <v>1500000</v>
      </c>
      <c r="D13" s="3">
        <f t="shared" si="1"/>
        <v>6630000</v>
      </c>
      <c r="E13" s="2" t="s">
        <v>30</v>
      </c>
      <c r="F13" s="2">
        <v>2</v>
      </c>
      <c r="H13" s="2"/>
      <c r="I13" s="504" t="s">
        <v>543</v>
      </c>
      <c r="J13" s="549">
        <v>16418.224822343498</v>
      </c>
    </row>
    <row r="14" spans="1:10" x14ac:dyDescent="0.35">
      <c r="A14" s="2">
        <v>9</v>
      </c>
      <c r="B14" s="71">
        <v>46153</v>
      </c>
      <c r="C14" s="3">
        <v>2200000</v>
      </c>
      <c r="D14" s="3">
        <f t="shared" si="1"/>
        <v>8830000</v>
      </c>
      <c r="E14" s="2" t="s">
        <v>30</v>
      </c>
      <c r="F14" s="2">
        <v>2</v>
      </c>
      <c r="H14" s="2"/>
      <c r="I14" s="504" t="s">
        <v>681</v>
      </c>
      <c r="J14" s="549">
        <f>'DETAILS (sorted)'!DC45</f>
        <v>61034.248104429091</v>
      </c>
    </row>
    <row r="15" spans="1:10" x14ac:dyDescent="0.35">
      <c r="A15" s="2">
        <v>10</v>
      </c>
      <c r="B15" s="71">
        <v>46155</v>
      </c>
      <c r="C15" s="3">
        <v>1000000</v>
      </c>
      <c r="D15" s="3">
        <f t="shared" si="1"/>
        <v>9830000</v>
      </c>
      <c r="E15" s="2" t="s">
        <v>30</v>
      </c>
      <c r="F15" s="2">
        <v>2</v>
      </c>
      <c r="H15" s="2"/>
      <c r="I15" s="504" t="s">
        <v>696</v>
      </c>
      <c r="J15" s="549">
        <f>'DETAILS (sorted)'!DD45</f>
        <v>41325.982966535506</v>
      </c>
    </row>
    <row r="16" spans="1:10" x14ac:dyDescent="0.35">
      <c r="A16" s="2">
        <v>11</v>
      </c>
      <c r="B16" s="71">
        <v>46157</v>
      </c>
      <c r="C16" s="3">
        <v>500000</v>
      </c>
      <c r="D16" s="3">
        <f t="shared" si="1"/>
        <v>10330000</v>
      </c>
      <c r="E16" s="2" t="s">
        <v>30</v>
      </c>
      <c r="F16" s="2">
        <v>2</v>
      </c>
      <c r="H16" s="2"/>
      <c r="I16" s="524" t="s">
        <v>887</v>
      </c>
      <c r="J16" s="549">
        <f>'DETAILS (sorted)'!DF45</f>
        <v>73277.976370388627</v>
      </c>
    </row>
    <row r="17" spans="1:10" x14ac:dyDescent="0.35">
      <c r="A17" s="2">
        <v>12</v>
      </c>
      <c r="B17" s="71">
        <v>46168</v>
      </c>
      <c r="C17" s="3">
        <v>500000</v>
      </c>
      <c r="D17" s="3">
        <f t="shared" si="1"/>
        <v>10830000</v>
      </c>
      <c r="E17" s="2" t="s">
        <v>30</v>
      </c>
      <c r="F17" s="2">
        <v>2</v>
      </c>
      <c r="H17" s="2"/>
      <c r="I17" s="524" t="s">
        <v>889</v>
      </c>
      <c r="J17" s="549">
        <f>'DETAILS (sorted)'!DG45</f>
        <v>244674.60085284762</v>
      </c>
    </row>
    <row r="18" spans="1:10" x14ac:dyDescent="0.35">
      <c r="A18" s="2">
        <v>13</v>
      </c>
      <c r="B18" s="71">
        <v>46174</v>
      </c>
      <c r="C18" s="3">
        <v>3000000</v>
      </c>
      <c r="D18" s="3">
        <f t="shared" si="1"/>
        <v>13830000</v>
      </c>
      <c r="E18" s="2" t="s">
        <v>30</v>
      </c>
      <c r="F18" s="2">
        <v>2</v>
      </c>
      <c r="H18" s="2"/>
      <c r="I18" s="524" t="s">
        <v>891</v>
      </c>
      <c r="J18" s="549">
        <f>'DETAILS (sorted)'!DL45</f>
        <v>79873.005262177452</v>
      </c>
    </row>
    <row r="19" spans="1:10" x14ac:dyDescent="0.35">
      <c r="A19" s="2">
        <v>14</v>
      </c>
      <c r="B19" s="71">
        <v>46175</v>
      </c>
      <c r="C19" s="3">
        <v>2000000</v>
      </c>
      <c r="D19" s="3">
        <f t="shared" ref="D19" si="2">D18+C19</f>
        <v>15830000</v>
      </c>
      <c r="E19" s="2" t="s">
        <v>30</v>
      </c>
      <c r="F19" s="2">
        <v>2</v>
      </c>
      <c r="H19" s="2"/>
      <c r="I19" s="524" t="s">
        <v>894</v>
      </c>
      <c r="J19" s="549">
        <f>'DETAILS (sorted)'!DM45</f>
        <v>0</v>
      </c>
    </row>
    <row r="20" spans="1:10" x14ac:dyDescent="0.35">
      <c r="A20" s="2">
        <v>15</v>
      </c>
      <c r="B20" s="71">
        <v>46176</v>
      </c>
      <c r="C20" s="3">
        <v>1000000</v>
      </c>
      <c r="D20" s="3">
        <f t="shared" ref="D20" si="3">D19+C20</f>
        <v>16830000</v>
      </c>
      <c r="E20" s="2" t="s">
        <v>30</v>
      </c>
      <c r="F20" s="2">
        <v>2</v>
      </c>
      <c r="H20" s="2"/>
      <c r="I20" s="524" t="s">
        <v>893</v>
      </c>
      <c r="J20" s="549">
        <f>'DETAILS (sorted)'!DN45</f>
        <v>0</v>
      </c>
    </row>
    <row r="21" spans="1:10" x14ac:dyDescent="0.35">
      <c r="A21" s="2">
        <v>16</v>
      </c>
      <c r="B21" s="71">
        <v>46177</v>
      </c>
      <c r="C21" s="3">
        <v>1500000</v>
      </c>
      <c r="D21" s="3">
        <f t="shared" ref="D21" si="4">D20+C21</f>
        <v>18330000</v>
      </c>
      <c r="E21" s="2" t="s">
        <v>30</v>
      </c>
      <c r="F21" s="2">
        <v>2</v>
      </c>
      <c r="H21" s="2"/>
      <c r="I21" s="524" t="s">
        <v>895</v>
      </c>
      <c r="J21" s="549">
        <f>'DETAILS (sorted)'!DO45</f>
        <v>0</v>
      </c>
    </row>
    <row r="22" spans="1:10" x14ac:dyDescent="0.35">
      <c r="A22" s="2">
        <v>17</v>
      </c>
      <c r="B22" s="71">
        <v>46185</v>
      </c>
      <c r="C22" s="3">
        <v>4000000</v>
      </c>
      <c r="D22" s="3">
        <f t="shared" ref="D22" si="5">D21+C22</f>
        <v>22330000</v>
      </c>
      <c r="E22" s="2" t="s">
        <v>30</v>
      </c>
      <c r="F22" s="2">
        <v>2</v>
      </c>
      <c r="H22" s="2"/>
      <c r="I22" s="524" t="s">
        <v>897</v>
      </c>
      <c r="J22" s="549">
        <f>'DETAILS (sorted)'!DQ45</f>
        <v>0</v>
      </c>
    </row>
    <row r="23" spans="1:10" x14ac:dyDescent="0.35">
      <c r="A23" s="2">
        <v>18</v>
      </c>
      <c r="B23" s="71">
        <v>46188</v>
      </c>
      <c r="C23" s="3">
        <v>5000000</v>
      </c>
      <c r="D23" s="3">
        <f t="shared" ref="D23" si="6">D22+C23</f>
        <v>27330000</v>
      </c>
      <c r="E23" s="2" t="s">
        <v>30</v>
      </c>
      <c r="F23" s="2">
        <v>2</v>
      </c>
      <c r="H23" s="2"/>
      <c r="I23" s="524" t="s">
        <v>898</v>
      </c>
      <c r="J23" s="549">
        <f>'DETAILS (sorted)'!DR45</f>
        <v>0</v>
      </c>
    </row>
    <row r="24" spans="1:10" x14ac:dyDescent="0.35">
      <c r="A24" s="2"/>
      <c r="B24" s="2"/>
      <c r="C24" s="3"/>
      <c r="D24" s="3"/>
      <c r="E24" s="2"/>
      <c r="F24" s="2"/>
      <c r="H24" s="2"/>
      <c r="I24" s="484"/>
      <c r="J24" s="549"/>
    </row>
    <row r="25" spans="1:10" hidden="1" x14ac:dyDescent="0.35">
      <c r="A25" s="2"/>
      <c r="B25" s="2"/>
      <c r="C25" s="3"/>
      <c r="D25" s="3"/>
      <c r="E25" s="2"/>
      <c r="F25" s="2"/>
      <c r="H25" s="2"/>
      <c r="I25" s="484"/>
      <c r="J25" s="549"/>
    </row>
    <row r="26" spans="1:10" hidden="1" x14ac:dyDescent="0.35">
      <c r="A26" s="2"/>
      <c r="B26" s="2"/>
      <c r="C26" s="3"/>
      <c r="D26" s="3"/>
      <c r="E26" s="2"/>
      <c r="F26" s="2"/>
      <c r="H26" s="2"/>
      <c r="I26" s="484"/>
      <c r="J26" s="549"/>
    </row>
    <row r="27" spans="1:10" hidden="1" x14ac:dyDescent="0.35">
      <c r="A27" s="2"/>
      <c r="B27" s="2"/>
      <c r="C27" s="3"/>
      <c r="D27" s="3"/>
      <c r="E27" s="2"/>
      <c r="F27" s="2"/>
      <c r="H27" s="2"/>
      <c r="I27" s="484"/>
      <c r="J27" s="549"/>
    </row>
    <row r="28" spans="1:10" hidden="1" x14ac:dyDescent="0.35">
      <c r="A28" s="2"/>
      <c r="B28" s="2"/>
      <c r="C28" s="3"/>
      <c r="D28" s="3"/>
      <c r="E28" s="2"/>
      <c r="F28" s="2"/>
      <c r="H28" s="2"/>
      <c r="I28" s="484"/>
      <c r="J28" s="549"/>
    </row>
    <row r="29" spans="1:10" hidden="1" x14ac:dyDescent="0.35">
      <c r="A29" s="2"/>
      <c r="B29" s="2"/>
      <c r="C29" s="3"/>
      <c r="D29" s="3"/>
      <c r="E29" s="2"/>
      <c r="F29" s="2"/>
      <c r="H29" s="2"/>
      <c r="I29" s="484"/>
      <c r="J29" s="549"/>
    </row>
    <row r="30" spans="1:10" hidden="1" x14ac:dyDescent="0.35">
      <c r="A30" s="2"/>
      <c r="B30" s="2"/>
      <c r="C30" s="3"/>
      <c r="D30" s="3"/>
      <c r="E30" s="2"/>
      <c r="F30" s="2"/>
      <c r="H30" s="2"/>
      <c r="I30" s="484"/>
      <c r="J30" s="549"/>
    </row>
    <row r="31" spans="1:10" hidden="1" x14ac:dyDescent="0.35">
      <c r="A31" s="2"/>
      <c r="B31" s="2"/>
      <c r="C31" s="3"/>
      <c r="D31" s="3"/>
      <c r="E31" s="2"/>
      <c r="F31" s="2"/>
      <c r="H31" s="2"/>
      <c r="I31" s="484"/>
      <c r="J31" s="549"/>
    </row>
    <row r="32" spans="1:10" hidden="1" x14ac:dyDescent="0.35">
      <c r="A32" s="2"/>
      <c r="B32" s="2"/>
      <c r="C32" s="3"/>
      <c r="D32" s="3"/>
      <c r="E32" s="2"/>
      <c r="F32" s="2"/>
      <c r="H32" s="2"/>
      <c r="I32" s="484"/>
      <c r="J32" s="549"/>
    </row>
    <row r="33" spans="1:10" hidden="1" x14ac:dyDescent="0.35">
      <c r="A33" s="2"/>
      <c r="B33" s="2"/>
      <c r="C33" s="3"/>
      <c r="D33" s="3"/>
      <c r="E33" s="2"/>
      <c r="F33" s="2"/>
      <c r="H33" s="2"/>
      <c r="I33" s="484"/>
      <c r="J33" s="549"/>
    </row>
    <row r="34" spans="1:10" hidden="1" x14ac:dyDescent="0.35">
      <c r="A34" s="2"/>
      <c r="B34" s="2"/>
      <c r="C34" s="3"/>
      <c r="D34" s="3"/>
      <c r="E34" s="2"/>
      <c r="F34" s="2"/>
      <c r="H34" s="2"/>
      <c r="I34" s="484"/>
      <c r="J34" s="549"/>
    </row>
    <row r="35" spans="1:10" s="5" customFormat="1" x14ac:dyDescent="0.35">
      <c r="A35" s="74"/>
      <c r="B35" s="74"/>
      <c r="C35" s="191">
        <f>SUM(C6:C34)</f>
        <v>27330000</v>
      </c>
      <c r="D35" s="191">
        <f>C35+J35</f>
        <v>28006993.591370042</v>
      </c>
      <c r="E35" s="191">
        <f>'DETAILS (sorted)'!DS45</f>
        <v>28293742.550772849</v>
      </c>
      <c r="F35" s="191">
        <f>D35-E35</f>
        <v>-286748.95940280706</v>
      </c>
      <c r="G35" s="5" t="b">
        <f>D35=E35</f>
        <v>0</v>
      </c>
      <c r="H35" s="74"/>
      <c r="I35" s="544"/>
      <c r="J35" s="548">
        <f>SUM(J6:J34)</f>
        <v>676993.59137004171</v>
      </c>
    </row>
    <row r="37" spans="1:10" x14ac:dyDescent="0.35">
      <c r="C37" s="191" t="s">
        <v>644</v>
      </c>
      <c r="D37" s="191">
        <f>C35+J35</f>
        <v>28006993.591370042</v>
      </c>
      <c r="E37" s="122">
        <f>D37/D38</f>
        <v>0.9335664530456681</v>
      </c>
      <c r="F37" s="2" t="s">
        <v>652</v>
      </c>
    </row>
    <row r="38" spans="1:10" x14ac:dyDescent="0.35">
      <c r="C38" s="3"/>
      <c r="D38" s="3">
        <v>30000000</v>
      </c>
      <c r="E38" s="122">
        <f>D38/D38</f>
        <v>1</v>
      </c>
      <c r="F38" s="2" t="s">
        <v>654</v>
      </c>
    </row>
    <row r="39" spans="1:10" x14ac:dyDescent="0.35">
      <c r="C39" s="3"/>
      <c r="D39" s="3">
        <f>D37-D38</f>
        <v>-1993006.4086299576</v>
      </c>
      <c r="E39" s="122">
        <f>D39/D38</f>
        <v>-6.6433546954331915E-2</v>
      </c>
      <c r="F39" s="2" t="s">
        <v>653</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D0420-D6A3-4D93-8F9E-DE5C1D7E84EF}">
  <dimension ref="A2:J39"/>
  <sheetViews>
    <sheetView topLeftCell="A11" workbookViewId="0">
      <selection activeCell="D15" sqref="D15"/>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13.453125" bestFit="1" customWidth="1"/>
    <col min="8" max="8" width="11.1796875" bestFit="1" customWidth="1"/>
    <col min="9" max="9" width="22.632812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28" x14ac:dyDescent="0.35">
      <c r="A3" s="210" t="s">
        <v>278</v>
      </c>
      <c r="B3" s="7" t="s">
        <v>279</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45360</v>
      </c>
      <c r="C6" s="11">
        <v>290000</v>
      </c>
      <c r="D6" s="3">
        <f>C6</f>
        <v>290000</v>
      </c>
      <c r="E6" s="2" t="s">
        <v>144</v>
      </c>
      <c r="F6" s="2">
        <v>1</v>
      </c>
      <c r="H6" s="2"/>
      <c r="I6" s="503" t="s">
        <v>210</v>
      </c>
      <c r="J6" s="549">
        <v>11892.740003336929</v>
      </c>
    </row>
    <row r="7" spans="1:10" x14ac:dyDescent="0.35">
      <c r="A7" s="2">
        <v>2</v>
      </c>
      <c r="B7" s="71">
        <v>45360</v>
      </c>
      <c r="C7" s="11">
        <v>110000</v>
      </c>
      <c r="D7" s="3">
        <f>D6+C7</f>
        <v>400000</v>
      </c>
      <c r="E7" s="2" t="s">
        <v>144</v>
      </c>
      <c r="F7" s="2">
        <v>1</v>
      </c>
      <c r="H7" s="2"/>
      <c r="I7" s="504" t="s">
        <v>212</v>
      </c>
      <c r="J7" s="549">
        <v>10477.037102493292</v>
      </c>
    </row>
    <row r="8" spans="1:10" x14ac:dyDescent="0.35">
      <c r="A8" s="2">
        <v>3</v>
      </c>
      <c r="B8" s="71">
        <v>45523</v>
      </c>
      <c r="C8" s="11">
        <v>340000</v>
      </c>
      <c r="D8" s="3">
        <f t="shared" ref="D8:D10" si="0">D7+C8</f>
        <v>740000</v>
      </c>
      <c r="E8" s="2" t="s">
        <v>144</v>
      </c>
      <c r="F8" s="2">
        <v>1</v>
      </c>
      <c r="H8" s="2"/>
      <c r="I8" s="504" t="s">
        <v>213</v>
      </c>
      <c r="J8" s="549">
        <v>15979.39329399593</v>
      </c>
    </row>
    <row r="9" spans="1:10" x14ac:dyDescent="0.35">
      <c r="A9" s="2">
        <v>4</v>
      </c>
      <c r="B9" s="71">
        <v>45523</v>
      </c>
      <c r="C9" s="11">
        <v>60000</v>
      </c>
      <c r="D9" s="3">
        <f t="shared" si="0"/>
        <v>800000</v>
      </c>
      <c r="E9" s="2" t="s">
        <v>144</v>
      </c>
      <c r="F9" s="2">
        <v>1</v>
      </c>
      <c r="H9" s="2"/>
      <c r="I9" s="504" t="s">
        <v>215</v>
      </c>
      <c r="J9" s="549">
        <v>11379.115489830356</v>
      </c>
    </row>
    <row r="10" spans="1:10" x14ac:dyDescent="0.35">
      <c r="A10" s="2">
        <v>5</v>
      </c>
      <c r="B10" s="71">
        <v>46119</v>
      </c>
      <c r="C10" s="3">
        <v>2500000</v>
      </c>
      <c r="D10" s="3">
        <f t="shared" si="0"/>
        <v>3300000</v>
      </c>
      <c r="E10" s="2" t="s">
        <v>30</v>
      </c>
      <c r="F10" s="2">
        <v>2</v>
      </c>
      <c r="H10" s="2"/>
      <c r="I10" s="504" t="s">
        <v>217</v>
      </c>
      <c r="J10" s="549">
        <v>27162.483227552439</v>
      </c>
    </row>
    <row r="11" spans="1:10" x14ac:dyDescent="0.35">
      <c r="A11" s="2">
        <v>6</v>
      </c>
      <c r="B11" s="71"/>
      <c r="C11" s="3"/>
      <c r="D11" s="3"/>
      <c r="E11" s="2"/>
      <c r="F11" s="2"/>
      <c r="H11" s="2"/>
      <c r="I11" s="504" t="s">
        <v>219</v>
      </c>
      <c r="J11" s="549">
        <v>7771.8556954560363</v>
      </c>
    </row>
    <row r="12" spans="1:10" x14ac:dyDescent="0.35">
      <c r="A12" s="2">
        <v>7</v>
      </c>
      <c r="B12" s="71"/>
      <c r="C12" s="3"/>
      <c r="D12" s="3"/>
      <c r="E12" s="2"/>
      <c r="F12" s="2"/>
      <c r="H12" s="2"/>
      <c r="I12" s="504" t="s">
        <v>537</v>
      </c>
      <c r="J12" s="549">
        <v>5099.329909109606</v>
      </c>
    </row>
    <row r="13" spans="1:10" x14ac:dyDescent="0.35">
      <c r="A13" s="2">
        <v>8</v>
      </c>
      <c r="B13" s="294"/>
      <c r="C13" s="3"/>
      <c r="D13" s="3"/>
      <c r="E13" s="2"/>
      <c r="F13" s="2"/>
      <c r="H13" s="2"/>
      <c r="I13" s="504" t="s">
        <v>543</v>
      </c>
      <c r="J13" s="549">
        <v>13118.678429475436</v>
      </c>
    </row>
    <row r="14" spans="1:10" ht="24.5" x14ac:dyDescent="0.35">
      <c r="A14" s="2">
        <v>9</v>
      </c>
      <c r="B14" s="294"/>
      <c r="C14" s="3"/>
      <c r="D14" s="3"/>
      <c r="E14" s="2"/>
      <c r="F14" s="2"/>
      <c r="H14" s="2"/>
      <c r="I14" s="504" t="s">
        <v>681</v>
      </c>
      <c r="J14" s="549">
        <f>'DETAILS (sorted)'!DC46</f>
        <v>18597.69332821939</v>
      </c>
    </row>
    <row r="15" spans="1:10" x14ac:dyDescent="0.35">
      <c r="A15" s="2">
        <v>10</v>
      </c>
      <c r="B15" s="294"/>
      <c r="C15" s="205"/>
      <c r="D15" s="3"/>
      <c r="E15" s="2"/>
      <c r="F15" s="2"/>
      <c r="H15" s="2"/>
      <c r="I15" s="504" t="s">
        <v>696</v>
      </c>
      <c r="J15" s="549">
        <f>'DETAILS (sorted)'!DD46</f>
        <v>12592.404782046828</v>
      </c>
    </row>
    <row r="16" spans="1:10" x14ac:dyDescent="0.35">
      <c r="A16" s="2">
        <v>11</v>
      </c>
      <c r="B16" s="294"/>
      <c r="C16" s="3"/>
      <c r="D16" s="3"/>
      <c r="E16" s="2"/>
      <c r="F16" s="2"/>
      <c r="H16" s="2"/>
      <c r="I16" s="524" t="s">
        <v>887</v>
      </c>
      <c r="J16" s="549">
        <f>'DETAILS (sorted)'!DF46</f>
        <v>8848.0542269404486</v>
      </c>
    </row>
    <row r="17" spans="1:10" x14ac:dyDescent="0.35">
      <c r="A17" s="2">
        <v>12</v>
      </c>
      <c r="B17" s="71"/>
      <c r="C17" s="3"/>
      <c r="D17" s="3"/>
      <c r="E17" s="2"/>
      <c r="F17" s="2"/>
      <c r="H17" s="2"/>
      <c r="I17" s="524" t="s">
        <v>889</v>
      </c>
      <c r="J17" s="549">
        <f>'DETAILS (sorted)'!DG46</f>
        <v>29543.585174328473</v>
      </c>
    </row>
    <row r="18" spans="1:10" x14ac:dyDescent="0.35">
      <c r="A18" s="2">
        <v>13</v>
      </c>
      <c r="B18" s="71"/>
      <c r="C18" s="3"/>
      <c r="D18" s="3"/>
      <c r="E18" s="2"/>
      <c r="F18" s="2"/>
      <c r="H18" s="2"/>
      <c r="I18" s="524" t="s">
        <v>891</v>
      </c>
      <c r="J18" s="549">
        <f>'DETAILS (sorted)'!DL46</f>
        <v>9931.4214778959577</v>
      </c>
    </row>
    <row r="19" spans="1:10" x14ac:dyDescent="0.35">
      <c r="A19" s="2">
        <v>14</v>
      </c>
      <c r="B19" s="71"/>
      <c r="C19" s="3"/>
      <c r="D19" s="3"/>
      <c r="E19" s="2"/>
      <c r="F19" s="2"/>
      <c r="H19" s="2"/>
      <c r="I19" s="524" t="s">
        <v>894</v>
      </c>
      <c r="J19" s="549">
        <f>'DETAILS (sorted)'!DM46</f>
        <v>0</v>
      </c>
    </row>
    <row r="20" spans="1:10" x14ac:dyDescent="0.35">
      <c r="A20" s="2">
        <v>15</v>
      </c>
      <c r="B20" s="71"/>
      <c r="C20" s="3"/>
      <c r="D20" s="3"/>
      <c r="E20" s="2"/>
      <c r="F20" s="2"/>
      <c r="H20" s="2"/>
      <c r="I20" s="524" t="s">
        <v>893</v>
      </c>
      <c r="J20" s="549">
        <f>'DETAILS (sorted)'!DN46</f>
        <v>0</v>
      </c>
    </row>
    <row r="21" spans="1:10" x14ac:dyDescent="0.35">
      <c r="A21" s="2">
        <v>16</v>
      </c>
      <c r="B21" s="71"/>
      <c r="C21" s="3"/>
      <c r="D21" s="3"/>
      <c r="E21" s="2"/>
      <c r="F21" s="2"/>
      <c r="H21" s="2"/>
      <c r="I21" s="524" t="s">
        <v>895</v>
      </c>
      <c r="J21" s="549">
        <f>'DETAILS (sorted)'!DO46</f>
        <v>0</v>
      </c>
    </row>
    <row r="22" spans="1:10" x14ac:dyDescent="0.35">
      <c r="A22" s="2"/>
      <c r="B22" s="2"/>
      <c r="C22" s="3"/>
      <c r="D22" s="3"/>
      <c r="E22" s="2"/>
      <c r="F22" s="2"/>
      <c r="H22" s="2"/>
      <c r="I22" s="524" t="s">
        <v>897</v>
      </c>
      <c r="J22" s="549">
        <f>'DETAILS (sorted)'!DQ46</f>
        <v>0</v>
      </c>
    </row>
    <row r="23" spans="1:10" x14ac:dyDescent="0.35">
      <c r="A23" s="2"/>
      <c r="B23" s="2"/>
      <c r="C23" s="3"/>
      <c r="D23" s="3"/>
      <c r="E23" s="2"/>
      <c r="F23" s="2"/>
      <c r="H23" s="2"/>
      <c r="I23" s="524" t="s">
        <v>898</v>
      </c>
      <c r="J23" s="549">
        <f>'DETAILS (sorted)'!DR46</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3300000</v>
      </c>
      <c r="D35" s="191">
        <f>C35+J35</f>
        <v>3482393.7921406813</v>
      </c>
      <c r="E35" s="191">
        <f>'DETAILS (sorted)'!DS46</f>
        <v>3518048.2008464723</v>
      </c>
      <c r="F35" s="191">
        <f>D35-E35</f>
        <v>-35654.408705790993</v>
      </c>
      <c r="G35" s="5" t="b">
        <f>D35=E35</f>
        <v>0</v>
      </c>
      <c r="H35" s="74"/>
      <c r="I35" s="544"/>
      <c r="J35" s="548">
        <f>SUM(J6:J34)</f>
        <v>182393.79214068112</v>
      </c>
    </row>
    <row r="37" spans="1:10" x14ac:dyDescent="0.35">
      <c r="C37" s="191" t="s">
        <v>644</v>
      </c>
      <c r="D37" s="191">
        <f>C35+J35</f>
        <v>3482393.7921406813</v>
      </c>
      <c r="E37" s="122">
        <f>D37/D38</f>
        <v>0.34823937921406811</v>
      </c>
      <c r="F37" s="2" t="s">
        <v>652</v>
      </c>
    </row>
    <row r="38" spans="1:10" x14ac:dyDescent="0.35">
      <c r="C38" s="3"/>
      <c r="D38" s="3">
        <v>10000000</v>
      </c>
      <c r="E38" s="122">
        <f>D38/D38</f>
        <v>1</v>
      </c>
      <c r="F38" s="2" t="s">
        <v>654</v>
      </c>
    </row>
    <row r="39" spans="1:10" x14ac:dyDescent="0.35">
      <c r="C39" s="3"/>
      <c r="D39" s="3">
        <f>D37-D38</f>
        <v>-6517606.2078593187</v>
      </c>
      <c r="E39" s="122">
        <f>D39/D38</f>
        <v>-0.65176062078593189</v>
      </c>
      <c r="F39" s="2" t="s">
        <v>653</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48F8-F085-4598-8547-4757DEF30532}">
  <dimension ref="A2:J39"/>
  <sheetViews>
    <sheetView topLeftCell="A6" workbookViewId="0">
      <selection activeCell="D15" sqref="D15"/>
    </sheetView>
  </sheetViews>
  <sheetFormatPr defaultRowHeight="14.5" x14ac:dyDescent="0.35"/>
  <cols>
    <col min="1" max="1" width="13.1796875" bestFit="1" customWidth="1"/>
    <col min="2" max="2" width="18.26953125" bestFit="1" customWidth="1"/>
    <col min="3" max="3" width="12.7265625" style="1" bestFit="1" customWidth="1"/>
    <col min="4" max="4" width="15" style="1" bestFit="1" customWidth="1"/>
    <col min="5" max="5" width="12.7265625" bestFit="1" customWidth="1"/>
    <col min="6" max="6" width="12.453125" bestFit="1" customWidth="1"/>
    <col min="7" max="7" width="6.08984375" bestFit="1" customWidth="1"/>
    <col min="8" max="8" width="5" bestFit="1" customWidth="1"/>
    <col min="9" max="9" width="29.8164062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280</v>
      </c>
      <c r="B3" s="7" t="s">
        <v>698</v>
      </c>
      <c r="C3" s="72" t="s">
        <v>89</v>
      </c>
      <c r="D3" s="71">
        <v>45660</v>
      </c>
      <c r="E3" s="11">
        <v>1000000</v>
      </c>
      <c r="F3" s="11" t="s">
        <v>27</v>
      </c>
      <c r="G3" s="71"/>
      <c r="H3" s="11"/>
      <c r="I3" s="545"/>
      <c r="J3" s="54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45660</v>
      </c>
      <c r="C6" s="11">
        <v>1000000</v>
      </c>
      <c r="D6" s="3">
        <f>C6</f>
        <v>1000000</v>
      </c>
      <c r="E6" s="2" t="s">
        <v>144</v>
      </c>
      <c r="F6" s="2">
        <v>1</v>
      </c>
      <c r="H6" s="2"/>
      <c r="I6" s="503" t="s">
        <v>210</v>
      </c>
      <c r="J6" s="549">
        <v>14865.92500417116</v>
      </c>
    </row>
    <row r="7" spans="1:10" x14ac:dyDescent="0.35">
      <c r="A7" s="2">
        <v>2</v>
      </c>
      <c r="B7" s="71">
        <v>46096</v>
      </c>
      <c r="C7" s="3">
        <f>350000</f>
        <v>350000</v>
      </c>
      <c r="D7" s="3">
        <f>D6+C7</f>
        <v>1350000</v>
      </c>
      <c r="E7" s="2" t="s">
        <v>30</v>
      </c>
      <c r="F7" s="2">
        <v>2</v>
      </c>
      <c r="H7" s="2"/>
      <c r="I7" s="504" t="s">
        <v>212</v>
      </c>
      <c r="J7" s="549">
        <v>13096.296378116613</v>
      </c>
    </row>
    <row r="8" spans="1:10" x14ac:dyDescent="0.35">
      <c r="A8" s="2">
        <v>3</v>
      </c>
      <c r="B8" s="71">
        <v>46096</v>
      </c>
      <c r="C8" s="3">
        <v>1600000</v>
      </c>
      <c r="D8" s="3">
        <f t="shared" ref="D8:D9" si="0">D7+C8</f>
        <v>2950000</v>
      </c>
      <c r="E8" s="2" t="s">
        <v>30</v>
      </c>
      <c r="F8" s="2">
        <v>2</v>
      </c>
      <c r="H8" s="2"/>
      <c r="I8" s="504" t="s">
        <v>213</v>
      </c>
      <c r="J8" s="549">
        <v>19974.24161749491</v>
      </c>
    </row>
    <row r="9" spans="1:10" x14ac:dyDescent="0.35">
      <c r="A9" s="2">
        <v>4</v>
      </c>
      <c r="B9" s="71">
        <v>46132</v>
      </c>
      <c r="C9" s="3">
        <v>200000</v>
      </c>
      <c r="D9" s="3">
        <f t="shared" si="0"/>
        <v>3150000</v>
      </c>
      <c r="E9" s="2" t="s">
        <v>30</v>
      </c>
      <c r="F9" s="2">
        <v>2</v>
      </c>
      <c r="H9" s="2"/>
      <c r="I9" s="504" t="s">
        <v>215</v>
      </c>
      <c r="J9" s="549">
        <v>14223.894362287945</v>
      </c>
    </row>
    <row r="10" spans="1:10" x14ac:dyDescent="0.35">
      <c r="A10" s="2">
        <v>5</v>
      </c>
      <c r="B10" s="71">
        <v>46193</v>
      </c>
      <c r="C10" s="3">
        <v>2500000</v>
      </c>
      <c r="D10" s="3">
        <f t="shared" ref="D10" si="1">D9+C10</f>
        <v>5650000</v>
      </c>
      <c r="E10" s="2" t="s">
        <v>30</v>
      </c>
      <c r="F10" s="2">
        <v>2</v>
      </c>
      <c r="H10" s="2"/>
      <c r="I10" s="504" t="s">
        <v>217</v>
      </c>
      <c r="J10" s="549">
        <v>33953.104034440548</v>
      </c>
    </row>
    <row r="11" spans="1:10" x14ac:dyDescent="0.35">
      <c r="A11" s="2">
        <v>6</v>
      </c>
      <c r="B11" s="71">
        <v>46202</v>
      </c>
      <c r="C11" s="3">
        <v>3500000</v>
      </c>
      <c r="D11" s="3">
        <f t="shared" ref="D11" si="2">D10+C11</f>
        <v>9150000</v>
      </c>
      <c r="E11" s="2" t="s">
        <v>30</v>
      </c>
      <c r="F11" s="2">
        <v>2</v>
      </c>
      <c r="H11" s="2"/>
      <c r="I11" s="504" t="s">
        <v>219</v>
      </c>
      <c r="J11" s="549">
        <v>28658.717876994131</v>
      </c>
    </row>
    <row r="12" spans="1:10" x14ac:dyDescent="0.35">
      <c r="A12" s="2">
        <v>7</v>
      </c>
      <c r="B12" s="71">
        <v>46206</v>
      </c>
      <c r="C12" s="3">
        <v>700000</v>
      </c>
      <c r="D12" s="3">
        <f t="shared" ref="D12" si="3">D11+C12</f>
        <v>9850000</v>
      </c>
      <c r="E12" s="2" t="s">
        <v>30</v>
      </c>
      <c r="F12" s="2"/>
      <c r="H12" s="2"/>
      <c r="I12" s="504" t="s">
        <v>537</v>
      </c>
      <c r="J12" s="549">
        <v>4867.5421859682601</v>
      </c>
    </row>
    <row r="13" spans="1:10" x14ac:dyDescent="0.35">
      <c r="A13" s="2">
        <v>8</v>
      </c>
      <c r="B13" s="294"/>
      <c r="C13" s="3"/>
      <c r="D13" s="3"/>
      <c r="E13" s="2"/>
      <c r="F13" s="2"/>
      <c r="H13" s="2"/>
      <c r="I13" s="504" t="s">
        <v>543</v>
      </c>
      <c r="J13" s="549">
        <v>12522.374864499279</v>
      </c>
    </row>
    <row r="14" spans="1:10" x14ac:dyDescent="0.35">
      <c r="A14" s="2">
        <v>9</v>
      </c>
      <c r="B14" s="294"/>
      <c r="C14" s="3"/>
      <c r="D14" s="3"/>
      <c r="E14" s="2"/>
      <c r="F14" s="2"/>
      <c r="H14" s="2"/>
      <c r="I14" s="504" t="s">
        <v>681</v>
      </c>
      <c r="J14" s="549">
        <f>'DETAILS (sorted)'!DC47</f>
        <v>17752.343631482145</v>
      </c>
    </row>
    <row r="15" spans="1:10" x14ac:dyDescent="0.35">
      <c r="A15" s="2">
        <v>10</v>
      </c>
      <c r="B15" s="294"/>
      <c r="C15" s="205"/>
      <c r="D15" s="3"/>
      <c r="E15" s="2"/>
      <c r="F15" s="2"/>
      <c r="H15" s="2"/>
      <c r="I15" s="504" t="s">
        <v>696</v>
      </c>
      <c r="J15" s="549">
        <f>'DETAILS (sorted)'!DD47</f>
        <v>12020.022746499246</v>
      </c>
    </row>
    <row r="16" spans="1:10" x14ac:dyDescent="0.35">
      <c r="A16" s="2">
        <v>11</v>
      </c>
      <c r="B16" s="294"/>
      <c r="C16" s="3"/>
      <c r="D16" s="3"/>
      <c r="E16" s="2"/>
      <c r="F16" s="2"/>
      <c r="H16" s="2"/>
      <c r="I16" s="524" t="s">
        <v>887</v>
      </c>
      <c r="J16" s="549">
        <f>'DETAILS (sorted)'!DF47</f>
        <v>24533.241265607609</v>
      </c>
    </row>
    <row r="17" spans="1:10" x14ac:dyDescent="0.35">
      <c r="A17" s="2">
        <v>12</v>
      </c>
      <c r="B17" s="71"/>
      <c r="C17" s="3"/>
      <c r="D17" s="3"/>
      <c r="E17" s="2"/>
      <c r="F17" s="2"/>
      <c r="H17" s="2"/>
      <c r="I17" s="524" t="s">
        <v>889</v>
      </c>
      <c r="J17" s="549">
        <f>'DETAILS (sorted)'!DG47</f>
        <v>81916.304347001686</v>
      </c>
    </row>
    <row r="18" spans="1:10" x14ac:dyDescent="0.35">
      <c r="A18" s="2">
        <v>13</v>
      </c>
      <c r="B18" s="71"/>
      <c r="C18" s="3"/>
      <c r="D18" s="3"/>
      <c r="E18" s="2"/>
      <c r="F18" s="2"/>
      <c r="H18" s="2"/>
      <c r="I18" s="524" t="s">
        <v>891</v>
      </c>
      <c r="J18" s="549">
        <f>'DETAILS (sorted)'!DL47</f>
        <v>30397.726439683203</v>
      </c>
    </row>
    <row r="19" spans="1:10" x14ac:dyDescent="0.35">
      <c r="A19" s="2">
        <v>14</v>
      </c>
      <c r="B19" s="71"/>
      <c r="C19" s="3"/>
      <c r="D19" s="3"/>
      <c r="E19" s="2"/>
      <c r="F19" s="2"/>
      <c r="H19" s="2"/>
      <c r="I19" s="524" t="s">
        <v>894</v>
      </c>
      <c r="J19" s="549">
        <f>'DETAILS (sorted)'!DM47</f>
        <v>0</v>
      </c>
    </row>
    <row r="20" spans="1:10" x14ac:dyDescent="0.35">
      <c r="A20" s="2">
        <v>15</v>
      </c>
      <c r="B20" s="71"/>
      <c r="C20" s="3"/>
      <c r="D20" s="3"/>
      <c r="E20" s="2"/>
      <c r="F20" s="2"/>
      <c r="H20" s="2"/>
      <c r="I20" s="524" t="s">
        <v>893</v>
      </c>
      <c r="J20" s="549">
        <f>'DETAILS (sorted)'!DN47</f>
        <v>0</v>
      </c>
    </row>
    <row r="21" spans="1:10" x14ac:dyDescent="0.35">
      <c r="A21" s="2">
        <v>16</v>
      </c>
      <c r="B21" s="71"/>
      <c r="C21" s="3"/>
      <c r="D21" s="3"/>
      <c r="E21" s="2"/>
      <c r="F21" s="2"/>
      <c r="H21" s="2"/>
      <c r="I21" s="524" t="s">
        <v>895</v>
      </c>
      <c r="J21" s="549">
        <f>'DETAILS (sorted)'!DO47</f>
        <v>0</v>
      </c>
    </row>
    <row r="22" spans="1:10" x14ac:dyDescent="0.35">
      <c r="A22" s="2"/>
      <c r="B22" s="2"/>
      <c r="C22" s="3"/>
      <c r="D22" s="3"/>
      <c r="E22" s="2"/>
      <c r="F22" s="2"/>
      <c r="H22" s="2"/>
      <c r="I22" s="524" t="s">
        <v>897</v>
      </c>
      <c r="J22" s="549">
        <f>'DETAILS (sorted)'!DQ47</f>
        <v>0</v>
      </c>
    </row>
    <row r="23" spans="1:10" x14ac:dyDescent="0.35">
      <c r="A23" s="2"/>
      <c r="B23" s="2"/>
      <c r="C23" s="3"/>
      <c r="D23" s="3"/>
      <c r="E23" s="2"/>
      <c r="F23" s="2"/>
      <c r="H23" s="2"/>
      <c r="I23" s="524" t="s">
        <v>898</v>
      </c>
      <c r="J23" s="549">
        <f>'DETAILS (sorted)'!DR47</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9850000</v>
      </c>
      <c r="D35" s="191">
        <f>C35+J35</f>
        <v>10158781.734754248</v>
      </c>
      <c r="E35" s="191">
        <f>'DETAILS (sorted)'!DS47</f>
        <v>10767911.426271165</v>
      </c>
      <c r="F35" s="191">
        <f>D35-E35</f>
        <v>-609129.6915169172</v>
      </c>
      <c r="G35" s="5" t="b">
        <f>D35=E35</f>
        <v>0</v>
      </c>
      <c r="H35" s="74"/>
      <c r="I35" s="544"/>
      <c r="J35" s="548">
        <f>SUM(J6:J34)</f>
        <v>308781.73475424678</v>
      </c>
    </row>
    <row r="37" spans="1:10" x14ac:dyDescent="0.35">
      <c r="C37" s="191" t="s">
        <v>644</v>
      </c>
      <c r="D37" s="191">
        <f>C35+J35</f>
        <v>10158781.734754248</v>
      </c>
      <c r="E37" s="122">
        <v>2.7783722240082031E-2</v>
      </c>
      <c r="F37" s="2" t="s">
        <v>652</v>
      </c>
    </row>
    <row r="38" spans="1:10" x14ac:dyDescent="0.35">
      <c r="C38" s="3"/>
      <c r="D38" s="3">
        <v>10000000</v>
      </c>
      <c r="E38" s="122">
        <v>1</v>
      </c>
      <c r="F38" s="2" t="s">
        <v>654</v>
      </c>
    </row>
    <row r="39" spans="1:10" x14ac:dyDescent="0.35">
      <c r="C39" s="3"/>
      <c r="D39" s="3">
        <f>D37-D38</f>
        <v>158781.73475424759</v>
      </c>
      <c r="E39" s="122">
        <v>-0.97221627775991803</v>
      </c>
      <c r="F39" s="2" t="s">
        <v>653</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25F7-9461-42AD-A887-595BC60FC284}">
  <dimension ref="A2:J39"/>
  <sheetViews>
    <sheetView workbookViewId="0">
      <selection activeCell="N16" sqref="N1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11.81640625" bestFit="1" customWidth="1"/>
    <col min="9" max="9" width="25.45312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ht="28" x14ac:dyDescent="0.35">
      <c r="A3" s="210" t="s">
        <v>281</v>
      </c>
      <c r="B3" s="7" t="s">
        <v>67</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45369</v>
      </c>
      <c r="C6" s="11">
        <v>63000</v>
      </c>
      <c r="D6" s="3">
        <f>C6</f>
        <v>63000</v>
      </c>
      <c r="E6" s="2" t="s">
        <v>144</v>
      </c>
      <c r="F6" s="2">
        <v>1</v>
      </c>
      <c r="H6" s="2"/>
      <c r="I6" s="503" t="s">
        <v>210</v>
      </c>
      <c r="J6" s="549">
        <v>10599.404527974037</v>
      </c>
    </row>
    <row r="7" spans="1:10" x14ac:dyDescent="0.35">
      <c r="A7" s="2">
        <v>2</v>
      </c>
      <c r="B7" s="71">
        <v>45392</v>
      </c>
      <c r="C7" s="11">
        <v>50000</v>
      </c>
      <c r="D7" s="3">
        <f>D6+C7</f>
        <v>113000</v>
      </c>
      <c r="E7" s="2" t="s">
        <v>144</v>
      </c>
      <c r="F7" s="2">
        <v>1</v>
      </c>
      <c r="H7" s="2"/>
      <c r="I7" s="504" t="s">
        <v>212</v>
      </c>
      <c r="J7" s="549">
        <v>9337.6593175971448</v>
      </c>
    </row>
    <row r="8" spans="1:10" x14ac:dyDescent="0.35">
      <c r="A8" s="2">
        <v>3</v>
      </c>
      <c r="B8" s="71">
        <v>45635</v>
      </c>
      <c r="C8" s="11">
        <v>100000</v>
      </c>
      <c r="D8" s="3">
        <f t="shared" ref="D8:D11" si="0">D7+C8</f>
        <v>213000</v>
      </c>
      <c r="E8" s="2" t="s">
        <v>144</v>
      </c>
      <c r="F8" s="2">
        <v>1</v>
      </c>
      <c r="H8" s="2"/>
      <c r="I8" s="504" t="s">
        <v>213</v>
      </c>
      <c r="J8" s="549">
        <v>14241.634273273872</v>
      </c>
    </row>
    <row r="9" spans="1:10" x14ac:dyDescent="0.35">
      <c r="A9" s="2">
        <v>4</v>
      </c>
      <c r="B9" s="71">
        <v>45653</v>
      </c>
      <c r="C9" s="11">
        <v>300000</v>
      </c>
      <c r="D9" s="3">
        <f t="shared" si="0"/>
        <v>513000</v>
      </c>
      <c r="E9" s="2" t="s">
        <v>144</v>
      </c>
      <c r="F9" s="2">
        <v>1</v>
      </c>
      <c r="H9" s="2"/>
      <c r="I9" s="504" t="s">
        <v>215</v>
      </c>
      <c r="J9" s="549">
        <v>10141.636680311303</v>
      </c>
    </row>
    <row r="10" spans="1:10" x14ac:dyDescent="0.35">
      <c r="A10" s="2">
        <v>5</v>
      </c>
      <c r="B10" s="71">
        <v>45909</v>
      </c>
      <c r="C10" s="11">
        <v>200000</v>
      </c>
      <c r="D10" s="3">
        <f t="shared" si="0"/>
        <v>713000</v>
      </c>
      <c r="E10" s="2" t="s">
        <v>144</v>
      </c>
      <c r="F10" s="2">
        <v>1</v>
      </c>
      <c r="H10" s="2"/>
      <c r="I10" s="504" t="s">
        <v>217</v>
      </c>
      <c r="J10" s="549">
        <v>24208.563176556112</v>
      </c>
    </row>
    <row r="11" spans="1:10" x14ac:dyDescent="0.35">
      <c r="A11" s="2">
        <v>6</v>
      </c>
      <c r="B11" s="71">
        <v>46093</v>
      </c>
      <c r="C11" s="3">
        <v>100000</v>
      </c>
      <c r="D11" s="3">
        <f t="shared" si="0"/>
        <v>813000</v>
      </c>
      <c r="E11" s="2" t="s">
        <v>30</v>
      </c>
      <c r="F11" s="2">
        <v>2</v>
      </c>
      <c r="H11" s="2"/>
      <c r="I11" s="504" t="s">
        <v>219</v>
      </c>
      <c r="J11" s="549">
        <v>7898.1483505071965</v>
      </c>
    </row>
    <row r="12" spans="1:10" x14ac:dyDescent="0.35">
      <c r="A12" s="2">
        <v>7</v>
      </c>
      <c r="B12" s="71">
        <v>46210</v>
      </c>
      <c r="C12" s="3">
        <v>200000</v>
      </c>
      <c r="D12" s="3">
        <f t="shared" ref="D12" si="1">D11+C12</f>
        <v>1013000</v>
      </c>
      <c r="E12" s="2" t="s">
        <v>30</v>
      </c>
      <c r="F12" s="2"/>
      <c r="H12" s="2"/>
      <c r="I12" s="504" t="s">
        <v>537</v>
      </c>
      <c r="J12" s="549">
        <v>1256.2894594260938</v>
      </c>
    </row>
    <row r="13" spans="1:10" x14ac:dyDescent="0.35">
      <c r="A13" s="2">
        <v>8</v>
      </c>
      <c r="B13" s="294"/>
      <c r="C13" s="3"/>
      <c r="D13" s="3"/>
      <c r="E13" s="2"/>
      <c r="F13" s="2"/>
      <c r="H13" s="2"/>
      <c r="I13" s="504" t="s">
        <v>543</v>
      </c>
      <c r="J13" s="549">
        <v>3231.9653221707663</v>
      </c>
    </row>
    <row r="14" spans="1:10" x14ac:dyDescent="0.35">
      <c r="A14" s="2">
        <v>9</v>
      </c>
      <c r="B14" s="294"/>
      <c r="C14" s="3"/>
      <c r="D14" s="3"/>
      <c r="E14" s="2"/>
      <c r="F14" s="2"/>
      <c r="H14" s="2"/>
      <c r="I14" s="504" t="s">
        <v>681</v>
      </c>
      <c r="J14" s="549">
        <f>'DETAILS (sorted)'!DC48</f>
        <v>4581.795356315868</v>
      </c>
    </row>
    <row r="15" spans="1:10" x14ac:dyDescent="0.35">
      <c r="A15" s="2">
        <v>10</v>
      </c>
      <c r="B15" s="294"/>
      <c r="C15" s="205"/>
      <c r="D15" s="3"/>
      <c r="E15" s="2"/>
      <c r="F15" s="2"/>
      <c r="H15" s="2"/>
      <c r="I15" s="504" t="s">
        <v>696</v>
      </c>
      <c r="J15" s="549">
        <f>'DETAILS (sorted)'!DD48</f>
        <v>3102.3106326679003</v>
      </c>
    </row>
    <row r="16" spans="1:10" x14ac:dyDescent="0.35">
      <c r="A16" s="2">
        <v>11</v>
      </c>
      <c r="B16" s="294"/>
      <c r="C16" s="3"/>
      <c r="D16" s="3"/>
      <c r="E16" s="2"/>
      <c r="F16" s="2"/>
      <c r="H16" s="2"/>
      <c r="I16" s="524" t="s">
        <v>887</v>
      </c>
      <c r="J16" s="549">
        <f>'DETAILS (sorted)'!DF48</f>
        <v>2179.8388140916923</v>
      </c>
    </row>
    <row r="17" spans="1:10" x14ac:dyDescent="0.35">
      <c r="A17" s="2">
        <v>12</v>
      </c>
      <c r="B17" s="71"/>
      <c r="C17" s="3"/>
      <c r="D17" s="3"/>
      <c r="E17" s="2"/>
      <c r="F17" s="2"/>
      <c r="H17" s="2"/>
      <c r="I17" s="524" t="s">
        <v>889</v>
      </c>
      <c r="J17" s="549">
        <f>'DETAILS (sorted)'!DG48</f>
        <v>7278.4650747663782</v>
      </c>
    </row>
    <row r="18" spans="1:10" x14ac:dyDescent="0.35">
      <c r="A18" s="2">
        <v>13</v>
      </c>
      <c r="B18" s="71"/>
      <c r="C18" s="3"/>
      <c r="D18" s="3"/>
      <c r="E18" s="2"/>
      <c r="F18" s="2"/>
      <c r="H18" s="2"/>
      <c r="I18" s="524" t="s">
        <v>891</v>
      </c>
      <c r="J18" s="549">
        <f>'DETAILS (sorted)'!DL48</f>
        <v>10327.81129949571</v>
      </c>
    </row>
    <row r="19" spans="1:10" x14ac:dyDescent="0.35">
      <c r="A19" s="2">
        <v>14</v>
      </c>
      <c r="B19" s="71"/>
      <c r="C19" s="3"/>
      <c r="D19" s="3"/>
      <c r="E19" s="2"/>
      <c r="F19" s="2"/>
      <c r="H19" s="2"/>
      <c r="I19" s="524" t="s">
        <v>894</v>
      </c>
      <c r="J19" s="549">
        <f>'DETAILS (sorted)'!DM48</f>
        <v>0</v>
      </c>
    </row>
    <row r="20" spans="1:10" x14ac:dyDescent="0.35">
      <c r="A20" s="2">
        <v>15</v>
      </c>
      <c r="B20" s="71"/>
      <c r="C20" s="3"/>
      <c r="D20" s="3"/>
      <c r="E20" s="2"/>
      <c r="F20" s="2"/>
      <c r="H20" s="2"/>
      <c r="I20" s="524" t="s">
        <v>893</v>
      </c>
      <c r="J20" s="549">
        <f>'DETAILS (sorted)'!DN48</f>
        <v>0</v>
      </c>
    </row>
    <row r="21" spans="1:10" x14ac:dyDescent="0.35">
      <c r="A21" s="2">
        <v>16</v>
      </c>
      <c r="B21" s="71"/>
      <c r="C21" s="3"/>
      <c r="D21" s="3"/>
      <c r="E21" s="2"/>
      <c r="F21" s="2"/>
      <c r="H21" s="2"/>
      <c r="I21" s="524" t="s">
        <v>895</v>
      </c>
      <c r="J21" s="549">
        <f>'DETAILS (sorted)'!DO48</f>
        <v>0</v>
      </c>
    </row>
    <row r="22" spans="1:10" x14ac:dyDescent="0.35">
      <c r="A22" s="2"/>
      <c r="B22" s="2"/>
      <c r="C22" s="3"/>
      <c r="D22" s="3"/>
      <c r="E22" s="2"/>
      <c r="F22" s="2"/>
      <c r="H22" s="2"/>
      <c r="I22" s="524" t="s">
        <v>897</v>
      </c>
      <c r="J22" s="549">
        <f>'DETAILS (sorted)'!DQ48</f>
        <v>0</v>
      </c>
    </row>
    <row r="23" spans="1:10" x14ac:dyDescent="0.35">
      <c r="A23" s="2"/>
      <c r="B23" s="2"/>
      <c r="C23" s="3"/>
      <c r="D23" s="3"/>
      <c r="E23" s="2"/>
      <c r="F23" s="2"/>
      <c r="H23" s="2"/>
      <c r="I23" s="524" t="s">
        <v>898</v>
      </c>
      <c r="J23" s="549">
        <f>'DETAILS (sorted)'!DR48</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1013000</v>
      </c>
      <c r="D35" s="191">
        <f>C35+J35</f>
        <v>1121385.5222851541</v>
      </c>
      <c r="E35" s="191">
        <f>'DETAILS (sorted)'!DS48</f>
        <v>3658462.9946216233</v>
      </c>
      <c r="F35" s="191">
        <f>D35-E35</f>
        <v>-2537077.4723364692</v>
      </c>
      <c r="G35" s="5" t="b">
        <f>D35=E35</f>
        <v>0</v>
      </c>
      <c r="H35" s="74"/>
      <c r="I35" s="544"/>
      <c r="J35" s="548">
        <f>SUM(J6:J34)</f>
        <v>108385.52228515406</v>
      </c>
    </row>
    <row r="37" spans="1:10" x14ac:dyDescent="0.35">
      <c r="C37" s="191" t="s">
        <v>644</v>
      </c>
      <c r="D37" s="191">
        <f>C35+J35</f>
        <v>1121385.5222851541</v>
      </c>
      <c r="E37" s="122">
        <f>D37/D38</f>
        <v>0.28034638057128852</v>
      </c>
      <c r="F37" s="2" t="s">
        <v>652</v>
      </c>
    </row>
    <row r="38" spans="1:10" x14ac:dyDescent="0.35">
      <c r="C38" s="3"/>
      <c r="D38" s="3">
        <v>4000000</v>
      </c>
      <c r="E38" s="122">
        <f>D38/D38</f>
        <v>1</v>
      </c>
      <c r="F38" s="2" t="s">
        <v>654</v>
      </c>
    </row>
    <row r="39" spans="1:10" x14ac:dyDescent="0.35">
      <c r="C39" s="3"/>
      <c r="D39" s="3">
        <f>D37-D38</f>
        <v>-2878614.4777148459</v>
      </c>
      <c r="E39" s="122">
        <f>D39/D38</f>
        <v>-0.71965361942871153</v>
      </c>
      <c r="F39" s="2" t="s">
        <v>653</v>
      </c>
    </row>
  </sheetData>
  <pageMargins left="0.7" right="0.7" top="0.75" bottom="0.75" header="0.3" footer="0.3"/>
  <legacy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F1465-8B0D-4D21-A247-E03FA55C8BA7}">
  <dimension ref="A2:J39"/>
  <sheetViews>
    <sheetView topLeftCell="A7" workbookViewId="0">
      <selection activeCell="D15" sqref="D15"/>
    </sheetView>
  </sheetViews>
  <sheetFormatPr defaultRowHeight="14.5" x14ac:dyDescent="0.35"/>
  <cols>
    <col min="1" max="1" width="13.1796875" bestFit="1" customWidth="1"/>
    <col min="2" max="2" width="15" bestFit="1" customWidth="1"/>
    <col min="3" max="3" width="11.81640625" style="1" bestFit="1" customWidth="1"/>
    <col min="4" max="4" width="15" style="1" bestFit="1" customWidth="1"/>
    <col min="5" max="5" width="11.7265625" customWidth="1"/>
    <col min="6" max="6" width="9.90625" bestFit="1" customWidth="1"/>
    <col min="7" max="7" width="9.08984375" bestFit="1" customWidth="1"/>
    <col min="8" max="8" width="10.1796875" bestFit="1" customWidth="1"/>
    <col min="9" max="9" width="27.08984375" style="526"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282</v>
      </c>
      <c r="B3" s="7" t="s">
        <v>70</v>
      </c>
      <c r="C3" s="7"/>
      <c r="D3" s="71"/>
      <c r="E3" s="11"/>
      <c r="F3" s="11"/>
      <c r="G3" s="71"/>
      <c r="H3" s="11"/>
      <c r="I3" s="545"/>
      <c r="J3" s="555"/>
    </row>
    <row r="4" spans="1:10" s="1" customFormat="1" x14ac:dyDescent="0.35">
      <c r="A4" s="210"/>
      <c r="B4" s="7"/>
      <c r="C4" s="7"/>
      <c r="D4" s="71"/>
      <c r="E4" s="11"/>
      <c r="F4" s="11"/>
      <c r="G4" s="71"/>
      <c r="H4" s="11"/>
      <c r="I4" s="545"/>
      <c r="J4" s="555"/>
    </row>
    <row r="5" spans="1:10" x14ac:dyDescent="0.35">
      <c r="A5" s="74" t="s">
        <v>487</v>
      </c>
      <c r="B5" s="74" t="s">
        <v>2</v>
      </c>
      <c r="C5" s="191" t="s">
        <v>124</v>
      </c>
      <c r="D5" s="191" t="s">
        <v>488</v>
      </c>
      <c r="E5" s="74" t="s">
        <v>489</v>
      </c>
      <c r="F5" s="74" t="s">
        <v>490</v>
      </c>
      <c r="H5" s="2"/>
      <c r="I5" s="484"/>
      <c r="J5" s="549"/>
    </row>
    <row r="6" spans="1:10" x14ac:dyDescent="0.35">
      <c r="A6" s="2">
        <v>1</v>
      </c>
      <c r="B6" s="71">
        <v>45370</v>
      </c>
      <c r="C6" s="11">
        <v>50000</v>
      </c>
      <c r="D6" s="3">
        <f>C6</f>
        <v>50000</v>
      </c>
      <c r="E6" s="2" t="s">
        <v>144</v>
      </c>
      <c r="F6" s="2">
        <v>1</v>
      </c>
      <c r="H6" s="2"/>
      <c r="I6" s="503" t="s">
        <v>210</v>
      </c>
      <c r="J6" s="549">
        <v>16501.176754629989</v>
      </c>
    </row>
    <row r="7" spans="1:10" x14ac:dyDescent="0.35">
      <c r="A7" s="2">
        <v>2</v>
      </c>
      <c r="B7" s="71">
        <v>45370</v>
      </c>
      <c r="C7" s="11">
        <v>50000</v>
      </c>
      <c r="D7" s="3">
        <f>D6+C7</f>
        <v>100000</v>
      </c>
      <c r="E7" s="2" t="s">
        <v>144</v>
      </c>
      <c r="F7" s="2">
        <v>1</v>
      </c>
      <c r="H7" s="2"/>
      <c r="I7" s="504" t="s">
        <v>212</v>
      </c>
      <c r="J7" s="549">
        <v>14536.88897970944</v>
      </c>
    </row>
    <row r="8" spans="1:10" x14ac:dyDescent="0.35">
      <c r="A8" s="2">
        <v>3</v>
      </c>
      <c r="B8" s="71">
        <v>45386</v>
      </c>
      <c r="C8" s="11">
        <v>110000</v>
      </c>
      <c r="D8" s="3">
        <f t="shared" ref="D8:D14" si="0">D7+C8</f>
        <v>210000</v>
      </c>
      <c r="E8" s="2" t="s">
        <v>144</v>
      </c>
      <c r="F8" s="2">
        <v>1</v>
      </c>
      <c r="H8" s="2"/>
      <c r="I8" s="504" t="s">
        <v>213</v>
      </c>
      <c r="J8" s="549">
        <v>22171.40819541935</v>
      </c>
    </row>
    <row r="9" spans="1:10" x14ac:dyDescent="0.35">
      <c r="A9" s="2">
        <v>4</v>
      </c>
      <c r="B9" s="71">
        <v>45641</v>
      </c>
      <c r="C9" s="11">
        <v>150000</v>
      </c>
      <c r="D9" s="3">
        <f t="shared" si="0"/>
        <v>360000</v>
      </c>
      <c r="E9" s="2" t="s">
        <v>144</v>
      </c>
      <c r="F9" s="2">
        <v>1</v>
      </c>
      <c r="H9" s="2"/>
      <c r="I9" s="504" t="s">
        <v>215</v>
      </c>
      <c r="J9" s="549">
        <v>15788.522742139619</v>
      </c>
    </row>
    <row r="10" spans="1:10" x14ac:dyDescent="0.35">
      <c r="A10" s="2">
        <v>5</v>
      </c>
      <c r="B10" s="71">
        <v>45649</v>
      </c>
      <c r="C10" s="11">
        <v>100000</v>
      </c>
      <c r="D10" s="3">
        <f t="shared" si="0"/>
        <v>460000</v>
      </c>
      <c r="E10" s="2" t="s">
        <v>144</v>
      </c>
      <c r="F10" s="2">
        <v>1</v>
      </c>
      <c r="H10" s="2"/>
      <c r="I10" s="504" t="s">
        <v>217</v>
      </c>
      <c r="J10" s="549">
        <v>47873.876688561169</v>
      </c>
    </row>
    <row r="11" spans="1:10" x14ac:dyDescent="0.35">
      <c r="A11" s="2">
        <v>6</v>
      </c>
      <c r="B11" s="71">
        <v>45658</v>
      </c>
      <c r="C11" s="11">
        <v>50000</v>
      </c>
      <c r="D11" s="3">
        <f t="shared" si="0"/>
        <v>510000</v>
      </c>
      <c r="E11" s="2" t="s">
        <v>144</v>
      </c>
      <c r="F11" s="2">
        <v>1</v>
      </c>
      <c r="H11" s="2"/>
      <c r="I11" s="504" t="s">
        <v>219</v>
      </c>
      <c r="J11" s="549">
        <v>16126.600568071275</v>
      </c>
    </row>
    <row r="12" spans="1:10" x14ac:dyDescent="0.35">
      <c r="A12" s="2">
        <v>7</v>
      </c>
      <c r="B12" s="71">
        <v>45661</v>
      </c>
      <c r="C12" s="11">
        <v>200000</v>
      </c>
      <c r="D12" s="3">
        <f t="shared" si="0"/>
        <v>710000</v>
      </c>
      <c r="E12" s="2" t="s">
        <v>144</v>
      </c>
      <c r="F12" s="2">
        <v>1</v>
      </c>
      <c r="H12" s="2"/>
      <c r="I12" s="504" t="s">
        <v>537</v>
      </c>
      <c r="J12" s="549">
        <v>2565.1174694308925</v>
      </c>
    </row>
    <row r="13" spans="1:10" x14ac:dyDescent="0.35">
      <c r="A13" s="2">
        <v>8</v>
      </c>
      <c r="B13" s="71">
        <v>45708</v>
      </c>
      <c r="C13" s="11">
        <v>300000</v>
      </c>
      <c r="D13" s="3">
        <f t="shared" si="0"/>
        <v>1010000</v>
      </c>
      <c r="E13" s="2" t="s">
        <v>144</v>
      </c>
      <c r="F13" s="2">
        <v>1</v>
      </c>
      <c r="H13" s="2"/>
      <c r="I13" s="504" t="s">
        <v>543</v>
      </c>
      <c r="J13" s="549">
        <v>6599.0927857361285</v>
      </c>
    </row>
    <row r="14" spans="1:10" x14ac:dyDescent="0.35">
      <c r="A14" s="2">
        <v>9</v>
      </c>
      <c r="B14" s="71">
        <v>45711</v>
      </c>
      <c r="C14" s="11">
        <v>100000</v>
      </c>
      <c r="D14" s="3">
        <f t="shared" si="0"/>
        <v>1110000</v>
      </c>
      <c r="E14" s="2" t="s">
        <v>30</v>
      </c>
      <c r="F14" s="2">
        <v>1</v>
      </c>
      <c r="H14" s="2"/>
      <c r="I14" s="504" t="s">
        <v>681</v>
      </c>
      <c r="J14" s="549">
        <f>'DETAILS (sorted)'!DC49</f>
        <v>11891.25240077058</v>
      </c>
    </row>
    <row r="15" spans="1:10" x14ac:dyDescent="0.35">
      <c r="A15" s="2">
        <v>10</v>
      </c>
      <c r="B15" s="71">
        <v>46075</v>
      </c>
      <c r="C15" s="231">
        <v>300000</v>
      </c>
      <c r="D15" s="3">
        <f t="shared" ref="D15:D19" si="1">D14+C15</f>
        <v>1410000</v>
      </c>
      <c r="E15" s="2" t="s">
        <v>30</v>
      </c>
      <c r="F15" s="2">
        <v>2</v>
      </c>
      <c r="H15" s="2"/>
      <c r="I15" s="504" t="s">
        <v>696</v>
      </c>
      <c r="J15" s="549">
        <f>'DETAILS (sorted)'!DD49</f>
        <v>8051.5073000360026</v>
      </c>
    </row>
    <row r="16" spans="1:10" x14ac:dyDescent="0.35">
      <c r="A16" s="2">
        <v>11</v>
      </c>
      <c r="B16" s="71">
        <v>46111</v>
      </c>
      <c r="C16" s="231">
        <v>250000</v>
      </c>
      <c r="D16" s="3">
        <f t="shared" si="1"/>
        <v>1660000</v>
      </c>
      <c r="E16" s="2" t="s">
        <v>30</v>
      </c>
      <c r="F16" s="2">
        <v>2</v>
      </c>
      <c r="H16" s="2"/>
      <c r="I16" s="524" t="s">
        <v>887</v>
      </c>
      <c r="J16" s="549">
        <f>'DETAILS (sorted)'!DF49</f>
        <v>8419.0576583615166</v>
      </c>
    </row>
    <row r="17" spans="1:10" x14ac:dyDescent="0.35">
      <c r="A17" s="2">
        <v>12</v>
      </c>
      <c r="B17" s="71">
        <v>46143</v>
      </c>
      <c r="C17" s="3">
        <f>300000</f>
        <v>300000</v>
      </c>
      <c r="D17" s="3">
        <f t="shared" si="1"/>
        <v>1960000</v>
      </c>
      <c r="E17" s="2" t="s">
        <v>30</v>
      </c>
      <c r="F17" s="2">
        <v>2</v>
      </c>
      <c r="H17" s="2"/>
      <c r="I17" s="524" t="s">
        <v>889</v>
      </c>
      <c r="J17" s="549">
        <f>'DETAILS (sorted)'!DG49</f>
        <v>28111.16892345194</v>
      </c>
    </row>
    <row r="18" spans="1:10" x14ac:dyDescent="0.35">
      <c r="A18" s="2">
        <v>13</v>
      </c>
      <c r="B18" s="71">
        <v>46143</v>
      </c>
      <c r="C18" s="3">
        <v>150000</v>
      </c>
      <c r="D18" s="3">
        <f t="shared" si="1"/>
        <v>2110000</v>
      </c>
      <c r="E18" s="2" t="s">
        <v>30</v>
      </c>
      <c r="F18" s="2">
        <v>2</v>
      </c>
      <c r="H18" s="2"/>
      <c r="I18" s="524" t="s">
        <v>891</v>
      </c>
      <c r="J18" s="549">
        <f>'DETAILS (sorted)'!DL49</f>
        <v>10120.68052832783</v>
      </c>
    </row>
    <row r="19" spans="1:10" x14ac:dyDescent="0.35">
      <c r="A19" s="2">
        <v>14</v>
      </c>
      <c r="B19" s="71">
        <v>46185</v>
      </c>
      <c r="C19" s="3">
        <v>650000</v>
      </c>
      <c r="D19" s="3">
        <f t="shared" si="1"/>
        <v>2760000</v>
      </c>
      <c r="E19" s="2" t="s">
        <v>30</v>
      </c>
      <c r="F19" s="2">
        <v>2</v>
      </c>
      <c r="H19" s="2"/>
      <c r="I19" s="524" t="s">
        <v>894</v>
      </c>
      <c r="J19" s="549">
        <f>'DETAILS (sorted)'!DM49</f>
        <v>0</v>
      </c>
    </row>
    <row r="20" spans="1:10" x14ac:dyDescent="0.35">
      <c r="A20" s="2">
        <v>15</v>
      </c>
      <c r="B20" s="71">
        <v>46192</v>
      </c>
      <c r="C20" s="3">
        <v>380000</v>
      </c>
      <c r="D20" s="3">
        <f t="shared" ref="D20" si="2">D19+C20</f>
        <v>3140000</v>
      </c>
      <c r="E20" s="2" t="s">
        <v>30</v>
      </c>
      <c r="F20" s="2">
        <v>2</v>
      </c>
      <c r="H20" s="2"/>
      <c r="I20" s="524" t="s">
        <v>893</v>
      </c>
      <c r="J20" s="549">
        <f>'DETAILS (sorted)'!DN49</f>
        <v>0</v>
      </c>
    </row>
    <row r="21" spans="1:10" x14ac:dyDescent="0.35">
      <c r="A21" s="2">
        <v>16</v>
      </c>
      <c r="B21" s="71">
        <v>46204</v>
      </c>
      <c r="C21" s="3">
        <v>200000</v>
      </c>
      <c r="D21" s="3"/>
      <c r="E21" s="2"/>
      <c r="F21" s="2"/>
      <c r="H21" s="2"/>
      <c r="I21" s="524" t="s">
        <v>895</v>
      </c>
      <c r="J21" s="549">
        <f>'DETAILS (sorted)'!DO49</f>
        <v>0</v>
      </c>
    </row>
    <row r="22" spans="1:10" x14ac:dyDescent="0.35">
      <c r="A22" s="2"/>
      <c r="B22" s="2"/>
      <c r="C22" s="3"/>
      <c r="D22" s="3"/>
      <c r="E22" s="2"/>
      <c r="F22" s="2"/>
      <c r="H22" s="2"/>
      <c r="I22" s="524" t="s">
        <v>897</v>
      </c>
      <c r="J22" s="549">
        <f>'DETAILS (sorted)'!DQ49</f>
        <v>0</v>
      </c>
    </row>
    <row r="23" spans="1:10" x14ac:dyDescent="0.35">
      <c r="A23" s="2"/>
      <c r="B23" s="2"/>
      <c r="C23" s="3"/>
      <c r="D23" s="3"/>
      <c r="E23" s="2"/>
      <c r="F23" s="2"/>
      <c r="H23" s="2"/>
      <c r="I23" s="524" t="s">
        <v>898</v>
      </c>
      <c r="J23" s="549">
        <f>'DETAILS (sorted)'!DR49</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3340000</v>
      </c>
      <c r="D35" s="191">
        <f>C35+J35</f>
        <v>3548756.3509946456</v>
      </c>
      <c r="E35" s="191">
        <f>'DETAILS (sorted)'!DS49</f>
        <v>3585090.2112321621</v>
      </c>
      <c r="F35" s="191">
        <f>D35-E35</f>
        <v>-36333.860237516463</v>
      </c>
      <c r="G35" s="5" t="b">
        <f>D35=E35</f>
        <v>0</v>
      </c>
      <c r="H35" s="74"/>
      <c r="I35" s="544"/>
      <c r="J35" s="548">
        <f>SUM(J6:J34)</f>
        <v>208756.35099464573</v>
      </c>
    </row>
    <row r="37" spans="1:10" x14ac:dyDescent="0.35">
      <c r="C37" s="191" t="s">
        <v>644</v>
      </c>
      <c r="D37" s="191">
        <f>C35+J35</f>
        <v>3548756.3509946456</v>
      </c>
      <c r="E37" s="122">
        <f>D37/D38</f>
        <v>0.88718908774866145</v>
      </c>
      <c r="F37" s="2" t="s">
        <v>652</v>
      </c>
    </row>
    <row r="38" spans="1:10" x14ac:dyDescent="0.35">
      <c r="C38" s="3"/>
      <c r="D38" s="3">
        <v>4000000</v>
      </c>
      <c r="E38" s="122">
        <f>D38/D38</f>
        <v>1</v>
      </c>
      <c r="F38" s="2" t="s">
        <v>654</v>
      </c>
    </row>
    <row r="39" spans="1:10" x14ac:dyDescent="0.35">
      <c r="C39" s="3"/>
      <c r="D39" s="3">
        <f>D37-D38</f>
        <v>-451243.64900535438</v>
      </c>
      <c r="E39" s="122">
        <f>D39/D38</f>
        <v>-0.1128109122513386</v>
      </c>
      <c r="F39" s="2" t="s">
        <v>653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3C9EA-4214-468B-9F8E-3A1926BA40B6}">
  <dimension ref="A2:J39"/>
  <sheetViews>
    <sheetView topLeftCell="B7" workbookViewId="0">
      <selection activeCell="D15" sqref="D15"/>
    </sheetView>
  </sheetViews>
  <sheetFormatPr defaultRowHeight="14.5" x14ac:dyDescent="0.35"/>
  <cols>
    <col min="1" max="1" width="13.1796875" bestFit="1" customWidth="1"/>
    <col min="2" max="2" width="15.36328125" bestFit="1" customWidth="1"/>
    <col min="3" max="3" width="11.81640625" style="1" bestFit="1" customWidth="1"/>
    <col min="4" max="4" width="15" style="1" bestFit="1" customWidth="1"/>
    <col min="5" max="5" width="11.7265625" customWidth="1"/>
    <col min="6" max="6" width="9.90625" bestFit="1" customWidth="1"/>
    <col min="7" max="7" width="8.08984375" bestFit="1" customWidth="1"/>
    <col min="8" max="8" width="10.1796875" bestFit="1" customWidth="1"/>
    <col min="9" max="9" width="24.54296875" style="526" bestFit="1" customWidth="1"/>
    <col min="10" max="10" width="11.1796875" style="550" bestFit="1" customWidth="1"/>
  </cols>
  <sheetData>
    <row r="2" spans="1:10" s="5" customFormat="1" x14ac:dyDescent="0.35">
      <c r="A2" s="74" t="s">
        <v>190</v>
      </c>
      <c r="B2" s="191" t="s">
        <v>0</v>
      </c>
      <c r="C2" s="191"/>
      <c r="D2" s="74" t="s">
        <v>1</v>
      </c>
      <c r="E2" s="75" t="s">
        <v>2</v>
      </c>
      <c r="F2" s="74"/>
      <c r="G2" s="74"/>
      <c r="H2" s="74"/>
      <c r="I2" s="544"/>
      <c r="J2" s="548"/>
    </row>
    <row r="3" spans="1:10" s="1" customFormat="1" x14ac:dyDescent="0.35">
      <c r="A3" s="210" t="s">
        <v>283</v>
      </c>
      <c r="B3" s="7" t="s">
        <v>53</v>
      </c>
      <c r="C3" s="7"/>
      <c r="D3" s="71"/>
      <c r="E3" s="11"/>
      <c r="F3" s="11"/>
      <c r="G3" s="71"/>
      <c r="H3" s="11"/>
      <c r="I3" s="545"/>
      <c r="J3" s="555"/>
    </row>
    <row r="4" spans="1:10" s="1" customFormat="1" x14ac:dyDescent="0.35">
      <c r="A4" s="210"/>
      <c r="B4" s="7"/>
      <c r="C4" s="7"/>
      <c r="D4" s="71"/>
      <c r="E4" s="11"/>
      <c r="F4" s="11"/>
      <c r="G4" s="71"/>
      <c r="H4" s="11"/>
      <c r="I4" s="545"/>
      <c r="J4" s="555"/>
    </row>
    <row r="5" spans="1:10" x14ac:dyDescent="0.35">
      <c r="A5" s="74" t="s">
        <v>487</v>
      </c>
      <c r="B5" s="74" t="s">
        <v>2</v>
      </c>
      <c r="C5" s="191" t="s">
        <v>124</v>
      </c>
      <c r="D5" s="191" t="s">
        <v>488</v>
      </c>
      <c r="E5" s="74" t="s">
        <v>489</v>
      </c>
      <c r="F5" s="74" t="s">
        <v>490</v>
      </c>
      <c r="H5" s="2"/>
      <c r="I5" s="484"/>
      <c r="J5" s="549"/>
    </row>
    <row r="6" spans="1:10" x14ac:dyDescent="0.35">
      <c r="A6" s="2">
        <v>1</v>
      </c>
      <c r="B6" s="71">
        <v>45359</v>
      </c>
      <c r="C6" s="11">
        <v>50000</v>
      </c>
      <c r="D6" s="3">
        <f>C6</f>
        <v>50000</v>
      </c>
      <c r="E6" s="2" t="s">
        <v>144</v>
      </c>
      <c r="F6" s="2">
        <v>1</v>
      </c>
      <c r="H6" s="2"/>
      <c r="I6" s="503" t="s">
        <v>210</v>
      </c>
      <c r="J6" s="549">
        <v>10406.147502919812</v>
      </c>
    </row>
    <row r="7" spans="1:10" x14ac:dyDescent="0.35">
      <c r="A7" s="2">
        <v>2</v>
      </c>
      <c r="B7" s="71">
        <v>45360</v>
      </c>
      <c r="C7" s="11">
        <v>90000</v>
      </c>
      <c r="D7" s="3">
        <f>D6+C7</f>
        <v>140000</v>
      </c>
      <c r="E7" s="2" t="s">
        <v>144</v>
      </c>
      <c r="F7" s="2">
        <v>1</v>
      </c>
      <c r="H7" s="2"/>
      <c r="I7" s="504" t="s">
        <v>212</v>
      </c>
      <c r="J7" s="549">
        <v>17680.000110457426</v>
      </c>
    </row>
    <row r="8" spans="1:10" x14ac:dyDescent="0.35">
      <c r="A8" s="2">
        <v>3</v>
      </c>
      <c r="B8" s="71">
        <v>45360</v>
      </c>
      <c r="C8" s="11">
        <v>30000</v>
      </c>
      <c r="D8" s="3">
        <f t="shared" ref="D8:D14" si="0">D7+C8</f>
        <v>170000</v>
      </c>
      <c r="E8" s="2" t="s">
        <v>144</v>
      </c>
      <c r="F8" s="2">
        <v>1</v>
      </c>
      <c r="H8" s="2"/>
      <c r="I8" s="504" t="s">
        <v>213</v>
      </c>
      <c r="J8" s="549">
        <v>26965.226183618128</v>
      </c>
    </row>
    <row r="9" spans="1:10" x14ac:dyDescent="0.35">
      <c r="A9" s="2">
        <v>4</v>
      </c>
      <c r="B9" s="71">
        <v>45380</v>
      </c>
      <c r="C9" s="11">
        <v>150000</v>
      </c>
      <c r="D9" s="3">
        <f t="shared" si="0"/>
        <v>320000</v>
      </c>
      <c r="E9" s="2" t="s">
        <v>144</v>
      </c>
      <c r="F9" s="2">
        <v>1</v>
      </c>
      <c r="H9" s="2"/>
      <c r="I9" s="504" t="s">
        <v>215</v>
      </c>
      <c r="J9" s="549">
        <v>27664.749116037576</v>
      </c>
    </row>
    <row r="10" spans="1:10" x14ac:dyDescent="0.35">
      <c r="A10" s="2">
        <v>5</v>
      </c>
      <c r="B10" s="71">
        <v>45380</v>
      </c>
      <c r="C10" s="11">
        <v>30000</v>
      </c>
      <c r="D10" s="3">
        <f t="shared" si="0"/>
        <v>350000</v>
      </c>
      <c r="E10" s="2" t="s">
        <v>144</v>
      </c>
      <c r="F10" s="2">
        <v>1</v>
      </c>
      <c r="H10" s="2"/>
      <c r="I10" s="504" t="s">
        <v>217</v>
      </c>
      <c r="J10" s="549">
        <v>99990.159773121661</v>
      </c>
    </row>
    <row r="11" spans="1:10" x14ac:dyDescent="0.35">
      <c r="A11" s="2">
        <v>6</v>
      </c>
      <c r="B11" s="71">
        <v>45905</v>
      </c>
      <c r="C11" s="11">
        <v>250000</v>
      </c>
      <c r="D11" s="3">
        <f t="shared" si="0"/>
        <v>600000</v>
      </c>
      <c r="E11" s="2" t="s">
        <v>144</v>
      </c>
      <c r="F11" s="2">
        <v>1</v>
      </c>
      <c r="H11" s="2"/>
      <c r="I11" s="504" t="s">
        <v>219</v>
      </c>
      <c r="J11" s="549">
        <v>32009.835189858961</v>
      </c>
    </row>
    <row r="12" spans="1:10" x14ac:dyDescent="0.35">
      <c r="A12" s="2">
        <v>7</v>
      </c>
      <c r="B12" s="71">
        <v>45909</v>
      </c>
      <c r="C12" s="11">
        <v>100000</v>
      </c>
      <c r="D12" s="3">
        <f t="shared" si="0"/>
        <v>700000</v>
      </c>
      <c r="E12" s="2" t="s">
        <v>30</v>
      </c>
      <c r="F12" s="2">
        <v>1</v>
      </c>
      <c r="H12" s="2"/>
      <c r="I12" s="504" t="s">
        <v>537</v>
      </c>
      <c r="J12" s="549">
        <v>6930.8917733487178</v>
      </c>
    </row>
    <row r="13" spans="1:10" x14ac:dyDescent="0.35">
      <c r="A13" s="2">
        <v>8</v>
      </c>
      <c r="B13" s="71">
        <v>45966</v>
      </c>
      <c r="C13" s="202">
        <f>150000</f>
        <v>150000</v>
      </c>
      <c r="D13" s="3">
        <f t="shared" si="0"/>
        <v>850000</v>
      </c>
      <c r="E13" s="2" t="s">
        <v>30</v>
      </c>
      <c r="F13" s="2">
        <v>2</v>
      </c>
      <c r="H13" s="2"/>
      <c r="I13" s="504" t="s">
        <v>543</v>
      </c>
      <c r="J13" s="549">
        <v>17830.605594203425</v>
      </c>
    </row>
    <row r="14" spans="1:10" x14ac:dyDescent="0.35">
      <c r="A14" s="2">
        <v>9</v>
      </c>
      <c r="B14" s="71">
        <v>45966</v>
      </c>
      <c r="C14" s="202">
        <v>500000</v>
      </c>
      <c r="D14" s="3">
        <f t="shared" si="0"/>
        <v>1350000</v>
      </c>
      <c r="E14" s="2" t="s">
        <v>30</v>
      </c>
      <c r="F14" s="2">
        <v>2</v>
      </c>
      <c r="H14" s="2"/>
      <c r="I14" s="504" t="s">
        <v>681</v>
      </c>
      <c r="J14" s="549">
        <f>'DETAILS (sorted)'!DC50</f>
        <v>29082.971384705874</v>
      </c>
    </row>
    <row r="15" spans="1:10" x14ac:dyDescent="0.35">
      <c r="A15" s="2">
        <v>10</v>
      </c>
      <c r="B15" s="206">
        <v>46001</v>
      </c>
      <c r="C15" s="200">
        <v>300000</v>
      </c>
      <c r="D15" s="3">
        <f t="shared" ref="D15:D25" si="1">D14+C15</f>
        <v>1650000</v>
      </c>
      <c r="E15" s="2" t="s">
        <v>30</v>
      </c>
      <c r="F15" s="2">
        <v>2</v>
      </c>
      <c r="H15" s="2"/>
      <c r="I15" s="504" t="s">
        <v>696</v>
      </c>
      <c r="J15" s="549">
        <f>'DETAILS (sorted)'!DD50</f>
        <v>19691.933912320565</v>
      </c>
    </row>
    <row r="16" spans="1:10" x14ac:dyDescent="0.35">
      <c r="A16" s="2">
        <v>11</v>
      </c>
      <c r="B16" s="71">
        <v>46053</v>
      </c>
      <c r="C16" s="204">
        <v>294949</v>
      </c>
      <c r="D16" s="3">
        <f t="shared" si="1"/>
        <v>1944949</v>
      </c>
      <c r="E16" s="2" t="s">
        <v>30</v>
      </c>
      <c r="F16" s="2">
        <v>2</v>
      </c>
      <c r="H16" s="2"/>
      <c r="I16" s="524" t="s">
        <v>887</v>
      </c>
      <c r="J16" s="549">
        <f>'DETAILS (sorted)'!DF50</f>
        <v>13836.538937975507</v>
      </c>
    </row>
    <row r="17" spans="1:10" x14ac:dyDescent="0.35">
      <c r="A17" s="2">
        <v>12</v>
      </c>
      <c r="B17" s="71">
        <v>46067</v>
      </c>
      <c r="C17" s="232">
        <f>150000</f>
        <v>150000</v>
      </c>
      <c r="D17" s="3">
        <f t="shared" si="1"/>
        <v>2094949</v>
      </c>
      <c r="E17" s="2" t="s">
        <v>30</v>
      </c>
      <c r="F17" s="2">
        <v>2</v>
      </c>
      <c r="H17" s="2"/>
      <c r="I17" s="524" t="s">
        <v>889</v>
      </c>
      <c r="J17" s="549">
        <f>'DETAILS (sorted)'!DG50</f>
        <v>46200.097348786636</v>
      </c>
    </row>
    <row r="18" spans="1:10" x14ac:dyDescent="0.35">
      <c r="A18" s="2">
        <v>13</v>
      </c>
      <c r="B18" s="71">
        <v>46067</v>
      </c>
      <c r="C18" s="232">
        <v>750000</v>
      </c>
      <c r="D18" s="3">
        <f t="shared" si="1"/>
        <v>2844949</v>
      </c>
      <c r="E18" s="2" t="s">
        <v>30</v>
      </c>
      <c r="F18" s="2">
        <v>2</v>
      </c>
      <c r="H18" s="2"/>
      <c r="I18" s="524" t="s">
        <v>891</v>
      </c>
      <c r="J18" s="549">
        <f>'DETAILS (sorted)'!DL50</f>
        <v>16041.489191932005</v>
      </c>
    </row>
    <row r="19" spans="1:10" x14ac:dyDescent="0.35">
      <c r="A19" s="2">
        <v>14</v>
      </c>
      <c r="B19" s="71">
        <v>46067</v>
      </c>
      <c r="C19" s="232">
        <v>100000</v>
      </c>
      <c r="D19" s="3">
        <f t="shared" si="1"/>
        <v>2944949</v>
      </c>
      <c r="E19" s="2" t="s">
        <v>30</v>
      </c>
      <c r="F19" s="2">
        <v>2</v>
      </c>
      <c r="H19" s="2"/>
      <c r="I19" s="524" t="s">
        <v>894</v>
      </c>
      <c r="J19" s="549">
        <f>'DETAILS (sorted)'!DM50</f>
        <v>0</v>
      </c>
    </row>
    <row r="20" spans="1:10" x14ac:dyDescent="0.35">
      <c r="A20" s="2">
        <v>15</v>
      </c>
      <c r="B20" s="71">
        <v>46082</v>
      </c>
      <c r="C20" s="232">
        <f>200000</f>
        <v>200000</v>
      </c>
      <c r="D20" s="3">
        <f t="shared" si="1"/>
        <v>3144949</v>
      </c>
      <c r="E20" s="2" t="s">
        <v>30</v>
      </c>
      <c r="F20" s="2">
        <v>2</v>
      </c>
      <c r="H20" s="2"/>
      <c r="I20" s="524" t="s">
        <v>893</v>
      </c>
      <c r="J20" s="549">
        <f>'DETAILS (sorted)'!DN50</f>
        <v>0</v>
      </c>
    </row>
    <row r="21" spans="1:10" x14ac:dyDescent="0.35">
      <c r="A21" s="2">
        <v>16</v>
      </c>
      <c r="B21" s="71">
        <v>46082</v>
      </c>
      <c r="C21" s="232">
        <v>150000</v>
      </c>
      <c r="D21" s="3">
        <f t="shared" si="1"/>
        <v>3294949</v>
      </c>
      <c r="E21" s="2" t="s">
        <v>30</v>
      </c>
      <c r="F21" s="2">
        <v>2</v>
      </c>
      <c r="H21" s="2"/>
      <c r="I21" s="524" t="s">
        <v>895</v>
      </c>
      <c r="J21" s="549">
        <f>'DETAILS (sorted)'!DO50</f>
        <v>0</v>
      </c>
    </row>
    <row r="22" spans="1:10" x14ac:dyDescent="0.35">
      <c r="A22" s="2">
        <v>17</v>
      </c>
      <c r="B22" s="71">
        <v>46132</v>
      </c>
      <c r="C22" s="3">
        <f>690335</f>
        <v>690335</v>
      </c>
      <c r="D22" s="3">
        <f t="shared" si="1"/>
        <v>3985284</v>
      </c>
      <c r="E22" s="2" t="s">
        <v>30</v>
      </c>
      <c r="F22" s="2">
        <v>2</v>
      </c>
      <c r="H22" s="2"/>
      <c r="I22" s="524" t="s">
        <v>897</v>
      </c>
      <c r="J22" s="549">
        <f>'DETAILS (sorted)'!DQ50</f>
        <v>0</v>
      </c>
    </row>
    <row r="23" spans="1:10" x14ac:dyDescent="0.35">
      <c r="A23" s="2">
        <v>18</v>
      </c>
      <c r="B23" s="71">
        <v>46132</v>
      </c>
      <c r="C23" s="3">
        <v>500000</v>
      </c>
      <c r="D23" s="3">
        <f t="shared" si="1"/>
        <v>4485284</v>
      </c>
      <c r="E23" s="2" t="s">
        <v>30</v>
      </c>
      <c r="F23" s="2">
        <v>2</v>
      </c>
      <c r="H23" s="2"/>
      <c r="I23" s="524" t="s">
        <v>898</v>
      </c>
      <c r="J23" s="549">
        <f>'DETAILS (sorted)'!DR50</f>
        <v>0</v>
      </c>
    </row>
    <row r="24" spans="1:10" x14ac:dyDescent="0.35">
      <c r="A24" s="2">
        <v>19</v>
      </c>
      <c r="B24" s="71">
        <v>46143</v>
      </c>
      <c r="C24" s="3">
        <f>340000</f>
        <v>340000</v>
      </c>
      <c r="D24" s="3">
        <f t="shared" si="1"/>
        <v>4825284</v>
      </c>
      <c r="E24" s="2" t="s">
        <v>30</v>
      </c>
      <c r="F24" s="2">
        <v>2</v>
      </c>
      <c r="H24" s="2"/>
      <c r="I24" s="484"/>
      <c r="J24" s="549"/>
    </row>
    <row r="25" spans="1:10" x14ac:dyDescent="0.35">
      <c r="A25" s="2">
        <v>20</v>
      </c>
      <c r="B25" s="71">
        <v>46143</v>
      </c>
      <c r="C25" s="3">
        <v>335238</v>
      </c>
      <c r="D25" s="3">
        <f t="shared" si="1"/>
        <v>5160522</v>
      </c>
      <c r="E25" s="2" t="s">
        <v>30</v>
      </c>
      <c r="F25" s="2">
        <v>2</v>
      </c>
      <c r="H25" s="2"/>
      <c r="I25" s="484"/>
      <c r="J25" s="549"/>
    </row>
    <row r="26" spans="1:10" x14ac:dyDescent="0.35">
      <c r="A26" s="2">
        <v>21</v>
      </c>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5160522</v>
      </c>
      <c r="D35" s="191">
        <f>C35+J35</f>
        <v>5524852.6460192865</v>
      </c>
      <c r="E35" s="191">
        <f>'DETAILS (sorted)'!DS50</f>
        <v>5682442.5703993607</v>
      </c>
      <c r="F35" s="74">
        <f>D35-E35</f>
        <v>-157589.92438007426</v>
      </c>
      <c r="G35" s="5" t="b">
        <f>D35=E35</f>
        <v>0</v>
      </c>
      <c r="H35" s="74"/>
      <c r="I35" s="544"/>
      <c r="J35" s="548">
        <f>SUM(J6:J34)</f>
        <v>364330.64601928636</v>
      </c>
    </row>
    <row r="37" spans="1:10" x14ac:dyDescent="0.35">
      <c r="C37" s="191" t="s">
        <v>644</v>
      </c>
      <c r="D37" s="191">
        <f>C35+J35</f>
        <v>5524852.6460192865</v>
      </c>
      <c r="E37" s="122">
        <f>D37/D38</f>
        <v>0.36832350973461908</v>
      </c>
      <c r="F37" s="2" t="s">
        <v>652</v>
      </c>
    </row>
    <row r="38" spans="1:10" x14ac:dyDescent="0.35">
      <c r="C38" s="3"/>
      <c r="D38" s="3">
        <v>15000000</v>
      </c>
      <c r="E38" s="122">
        <f>D38/D38</f>
        <v>1</v>
      </c>
      <c r="F38" s="2" t="s">
        <v>654</v>
      </c>
    </row>
    <row r="39" spans="1:10" x14ac:dyDescent="0.35">
      <c r="C39" s="3"/>
      <c r="D39" s="3">
        <f>D37-D38</f>
        <v>-9475147.3539807126</v>
      </c>
      <c r="E39" s="122">
        <f>D39/D38</f>
        <v>-0.63167649026538086</v>
      </c>
      <c r="F39" s="2" t="s">
        <v>653</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5AEFD-25A4-487A-A092-6061C1131E21}">
  <dimension ref="A2:J39"/>
  <sheetViews>
    <sheetView topLeftCell="A2" workbookViewId="0">
      <selection activeCell="N16" sqref="N16"/>
    </sheetView>
  </sheetViews>
  <sheetFormatPr defaultRowHeight="14.5" x14ac:dyDescent="0.35"/>
  <cols>
    <col min="1" max="1" width="8.1796875" bestFit="1" customWidth="1"/>
    <col min="2" max="2" width="15.81640625" bestFit="1" customWidth="1"/>
    <col min="3" max="3" width="11.36328125" style="1" bestFit="1" customWidth="1"/>
    <col min="4" max="4" width="14.453125" style="1" bestFit="1" customWidth="1"/>
    <col min="5" max="5" width="11.26953125" bestFit="1" customWidth="1"/>
    <col min="6" max="6" width="10.1796875" bestFit="1" customWidth="1"/>
    <col min="7" max="7" width="5.90625" bestFit="1" customWidth="1"/>
    <col min="8" max="8" width="4.7265625" bestFit="1" customWidth="1"/>
    <col min="9" max="9" width="22.26953125" style="526" customWidth="1"/>
    <col min="10" max="10" width="11.1796875" style="550" bestFit="1" customWidth="1"/>
    <col min="11" max="11" width="11.90625" bestFit="1" customWidth="1"/>
  </cols>
  <sheetData>
    <row r="2" spans="1:10" s="5" customFormat="1" ht="28" customHeight="1" x14ac:dyDescent="0.35">
      <c r="A2" s="74" t="s">
        <v>190</v>
      </c>
      <c r="B2" s="191" t="s">
        <v>0</v>
      </c>
      <c r="C2" s="191"/>
      <c r="D2" s="74" t="s">
        <v>1</v>
      </c>
      <c r="E2" s="75" t="s">
        <v>2</v>
      </c>
      <c r="F2" s="74"/>
      <c r="G2" s="74"/>
      <c r="H2" s="74"/>
      <c r="I2" s="544"/>
      <c r="J2" s="548"/>
    </row>
    <row r="3" spans="1:10" s="1" customFormat="1" ht="28" x14ac:dyDescent="0.35">
      <c r="A3" s="210" t="s">
        <v>284</v>
      </c>
      <c r="B3" s="7" t="s">
        <v>78</v>
      </c>
      <c r="C3" s="7"/>
      <c r="D3" s="71"/>
      <c r="E3" s="11"/>
      <c r="F3" s="11"/>
      <c r="G3" s="71"/>
      <c r="H3" s="11"/>
      <c r="I3" s="545"/>
      <c r="J3" s="55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45392</v>
      </c>
      <c r="C6" s="11">
        <v>90000</v>
      </c>
      <c r="D6" s="3">
        <f>C6</f>
        <v>90000</v>
      </c>
      <c r="E6" s="2" t="s">
        <v>144</v>
      </c>
      <c r="F6" s="2">
        <v>1</v>
      </c>
      <c r="H6" s="2"/>
      <c r="I6" s="503" t="s">
        <v>210</v>
      </c>
      <c r="J6" s="549">
        <v>11892.740003336929</v>
      </c>
    </row>
    <row r="7" spans="1:10" x14ac:dyDescent="0.35">
      <c r="A7" s="2">
        <v>2</v>
      </c>
      <c r="B7" s="71">
        <v>45392</v>
      </c>
      <c r="C7" s="11">
        <v>130000</v>
      </c>
      <c r="D7" s="3">
        <f>D6+C7</f>
        <v>220000</v>
      </c>
      <c r="E7" s="2" t="s">
        <v>144</v>
      </c>
      <c r="F7" s="2">
        <v>1</v>
      </c>
      <c r="H7" s="2"/>
      <c r="I7" s="504" t="s">
        <v>212</v>
      </c>
      <c r="J7" s="549">
        <v>10477.037102493292</v>
      </c>
    </row>
    <row r="8" spans="1:10" x14ac:dyDescent="0.35">
      <c r="A8" s="2">
        <v>3</v>
      </c>
      <c r="B8" s="71">
        <v>45524</v>
      </c>
      <c r="C8" s="11">
        <v>80000</v>
      </c>
      <c r="D8" s="3">
        <f t="shared" ref="D8:D11" si="0">D7+C8</f>
        <v>300000</v>
      </c>
      <c r="E8" s="2" t="s">
        <v>144</v>
      </c>
      <c r="F8" s="2">
        <v>1</v>
      </c>
      <c r="H8" s="2"/>
      <c r="I8" s="504" t="s">
        <v>213</v>
      </c>
      <c r="J8" s="549">
        <v>15979.39329399593</v>
      </c>
    </row>
    <row r="9" spans="1:10" x14ac:dyDescent="0.35">
      <c r="A9" s="2">
        <v>4</v>
      </c>
      <c r="B9" s="71">
        <v>45529</v>
      </c>
      <c r="C9" s="11">
        <v>270000</v>
      </c>
      <c r="D9" s="3">
        <f t="shared" si="0"/>
        <v>570000</v>
      </c>
      <c r="E9" s="2" t="s">
        <v>144</v>
      </c>
      <c r="F9" s="2">
        <v>1</v>
      </c>
      <c r="H9" s="2"/>
      <c r="I9" s="504" t="s">
        <v>215</v>
      </c>
      <c r="J9" s="549">
        <v>11379.115489830356</v>
      </c>
    </row>
    <row r="10" spans="1:10" x14ac:dyDescent="0.35">
      <c r="A10" s="2">
        <v>5</v>
      </c>
      <c r="B10" s="71">
        <v>45530</v>
      </c>
      <c r="C10" s="11">
        <v>230000</v>
      </c>
      <c r="D10" s="3">
        <f t="shared" si="0"/>
        <v>800000</v>
      </c>
      <c r="E10" s="2" t="s">
        <v>144</v>
      </c>
      <c r="F10" s="2">
        <v>1</v>
      </c>
      <c r="H10" s="2"/>
      <c r="I10" s="504" t="s">
        <v>217</v>
      </c>
      <c r="J10" s="549">
        <v>27162.483227552439</v>
      </c>
    </row>
    <row r="11" spans="1:10" x14ac:dyDescent="0.35">
      <c r="A11" s="2">
        <v>6</v>
      </c>
      <c r="B11" s="71">
        <v>46093</v>
      </c>
      <c r="C11" s="3">
        <v>500000</v>
      </c>
      <c r="D11" s="3">
        <f t="shared" si="0"/>
        <v>1300000</v>
      </c>
      <c r="E11" s="3" t="s">
        <v>30</v>
      </c>
      <c r="F11" s="2">
        <v>2</v>
      </c>
      <c r="H11" s="2"/>
      <c r="I11" s="504" t="s">
        <v>219</v>
      </c>
      <c r="J11" s="549">
        <v>12629.265505116058</v>
      </c>
    </row>
    <row r="12" spans="1:10" x14ac:dyDescent="0.35">
      <c r="A12" s="2">
        <v>7</v>
      </c>
      <c r="B12" s="71"/>
      <c r="C12" s="3"/>
      <c r="D12" s="3"/>
      <c r="E12" s="3"/>
      <c r="F12" s="2"/>
      <c r="H12" s="2"/>
      <c r="I12" s="504" t="s">
        <v>537</v>
      </c>
      <c r="J12" s="549">
        <v>2008.826933891663</v>
      </c>
    </row>
    <row r="13" spans="1:10" x14ac:dyDescent="0.35">
      <c r="A13" s="2">
        <v>8</v>
      </c>
      <c r="B13" s="71"/>
      <c r="C13" s="3"/>
      <c r="D13" s="3"/>
      <c r="E13" s="3"/>
      <c r="F13" s="2"/>
      <c r="H13" s="2"/>
      <c r="I13" s="504" t="s">
        <v>543</v>
      </c>
      <c r="J13" s="549">
        <v>5167.9642297933542</v>
      </c>
    </row>
    <row r="14" spans="1:10" ht="24.5" x14ac:dyDescent="0.35">
      <c r="A14" s="2">
        <v>9</v>
      </c>
      <c r="B14" s="71"/>
      <c r="C14" s="3"/>
      <c r="D14" s="3"/>
      <c r="E14" s="3"/>
      <c r="F14" s="2"/>
      <c r="H14" s="2"/>
      <c r="I14" s="504" t="s">
        <v>681</v>
      </c>
      <c r="J14" s="549">
        <f>'DETAILS (sorted)'!DC51</f>
        <v>7326.3640383894572</v>
      </c>
    </row>
    <row r="15" spans="1:10" x14ac:dyDescent="0.35">
      <c r="A15" s="2">
        <v>10</v>
      </c>
      <c r="B15" s="294"/>
      <c r="C15" s="205"/>
      <c r="D15" s="3"/>
      <c r="E15" s="2"/>
      <c r="F15" s="2"/>
      <c r="H15" s="2"/>
      <c r="I15" s="504" t="s">
        <v>696</v>
      </c>
      <c r="J15" s="549">
        <f>'DETAILS (sorted)'!DD51</f>
        <v>4960.6443080790541</v>
      </c>
    </row>
    <row r="16" spans="1:10" x14ac:dyDescent="0.35">
      <c r="A16" s="2">
        <v>11</v>
      </c>
      <c r="B16" s="294"/>
      <c r="C16" s="3"/>
      <c r="D16" s="3"/>
      <c r="E16" s="2"/>
      <c r="F16" s="2"/>
      <c r="H16" s="2"/>
      <c r="I16" s="524" t="s">
        <v>887</v>
      </c>
      <c r="J16" s="549">
        <f>'DETAILS (sorted)'!DF51</f>
        <v>3485.597119703813</v>
      </c>
    </row>
    <row r="17" spans="1:10" x14ac:dyDescent="0.35">
      <c r="A17" s="2">
        <v>12</v>
      </c>
      <c r="B17" s="71"/>
      <c r="C17" s="3"/>
      <c r="D17" s="3"/>
      <c r="E17" s="2"/>
      <c r="F17" s="2"/>
      <c r="H17" s="2"/>
      <c r="I17" s="524" t="s">
        <v>889</v>
      </c>
      <c r="J17" s="549">
        <f>'DETAILS (sorted)'!DG51</f>
        <v>11638.382038371821</v>
      </c>
    </row>
    <row r="18" spans="1:10" x14ac:dyDescent="0.35">
      <c r="A18" s="2">
        <v>13</v>
      </c>
      <c r="B18" s="71"/>
      <c r="C18" s="3"/>
      <c r="D18" s="3"/>
      <c r="E18" s="2"/>
      <c r="F18" s="2"/>
      <c r="H18" s="2"/>
      <c r="I18" s="524" t="s">
        <v>891</v>
      </c>
      <c r="J18" s="549">
        <f>'DETAILS (sorted)'!DL51</f>
        <v>42683.718080740073</v>
      </c>
    </row>
    <row r="19" spans="1:10" x14ac:dyDescent="0.35">
      <c r="A19" s="2">
        <v>14</v>
      </c>
      <c r="B19" s="71"/>
      <c r="C19" s="3"/>
      <c r="D19" s="3"/>
      <c r="E19" s="2"/>
      <c r="F19" s="2"/>
      <c r="H19" s="2"/>
      <c r="I19" s="524" t="s">
        <v>894</v>
      </c>
      <c r="J19" s="549">
        <f>'DETAILS (sorted)'!DM51</f>
        <v>0</v>
      </c>
    </row>
    <row r="20" spans="1:10" x14ac:dyDescent="0.35">
      <c r="A20" s="2">
        <v>15</v>
      </c>
      <c r="B20" s="71"/>
      <c r="C20" s="3"/>
      <c r="D20" s="3"/>
      <c r="E20" s="2"/>
      <c r="F20" s="2"/>
      <c r="H20" s="2"/>
      <c r="I20" s="524" t="s">
        <v>893</v>
      </c>
      <c r="J20" s="549">
        <f>'DETAILS (sorted)'!DN51</f>
        <v>0</v>
      </c>
    </row>
    <row r="21" spans="1:10" x14ac:dyDescent="0.35">
      <c r="A21" s="2">
        <v>16</v>
      </c>
      <c r="B21" s="71"/>
      <c r="C21" s="3"/>
      <c r="D21" s="3"/>
      <c r="E21" s="2"/>
      <c r="F21" s="2"/>
      <c r="H21" s="2"/>
      <c r="I21" s="524" t="s">
        <v>895</v>
      </c>
      <c r="J21" s="549">
        <f>'DETAILS (sorted)'!DO51</f>
        <v>0</v>
      </c>
    </row>
    <row r="22" spans="1:10" x14ac:dyDescent="0.35">
      <c r="A22" s="2"/>
      <c r="B22" s="2"/>
      <c r="C22" s="3"/>
      <c r="D22" s="3"/>
      <c r="E22" s="2"/>
      <c r="F22" s="2"/>
      <c r="H22" s="2"/>
      <c r="I22" s="524" t="s">
        <v>897</v>
      </c>
      <c r="J22" s="549">
        <f>'DETAILS (sorted)'!DQ51</f>
        <v>0</v>
      </c>
    </row>
    <row r="23" spans="1:10" x14ac:dyDescent="0.35">
      <c r="A23" s="2"/>
      <c r="B23" s="2"/>
      <c r="C23" s="3"/>
      <c r="D23" s="3"/>
      <c r="E23" s="2"/>
      <c r="F23" s="2"/>
      <c r="H23" s="2"/>
      <c r="I23" s="524" t="s">
        <v>898</v>
      </c>
      <c r="J23" s="549">
        <f>'DETAILS (sorted)'!DR51</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1300000</v>
      </c>
      <c r="D35" s="191">
        <f>C35+J35</f>
        <v>1466791.5313712943</v>
      </c>
      <c r="E35" s="191">
        <f>'DETAILS (sorted)'!DS51</f>
        <v>15120028.682057185</v>
      </c>
      <c r="F35" s="191">
        <f>D35-E35</f>
        <v>-13653237.150685892</v>
      </c>
      <c r="G35" s="5" t="b">
        <f>D35=E35</f>
        <v>0</v>
      </c>
      <c r="H35" s="74"/>
      <c r="I35" s="544"/>
      <c r="J35" s="548">
        <f>SUM(J6:J34)</f>
        <v>166791.53137129423</v>
      </c>
    </row>
    <row r="37" spans="1:10" x14ac:dyDescent="0.35">
      <c r="C37" s="191" t="s">
        <v>644</v>
      </c>
      <c r="D37" s="191">
        <f>C35+J35</f>
        <v>1466791.5313712943</v>
      </c>
      <c r="E37" s="122">
        <f>D37/D38</f>
        <v>0.36669788284282356</v>
      </c>
      <c r="F37" s="2" t="s">
        <v>652</v>
      </c>
    </row>
    <row r="38" spans="1:10" x14ac:dyDescent="0.35">
      <c r="C38" s="3"/>
      <c r="D38" s="3">
        <v>4000000</v>
      </c>
      <c r="E38" s="122">
        <f>D38/D38</f>
        <v>1</v>
      </c>
      <c r="F38" s="2" t="s">
        <v>654</v>
      </c>
    </row>
    <row r="39" spans="1:10" x14ac:dyDescent="0.35">
      <c r="C39" s="3"/>
      <c r="D39" s="3">
        <f>D37-D38</f>
        <v>-2533208.4686287055</v>
      </c>
      <c r="E39" s="122">
        <f>D39/D38</f>
        <v>-0.63330211715717633</v>
      </c>
      <c r="F39" s="2" t="s">
        <v>653</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D47A1-C723-4EE0-8EB6-50DCE6F5F38B}">
  <dimension ref="A2:J39"/>
  <sheetViews>
    <sheetView topLeftCell="A7" workbookViewId="0">
      <selection activeCell="L11" sqref="L1:R1048576"/>
    </sheetView>
  </sheetViews>
  <sheetFormatPr defaultRowHeight="14.5" x14ac:dyDescent="0.35"/>
  <cols>
    <col min="1" max="1" width="8.1796875" bestFit="1" customWidth="1"/>
    <col min="2" max="2" width="14.26953125" bestFit="1" customWidth="1"/>
    <col min="3" max="3" width="11.36328125" style="1" bestFit="1" customWidth="1"/>
    <col min="4" max="4" width="14.453125" style="1" bestFit="1" customWidth="1"/>
    <col min="5" max="5" width="11.26953125" bestFit="1" customWidth="1"/>
    <col min="6" max="6" width="10.81640625" bestFit="1" customWidth="1"/>
    <col min="7" max="7" width="6.6328125" customWidth="1"/>
    <col min="8" max="8" width="4.7265625" hidden="1" customWidth="1"/>
    <col min="9" max="9" width="24.1796875" bestFit="1" customWidth="1"/>
    <col min="10" max="10" width="10.1796875" style="6" bestFit="1" customWidth="1"/>
  </cols>
  <sheetData>
    <row r="2" spans="1:10" s="5" customFormat="1" x14ac:dyDescent="0.35">
      <c r="A2" s="74" t="s">
        <v>190</v>
      </c>
      <c r="B2" s="191" t="s">
        <v>0</v>
      </c>
      <c r="C2" s="191"/>
      <c r="D2" s="74" t="s">
        <v>1</v>
      </c>
      <c r="E2" s="75" t="s">
        <v>2</v>
      </c>
      <c r="F2" s="74"/>
      <c r="G2" s="74"/>
      <c r="H2" s="74"/>
      <c r="I2" s="74"/>
      <c r="J2" s="63"/>
    </row>
    <row r="3" spans="1:10" s="1" customFormat="1" ht="28" x14ac:dyDescent="0.35">
      <c r="A3" s="210" t="s">
        <v>285</v>
      </c>
      <c r="B3" s="7" t="s">
        <v>62</v>
      </c>
      <c r="C3" s="7"/>
      <c r="D3" s="71"/>
      <c r="E3" s="11"/>
      <c r="F3" s="11"/>
      <c r="G3" s="11"/>
      <c r="H3" s="11"/>
      <c r="I3" s="11"/>
      <c r="J3" s="11"/>
    </row>
    <row r="4" spans="1:10" x14ac:dyDescent="0.35">
      <c r="H4" s="74" t="s">
        <v>643</v>
      </c>
      <c r="I4" s="74" t="s">
        <v>445</v>
      </c>
      <c r="J4" s="63" t="s">
        <v>568</v>
      </c>
    </row>
    <row r="5" spans="1:10" x14ac:dyDescent="0.35">
      <c r="A5" s="74" t="s">
        <v>487</v>
      </c>
      <c r="B5" s="74" t="s">
        <v>2</v>
      </c>
      <c r="C5" s="191" t="s">
        <v>124</v>
      </c>
      <c r="D5" s="191" t="s">
        <v>488</v>
      </c>
      <c r="E5" s="74" t="s">
        <v>489</v>
      </c>
      <c r="F5" s="74" t="s">
        <v>490</v>
      </c>
      <c r="H5" s="2"/>
      <c r="I5" s="2"/>
      <c r="J5" s="10"/>
    </row>
    <row r="6" spans="1:10" x14ac:dyDescent="0.35">
      <c r="A6" s="2">
        <v>1</v>
      </c>
      <c r="B6" s="71">
        <v>45363</v>
      </c>
      <c r="C6" s="11">
        <v>50000</v>
      </c>
      <c r="D6" s="3">
        <f>C6</f>
        <v>50000</v>
      </c>
      <c r="E6" s="2" t="s">
        <v>144</v>
      </c>
      <c r="F6" s="2">
        <v>1</v>
      </c>
      <c r="H6" s="2"/>
      <c r="I6" s="214" t="s">
        <v>210</v>
      </c>
      <c r="J6" s="3">
        <v>743.29625020855804</v>
      </c>
    </row>
    <row r="7" spans="1:10" x14ac:dyDescent="0.35">
      <c r="A7" s="2">
        <v>2</v>
      </c>
      <c r="B7" s="71">
        <v>46099</v>
      </c>
      <c r="C7" s="3">
        <f>1000000</f>
        <v>1000000</v>
      </c>
      <c r="D7" s="3">
        <f>D6+C7</f>
        <v>1050000</v>
      </c>
      <c r="E7" s="2" t="s">
        <v>30</v>
      </c>
      <c r="F7" s="2">
        <v>2</v>
      </c>
      <c r="H7" s="2"/>
      <c r="I7" s="225" t="s">
        <v>212</v>
      </c>
      <c r="J7" s="3">
        <v>654.81481890583075</v>
      </c>
    </row>
    <row r="8" spans="1:10" x14ac:dyDescent="0.35">
      <c r="A8" s="2">
        <v>3</v>
      </c>
      <c r="B8" s="71">
        <v>46099</v>
      </c>
      <c r="C8" s="3">
        <v>150000</v>
      </c>
      <c r="D8" s="3">
        <f t="shared" ref="D8:D9" si="0">D7+C8</f>
        <v>1200000</v>
      </c>
      <c r="E8" s="2" t="s">
        <v>30</v>
      </c>
      <c r="F8" s="2">
        <v>2</v>
      </c>
      <c r="H8" s="2"/>
      <c r="I8" s="225" t="s">
        <v>213</v>
      </c>
      <c r="J8" s="3">
        <v>998.71208087474565</v>
      </c>
    </row>
    <row r="9" spans="1:10" x14ac:dyDescent="0.35">
      <c r="A9" s="2">
        <v>4</v>
      </c>
      <c r="B9" s="71">
        <v>46126</v>
      </c>
      <c r="C9" s="3">
        <v>100000</v>
      </c>
      <c r="D9" s="3">
        <f t="shared" si="0"/>
        <v>1300000</v>
      </c>
      <c r="E9" s="2" t="s">
        <v>30</v>
      </c>
      <c r="F9" s="2">
        <v>2</v>
      </c>
      <c r="H9" s="2"/>
      <c r="I9" s="225" t="s">
        <v>215</v>
      </c>
      <c r="J9" s="3">
        <v>711.19471811439723</v>
      </c>
    </row>
    <row r="10" spans="1:10" x14ac:dyDescent="0.35">
      <c r="A10" s="2">
        <v>5</v>
      </c>
      <c r="B10" s="71">
        <v>46184</v>
      </c>
      <c r="C10" s="3">
        <v>250000</v>
      </c>
      <c r="D10" s="3">
        <f t="shared" ref="D10" si="1">D9+C10</f>
        <v>1550000</v>
      </c>
      <c r="E10" s="2" t="s">
        <v>30</v>
      </c>
      <c r="F10" s="2">
        <v>2</v>
      </c>
      <c r="H10" s="2"/>
      <c r="I10" s="225" t="s">
        <v>217</v>
      </c>
      <c r="J10" s="97">
        <v>1697.6552017220274</v>
      </c>
    </row>
    <row r="11" spans="1:10" x14ac:dyDescent="0.35">
      <c r="A11" s="2">
        <v>6</v>
      </c>
      <c r="B11" s="71">
        <v>46189</v>
      </c>
      <c r="C11" s="3">
        <v>300000</v>
      </c>
      <c r="D11" s="3">
        <f t="shared" ref="D11" si="2">D10+C11</f>
        <v>1850000</v>
      </c>
      <c r="E11" s="2" t="s">
        <v>30</v>
      </c>
      <c r="F11" s="2">
        <v>2</v>
      </c>
      <c r="H11" s="2"/>
      <c r="I11" s="225" t="s">
        <v>219</v>
      </c>
      <c r="J11" s="97">
        <v>11657.783543184054</v>
      </c>
    </row>
    <row r="12" spans="1:10" x14ac:dyDescent="0.35">
      <c r="A12" s="2">
        <v>7</v>
      </c>
      <c r="B12" s="71">
        <v>46198</v>
      </c>
      <c r="C12" s="3">
        <v>300000</v>
      </c>
      <c r="D12" s="3">
        <f t="shared" ref="D12" si="3">D11+C12</f>
        <v>2150000</v>
      </c>
      <c r="E12" s="2" t="s">
        <v>30</v>
      </c>
      <c r="F12" s="2">
        <v>2</v>
      </c>
      <c r="H12" s="2"/>
      <c r="I12" s="225" t="s">
        <v>537</v>
      </c>
      <c r="J12" s="97">
        <v>2008.826933891663</v>
      </c>
    </row>
    <row r="13" spans="1:10" x14ac:dyDescent="0.35">
      <c r="A13" s="2">
        <v>8</v>
      </c>
      <c r="B13" s="71">
        <v>46201</v>
      </c>
      <c r="C13" s="3">
        <v>1150000</v>
      </c>
      <c r="D13" s="3">
        <f t="shared" ref="D13" si="4">D12+C13</f>
        <v>3300000</v>
      </c>
      <c r="E13" s="2" t="s">
        <v>30</v>
      </c>
      <c r="F13" s="2">
        <v>2</v>
      </c>
      <c r="H13" s="2"/>
      <c r="I13" s="225" t="s">
        <v>543</v>
      </c>
      <c r="J13" s="97">
        <v>5167.9642297933542</v>
      </c>
    </row>
    <row r="14" spans="1:10" ht="29" x14ac:dyDescent="0.35">
      <c r="A14" s="2">
        <v>9</v>
      </c>
      <c r="B14" s="294"/>
      <c r="C14" s="3"/>
      <c r="D14" s="3"/>
      <c r="E14" s="2"/>
      <c r="F14" s="2"/>
      <c r="H14" s="2"/>
      <c r="I14" s="225" t="s">
        <v>681</v>
      </c>
      <c r="J14" s="553">
        <v>7326.3640383894572</v>
      </c>
    </row>
    <row r="15" spans="1:10" x14ac:dyDescent="0.35">
      <c r="A15" s="2">
        <v>10</v>
      </c>
      <c r="B15" s="294"/>
      <c r="C15" s="205"/>
      <c r="D15" s="3"/>
      <c r="E15" s="2"/>
      <c r="F15" s="2"/>
      <c r="H15" s="2"/>
      <c r="I15" s="225" t="s">
        <v>696</v>
      </c>
      <c r="J15" s="553">
        <v>4960.6443080790541</v>
      </c>
    </row>
    <row r="16" spans="1:10" x14ac:dyDescent="0.35">
      <c r="A16" s="2">
        <v>11</v>
      </c>
      <c r="B16" s="294"/>
      <c r="C16" s="3"/>
      <c r="D16" s="3"/>
      <c r="E16" s="2"/>
      <c r="F16" s="2"/>
      <c r="H16" s="2"/>
      <c r="I16" s="408" t="s">
        <v>887</v>
      </c>
      <c r="J16" s="554">
        <f>'DETAILS (sorted)'!DF52</f>
        <v>8848.0542269404486</v>
      </c>
    </row>
    <row r="17" spans="1:10" x14ac:dyDescent="0.35">
      <c r="A17" s="2">
        <v>12</v>
      </c>
      <c r="B17" s="71"/>
      <c r="C17" s="3"/>
      <c r="D17" s="3"/>
      <c r="E17" s="2"/>
      <c r="F17" s="2"/>
      <c r="H17" s="2"/>
      <c r="I17" s="408" t="s">
        <v>889</v>
      </c>
      <c r="J17" s="10">
        <f>'DETAILS (sorted)'!DG52</f>
        <v>29543.585174328473</v>
      </c>
    </row>
    <row r="18" spans="1:10" x14ac:dyDescent="0.35">
      <c r="A18" s="2">
        <v>13</v>
      </c>
      <c r="B18" s="71"/>
      <c r="C18" s="3"/>
      <c r="D18" s="3"/>
      <c r="E18" s="2"/>
      <c r="F18" s="2"/>
      <c r="H18" s="2"/>
      <c r="I18" s="408" t="s">
        <v>891</v>
      </c>
      <c r="J18" s="10">
        <f>'DETAILS (sorted)'!DL52</f>
        <v>9650.72607709357</v>
      </c>
    </row>
    <row r="19" spans="1:10" x14ac:dyDescent="0.35">
      <c r="A19" s="2">
        <v>14</v>
      </c>
      <c r="B19" s="71"/>
      <c r="C19" s="3"/>
      <c r="D19" s="3"/>
      <c r="E19" s="2"/>
      <c r="F19" s="2"/>
      <c r="H19" s="2"/>
      <c r="I19" s="408" t="s">
        <v>894</v>
      </c>
      <c r="J19" s="10">
        <f>'DETAILS (sorted)'!DM52</f>
        <v>0</v>
      </c>
    </row>
    <row r="20" spans="1:10" x14ac:dyDescent="0.35">
      <c r="A20" s="2">
        <v>15</v>
      </c>
      <c r="B20" s="71"/>
      <c r="C20" s="3"/>
      <c r="D20" s="3"/>
      <c r="E20" s="2"/>
      <c r="F20" s="2"/>
      <c r="H20" s="2"/>
      <c r="I20" s="408" t="s">
        <v>893</v>
      </c>
      <c r="J20" s="10">
        <f>'DETAILS (sorted)'!DN52</f>
        <v>0</v>
      </c>
    </row>
    <row r="21" spans="1:10" x14ac:dyDescent="0.35">
      <c r="A21" s="2">
        <v>16</v>
      </c>
      <c r="B21" s="71"/>
      <c r="C21" s="3"/>
      <c r="D21" s="3"/>
      <c r="E21" s="2"/>
      <c r="F21" s="2"/>
      <c r="H21" s="2"/>
      <c r="I21" s="408" t="s">
        <v>895</v>
      </c>
      <c r="J21" s="10">
        <f>'DETAILS (sorted)'!DO52</f>
        <v>0</v>
      </c>
    </row>
    <row r="22" spans="1:10" x14ac:dyDescent="0.35">
      <c r="A22" s="2"/>
      <c r="B22" s="2"/>
      <c r="C22" s="3"/>
      <c r="D22" s="3"/>
      <c r="E22" s="2"/>
      <c r="F22" s="2"/>
      <c r="H22" s="2"/>
      <c r="I22" s="408" t="s">
        <v>897</v>
      </c>
      <c r="J22" s="10">
        <f>'DETAILS (sorted)'!DQ52</f>
        <v>0</v>
      </c>
    </row>
    <row r="23" spans="1:10" x14ac:dyDescent="0.35">
      <c r="A23" s="2"/>
      <c r="B23" s="2"/>
      <c r="C23" s="3"/>
      <c r="D23" s="3"/>
      <c r="E23" s="2"/>
      <c r="F23" s="2"/>
      <c r="H23" s="2"/>
      <c r="I23" s="408" t="s">
        <v>898</v>
      </c>
      <c r="J23" s="10">
        <f>'DETAILS (sorted)'!DR52</f>
        <v>0</v>
      </c>
    </row>
    <row r="24" spans="1:10" x14ac:dyDescent="0.35">
      <c r="A24" s="2"/>
      <c r="B24" s="2"/>
      <c r="C24" s="3"/>
      <c r="D24" s="3"/>
      <c r="E24" s="2"/>
      <c r="F24" s="2"/>
      <c r="H24" s="2"/>
      <c r="I24" s="2"/>
      <c r="J24" s="10"/>
    </row>
    <row r="25" spans="1:10" x14ac:dyDescent="0.35">
      <c r="A25" s="2"/>
      <c r="B25" s="2"/>
      <c r="C25" s="3"/>
      <c r="D25" s="3"/>
      <c r="E25" s="2"/>
      <c r="F25" s="2"/>
      <c r="H25" s="2"/>
      <c r="I25" s="2"/>
      <c r="J25" s="10"/>
    </row>
    <row r="26" spans="1:10" x14ac:dyDescent="0.35">
      <c r="A26" s="2"/>
      <c r="B26" s="2"/>
      <c r="C26" s="3"/>
      <c r="D26" s="3"/>
      <c r="E26" s="2"/>
      <c r="F26" s="2"/>
      <c r="H26" s="2"/>
      <c r="I26" s="2"/>
      <c r="J26" s="10"/>
    </row>
    <row r="27" spans="1:10" x14ac:dyDescent="0.35">
      <c r="A27" s="2"/>
      <c r="B27" s="2"/>
      <c r="C27" s="3"/>
      <c r="D27" s="3"/>
      <c r="E27" s="2"/>
      <c r="F27" s="2"/>
      <c r="H27" s="2"/>
      <c r="I27" s="2"/>
      <c r="J27" s="10"/>
    </row>
    <row r="28" spans="1:10" x14ac:dyDescent="0.35">
      <c r="A28" s="2"/>
      <c r="B28" s="2"/>
      <c r="C28" s="3"/>
      <c r="D28" s="3"/>
      <c r="E28" s="2"/>
      <c r="F28" s="2"/>
      <c r="H28" s="2"/>
      <c r="I28" s="2"/>
      <c r="J28" s="10"/>
    </row>
    <row r="29" spans="1:10" x14ac:dyDescent="0.35">
      <c r="A29" s="2"/>
      <c r="B29" s="2"/>
      <c r="C29" s="3"/>
      <c r="D29" s="3"/>
      <c r="E29" s="2"/>
      <c r="F29" s="2"/>
      <c r="H29" s="2"/>
      <c r="I29" s="2"/>
      <c r="J29" s="10"/>
    </row>
    <row r="30" spans="1:10" x14ac:dyDescent="0.35">
      <c r="A30" s="2"/>
      <c r="B30" s="2"/>
      <c r="C30" s="3"/>
      <c r="D30" s="3"/>
      <c r="E30" s="2"/>
      <c r="F30" s="2"/>
      <c r="H30" s="2"/>
      <c r="I30" s="2"/>
      <c r="J30" s="10"/>
    </row>
    <row r="31" spans="1:10" x14ac:dyDescent="0.35">
      <c r="A31" s="2"/>
      <c r="B31" s="2"/>
      <c r="C31" s="3"/>
      <c r="D31" s="3"/>
      <c r="E31" s="2"/>
      <c r="F31" s="2"/>
      <c r="H31" s="2"/>
      <c r="I31" s="2"/>
      <c r="J31" s="10"/>
    </row>
    <row r="32" spans="1:10" x14ac:dyDescent="0.35">
      <c r="A32" s="2"/>
      <c r="B32" s="2"/>
      <c r="C32" s="3"/>
      <c r="D32" s="3"/>
      <c r="E32" s="2"/>
      <c r="F32" s="2"/>
      <c r="H32" s="2"/>
      <c r="I32" s="2"/>
      <c r="J32" s="10"/>
    </row>
    <row r="33" spans="1:10" x14ac:dyDescent="0.35">
      <c r="A33" s="2"/>
      <c r="B33" s="2"/>
      <c r="C33" s="3"/>
      <c r="D33" s="3"/>
      <c r="E33" s="2"/>
      <c r="F33" s="2"/>
      <c r="H33" s="2"/>
      <c r="I33" s="2"/>
      <c r="J33" s="10"/>
    </row>
    <row r="34" spans="1:10" x14ac:dyDescent="0.35">
      <c r="A34" s="2"/>
      <c r="B34" s="2"/>
      <c r="C34" s="3"/>
      <c r="D34" s="3"/>
      <c r="E34" s="2"/>
      <c r="F34" s="2"/>
      <c r="H34" s="2"/>
      <c r="I34" s="2"/>
      <c r="J34" s="10"/>
    </row>
    <row r="35" spans="1:10" s="5" customFormat="1" x14ac:dyDescent="0.35">
      <c r="A35" s="74"/>
      <c r="B35" s="74"/>
      <c r="C35" s="191">
        <f>SUM(C6:C34)</f>
        <v>3300000</v>
      </c>
      <c r="D35" s="191">
        <f>C35+J35</f>
        <v>3383969.6216015257</v>
      </c>
      <c r="E35" s="191">
        <f>'DETAILS (sorted)'!DS52</f>
        <v>3418616.3167021372</v>
      </c>
      <c r="F35" s="191">
        <f>D35-E35</f>
        <v>-34646.695100611541</v>
      </c>
      <c r="G35" s="5" t="b">
        <f>D35=E35</f>
        <v>0</v>
      </c>
      <c r="H35" s="74"/>
      <c r="I35" s="74"/>
      <c r="J35" s="63">
        <f>SUM(J6:J34)</f>
        <v>83969.621601525636</v>
      </c>
    </row>
    <row r="37" spans="1:10" x14ac:dyDescent="0.35">
      <c r="C37" s="191" t="s">
        <v>644</v>
      </c>
      <c r="D37" s="191">
        <f>C35+J35</f>
        <v>3383969.6216015257</v>
      </c>
      <c r="E37" s="122">
        <f>D37/D38</f>
        <v>0.84599240540038145</v>
      </c>
      <c r="F37" s="2" t="s">
        <v>652</v>
      </c>
    </row>
    <row r="38" spans="1:10" x14ac:dyDescent="0.35">
      <c r="C38" s="3"/>
      <c r="D38" s="3">
        <v>4000000</v>
      </c>
      <c r="E38" s="122">
        <f>D38/D38</f>
        <v>1</v>
      </c>
      <c r="F38" s="2" t="s">
        <v>654</v>
      </c>
    </row>
    <row r="39" spans="1:10" x14ac:dyDescent="0.35">
      <c r="C39" s="3"/>
      <c r="D39" s="3">
        <f>D37-D38</f>
        <v>-616030.37839847431</v>
      </c>
      <c r="E39" s="122">
        <f>D39/D38</f>
        <v>-0.15400759459961857</v>
      </c>
      <c r="F39" s="2" t="s">
        <v>653</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FBB5-1A37-4687-B944-C7E472E474FE}">
  <dimension ref="A2:J40"/>
  <sheetViews>
    <sheetView topLeftCell="A6" workbookViewId="0">
      <selection activeCell="L11" sqref="L1:R1048576"/>
    </sheetView>
  </sheetViews>
  <sheetFormatPr defaultRowHeight="14.5" x14ac:dyDescent="0.35"/>
  <cols>
    <col min="1" max="1" width="8.1796875" bestFit="1" customWidth="1"/>
    <col min="2" max="2" width="16.453125" bestFit="1" customWidth="1"/>
    <col min="3" max="3" width="11.36328125" style="1" bestFit="1" customWidth="1"/>
    <col min="4" max="4" width="14.453125" style="1" bestFit="1" customWidth="1"/>
    <col min="5" max="5" width="11.26953125" bestFit="1" customWidth="1"/>
    <col min="6" max="6" width="11.1796875" bestFit="1" customWidth="1"/>
    <col min="7" max="7" width="5.90625" bestFit="1" customWidth="1"/>
    <col min="8" max="8" width="4.7265625" bestFit="1" customWidth="1"/>
    <col min="9" max="9" width="24.1796875" bestFit="1" customWidth="1"/>
    <col min="10" max="10" width="10.1796875" style="6" bestFit="1" customWidth="1"/>
  </cols>
  <sheetData>
    <row r="2" spans="1:10" s="5" customFormat="1" x14ac:dyDescent="0.35">
      <c r="A2" s="74" t="s">
        <v>190</v>
      </c>
      <c r="B2" s="191" t="s">
        <v>0</v>
      </c>
      <c r="C2" s="191"/>
      <c r="D2" s="74" t="s">
        <v>1</v>
      </c>
      <c r="E2" s="75" t="s">
        <v>2</v>
      </c>
      <c r="F2" s="74"/>
      <c r="G2" s="74"/>
      <c r="H2" s="74"/>
      <c r="I2" s="74"/>
      <c r="J2" s="63"/>
    </row>
    <row r="3" spans="1:10" s="1" customFormat="1" ht="28" x14ac:dyDescent="0.35">
      <c r="A3" s="210" t="s">
        <v>286</v>
      </c>
      <c r="B3" s="286" t="s">
        <v>49</v>
      </c>
      <c r="C3" s="7"/>
      <c r="D3" s="71"/>
      <c r="E3" s="11"/>
      <c r="F3" s="11"/>
      <c r="G3" s="11"/>
      <c r="H3" s="11"/>
      <c r="I3" s="11"/>
      <c r="J3" s="11"/>
    </row>
    <row r="4" spans="1:10" x14ac:dyDescent="0.35">
      <c r="H4" s="74" t="s">
        <v>643</v>
      </c>
      <c r="I4" s="74" t="s">
        <v>445</v>
      </c>
      <c r="J4" s="63" t="s">
        <v>568</v>
      </c>
    </row>
    <row r="5" spans="1:10" x14ac:dyDescent="0.35">
      <c r="A5" s="74" t="s">
        <v>487</v>
      </c>
      <c r="B5" s="74" t="s">
        <v>2</v>
      </c>
      <c r="C5" s="191" t="s">
        <v>124</v>
      </c>
      <c r="D5" s="191" t="s">
        <v>488</v>
      </c>
      <c r="E5" s="74" t="s">
        <v>489</v>
      </c>
      <c r="F5" s="74" t="s">
        <v>490</v>
      </c>
      <c r="H5" s="2"/>
      <c r="I5" s="2"/>
      <c r="J5" s="10"/>
    </row>
    <row r="6" spans="1:10" x14ac:dyDescent="0.35">
      <c r="A6" s="2">
        <v>1</v>
      </c>
      <c r="B6" s="71">
        <v>45357</v>
      </c>
      <c r="C6" s="11">
        <v>50000</v>
      </c>
      <c r="D6" s="3">
        <f>C6</f>
        <v>50000</v>
      </c>
      <c r="E6" s="2" t="s">
        <v>144</v>
      </c>
      <c r="F6" s="2">
        <v>1</v>
      </c>
      <c r="H6" s="2"/>
      <c r="I6" s="503" t="s">
        <v>210</v>
      </c>
      <c r="J6" s="3">
        <v>743.29625020855804</v>
      </c>
    </row>
    <row r="7" spans="1:10" x14ac:dyDescent="0.35">
      <c r="A7" s="2">
        <v>2</v>
      </c>
      <c r="B7" s="71">
        <v>46106</v>
      </c>
      <c r="C7" s="3">
        <v>700000</v>
      </c>
      <c r="D7" s="3">
        <f>D6+C7</f>
        <v>750000</v>
      </c>
      <c r="E7" s="2" t="s">
        <v>30</v>
      </c>
      <c r="F7" s="2">
        <v>2</v>
      </c>
      <c r="H7" s="2"/>
      <c r="I7" s="504" t="s">
        <v>212</v>
      </c>
      <c r="J7" s="3">
        <v>654.81481890583075</v>
      </c>
    </row>
    <row r="8" spans="1:10" x14ac:dyDescent="0.35">
      <c r="A8" s="2">
        <v>3</v>
      </c>
      <c r="B8" s="373">
        <v>46152</v>
      </c>
      <c r="C8" s="3">
        <v>1000000</v>
      </c>
      <c r="D8" s="3">
        <f>D7+C8</f>
        <v>1750000</v>
      </c>
      <c r="E8" s="2" t="s">
        <v>30</v>
      </c>
      <c r="F8" s="2">
        <v>2</v>
      </c>
      <c r="H8" s="2"/>
      <c r="I8" s="504" t="s">
        <v>213</v>
      </c>
      <c r="J8" s="3">
        <v>998.71208087474565</v>
      </c>
    </row>
    <row r="9" spans="1:10" x14ac:dyDescent="0.35">
      <c r="A9" s="2">
        <v>4</v>
      </c>
      <c r="B9" s="373">
        <v>46185</v>
      </c>
      <c r="C9" s="3">
        <v>718795</v>
      </c>
      <c r="D9" s="3">
        <f>D8+C9</f>
        <v>2468795</v>
      </c>
      <c r="E9" s="2" t="s">
        <v>30</v>
      </c>
      <c r="F9" s="2">
        <v>2</v>
      </c>
      <c r="H9" s="2"/>
      <c r="I9" s="504" t="s">
        <v>215</v>
      </c>
      <c r="J9" s="3">
        <v>711.19471811439723</v>
      </c>
    </row>
    <row r="10" spans="1:10" x14ac:dyDescent="0.35">
      <c r="A10" s="2">
        <v>5</v>
      </c>
      <c r="B10" s="373">
        <v>46193</v>
      </c>
      <c r="C10" s="3">
        <v>1000000</v>
      </c>
      <c r="D10" s="3">
        <f>D9+C10</f>
        <v>3468795</v>
      </c>
      <c r="E10" s="2" t="s">
        <v>30</v>
      </c>
      <c r="F10" s="2">
        <v>2</v>
      </c>
      <c r="H10" s="2"/>
      <c r="I10" s="504" t="s">
        <v>217</v>
      </c>
      <c r="J10" s="3">
        <v>1697.6552017220274</v>
      </c>
    </row>
    <row r="11" spans="1:10" x14ac:dyDescent="0.35">
      <c r="A11" s="2">
        <v>6</v>
      </c>
      <c r="B11" s="373">
        <v>46198</v>
      </c>
      <c r="C11" s="3">
        <v>800000</v>
      </c>
      <c r="D11" s="3">
        <f>D10+C11</f>
        <v>4268795</v>
      </c>
      <c r="E11" s="2" t="s">
        <v>30</v>
      </c>
      <c r="F11" s="2"/>
      <c r="H11" s="2"/>
      <c r="I11" s="504" t="s">
        <v>219</v>
      </c>
      <c r="J11" s="3">
        <v>7286.1147144900333</v>
      </c>
    </row>
    <row r="12" spans="1:10" x14ac:dyDescent="0.35">
      <c r="A12" s="2">
        <v>7</v>
      </c>
      <c r="B12" s="71"/>
      <c r="C12" s="3"/>
      <c r="D12" s="3"/>
      <c r="E12" s="2"/>
      <c r="F12" s="2"/>
      <c r="H12" s="2"/>
      <c r="I12" s="504" t="s">
        <v>537</v>
      </c>
      <c r="J12" s="3">
        <v>1158.9386157067286</v>
      </c>
    </row>
    <row r="13" spans="1:10" x14ac:dyDescent="0.35">
      <c r="A13" s="2">
        <v>8</v>
      </c>
      <c r="B13" s="294"/>
      <c r="C13" s="3"/>
      <c r="D13" s="3"/>
      <c r="E13" s="2"/>
      <c r="F13" s="2"/>
      <c r="H13" s="2"/>
      <c r="I13" s="504" t="s">
        <v>543</v>
      </c>
      <c r="J13" s="3">
        <v>2981.5178248807806</v>
      </c>
    </row>
    <row r="14" spans="1:10" x14ac:dyDescent="0.35">
      <c r="A14" s="2">
        <v>9</v>
      </c>
      <c r="B14" s="294"/>
      <c r="C14" s="3"/>
      <c r="D14" s="3"/>
      <c r="E14" s="2"/>
      <c r="F14" s="2"/>
      <c r="H14" s="2"/>
      <c r="I14" s="504" t="s">
        <v>681</v>
      </c>
      <c r="J14" s="467">
        <v>9862.4131286011907</v>
      </c>
    </row>
    <row r="15" spans="1:10" x14ac:dyDescent="0.35">
      <c r="A15" s="2">
        <v>10</v>
      </c>
      <c r="B15" s="294"/>
      <c r="C15" s="205"/>
      <c r="D15" s="3"/>
      <c r="E15" s="2"/>
      <c r="F15" s="2"/>
      <c r="H15" s="2"/>
      <c r="I15" s="504" t="s">
        <v>696</v>
      </c>
      <c r="J15" s="467">
        <v>6677.7904147218032</v>
      </c>
    </row>
    <row r="16" spans="1:10" x14ac:dyDescent="0.35">
      <c r="A16" s="2">
        <v>11</v>
      </c>
      <c r="B16" s="294"/>
      <c r="C16" s="3"/>
      <c r="D16" s="3"/>
      <c r="E16" s="2"/>
      <c r="F16" s="2"/>
      <c r="H16" s="2"/>
      <c r="I16" s="408" t="s">
        <v>887</v>
      </c>
      <c r="J16" s="10">
        <f>'DETAILS (sorted)'!DF53</f>
        <v>11445.615043543106</v>
      </c>
    </row>
    <row r="17" spans="1:10" x14ac:dyDescent="0.35">
      <c r="A17" s="2">
        <v>12</v>
      </c>
      <c r="B17" s="71"/>
      <c r="C17" s="3"/>
      <c r="D17" s="3"/>
      <c r="E17" s="2"/>
      <c r="F17" s="2"/>
      <c r="H17" s="2"/>
      <c r="I17" s="408" t="s">
        <v>889</v>
      </c>
      <c r="J17" s="10">
        <f>'DETAILS (sorted)'!DG53</f>
        <v>38216.820810378027</v>
      </c>
    </row>
    <row r="18" spans="1:10" x14ac:dyDescent="0.35">
      <c r="A18" s="2">
        <v>13</v>
      </c>
      <c r="B18" s="71"/>
      <c r="C18" s="3"/>
      <c r="D18" s="3"/>
      <c r="E18" s="2"/>
      <c r="F18" s="2"/>
      <c r="H18" s="2"/>
      <c r="I18" s="408" t="s">
        <v>891</v>
      </c>
      <c r="J18" s="10">
        <f>'DETAILS (sorted)'!DL53</f>
        <v>12444.741888799648</v>
      </c>
    </row>
    <row r="19" spans="1:10" x14ac:dyDescent="0.35">
      <c r="A19" s="2">
        <v>14</v>
      </c>
      <c r="B19" s="71"/>
      <c r="C19" s="3"/>
      <c r="D19" s="3"/>
      <c r="E19" s="2"/>
      <c r="F19" s="2"/>
      <c r="H19" s="2"/>
      <c r="I19" s="408" t="s">
        <v>894</v>
      </c>
      <c r="J19" s="10">
        <f>'DETAILS (sorted)'!DM53</f>
        <v>0</v>
      </c>
    </row>
    <row r="20" spans="1:10" x14ac:dyDescent="0.35">
      <c r="A20" s="2">
        <v>15</v>
      </c>
      <c r="B20" s="71"/>
      <c r="C20" s="3"/>
      <c r="D20" s="3"/>
      <c r="E20" s="2"/>
      <c r="F20" s="2"/>
      <c r="H20" s="2"/>
      <c r="I20" s="408" t="s">
        <v>893</v>
      </c>
      <c r="J20" s="10">
        <f>'DETAILS (sorted)'!DN53</f>
        <v>0</v>
      </c>
    </row>
    <row r="21" spans="1:10" x14ac:dyDescent="0.35">
      <c r="A21" s="2">
        <v>16</v>
      </c>
      <c r="B21" s="71"/>
      <c r="C21" s="3"/>
      <c r="D21" s="3"/>
      <c r="E21" s="2"/>
      <c r="F21" s="2"/>
      <c r="H21" s="2"/>
      <c r="I21" s="408" t="s">
        <v>895</v>
      </c>
      <c r="J21" s="10">
        <f>'DETAILS (sorted)'!DO53</f>
        <v>0</v>
      </c>
    </row>
    <row r="22" spans="1:10" x14ac:dyDescent="0.35">
      <c r="A22" s="2"/>
      <c r="B22" s="2"/>
      <c r="C22" s="3"/>
      <c r="D22" s="3"/>
      <c r="E22" s="2"/>
      <c r="F22" s="2"/>
      <c r="H22" s="2"/>
      <c r="I22" s="408" t="s">
        <v>897</v>
      </c>
      <c r="J22" s="10">
        <f>'DETAILS (sorted)'!DQ53</f>
        <v>0</v>
      </c>
    </row>
    <row r="23" spans="1:10" x14ac:dyDescent="0.35">
      <c r="A23" s="2"/>
      <c r="B23" s="2"/>
      <c r="C23" s="3"/>
      <c r="D23" s="3"/>
      <c r="E23" s="2"/>
      <c r="F23" s="2"/>
      <c r="H23" s="2"/>
      <c r="I23" s="408" t="s">
        <v>898</v>
      </c>
      <c r="J23" s="10">
        <f>'DETAILS (sorted)'!DR53</f>
        <v>0</v>
      </c>
    </row>
    <row r="24" spans="1:10" x14ac:dyDescent="0.35">
      <c r="A24" s="2"/>
      <c r="B24" s="2"/>
      <c r="C24" s="3"/>
      <c r="D24" s="3"/>
      <c r="E24" s="2"/>
      <c r="F24" s="2"/>
      <c r="H24" s="2"/>
      <c r="I24" s="2"/>
      <c r="J24" s="10"/>
    </row>
    <row r="25" spans="1:10" x14ac:dyDescent="0.35">
      <c r="A25" s="2"/>
      <c r="B25" s="2"/>
      <c r="C25" s="3"/>
      <c r="D25" s="3"/>
      <c r="E25" s="2"/>
      <c r="F25" s="2"/>
      <c r="H25" s="2"/>
      <c r="I25" s="2"/>
      <c r="J25" s="10"/>
    </row>
    <row r="26" spans="1:10" x14ac:dyDescent="0.35">
      <c r="A26" s="2"/>
      <c r="B26" s="2"/>
      <c r="C26" s="3"/>
      <c r="D26" s="3"/>
      <c r="E26" s="2"/>
      <c r="F26" s="2"/>
      <c r="H26" s="2"/>
      <c r="I26" s="2"/>
      <c r="J26" s="10"/>
    </row>
    <row r="27" spans="1:10" x14ac:dyDescent="0.35">
      <c r="A27" s="2"/>
      <c r="B27" s="2"/>
      <c r="C27" s="3"/>
      <c r="D27" s="3"/>
      <c r="E27" s="2"/>
      <c r="F27" s="2"/>
      <c r="H27" s="2"/>
      <c r="I27" s="2"/>
      <c r="J27" s="10"/>
    </row>
    <row r="28" spans="1:10" x14ac:dyDescent="0.35">
      <c r="A28" s="2"/>
      <c r="B28" s="2"/>
      <c r="C28" s="3"/>
      <c r="D28" s="3"/>
      <c r="E28" s="2"/>
      <c r="F28" s="2"/>
      <c r="H28" s="2"/>
      <c r="I28" s="2"/>
      <c r="J28" s="10"/>
    </row>
    <row r="29" spans="1:10" x14ac:dyDescent="0.35">
      <c r="A29" s="2"/>
      <c r="B29" s="2"/>
      <c r="C29" s="3"/>
      <c r="D29" s="3"/>
      <c r="E29" s="2"/>
      <c r="F29" s="2"/>
      <c r="H29" s="2"/>
      <c r="I29" s="2"/>
      <c r="J29" s="10"/>
    </row>
    <row r="30" spans="1:10" x14ac:dyDescent="0.35">
      <c r="A30" s="2"/>
      <c r="B30" s="2"/>
      <c r="C30" s="3"/>
      <c r="D30" s="3"/>
      <c r="E30" s="2"/>
      <c r="F30" s="2"/>
      <c r="H30" s="2"/>
      <c r="I30" s="2"/>
      <c r="J30" s="10"/>
    </row>
    <row r="31" spans="1:10" x14ac:dyDescent="0.35">
      <c r="A31" s="2"/>
      <c r="B31" s="2"/>
      <c r="C31" s="3"/>
      <c r="D31" s="3"/>
      <c r="E31" s="2"/>
      <c r="F31" s="2"/>
      <c r="H31" s="2"/>
      <c r="I31" s="2"/>
      <c r="J31" s="10"/>
    </row>
    <row r="32" spans="1:10" x14ac:dyDescent="0.35">
      <c r="A32" s="2"/>
      <c r="B32" s="2"/>
      <c r="C32" s="3"/>
      <c r="D32" s="3"/>
      <c r="E32" s="2"/>
      <c r="F32" s="2"/>
      <c r="H32" s="2"/>
      <c r="I32" s="2"/>
      <c r="J32" s="10"/>
    </row>
    <row r="33" spans="1:10" x14ac:dyDescent="0.35">
      <c r="A33" s="2"/>
      <c r="B33" s="2"/>
      <c r="C33" s="3"/>
      <c r="D33" s="3"/>
      <c r="E33" s="2"/>
      <c r="F33" s="2"/>
      <c r="H33" s="2"/>
      <c r="I33" s="2"/>
      <c r="J33" s="10"/>
    </row>
    <row r="34" spans="1:10" x14ac:dyDescent="0.35">
      <c r="A34" s="2"/>
      <c r="B34" s="2"/>
      <c r="C34" s="3"/>
      <c r="D34" s="3"/>
      <c r="E34" s="2"/>
      <c r="F34" s="2"/>
      <c r="H34" s="2"/>
      <c r="I34" s="2"/>
      <c r="J34" s="10"/>
    </row>
    <row r="35" spans="1:10" s="5" customFormat="1" x14ac:dyDescent="0.35">
      <c r="A35" s="74"/>
      <c r="B35" s="74"/>
      <c r="C35" s="191">
        <f>SUM(C6:C34)</f>
        <v>4268795</v>
      </c>
      <c r="D35" s="191">
        <f>C35+J35</f>
        <v>4363674.6255109468</v>
      </c>
      <c r="E35" s="191">
        <f>'DETAILS (sorted)'!DS53</f>
        <v>4408352.007749619</v>
      </c>
      <c r="F35" s="447">
        <f>D35-E35</f>
        <v>-44677.382238672115</v>
      </c>
      <c r="G35" s="5" t="b">
        <f>D35=E35</f>
        <v>0</v>
      </c>
      <c r="H35" s="74"/>
      <c r="I35" s="74"/>
      <c r="J35" s="191">
        <f>SUM(J6:J34)</f>
        <v>94879.625510946877</v>
      </c>
    </row>
    <row r="37" spans="1:10" x14ac:dyDescent="0.35">
      <c r="C37" s="191" t="s">
        <v>644</v>
      </c>
      <c r="D37" s="191">
        <f>C35+J35</f>
        <v>4363674.6255109468</v>
      </c>
      <c r="E37" s="122">
        <f>D37/D38</f>
        <v>0.43636746255109471</v>
      </c>
      <c r="F37" s="2" t="s">
        <v>652</v>
      </c>
    </row>
    <row r="38" spans="1:10" x14ac:dyDescent="0.35">
      <c r="C38" s="3"/>
      <c r="D38" s="3">
        <v>10000000</v>
      </c>
      <c r="E38" s="122">
        <f>D38/D38</f>
        <v>1</v>
      </c>
      <c r="F38" s="2" t="s">
        <v>654</v>
      </c>
    </row>
    <row r="39" spans="1:10" x14ac:dyDescent="0.35">
      <c r="C39" s="3"/>
      <c r="D39" s="3">
        <f>D37-D38</f>
        <v>-5636325.3744890532</v>
      </c>
      <c r="E39" s="122">
        <f>D39/D38</f>
        <v>-0.56363253744890529</v>
      </c>
      <c r="F39" s="2" t="s">
        <v>653</v>
      </c>
    </row>
    <row r="40" spans="1:10" x14ac:dyDescent="0.35">
      <c r="E40" s="9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4BBC7-1170-449E-B6C1-BDCAF3FEF514}">
  <dimension ref="A2:J39"/>
  <sheetViews>
    <sheetView topLeftCell="D6" workbookViewId="0">
      <selection activeCell="L11" sqref="L1:R1048576"/>
    </sheetView>
  </sheetViews>
  <sheetFormatPr defaultRowHeight="14.5" x14ac:dyDescent="0.35"/>
  <cols>
    <col min="1" max="1" width="8.1796875" bestFit="1" customWidth="1"/>
    <col min="2" max="2" width="16.453125" bestFit="1" customWidth="1"/>
    <col min="3" max="3" width="11.36328125" style="1" bestFit="1" customWidth="1"/>
    <col min="4" max="4" width="14.453125" style="1" bestFit="1" customWidth="1"/>
    <col min="5" max="5" width="12.7265625" bestFit="1" customWidth="1"/>
    <col min="6" max="6" width="13.453125" bestFit="1" customWidth="1"/>
    <col min="7" max="7" width="5.90625" bestFit="1" customWidth="1"/>
    <col min="8" max="8" width="4.7265625" bestFit="1" customWidth="1"/>
    <col min="9" max="9" width="29.1796875" customWidth="1"/>
    <col min="10" max="10" width="10.1796875" style="6" bestFit="1" customWidth="1"/>
    <col min="11" max="12" width="9.1796875" bestFit="1" customWidth="1"/>
    <col min="13" max="31" width="8.81640625" customWidth="1"/>
  </cols>
  <sheetData>
    <row r="2" spans="1:10" s="5" customFormat="1" x14ac:dyDescent="0.35">
      <c r="A2" s="74" t="s">
        <v>190</v>
      </c>
      <c r="B2" s="191" t="s">
        <v>0</v>
      </c>
      <c r="C2" s="191"/>
      <c r="D2" s="74" t="s">
        <v>1</v>
      </c>
      <c r="E2" s="75" t="s">
        <v>2</v>
      </c>
      <c r="F2" s="74"/>
      <c r="G2" s="74"/>
      <c r="H2" s="74"/>
      <c r="I2" s="74"/>
      <c r="J2" s="63"/>
    </row>
    <row r="3" spans="1:10" s="1" customFormat="1" ht="28" x14ac:dyDescent="0.35">
      <c r="A3" s="210" t="s">
        <v>287</v>
      </c>
      <c r="B3" s="7" t="s">
        <v>80</v>
      </c>
      <c r="C3" s="72" t="s">
        <v>81</v>
      </c>
      <c r="D3" s="71"/>
      <c r="E3" s="11"/>
      <c r="F3" s="11"/>
      <c r="G3" s="71"/>
      <c r="H3" s="11"/>
      <c r="I3" s="11"/>
      <c r="J3" s="11"/>
    </row>
    <row r="4" spans="1:10" x14ac:dyDescent="0.35">
      <c r="H4" s="74" t="s">
        <v>643</v>
      </c>
      <c r="I4" s="74" t="s">
        <v>445</v>
      </c>
      <c r="J4" s="63" t="s">
        <v>568</v>
      </c>
    </row>
    <row r="5" spans="1:10" x14ac:dyDescent="0.35">
      <c r="A5" s="74" t="s">
        <v>487</v>
      </c>
      <c r="B5" s="74" t="s">
        <v>2</v>
      </c>
      <c r="C5" s="191" t="s">
        <v>124</v>
      </c>
      <c r="D5" s="191" t="s">
        <v>488</v>
      </c>
      <c r="E5" s="74" t="s">
        <v>489</v>
      </c>
      <c r="F5" s="74" t="s">
        <v>490</v>
      </c>
      <c r="H5" s="2"/>
      <c r="I5" s="2"/>
      <c r="J5" s="10"/>
    </row>
    <row r="6" spans="1:10" x14ac:dyDescent="0.35">
      <c r="A6" s="2">
        <v>1</v>
      </c>
      <c r="B6" s="71">
        <v>45355</v>
      </c>
      <c r="C6" s="7">
        <v>100000</v>
      </c>
      <c r="D6" s="3">
        <f>C6</f>
        <v>100000</v>
      </c>
      <c r="E6" s="2" t="s">
        <v>144</v>
      </c>
      <c r="F6" s="2">
        <v>1</v>
      </c>
      <c r="H6" s="2"/>
      <c r="I6" s="214" t="s">
        <v>210</v>
      </c>
      <c r="J6" s="3">
        <v>2973.1850008342321</v>
      </c>
    </row>
    <row r="7" spans="1:10" x14ac:dyDescent="0.35">
      <c r="A7" s="2">
        <v>2</v>
      </c>
      <c r="B7" s="71">
        <v>45409</v>
      </c>
      <c r="C7" s="11">
        <v>100000</v>
      </c>
      <c r="D7" s="3">
        <f>D6+C7</f>
        <v>200000</v>
      </c>
      <c r="E7" s="2" t="s">
        <v>144</v>
      </c>
      <c r="F7" s="2">
        <v>1</v>
      </c>
      <c r="H7" s="2"/>
      <c r="I7" s="225" t="s">
        <v>212</v>
      </c>
      <c r="J7" s="3">
        <v>2619.259275623323</v>
      </c>
    </row>
    <row r="8" spans="1:10" x14ac:dyDescent="0.35">
      <c r="A8" s="2">
        <v>3</v>
      </c>
      <c r="B8" s="71">
        <v>46104</v>
      </c>
      <c r="C8" s="3">
        <v>1000000</v>
      </c>
      <c r="D8" s="3">
        <f>D7+C8</f>
        <v>1200000</v>
      </c>
      <c r="E8" s="2" t="s">
        <v>30</v>
      </c>
      <c r="F8" s="2">
        <v>2</v>
      </c>
      <c r="H8" s="2"/>
      <c r="I8" s="225" t="s">
        <v>213</v>
      </c>
      <c r="J8" s="3">
        <v>3994.8483234989826</v>
      </c>
    </row>
    <row r="9" spans="1:10" x14ac:dyDescent="0.35">
      <c r="A9" s="2">
        <v>4</v>
      </c>
      <c r="B9" s="71">
        <v>46204</v>
      </c>
      <c r="C9" s="3">
        <v>2500000</v>
      </c>
      <c r="D9" s="3">
        <f>D8+C9</f>
        <v>3700000</v>
      </c>
      <c r="E9" s="2" t="s">
        <v>30</v>
      </c>
      <c r="F9" s="2">
        <v>2</v>
      </c>
      <c r="H9" s="2"/>
      <c r="I9" s="225" t="s">
        <v>215</v>
      </c>
      <c r="J9" s="3">
        <v>2844.7788724575889</v>
      </c>
    </row>
    <row r="10" spans="1:10" x14ac:dyDescent="0.35">
      <c r="A10" s="2">
        <v>5</v>
      </c>
      <c r="B10" s="71"/>
      <c r="C10" s="3"/>
      <c r="D10" s="3"/>
      <c r="E10" s="2"/>
      <c r="F10" s="2"/>
      <c r="H10" s="2"/>
      <c r="I10" s="225" t="s">
        <v>217</v>
      </c>
      <c r="J10" s="3">
        <v>6790.6208068881097</v>
      </c>
    </row>
    <row r="11" spans="1:10" x14ac:dyDescent="0.35">
      <c r="A11" s="2">
        <v>6</v>
      </c>
      <c r="B11" s="71"/>
      <c r="C11" s="3"/>
      <c r="D11" s="3"/>
      <c r="E11" s="2"/>
      <c r="F11" s="2"/>
      <c r="H11" s="2"/>
      <c r="I11" s="225" t="s">
        <v>219</v>
      </c>
      <c r="J11" s="3">
        <v>11657.783543184054</v>
      </c>
    </row>
    <row r="12" spans="1:10" x14ac:dyDescent="0.35">
      <c r="A12" s="2">
        <v>7</v>
      </c>
      <c r="B12" s="71"/>
      <c r="C12" s="3"/>
      <c r="D12" s="3"/>
      <c r="E12" s="2"/>
      <c r="F12" s="2"/>
      <c r="H12" s="2"/>
      <c r="I12" s="225" t="s">
        <v>537</v>
      </c>
      <c r="J12" s="3">
        <v>1854.3017851307657</v>
      </c>
    </row>
    <row r="13" spans="1:10" x14ac:dyDescent="0.35">
      <c r="A13" s="2">
        <v>8</v>
      </c>
      <c r="B13" s="294"/>
      <c r="C13" s="3"/>
      <c r="D13" s="3"/>
      <c r="E13" s="2"/>
      <c r="F13" s="2"/>
      <c r="H13" s="2"/>
      <c r="I13" s="225" t="s">
        <v>543</v>
      </c>
      <c r="J13" s="3">
        <v>4770.4285198092493</v>
      </c>
    </row>
    <row r="14" spans="1:10" x14ac:dyDescent="0.35">
      <c r="A14" s="2">
        <v>9</v>
      </c>
      <c r="B14" s="294"/>
      <c r="C14" s="3"/>
      <c r="D14" s="3"/>
      <c r="E14" s="2"/>
      <c r="F14" s="2"/>
      <c r="H14" s="2"/>
      <c r="I14" s="225" t="s">
        <v>681</v>
      </c>
      <c r="J14" s="466">
        <v>6762.7975738979594</v>
      </c>
    </row>
    <row r="15" spans="1:10" x14ac:dyDescent="0.35">
      <c r="A15" s="2">
        <v>10</v>
      </c>
      <c r="B15" s="294"/>
      <c r="C15" s="205"/>
      <c r="D15" s="3"/>
      <c r="E15" s="2"/>
      <c r="F15" s="2"/>
      <c r="H15" s="2"/>
      <c r="I15" s="225" t="s">
        <v>696</v>
      </c>
      <c r="J15" s="466">
        <v>4579.0562843806647</v>
      </c>
    </row>
    <row r="16" spans="1:10" x14ac:dyDescent="0.35">
      <c r="A16" s="2">
        <v>11</v>
      </c>
      <c r="B16" s="294"/>
      <c r="C16" s="3"/>
      <c r="D16" s="3"/>
      <c r="E16" s="2"/>
      <c r="F16" s="2"/>
      <c r="H16" s="2"/>
      <c r="I16" s="408" t="s">
        <v>887</v>
      </c>
      <c r="J16" s="10">
        <f>'DETAILS (sorted)'!DF54</f>
        <v>3217.4742643419818</v>
      </c>
    </row>
    <row r="17" spans="1:10" x14ac:dyDescent="0.35">
      <c r="A17" s="2">
        <v>12</v>
      </c>
      <c r="B17" s="71"/>
      <c r="C17" s="3"/>
      <c r="D17" s="3"/>
      <c r="E17" s="2"/>
      <c r="F17" s="2"/>
      <c r="H17" s="2"/>
      <c r="I17" s="408" t="s">
        <v>889</v>
      </c>
      <c r="J17" s="10">
        <f>'DETAILS (sorted)'!DG54</f>
        <v>10743.12188157399</v>
      </c>
    </row>
    <row r="18" spans="1:10" x14ac:dyDescent="0.35">
      <c r="A18" s="2">
        <v>13</v>
      </c>
      <c r="B18" s="71"/>
      <c r="C18" s="3"/>
      <c r="D18" s="3"/>
      <c r="E18" s="2"/>
      <c r="F18" s="2"/>
      <c r="H18" s="2"/>
      <c r="I18" s="408" t="s">
        <v>891</v>
      </c>
      <c r="J18" s="10">
        <f>'DETAILS (sorted)'!DL54</f>
        <v>15395.107523450197</v>
      </c>
    </row>
    <row r="19" spans="1:10" x14ac:dyDescent="0.35">
      <c r="A19" s="2">
        <v>14</v>
      </c>
      <c r="B19" s="71"/>
      <c r="C19" s="3"/>
      <c r="D19" s="3"/>
      <c r="E19" s="2"/>
      <c r="F19" s="2"/>
      <c r="H19" s="2"/>
      <c r="I19" s="408" t="s">
        <v>894</v>
      </c>
      <c r="J19" s="10">
        <f>'DETAILS (sorted)'!DM54</f>
        <v>0</v>
      </c>
    </row>
    <row r="20" spans="1:10" x14ac:dyDescent="0.35">
      <c r="A20" s="2">
        <v>15</v>
      </c>
      <c r="B20" s="71"/>
      <c r="C20" s="3"/>
      <c r="D20" s="3"/>
      <c r="E20" s="2"/>
      <c r="F20" s="2"/>
      <c r="H20" s="2"/>
      <c r="I20" s="408" t="s">
        <v>893</v>
      </c>
      <c r="J20" s="10">
        <f>'DETAILS (sorted)'!DN54</f>
        <v>0</v>
      </c>
    </row>
    <row r="21" spans="1:10" x14ac:dyDescent="0.35">
      <c r="A21" s="2">
        <v>16</v>
      </c>
      <c r="B21" s="71"/>
      <c r="C21" s="3"/>
      <c r="D21" s="3"/>
      <c r="E21" s="2"/>
      <c r="F21" s="2"/>
      <c r="H21" s="2"/>
      <c r="I21" s="408" t="s">
        <v>895</v>
      </c>
      <c r="J21" s="10">
        <f>'DETAILS (sorted)'!DO54</f>
        <v>0</v>
      </c>
    </row>
    <row r="22" spans="1:10" x14ac:dyDescent="0.35">
      <c r="A22" s="2"/>
      <c r="B22" s="2"/>
      <c r="C22" s="3"/>
      <c r="D22" s="3"/>
      <c r="E22" s="2"/>
      <c r="F22" s="2"/>
      <c r="H22" s="2"/>
      <c r="I22" s="408" t="s">
        <v>897</v>
      </c>
      <c r="J22" s="10">
        <f>'DETAILS (sorted)'!DQ54</f>
        <v>0</v>
      </c>
    </row>
    <row r="23" spans="1:10" x14ac:dyDescent="0.35">
      <c r="A23" s="2"/>
      <c r="B23" s="2"/>
      <c r="C23" s="3"/>
      <c r="D23" s="3"/>
      <c r="E23" s="2"/>
      <c r="F23" s="2"/>
      <c r="H23" s="2"/>
      <c r="I23" s="408" t="s">
        <v>898</v>
      </c>
      <c r="J23" s="10">
        <f>'DETAILS (sorted)'!DR54</f>
        <v>0</v>
      </c>
    </row>
    <row r="24" spans="1:10" x14ac:dyDescent="0.35">
      <c r="A24" s="2"/>
      <c r="B24" s="2"/>
      <c r="C24" s="3"/>
      <c r="D24" s="3"/>
      <c r="E24" s="2"/>
      <c r="F24" s="2"/>
      <c r="H24" s="2"/>
      <c r="I24" s="2"/>
      <c r="J24" s="10"/>
    </row>
    <row r="25" spans="1:10" x14ac:dyDescent="0.35">
      <c r="A25" s="2"/>
      <c r="B25" s="2"/>
      <c r="C25" s="3"/>
      <c r="D25" s="3"/>
      <c r="E25" s="2"/>
      <c r="F25" s="2"/>
      <c r="H25" s="2"/>
      <c r="I25" s="2"/>
      <c r="J25" s="10"/>
    </row>
    <row r="26" spans="1:10" x14ac:dyDescent="0.35">
      <c r="A26" s="2"/>
      <c r="B26" s="2"/>
      <c r="C26" s="3"/>
      <c r="D26" s="3"/>
      <c r="E26" s="2"/>
      <c r="F26" s="2"/>
      <c r="H26" s="2"/>
      <c r="I26" s="2"/>
      <c r="J26" s="10"/>
    </row>
    <row r="27" spans="1:10" x14ac:dyDescent="0.35">
      <c r="A27" s="2"/>
      <c r="B27" s="2"/>
      <c r="C27" s="3"/>
      <c r="D27" s="3"/>
      <c r="E27" s="2"/>
      <c r="F27" s="2"/>
      <c r="H27" s="2"/>
      <c r="I27" s="2"/>
      <c r="J27" s="10"/>
    </row>
    <row r="28" spans="1:10" x14ac:dyDescent="0.35">
      <c r="A28" s="2"/>
      <c r="B28" s="2"/>
      <c r="C28" s="3"/>
      <c r="D28" s="3"/>
      <c r="E28" s="2"/>
      <c r="F28" s="2"/>
      <c r="H28" s="2"/>
      <c r="I28" s="2"/>
      <c r="J28" s="10"/>
    </row>
    <row r="29" spans="1:10" x14ac:dyDescent="0.35">
      <c r="A29" s="2"/>
      <c r="B29" s="2"/>
      <c r="C29" s="3"/>
      <c r="D29" s="3"/>
      <c r="E29" s="2"/>
      <c r="F29" s="2"/>
      <c r="H29" s="2"/>
      <c r="I29" s="2"/>
      <c r="J29" s="10"/>
    </row>
    <row r="30" spans="1:10" x14ac:dyDescent="0.35">
      <c r="A30" s="2"/>
      <c r="B30" s="2"/>
      <c r="C30" s="3"/>
      <c r="D30" s="3"/>
      <c r="E30" s="2"/>
      <c r="F30" s="2"/>
      <c r="H30" s="2"/>
      <c r="I30" s="2"/>
      <c r="J30" s="10"/>
    </row>
    <row r="31" spans="1:10" x14ac:dyDescent="0.35">
      <c r="A31" s="2"/>
      <c r="B31" s="2"/>
      <c r="C31" s="3"/>
      <c r="D31" s="3"/>
      <c r="E31" s="2"/>
      <c r="F31" s="2"/>
      <c r="H31" s="2"/>
      <c r="I31" s="2"/>
      <c r="J31" s="10"/>
    </row>
    <row r="32" spans="1:10" x14ac:dyDescent="0.35">
      <c r="A32" s="2"/>
      <c r="B32" s="2"/>
      <c r="C32" s="3"/>
      <c r="D32" s="3"/>
      <c r="E32" s="2"/>
      <c r="F32" s="2"/>
      <c r="H32" s="2"/>
      <c r="I32" s="2"/>
      <c r="J32" s="10"/>
    </row>
    <row r="33" spans="1:10" x14ac:dyDescent="0.35">
      <c r="A33" s="2"/>
      <c r="B33" s="2"/>
      <c r="C33" s="3"/>
      <c r="D33" s="3"/>
      <c r="E33" s="2"/>
      <c r="F33" s="2"/>
      <c r="H33" s="2"/>
      <c r="I33" s="2"/>
      <c r="J33" s="10"/>
    </row>
    <row r="34" spans="1:10" x14ac:dyDescent="0.35">
      <c r="A34" s="2"/>
      <c r="B34" s="2"/>
      <c r="C34" s="3"/>
      <c r="D34" s="3"/>
      <c r="E34" s="2"/>
      <c r="F34" s="2"/>
      <c r="H34" s="2"/>
      <c r="I34" s="2"/>
      <c r="J34" s="10"/>
    </row>
    <row r="35" spans="1:10" s="5" customFormat="1" x14ac:dyDescent="0.35">
      <c r="A35" s="74"/>
      <c r="B35" s="74"/>
      <c r="C35" s="191">
        <f>SUM(C6:C34)</f>
        <v>3700000</v>
      </c>
      <c r="D35" s="191">
        <f>C35+J35</f>
        <v>3778202.7636550711</v>
      </c>
      <c r="E35" s="191">
        <f>'DETAILS (sorted)'!DS54</f>
        <v>5453472.1384301092</v>
      </c>
      <c r="F35" s="63">
        <f>D35-E35</f>
        <v>-1675269.3747750381</v>
      </c>
      <c r="G35" s="5" t="b">
        <f>D35=E35</f>
        <v>0</v>
      </c>
      <c r="H35" s="74"/>
      <c r="I35" s="74"/>
      <c r="J35" s="63">
        <f>SUM(J6:J34)</f>
        <v>78202.763655071103</v>
      </c>
    </row>
    <row r="37" spans="1:10" x14ac:dyDescent="0.35">
      <c r="C37" s="191" t="s">
        <v>644</v>
      </c>
      <c r="D37" s="191">
        <f>C35+J35</f>
        <v>3778202.7636550711</v>
      </c>
      <c r="E37" s="122">
        <f>D37/D38</f>
        <v>0.94455069091376775</v>
      </c>
      <c r="F37" s="2" t="s">
        <v>652</v>
      </c>
    </row>
    <row r="38" spans="1:10" x14ac:dyDescent="0.35">
      <c r="C38" s="3"/>
      <c r="D38" s="3">
        <v>4000000</v>
      </c>
      <c r="E38" s="122">
        <f>D38/D38</f>
        <v>1</v>
      </c>
      <c r="F38" s="2" t="s">
        <v>654</v>
      </c>
    </row>
    <row r="39" spans="1:10" x14ac:dyDescent="0.35">
      <c r="C39" s="3"/>
      <c r="D39" s="3">
        <f>D37-D38</f>
        <v>-221797.23634492885</v>
      </c>
      <c r="E39" s="122">
        <f>D39/D38</f>
        <v>-5.5449309086232211E-2</v>
      </c>
      <c r="F39" s="2" t="s">
        <v>653</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33184-DF22-48D1-847A-CA01418C5207}">
  <dimension ref="A2:J39"/>
  <sheetViews>
    <sheetView topLeftCell="B13"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15.453125" bestFit="1" customWidth="1"/>
    <col min="9" max="9" width="22.54296875" customWidth="1"/>
    <col min="10" max="10" width="11.1796875" style="6" bestFit="1" customWidth="1"/>
  </cols>
  <sheetData>
    <row r="2" spans="1:10" s="5" customFormat="1" x14ac:dyDescent="0.35">
      <c r="A2" s="74" t="s">
        <v>190</v>
      </c>
      <c r="B2" s="191" t="s">
        <v>0</v>
      </c>
      <c r="C2" s="191"/>
      <c r="D2" s="74" t="s">
        <v>1</v>
      </c>
      <c r="E2" s="75" t="s">
        <v>2</v>
      </c>
      <c r="F2" s="74"/>
      <c r="G2" s="74"/>
      <c r="H2" s="74"/>
      <c r="I2" s="74"/>
      <c r="J2" s="63"/>
    </row>
    <row r="3" spans="1:10" s="1" customFormat="1" ht="28" x14ac:dyDescent="0.35">
      <c r="A3" s="210" t="s">
        <v>288</v>
      </c>
      <c r="B3" s="7" t="s">
        <v>289</v>
      </c>
      <c r="C3" s="7"/>
      <c r="D3" s="71"/>
      <c r="E3" s="11"/>
      <c r="F3" s="11"/>
      <c r="G3" s="11"/>
      <c r="H3" s="10"/>
      <c r="I3" s="10"/>
      <c r="J3" s="10"/>
    </row>
    <row r="4" spans="1:10" x14ac:dyDescent="0.35">
      <c r="H4" s="74" t="s">
        <v>643</v>
      </c>
      <c r="I4" s="74" t="s">
        <v>445</v>
      </c>
      <c r="J4" s="63" t="s">
        <v>568</v>
      </c>
    </row>
    <row r="5" spans="1:10" x14ac:dyDescent="0.35">
      <c r="A5" s="74" t="s">
        <v>487</v>
      </c>
      <c r="B5" s="74" t="s">
        <v>2</v>
      </c>
      <c r="C5" s="191" t="s">
        <v>124</v>
      </c>
      <c r="D5" s="191" t="s">
        <v>488</v>
      </c>
      <c r="E5" s="74" t="s">
        <v>489</v>
      </c>
      <c r="F5" s="74" t="s">
        <v>490</v>
      </c>
      <c r="H5" s="2"/>
      <c r="I5" s="2"/>
      <c r="J5" s="10"/>
    </row>
    <row r="6" spans="1:10" x14ac:dyDescent="0.35">
      <c r="A6" s="2">
        <v>1</v>
      </c>
      <c r="B6" s="71">
        <v>45360</v>
      </c>
      <c r="C6" s="11">
        <v>120000</v>
      </c>
      <c r="D6" s="3">
        <f>C6</f>
        <v>120000</v>
      </c>
      <c r="E6" s="2" t="s">
        <v>144</v>
      </c>
      <c r="F6" s="2">
        <v>1</v>
      </c>
      <c r="H6" s="2"/>
      <c r="I6" s="214" t="s">
        <v>210</v>
      </c>
      <c r="J6" s="3">
        <v>1783.9110005005393</v>
      </c>
    </row>
    <row r="7" spans="1:10" x14ac:dyDescent="0.35">
      <c r="A7" s="2">
        <v>2</v>
      </c>
      <c r="B7" s="71">
        <v>46080</v>
      </c>
      <c r="C7" s="231">
        <v>300000</v>
      </c>
      <c r="D7" s="3">
        <f>D6+C7</f>
        <v>420000</v>
      </c>
      <c r="E7" s="2" t="s">
        <v>30</v>
      </c>
      <c r="F7" s="2">
        <v>2</v>
      </c>
      <c r="H7" s="2"/>
      <c r="I7" s="225" t="s">
        <v>212</v>
      </c>
      <c r="J7" s="3">
        <v>1571.5555653739937</v>
      </c>
    </row>
    <row r="8" spans="1:10" x14ac:dyDescent="0.35">
      <c r="A8" s="2">
        <v>3</v>
      </c>
      <c r="B8" s="71">
        <v>46105</v>
      </c>
      <c r="C8" s="3">
        <f>520000</f>
        <v>520000</v>
      </c>
      <c r="D8" s="3">
        <f t="shared" ref="D8:D9" si="0">D7+C8</f>
        <v>940000</v>
      </c>
      <c r="E8" s="2" t="s">
        <v>30</v>
      </c>
      <c r="F8" s="2">
        <v>2</v>
      </c>
      <c r="H8" s="2"/>
      <c r="I8" s="225" t="s">
        <v>213</v>
      </c>
      <c r="J8" s="3">
        <v>2396.9089940993895</v>
      </c>
    </row>
    <row r="9" spans="1:10" x14ac:dyDescent="0.35">
      <c r="A9" s="2">
        <v>4</v>
      </c>
      <c r="B9" s="71">
        <v>46105</v>
      </c>
      <c r="C9" s="3">
        <v>75000</v>
      </c>
      <c r="D9" s="3">
        <f t="shared" si="0"/>
        <v>1015000</v>
      </c>
      <c r="E9" s="2" t="s">
        <v>30</v>
      </c>
      <c r="F9" s="2">
        <v>2</v>
      </c>
      <c r="H9" s="2"/>
      <c r="I9" s="225" t="s">
        <v>215</v>
      </c>
      <c r="J9" s="3">
        <v>1706.8673234745534</v>
      </c>
    </row>
    <row r="10" spans="1:10" x14ac:dyDescent="0.35">
      <c r="A10" s="2">
        <v>5</v>
      </c>
      <c r="B10" s="71">
        <v>46122</v>
      </c>
      <c r="C10" s="3">
        <f>1000000</f>
        <v>1000000</v>
      </c>
      <c r="D10" s="3">
        <f t="shared" ref="D10:D14" si="1">D9+C10</f>
        <v>2015000</v>
      </c>
      <c r="E10" s="2" t="s">
        <v>30</v>
      </c>
      <c r="F10" s="2">
        <v>2</v>
      </c>
      <c r="H10" s="2"/>
      <c r="I10" s="225" t="s">
        <v>217</v>
      </c>
      <c r="J10" s="3">
        <v>14260.303694465028</v>
      </c>
    </row>
    <row r="11" spans="1:10" ht="29" x14ac:dyDescent="0.35">
      <c r="A11" s="2">
        <v>6</v>
      </c>
      <c r="B11" s="71">
        <v>46122</v>
      </c>
      <c r="C11" s="3">
        <v>1100000</v>
      </c>
      <c r="D11" s="3">
        <f t="shared" si="1"/>
        <v>3115000</v>
      </c>
      <c r="E11" s="2" t="s">
        <v>30</v>
      </c>
      <c r="F11" s="2">
        <v>2</v>
      </c>
      <c r="H11" s="2"/>
      <c r="I11" s="225" t="s">
        <v>219</v>
      </c>
      <c r="J11" s="3">
        <v>9860.5419136098462</v>
      </c>
    </row>
    <row r="12" spans="1:10" ht="29" x14ac:dyDescent="0.35">
      <c r="A12" s="2">
        <v>7</v>
      </c>
      <c r="B12" s="71">
        <v>46122</v>
      </c>
      <c r="C12" s="3">
        <v>200000</v>
      </c>
      <c r="D12" s="3">
        <f t="shared" si="1"/>
        <v>3315000</v>
      </c>
      <c r="E12" s="2" t="s">
        <v>30</v>
      </c>
      <c r="F12" s="2">
        <v>2</v>
      </c>
      <c r="H12" s="2"/>
      <c r="I12" s="225" t="s">
        <v>537</v>
      </c>
      <c r="J12" s="3">
        <v>5122.5086814237402</v>
      </c>
    </row>
    <row r="13" spans="1:10" x14ac:dyDescent="0.35">
      <c r="A13" s="2">
        <v>8</v>
      </c>
      <c r="B13" s="71">
        <v>46143</v>
      </c>
      <c r="C13" s="3">
        <f>50000</f>
        <v>50000</v>
      </c>
      <c r="D13" s="3">
        <f t="shared" si="1"/>
        <v>3365000</v>
      </c>
      <c r="E13" s="2" t="s">
        <v>30</v>
      </c>
      <c r="F13" s="2">
        <v>2</v>
      </c>
      <c r="H13" s="2"/>
      <c r="I13" s="225" t="s">
        <v>543</v>
      </c>
      <c r="J13" s="3">
        <v>13178.308785973051</v>
      </c>
    </row>
    <row r="14" spans="1:10" ht="29" x14ac:dyDescent="0.35">
      <c r="A14" s="2">
        <v>9</v>
      </c>
      <c r="B14" s="71">
        <v>46154</v>
      </c>
      <c r="C14" s="3">
        <v>150000</v>
      </c>
      <c r="D14" s="3">
        <f t="shared" si="1"/>
        <v>3515000</v>
      </c>
      <c r="E14" s="2" t="s">
        <v>30</v>
      </c>
      <c r="F14" s="2">
        <v>2</v>
      </c>
      <c r="H14" s="2"/>
      <c r="I14" s="225" t="s">
        <v>681</v>
      </c>
      <c r="J14" s="467">
        <v>19809.361226876106</v>
      </c>
    </row>
    <row r="15" spans="1:10" x14ac:dyDescent="0.35">
      <c r="A15" s="2">
        <v>10</v>
      </c>
      <c r="B15" s="294"/>
      <c r="C15" s="205"/>
      <c r="D15" s="3"/>
      <c r="E15" s="2"/>
      <c r="F15" s="2"/>
      <c r="H15" s="2"/>
      <c r="I15" s="225" t="s">
        <v>696</v>
      </c>
      <c r="J15" s="467">
        <v>13412.819032998364</v>
      </c>
    </row>
    <row r="16" spans="1:10" x14ac:dyDescent="0.35">
      <c r="A16" s="2">
        <v>11</v>
      </c>
      <c r="B16" s="294"/>
      <c r="C16" s="3"/>
      <c r="D16" s="3"/>
      <c r="E16" s="2"/>
      <c r="F16" s="2"/>
      <c r="H16" s="2"/>
      <c r="I16" s="408" t="s">
        <v>887</v>
      </c>
      <c r="J16" s="10">
        <f>'DETAILS (sorted)'!DF55</f>
        <v>9424.5183659683862</v>
      </c>
    </row>
    <row r="17" spans="1:10" x14ac:dyDescent="0.35">
      <c r="A17" s="2">
        <v>12</v>
      </c>
      <c r="B17" s="71"/>
      <c r="C17" s="3"/>
      <c r="D17" s="3"/>
      <c r="E17" s="2"/>
      <c r="F17" s="2"/>
      <c r="H17" s="2"/>
      <c r="I17" s="408" t="s">
        <v>889</v>
      </c>
      <c r="J17" s="10">
        <f>'DETAILS (sorted)'!DG55</f>
        <v>31468.39451144381</v>
      </c>
    </row>
    <row r="18" spans="1:10" x14ac:dyDescent="0.35">
      <c r="A18" s="2">
        <v>13</v>
      </c>
      <c r="B18" s="71"/>
      <c r="C18" s="3"/>
      <c r="D18" s="3"/>
      <c r="E18" s="2"/>
      <c r="F18" s="2"/>
      <c r="H18" s="2"/>
      <c r="I18" s="408" t="s">
        <v>891</v>
      </c>
      <c r="J18" s="10">
        <f>'DETAILS (sorted)'!DL55</f>
        <v>10407.716244453772</v>
      </c>
    </row>
    <row r="19" spans="1:10" x14ac:dyDescent="0.35">
      <c r="A19" s="2">
        <v>14</v>
      </c>
      <c r="B19" s="71"/>
      <c r="C19" s="3"/>
      <c r="D19" s="3"/>
      <c r="E19" s="2"/>
      <c r="F19" s="2"/>
      <c r="H19" s="2"/>
      <c r="I19" s="408" t="s">
        <v>894</v>
      </c>
      <c r="J19" s="10">
        <f>'DETAILS (sorted)'!DM55</f>
        <v>0</v>
      </c>
    </row>
    <row r="20" spans="1:10" x14ac:dyDescent="0.35">
      <c r="A20" s="2">
        <v>15</v>
      </c>
      <c r="B20" s="71"/>
      <c r="C20" s="3"/>
      <c r="D20" s="3"/>
      <c r="E20" s="2"/>
      <c r="F20" s="2"/>
      <c r="H20" s="2"/>
      <c r="I20" s="408" t="s">
        <v>893</v>
      </c>
      <c r="J20" s="10">
        <f>'DETAILS (sorted)'!DN55</f>
        <v>0</v>
      </c>
    </row>
    <row r="21" spans="1:10" x14ac:dyDescent="0.35">
      <c r="A21" s="2">
        <v>16</v>
      </c>
      <c r="B21" s="71"/>
      <c r="C21" s="3"/>
      <c r="D21" s="3"/>
      <c r="E21" s="2"/>
      <c r="F21" s="2"/>
      <c r="H21" s="2"/>
      <c r="I21" s="408" t="s">
        <v>895</v>
      </c>
      <c r="J21" s="10">
        <f>'DETAILS (sorted)'!DO55</f>
        <v>0</v>
      </c>
    </row>
    <row r="22" spans="1:10" x14ac:dyDescent="0.35">
      <c r="A22" s="2"/>
      <c r="B22" s="2"/>
      <c r="C22" s="3"/>
      <c r="D22" s="3"/>
      <c r="E22" s="2"/>
      <c r="F22" s="2"/>
      <c r="H22" s="2"/>
      <c r="I22" s="408" t="s">
        <v>897</v>
      </c>
      <c r="J22" s="10">
        <f>'DETAILS (sorted)'!DQ55</f>
        <v>0</v>
      </c>
    </row>
    <row r="23" spans="1:10" x14ac:dyDescent="0.35">
      <c r="A23" s="2"/>
      <c r="B23" s="2"/>
      <c r="C23" s="3"/>
      <c r="D23" s="3"/>
      <c r="E23" s="2"/>
      <c r="F23" s="2"/>
      <c r="H23" s="2"/>
      <c r="I23" s="408" t="s">
        <v>898</v>
      </c>
      <c r="J23" s="10">
        <f>'DETAILS (sorted)'!DR55</f>
        <v>0</v>
      </c>
    </row>
    <row r="24" spans="1:10" x14ac:dyDescent="0.35">
      <c r="A24" s="2"/>
      <c r="B24" s="2"/>
      <c r="C24" s="3"/>
      <c r="D24" s="3"/>
      <c r="E24" s="2"/>
      <c r="F24" s="2"/>
      <c r="H24" s="2"/>
      <c r="I24" s="2"/>
      <c r="J24" s="10"/>
    </row>
    <row r="25" spans="1:10" x14ac:dyDescent="0.35">
      <c r="A25" s="2"/>
      <c r="B25" s="2"/>
      <c r="C25" s="3"/>
      <c r="D25" s="3"/>
      <c r="E25" s="2"/>
      <c r="F25" s="2"/>
      <c r="H25" s="2"/>
      <c r="I25" s="2"/>
      <c r="J25" s="10"/>
    </row>
    <row r="26" spans="1:10" x14ac:dyDescent="0.35">
      <c r="A26" s="2"/>
      <c r="B26" s="2"/>
      <c r="C26" s="3"/>
      <c r="D26" s="3"/>
      <c r="E26" s="2"/>
      <c r="F26" s="2"/>
      <c r="H26" s="2"/>
      <c r="I26" s="2"/>
      <c r="J26" s="10"/>
    </row>
    <row r="27" spans="1:10" x14ac:dyDescent="0.35">
      <c r="A27" s="2"/>
      <c r="B27" s="2"/>
      <c r="C27" s="3"/>
      <c r="D27" s="3"/>
      <c r="E27" s="2"/>
      <c r="F27" s="2"/>
      <c r="H27" s="2"/>
      <c r="I27" s="2"/>
      <c r="J27" s="10"/>
    </row>
    <row r="28" spans="1:10" x14ac:dyDescent="0.35">
      <c r="A28" s="2"/>
      <c r="B28" s="2"/>
      <c r="C28" s="3"/>
      <c r="D28" s="3"/>
      <c r="E28" s="2"/>
      <c r="F28" s="2"/>
      <c r="H28" s="2"/>
      <c r="I28" s="2"/>
      <c r="J28" s="10"/>
    </row>
    <row r="29" spans="1:10" x14ac:dyDescent="0.35">
      <c r="A29" s="2"/>
      <c r="B29" s="2"/>
      <c r="C29" s="3"/>
      <c r="D29" s="3"/>
      <c r="E29" s="2"/>
      <c r="F29" s="2"/>
      <c r="H29" s="2"/>
      <c r="I29" s="2"/>
      <c r="J29" s="10"/>
    </row>
    <row r="30" spans="1:10" x14ac:dyDescent="0.35">
      <c r="A30" s="2"/>
      <c r="B30" s="2"/>
      <c r="C30" s="3"/>
      <c r="D30" s="3"/>
      <c r="E30" s="2"/>
      <c r="F30" s="2"/>
      <c r="H30" s="2"/>
      <c r="I30" s="2"/>
      <c r="J30" s="10"/>
    </row>
    <row r="31" spans="1:10" x14ac:dyDescent="0.35">
      <c r="A31" s="2"/>
      <c r="B31" s="2"/>
      <c r="C31" s="3"/>
      <c r="D31" s="3"/>
      <c r="E31" s="2"/>
      <c r="F31" s="2"/>
      <c r="H31" s="2"/>
      <c r="I31" s="2"/>
      <c r="J31" s="10"/>
    </row>
    <row r="32" spans="1:10" x14ac:dyDescent="0.35">
      <c r="A32" s="2"/>
      <c r="B32" s="2"/>
      <c r="C32" s="3"/>
      <c r="D32" s="3"/>
      <c r="E32" s="2"/>
      <c r="F32" s="2"/>
      <c r="H32" s="2"/>
      <c r="I32" s="2"/>
      <c r="J32" s="10"/>
    </row>
    <row r="33" spans="1:10" x14ac:dyDescent="0.35">
      <c r="A33" s="2"/>
      <c r="B33" s="2"/>
      <c r="C33" s="3"/>
      <c r="D33" s="3"/>
      <c r="E33" s="2"/>
      <c r="F33" s="2"/>
      <c r="H33" s="2"/>
      <c r="I33" s="2"/>
      <c r="J33" s="10"/>
    </row>
    <row r="34" spans="1:10" x14ac:dyDescent="0.35">
      <c r="A34" s="2"/>
      <c r="B34" s="2"/>
      <c r="C34" s="3"/>
      <c r="D34" s="3"/>
      <c r="E34" s="2"/>
      <c r="F34" s="2"/>
      <c r="H34" s="2"/>
      <c r="I34" s="2"/>
      <c r="J34" s="10"/>
    </row>
    <row r="35" spans="1:10" s="5" customFormat="1" x14ac:dyDescent="0.35">
      <c r="A35" s="74"/>
      <c r="B35" s="74"/>
      <c r="C35" s="191">
        <f>SUM(C6:C34)</f>
        <v>3515000</v>
      </c>
      <c r="D35" s="191">
        <f>C35+J35</f>
        <v>3649403.7153406604</v>
      </c>
      <c r="E35" s="191">
        <f>'DETAILS (sorted)'!DS55</f>
        <v>3686768.0513019888</v>
      </c>
      <c r="F35" s="468">
        <f>D35-E35</f>
        <v>-37364.335961328354</v>
      </c>
      <c r="G35" s="5" t="b">
        <f>D35=E35</f>
        <v>0</v>
      </c>
      <c r="H35" s="74"/>
      <c r="I35" s="74"/>
      <c r="J35" s="63">
        <f>SUM(J6:J34)</f>
        <v>134403.71534066059</v>
      </c>
    </row>
    <row r="36" spans="1:10" x14ac:dyDescent="0.35">
      <c r="E36" s="6"/>
    </row>
    <row r="37" spans="1:10" x14ac:dyDescent="0.35">
      <c r="C37" s="63" t="s">
        <v>644</v>
      </c>
      <c r="D37" s="63">
        <f>C35+J35</f>
        <v>3649403.7153406604</v>
      </c>
      <c r="E37" s="122">
        <f>D37/D38</f>
        <v>0.36494037153406605</v>
      </c>
      <c r="F37" s="10" t="s">
        <v>652</v>
      </c>
    </row>
    <row r="38" spans="1:10" x14ac:dyDescent="0.35">
      <c r="C38" s="10"/>
      <c r="D38" s="10">
        <v>10000000</v>
      </c>
      <c r="E38" s="122">
        <f>D38/D38</f>
        <v>1</v>
      </c>
      <c r="F38" s="10" t="s">
        <v>654</v>
      </c>
    </row>
    <row r="39" spans="1:10" x14ac:dyDescent="0.35">
      <c r="C39" s="10"/>
      <c r="D39" s="10">
        <f>D37-D38</f>
        <v>-6350596.2846593391</v>
      </c>
      <c r="E39" s="122">
        <f>D39/D38</f>
        <v>-0.63505962846593389</v>
      </c>
      <c r="F39" s="10" t="s">
        <v>653</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F6BD1-8260-4D5C-B04B-07B832DFC25A}">
  <dimension ref="A2:J39"/>
  <sheetViews>
    <sheetView topLeftCell="A10" workbookViewId="0">
      <selection activeCell="N16" sqref="N16"/>
    </sheetView>
  </sheetViews>
  <sheetFormatPr defaultRowHeight="14.5" x14ac:dyDescent="0.35"/>
  <cols>
    <col min="1" max="1" width="9.90625" customWidth="1"/>
    <col min="2" max="2" width="15" bestFit="1" customWidth="1"/>
    <col min="3" max="3" width="11.81640625" style="1" customWidth="1"/>
    <col min="4" max="4" width="15" style="1" bestFit="1" customWidth="1"/>
    <col min="5" max="5" width="11.7265625" customWidth="1"/>
    <col min="6" max="6" width="9.90625" bestFit="1" customWidth="1"/>
    <col min="7" max="7" width="5.453125" bestFit="1" customWidth="1"/>
    <col min="8" max="8" width="5" hidden="1" customWidth="1"/>
    <col min="9" max="9" width="24.54296875" bestFit="1" customWidth="1"/>
    <col min="10" max="10" width="10.1796875" style="6" bestFit="1" customWidth="1"/>
  </cols>
  <sheetData>
    <row r="2" spans="1:10" s="5" customFormat="1" x14ac:dyDescent="0.35">
      <c r="A2" s="74" t="s">
        <v>190</v>
      </c>
      <c r="B2" s="191" t="s">
        <v>0</v>
      </c>
      <c r="C2" s="191"/>
      <c r="D2" s="74" t="s">
        <v>1</v>
      </c>
      <c r="E2" s="75" t="s">
        <v>2</v>
      </c>
      <c r="F2" s="74"/>
      <c r="G2" s="74"/>
      <c r="H2" s="74"/>
      <c r="I2" s="74"/>
      <c r="J2" s="63"/>
    </row>
    <row r="3" spans="1:10" s="1" customFormat="1" ht="28" customHeight="1" x14ac:dyDescent="0.35">
      <c r="A3" s="210" t="s">
        <v>290</v>
      </c>
      <c r="B3" s="764" t="s">
        <v>976</v>
      </c>
      <c r="C3" s="765"/>
      <c r="D3" s="522"/>
      <c r="E3" s="11"/>
      <c r="F3" s="11"/>
      <c r="G3" s="71"/>
      <c r="H3" s="11"/>
      <c r="I3" s="11"/>
      <c r="J3" s="11"/>
    </row>
    <row r="4" spans="1:10" x14ac:dyDescent="0.35">
      <c r="H4" s="74" t="s">
        <v>643</v>
      </c>
      <c r="I4" s="74" t="s">
        <v>445</v>
      </c>
      <c r="J4" s="63" t="s">
        <v>568</v>
      </c>
    </row>
    <row r="5" spans="1:10" x14ac:dyDescent="0.35">
      <c r="A5" s="74" t="s">
        <v>487</v>
      </c>
      <c r="B5" s="74" t="s">
        <v>2</v>
      </c>
      <c r="C5" s="191" t="s">
        <v>124</v>
      </c>
      <c r="D5" s="191" t="s">
        <v>488</v>
      </c>
      <c r="E5" s="74" t="s">
        <v>489</v>
      </c>
      <c r="F5" s="74" t="s">
        <v>490</v>
      </c>
      <c r="H5" s="2"/>
      <c r="I5" s="2"/>
      <c r="J5" s="10"/>
    </row>
    <row r="6" spans="1:10" x14ac:dyDescent="0.35">
      <c r="A6" s="2">
        <v>1</v>
      </c>
      <c r="B6" s="71">
        <v>45384</v>
      </c>
      <c r="C6" s="11">
        <v>100000</v>
      </c>
      <c r="D6" s="3">
        <f>C6</f>
        <v>100000</v>
      </c>
      <c r="E6" s="2" t="s">
        <v>144</v>
      </c>
      <c r="F6" s="2">
        <v>1</v>
      </c>
      <c r="H6" s="2"/>
      <c r="I6" s="214" t="s">
        <v>210</v>
      </c>
      <c r="J6" s="10">
        <v>1486.5925004171161</v>
      </c>
    </row>
    <row r="7" spans="1:10" x14ac:dyDescent="0.35">
      <c r="A7" s="2">
        <v>2</v>
      </c>
      <c r="B7" s="71">
        <v>46203</v>
      </c>
      <c r="C7" s="3">
        <v>3300000</v>
      </c>
      <c r="D7" s="3">
        <f>D6+C7</f>
        <v>3400000</v>
      </c>
      <c r="E7" s="2" t="s">
        <v>30</v>
      </c>
      <c r="F7" s="2">
        <v>2</v>
      </c>
      <c r="H7" s="2"/>
      <c r="I7" s="225" t="s">
        <v>212</v>
      </c>
      <c r="J7" s="10">
        <v>1309.6296378116615</v>
      </c>
    </row>
    <row r="8" spans="1:10" x14ac:dyDescent="0.35">
      <c r="A8" s="2">
        <v>3</v>
      </c>
      <c r="B8" s="71">
        <v>46207</v>
      </c>
      <c r="C8" s="7">
        <v>2000000</v>
      </c>
      <c r="D8" s="3">
        <f>D7+C8</f>
        <v>5400000</v>
      </c>
      <c r="E8" s="2" t="s">
        <v>30</v>
      </c>
      <c r="F8" s="2">
        <v>2</v>
      </c>
      <c r="H8" s="2"/>
      <c r="I8" s="225" t="s">
        <v>213</v>
      </c>
      <c r="J8" s="10">
        <v>1997.4241617494913</v>
      </c>
    </row>
    <row r="9" spans="1:10" x14ac:dyDescent="0.35">
      <c r="A9" s="2">
        <v>4</v>
      </c>
      <c r="B9" s="71"/>
      <c r="C9" s="3"/>
      <c r="D9" s="3"/>
      <c r="E9" s="2"/>
      <c r="F9" s="2"/>
      <c r="H9" s="2"/>
      <c r="I9" s="225" t="s">
        <v>215</v>
      </c>
      <c r="J9" s="10">
        <v>1422.3894362287945</v>
      </c>
    </row>
    <row r="10" spans="1:10" x14ac:dyDescent="0.35">
      <c r="A10" s="2">
        <v>5</v>
      </c>
      <c r="B10" s="71"/>
      <c r="C10" s="3"/>
      <c r="D10" s="3"/>
      <c r="E10" s="2"/>
      <c r="F10" s="2"/>
      <c r="H10" s="2"/>
      <c r="I10" s="225" t="s">
        <v>217</v>
      </c>
      <c r="J10" s="10">
        <v>3395.3104034440548</v>
      </c>
    </row>
    <row r="11" spans="1:10" x14ac:dyDescent="0.35">
      <c r="A11" s="2">
        <v>6</v>
      </c>
      <c r="B11" s="71"/>
      <c r="C11" s="3"/>
      <c r="D11" s="3"/>
      <c r="E11" s="2"/>
      <c r="F11" s="2"/>
      <c r="H11" s="2"/>
      <c r="I11" s="225" t="s">
        <v>219</v>
      </c>
      <c r="J11" s="10">
        <v>971.48196193200454</v>
      </c>
    </row>
    <row r="12" spans="1:10" x14ac:dyDescent="0.35">
      <c r="A12" s="2">
        <v>7</v>
      </c>
      <c r="B12" s="71"/>
      <c r="C12" s="3"/>
      <c r="D12" s="3"/>
      <c r="E12" s="2"/>
      <c r="F12" s="2"/>
      <c r="H12" s="2"/>
      <c r="I12" s="225" t="s">
        <v>537</v>
      </c>
      <c r="J12" s="10">
        <v>154.52514876089714</v>
      </c>
    </row>
    <row r="13" spans="1:10" x14ac:dyDescent="0.35">
      <c r="A13" s="2">
        <v>8</v>
      </c>
      <c r="B13" s="294"/>
      <c r="C13" s="3"/>
      <c r="D13" s="3"/>
      <c r="E13" s="2"/>
      <c r="F13" s="2"/>
      <c r="H13" s="2"/>
      <c r="I13" s="225" t="s">
        <v>543</v>
      </c>
      <c r="J13" s="10">
        <v>397.53570998410413</v>
      </c>
    </row>
    <row r="14" spans="1:10" ht="29" x14ac:dyDescent="0.35">
      <c r="A14" s="2">
        <v>9</v>
      </c>
      <c r="B14" s="294"/>
      <c r="C14" s="3"/>
      <c r="D14" s="3"/>
      <c r="E14" s="2"/>
      <c r="F14" s="2"/>
      <c r="H14" s="2"/>
      <c r="I14" s="225" t="s">
        <v>681</v>
      </c>
      <c r="J14" s="10">
        <f>'DETAILS (sorted)'!DC56</f>
        <v>563.56646449149662</v>
      </c>
    </row>
    <row r="15" spans="1:10" x14ac:dyDescent="0.35">
      <c r="A15" s="2">
        <v>10</v>
      </c>
      <c r="B15" s="294"/>
      <c r="C15" s="205"/>
      <c r="D15" s="3"/>
      <c r="E15" s="2"/>
      <c r="F15" s="2"/>
      <c r="H15" s="2"/>
      <c r="I15" s="225" t="s">
        <v>696</v>
      </c>
      <c r="J15" s="10">
        <f>'DETAILS (sorted)'!DD56</f>
        <v>381.58802369838872</v>
      </c>
    </row>
    <row r="16" spans="1:10" hidden="1" x14ac:dyDescent="0.35">
      <c r="A16" s="2">
        <v>11</v>
      </c>
      <c r="B16" s="294"/>
      <c r="C16" s="3"/>
      <c r="D16" s="3"/>
      <c r="E16" s="2"/>
      <c r="F16" s="2"/>
      <c r="H16" s="2"/>
      <c r="I16" s="408" t="s">
        <v>887</v>
      </c>
      <c r="J16" s="10">
        <f>'DETAILS (sorted)'!DF56</f>
        <v>9116.1770823022798</v>
      </c>
    </row>
    <row r="17" spans="1:10" hidden="1" x14ac:dyDescent="0.35">
      <c r="A17" s="2">
        <v>12</v>
      </c>
      <c r="B17" s="71"/>
      <c r="C17" s="3"/>
      <c r="D17" s="3"/>
      <c r="E17" s="2"/>
      <c r="F17" s="2"/>
      <c r="H17" s="2"/>
      <c r="I17" s="408" t="s">
        <v>889</v>
      </c>
      <c r="J17" s="10">
        <f>'DETAILS (sorted)'!DG56</f>
        <v>30438.845331126304</v>
      </c>
    </row>
    <row r="18" spans="1:10" hidden="1" x14ac:dyDescent="0.35">
      <c r="A18" s="2">
        <v>13</v>
      </c>
      <c r="B18" s="71"/>
      <c r="C18" s="3"/>
      <c r="D18" s="3"/>
      <c r="E18" s="2"/>
      <c r="F18" s="2"/>
      <c r="H18" s="2"/>
      <c r="I18" s="408" t="s">
        <v>891</v>
      </c>
      <c r="J18" s="10">
        <f>'DETAILS (sorted)'!DL56</f>
        <v>15591.957465162661</v>
      </c>
    </row>
    <row r="19" spans="1:10" hidden="1" x14ac:dyDescent="0.35">
      <c r="A19" s="2">
        <v>14</v>
      </c>
      <c r="B19" s="71"/>
      <c r="C19" s="3"/>
      <c r="D19" s="3"/>
      <c r="E19" s="2"/>
      <c r="F19" s="2"/>
      <c r="H19" s="2"/>
      <c r="I19" s="408" t="s">
        <v>894</v>
      </c>
      <c r="J19" s="10">
        <f>'DETAILS (sorted)'!DM56</f>
        <v>0</v>
      </c>
    </row>
    <row r="20" spans="1:10" hidden="1" x14ac:dyDescent="0.35">
      <c r="A20" s="2">
        <v>15</v>
      </c>
      <c r="B20" s="71"/>
      <c r="C20" s="3"/>
      <c r="D20" s="3"/>
      <c r="E20" s="2"/>
      <c r="F20" s="2"/>
      <c r="H20" s="2"/>
      <c r="I20" s="408" t="s">
        <v>893</v>
      </c>
      <c r="J20" s="10">
        <f>'DETAILS (sorted)'!DN56</f>
        <v>0</v>
      </c>
    </row>
    <row r="21" spans="1:10" hidden="1" x14ac:dyDescent="0.35">
      <c r="A21" s="2">
        <v>16</v>
      </c>
      <c r="B21" s="71"/>
      <c r="C21" s="3"/>
      <c r="D21" s="3"/>
      <c r="E21" s="2"/>
      <c r="F21" s="2"/>
      <c r="H21" s="2"/>
      <c r="I21" s="408" t="s">
        <v>895</v>
      </c>
      <c r="J21" s="10">
        <f>'DETAILS (sorted)'!DO56</f>
        <v>0</v>
      </c>
    </row>
    <row r="22" spans="1:10" hidden="1" x14ac:dyDescent="0.35">
      <c r="A22" s="2"/>
      <c r="B22" s="2"/>
      <c r="C22" s="3"/>
      <c r="D22" s="3"/>
      <c r="E22" s="2"/>
      <c r="F22" s="2"/>
      <c r="H22" s="2"/>
      <c r="I22" s="408" t="s">
        <v>897</v>
      </c>
      <c r="J22" s="10">
        <f>'DETAILS (sorted)'!DQ56</f>
        <v>0</v>
      </c>
    </row>
    <row r="23" spans="1:10" hidden="1" x14ac:dyDescent="0.35">
      <c r="A23" s="2"/>
      <c r="B23" s="2"/>
      <c r="C23" s="3"/>
      <c r="D23" s="3"/>
      <c r="E23" s="2"/>
      <c r="F23" s="2"/>
      <c r="H23" s="2"/>
      <c r="I23" s="408" t="s">
        <v>898</v>
      </c>
      <c r="J23" s="10">
        <f>'DETAILS (sorted)'!DR56</f>
        <v>0</v>
      </c>
    </row>
    <row r="24" spans="1:10" hidden="1" x14ac:dyDescent="0.35">
      <c r="A24" s="2"/>
      <c r="B24" s="2"/>
      <c r="C24" s="3"/>
      <c r="D24" s="3"/>
      <c r="E24" s="2"/>
      <c r="F24" s="2"/>
      <c r="H24" s="2"/>
      <c r="I24" s="2"/>
      <c r="J24" s="10"/>
    </row>
    <row r="25" spans="1:10" hidden="1" x14ac:dyDescent="0.35">
      <c r="A25" s="2"/>
      <c r="B25" s="2"/>
      <c r="C25" s="3"/>
      <c r="D25" s="3"/>
      <c r="E25" s="2"/>
      <c r="F25" s="2"/>
      <c r="H25" s="2"/>
      <c r="I25" s="2"/>
      <c r="J25" s="10"/>
    </row>
    <row r="26" spans="1:10" hidden="1" x14ac:dyDescent="0.35">
      <c r="A26" s="2"/>
      <c r="B26" s="2"/>
      <c r="C26" s="3"/>
      <c r="D26" s="3"/>
      <c r="E26" s="2"/>
      <c r="F26" s="2"/>
      <c r="H26" s="2"/>
      <c r="I26" s="2"/>
      <c r="J26" s="10"/>
    </row>
    <row r="27" spans="1:10" hidden="1" x14ac:dyDescent="0.35">
      <c r="A27" s="2"/>
      <c r="B27" s="2"/>
      <c r="C27" s="3"/>
      <c r="D27" s="3"/>
      <c r="E27" s="2"/>
      <c r="F27" s="2"/>
      <c r="H27" s="2"/>
      <c r="I27" s="2"/>
      <c r="J27" s="10"/>
    </row>
    <row r="28" spans="1:10" hidden="1" x14ac:dyDescent="0.35">
      <c r="A28" s="2"/>
      <c r="B28" s="2"/>
      <c r="C28" s="3"/>
      <c r="D28" s="3"/>
      <c r="E28" s="2"/>
      <c r="F28" s="2"/>
      <c r="H28" s="2"/>
      <c r="I28" s="2"/>
      <c r="J28" s="10"/>
    </row>
    <row r="29" spans="1:10" hidden="1" x14ac:dyDescent="0.35">
      <c r="A29" s="2"/>
      <c r="B29" s="2"/>
      <c r="C29" s="3"/>
      <c r="D29" s="3"/>
      <c r="E29" s="2"/>
      <c r="F29" s="2"/>
      <c r="H29" s="2"/>
      <c r="I29" s="2"/>
      <c r="J29" s="10"/>
    </row>
    <row r="30" spans="1:10" hidden="1" x14ac:dyDescent="0.35">
      <c r="A30" s="2"/>
      <c r="B30" s="2"/>
      <c r="C30" s="3"/>
      <c r="D30" s="3"/>
      <c r="E30" s="2"/>
      <c r="F30" s="2"/>
      <c r="H30" s="2"/>
      <c r="I30" s="2"/>
      <c r="J30" s="10"/>
    </row>
    <row r="31" spans="1:10" hidden="1" x14ac:dyDescent="0.35">
      <c r="A31" s="2"/>
      <c r="B31" s="2"/>
      <c r="C31" s="3"/>
      <c r="D31" s="3"/>
      <c r="E31" s="2"/>
      <c r="F31" s="2"/>
      <c r="H31" s="2"/>
      <c r="I31" s="2"/>
      <c r="J31" s="10"/>
    </row>
    <row r="32" spans="1:10" hidden="1" x14ac:dyDescent="0.35">
      <c r="A32" s="2"/>
      <c r="B32" s="2"/>
      <c r="C32" s="3"/>
      <c r="D32" s="3"/>
      <c r="E32" s="2"/>
      <c r="F32" s="2"/>
      <c r="H32" s="2"/>
      <c r="I32" s="2"/>
      <c r="J32" s="10"/>
    </row>
    <row r="33" spans="1:10" x14ac:dyDescent="0.35">
      <c r="A33" s="2"/>
      <c r="B33" s="2"/>
      <c r="C33" s="3"/>
      <c r="D33" s="3"/>
      <c r="E33" s="2"/>
      <c r="F33" s="2"/>
      <c r="H33" s="2"/>
      <c r="I33" s="2"/>
      <c r="J33" s="10"/>
    </row>
    <row r="34" spans="1:10" x14ac:dyDescent="0.35">
      <c r="A34" s="2"/>
      <c r="B34" s="2"/>
      <c r="C34" s="3"/>
      <c r="D34" s="3"/>
      <c r="E34" s="2"/>
      <c r="F34" s="2"/>
      <c r="H34" s="2"/>
      <c r="I34" s="2"/>
      <c r="J34" s="10"/>
    </row>
    <row r="35" spans="1:10" s="5" customFormat="1" x14ac:dyDescent="0.35">
      <c r="A35" s="74"/>
      <c r="B35" s="74"/>
      <c r="C35" s="191">
        <f>SUM(C6:C34)</f>
        <v>5400000</v>
      </c>
      <c r="D35" s="191">
        <f>C35+J35</f>
        <v>5467227.0233271094</v>
      </c>
      <c r="E35" s="191">
        <f>'DETAILS (sorted)'!DS56</f>
        <v>5523203.1013964452</v>
      </c>
      <c r="F35" s="74">
        <f>D35-E35</f>
        <v>-55976.078069335781</v>
      </c>
      <c r="G35" s="5" t="b">
        <f>D35=E35</f>
        <v>0</v>
      </c>
      <c r="H35" s="74"/>
      <c r="I35" s="74"/>
      <c r="J35" s="63">
        <f>SUM(J6:J34)</f>
        <v>67227.023327109258</v>
      </c>
    </row>
    <row r="37" spans="1:10" x14ac:dyDescent="0.35">
      <c r="C37" s="191" t="s">
        <v>644</v>
      </c>
      <c r="D37" s="191">
        <f>C35+J35</f>
        <v>5467227.0233271094</v>
      </c>
      <c r="E37" s="122">
        <f>D37/D38</f>
        <v>0.36448180155514065</v>
      </c>
      <c r="F37" s="2" t="s">
        <v>652</v>
      </c>
    </row>
    <row r="38" spans="1:10" x14ac:dyDescent="0.35">
      <c r="C38" s="3"/>
      <c r="D38" s="3">
        <v>15000000</v>
      </c>
      <c r="E38" s="122">
        <f>D38/D38</f>
        <v>1</v>
      </c>
      <c r="F38" s="2" t="s">
        <v>654</v>
      </c>
    </row>
    <row r="39" spans="1:10" x14ac:dyDescent="0.35">
      <c r="C39" s="3"/>
      <c r="D39" s="3">
        <f>D37-D38</f>
        <v>-9532772.9766728915</v>
      </c>
      <c r="E39" s="122">
        <f>D39/D38</f>
        <v>-0.63551819844485946</v>
      </c>
      <c r="F39" s="2" t="s">
        <v>653</v>
      </c>
    </row>
  </sheetData>
  <mergeCells count="1">
    <mergeCell ref="B3:C3"/>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7713-008D-416A-847E-1C8136F83867}">
  <dimension ref="A2:L39"/>
  <sheetViews>
    <sheetView topLeftCell="A11" workbookViewId="0">
      <selection activeCell="N16" sqref="N16"/>
    </sheetView>
  </sheetViews>
  <sheetFormatPr defaultRowHeight="14.5" x14ac:dyDescent="0.35"/>
  <cols>
    <col min="1" max="1" width="10.81640625" customWidth="1"/>
    <col min="2" max="2" width="9.54296875" customWidth="1"/>
    <col min="3" max="3" width="11.81640625" style="1" customWidth="1"/>
    <col min="4" max="4" width="14.453125" style="1" bestFit="1" customWidth="1"/>
    <col min="5" max="5" width="11.7265625" customWidth="1"/>
    <col min="6" max="6" width="8.1796875" bestFit="1" customWidth="1"/>
    <col min="7" max="7" width="5.453125" bestFit="1" customWidth="1"/>
    <col min="8" max="8" width="10.1796875" hidden="1" customWidth="1"/>
    <col min="9" max="9" width="24.81640625" customWidth="1"/>
    <col min="10" max="10" width="11.1796875" style="6" bestFit="1" customWidth="1"/>
  </cols>
  <sheetData>
    <row r="2" spans="1:12" s="5" customFormat="1" x14ac:dyDescent="0.35">
      <c r="A2" s="74" t="s">
        <v>190</v>
      </c>
      <c r="B2" s="191" t="s">
        <v>0</v>
      </c>
      <c r="C2" s="191"/>
      <c r="D2" s="74" t="s">
        <v>1</v>
      </c>
      <c r="E2" s="75" t="s">
        <v>2</v>
      </c>
      <c r="F2" s="74"/>
      <c r="G2" s="74"/>
      <c r="H2" s="74"/>
      <c r="I2" s="74"/>
      <c r="J2" s="63"/>
    </row>
    <row r="3" spans="1:12" s="1" customFormat="1" ht="28" x14ac:dyDescent="0.35">
      <c r="A3" s="210" t="s">
        <v>291</v>
      </c>
      <c r="B3" s="764" t="s">
        <v>1287</v>
      </c>
      <c r="C3" s="765"/>
      <c r="D3" s="683"/>
      <c r="E3" s="11"/>
      <c r="F3" s="11"/>
      <c r="G3" s="71"/>
      <c r="H3" s="11"/>
      <c r="I3" s="11"/>
      <c r="J3" s="71"/>
      <c r="L3" s="1" t="s">
        <v>1016</v>
      </c>
    </row>
    <row r="4" spans="1:12" x14ac:dyDescent="0.35">
      <c r="H4" s="74" t="s">
        <v>643</v>
      </c>
      <c r="I4" s="74" t="s">
        <v>445</v>
      </c>
      <c r="J4" s="63" t="s">
        <v>568</v>
      </c>
    </row>
    <row r="5" spans="1:12" x14ac:dyDescent="0.35">
      <c r="A5" s="74" t="s">
        <v>487</v>
      </c>
      <c r="B5" s="74" t="s">
        <v>2</v>
      </c>
      <c r="C5" s="191" t="s">
        <v>124</v>
      </c>
      <c r="D5" s="191" t="s">
        <v>488</v>
      </c>
      <c r="E5" s="74" t="s">
        <v>489</v>
      </c>
      <c r="F5" s="74" t="s">
        <v>490</v>
      </c>
      <c r="H5" s="2"/>
      <c r="I5" s="2"/>
      <c r="J5" s="10"/>
    </row>
    <row r="6" spans="1:12" x14ac:dyDescent="0.35">
      <c r="A6" s="2">
        <v>1</v>
      </c>
      <c r="B6" s="71">
        <v>45356</v>
      </c>
      <c r="C6" s="7">
        <v>100000</v>
      </c>
      <c r="D6" s="3">
        <f>C6</f>
        <v>100000</v>
      </c>
      <c r="E6" s="2" t="s">
        <v>144</v>
      </c>
      <c r="F6" s="2">
        <v>1</v>
      </c>
      <c r="H6" s="2"/>
      <c r="I6" s="503" t="s">
        <v>210</v>
      </c>
      <c r="J6" s="3">
        <v>1486.5925004171161</v>
      </c>
    </row>
    <row r="7" spans="1:12" x14ac:dyDescent="0.35">
      <c r="A7" s="2">
        <v>2</v>
      </c>
      <c r="B7" s="71">
        <v>46217</v>
      </c>
      <c r="C7" s="3">
        <v>2000000</v>
      </c>
      <c r="D7" s="3">
        <f>D6+C7</f>
        <v>2100000</v>
      </c>
      <c r="E7" s="2" t="s">
        <v>30</v>
      </c>
      <c r="F7" s="2">
        <v>2</v>
      </c>
      <c r="H7" s="2"/>
      <c r="I7" s="504" t="s">
        <v>212</v>
      </c>
      <c r="J7" s="3">
        <v>1309.6296378116615</v>
      </c>
    </row>
    <row r="8" spans="1:12" x14ac:dyDescent="0.35">
      <c r="A8" s="2">
        <v>3</v>
      </c>
      <c r="B8" s="71">
        <v>46217</v>
      </c>
      <c r="C8" s="7">
        <v>1500000</v>
      </c>
      <c r="D8" s="3">
        <f>D7+C8</f>
        <v>3600000</v>
      </c>
      <c r="E8" s="2" t="s">
        <v>30</v>
      </c>
      <c r="F8" s="2">
        <v>2</v>
      </c>
      <c r="H8" s="2"/>
      <c r="I8" s="504" t="s">
        <v>213</v>
      </c>
      <c r="J8" s="3">
        <v>1997.4241617494913</v>
      </c>
    </row>
    <row r="9" spans="1:12" x14ac:dyDescent="0.35">
      <c r="A9" s="2"/>
      <c r="B9" s="71"/>
      <c r="C9" s="3"/>
      <c r="D9" s="3"/>
      <c r="E9" s="2"/>
      <c r="F9" s="2"/>
      <c r="H9" s="2"/>
      <c r="I9" s="504" t="s">
        <v>215</v>
      </c>
      <c r="J9" s="3">
        <v>1422.3894362287945</v>
      </c>
    </row>
    <row r="10" spans="1:12" x14ac:dyDescent="0.35">
      <c r="A10" s="2"/>
      <c r="B10" s="71"/>
      <c r="C10" s="3"/>
      <c r="D10" s="3"/>
      <c r="E10" s="2"/>
      <c r="F10" s="2"/>
      <c r="H10" s="2"/>
      <c r="I10" s="504" t="s">
        <v>217</v>
      </c>
      <c r="J10" s="3">
        <v>3395.3104034440548</v>
      </c>
    </row>
    <row r="11" spans="1:12" x14ac:dyDescent="0.35">
      <c r="A11" s="2"/>
      <c r="B11" s="71"/>
      <c r="C11" s="3"/>
      <c r="D11" s="3"/>
      <c r="E11" s="2"/>
      <c r="F11" s="2"/>
      <c r="H11" s="2"/>
      <c r="I11" s="504" t="s">
        <v>219</v>
      </c>
      <c r="J11" s="3">
        <v>971.48196193200454</v>
      </c>
    </row>
    <row r="12" spans="1:12" x14ac:dyDescent="0.35">
      <c r="A12" s="2"/>
      <c r="B12" s="71"/>
      <c r="C12" s="3"/>
      <c r="D12" s="3"/>
      <c r="E12" s="2"/>
      <c r="F12" s="2"/>
      <c r="H12" s="2"/>
      <c r="I12" s="504" t="s">
        <v>537</v>
      </c>
      <c r="J12" s="3">
        <v>154.52514876089714</v>
      </c>
    </row>
    <row r="13" spans="1:12" x14ac:dyDescent="0.35">
      <c r="A13" s="2"/>
      <c r="B13" s="294"/>
      <c r="C13" s="3"/>
      <c r="D13" s="3"/>
      <c r="E13" s="2"/>
      <c r="F13" s="2"/>
      <c r="H13" s="2"/>
      <c r="I13" s="504" t="s">
        <v>543</v>
      </c>
      <c r="J13" s="3">
        <v>397.53570998410413</v>
      </c>
    </row>
    <row r="14" spans="1:12" x14ac:dyDescent="0.35">
      <c r="A14" s="2"/>
      <c r="B14" s="294"/>
      <c r="C14" s="3"/>
      <c r="D14" s="3"/>
      <c r="E14" s="2"/>
      <c r="F14" s="2"/>
      <c r="H14" s="2"/>
      <c r="I14" s="504" t="s">
        <v>681</v>
      </c>
      <c r="J14" s="3">
        <f>'DETAILS (sorted)'!DC57</f>
        <v>563.56646449149662</v>
      </c>
    </row>
    <row r="15" spans="1:12" x14ac:dyDescent="0.35">
      <c r="A15" s="2"/>
      <c r="B15" s="294"/>
      <c r="C15" s="205"/>
      <c r="D15" s="3"/>
      <c r="E15" s="2"/>
      <c r="F15" s="2"/>
      <c r="H15" s="2"/>
      <c r="I15" s="504" t="s">
        <v>696</v>
      </c>
      <c r="J15" s="3">
        <f>'DETAILS (sorted)'!DD57</f>
        <v>381.58802369838872</v>
      </c>
    </row>
    <row r="16" spans="1:12" x14ac:dyDescent="0.35">
      <c r="A16" s="2"/>
      <c r="B16" s="294"/>
      <c r="C16" s="3"/>
      <c r="D16" s="3"/>
      <c r="E16" s="2"/>
      <c r="F16" s="2"/>
      <c r="H16" s="2"/>
      <c r="I16" s="408" t="s">
        <v>887</v>
      </c>
      <c r="J16" s="10">
        <f>'DETAILS (sorted)'!DF57</f>
        <v>268.12285536183174</v>
      </c>
    </row>
    <row r="17" spans="1:10" x14ac:dyDescent="0.35">
      <c r="A17" s="2"/>
      <c r="B17" s="71"/>
      <c r="C17" s="3"/>
      <c r="D17" s="3"/>
      <c r="E17" s="2"/>
      <c r="F17" s="2"/>
      <c r="H17" s="2"/>
      <c r="I17" s="408" t="s">
        <v>889</v>
      </c>
      <c r="J17" s="10">
        <f>'DETAILS (sorted)'!DG57</f>
        <v>895.26015679783245</v>
      </c>
    </row>
    <row r="18" spans="1:10" x14ac:dyDescent="0.35">
      <c r="A18" s="2"/>
      <c r="B18" s="71"/>
      <c r="C18" s="3"/>
      <c r="D18" s="3"/>
      <c r="E18" s="2"/>
      <c r="F18" s="2"/>
      <c r="H18" s="2"/>
      <c r="I18" s="408" t="s">
        <v>891</v>
      </c>
      <c r="J18" s="10">
        <f>'DETAILS (sorted)'!DL57</f>
        <v>10334.062558486035</v>
      </c>
    </row>
    <row r="19" spans="1:10" hidden="1" x14ac:dyDescent="0.35">
      <c r="A19" s="2">
        <v>14</v>
      </c>
      <c r="B19" s="71"/>
      <c r="C19" s="3"/>
      <c r="D19" s="3"/>
      <c r="E19" s="2"/>
      <c r="F19" s="2"/>
      <c r="H19" s="2"/>
      <c r="I19" s="408" t="s">
        <v>894</v>
      </c>
      <c r="J19" s="10">
        <f>'DETAILS (sorted)'!DM57</f>
        <v>0</v>
      </c>
    </row>
    <row r="20" spans="1:10" hidden="1" x14ac:dyDescent="0.35">
      <c r="A20" s="2">
        <v>15</v>
      </c>
      <c r="B20" s="71"/>
      <c r="C20" s="3"/>
      <c r="D20" s="3"/>
      <c r="E20" s="2"/>
      <c r="F20" s="2"/>
      <c r="H20" s="2"/>
      <c r="I20" s="408" t="s">
        <v>893</v>
      </c>
      <c r="J20" s="10">
        <f>'DETAILS (sorted)'!DN57</f>
        <v>0</v>
      </c>
    </row>
    <row r="21" spans="1:10" hidden="1" x14ac:dyDescent="0.35">
      <c r="A21" s="2">
        <v>16</v>
      </c>
      <c r="B21" s="71"/>
      <c r="C21" s="3"/>
      <c r="D21" s="3"/>
      <c r="E21" s="2"/>
      <c r="F21" s="2"/>
      <c r="H21" s="2"/>
      <c r="I21" s="408" t="s">
        <v>895</v>
      </c>
      <c r="J21" s="10">
        <f>'DETAILS (sorted)'!DO57</f>
        <v>0</v>
      </c>
    </row>
    <row r="22" spans="1:10" hidden="1" x14ac:dyDescent="0.35">
      <c r="A22" s="2"/>
      <c r="B22" s="2"/>
      <c r="C22" s="3"/>
      <c r="D22" s="3"/>
      <c r="E22" s="2"/>
      <c r="F22" s="2"/>
      <c r="H22" s="2"/>
      <c r="I22" s="408" t="s">
        <v>897</v>
      </c>
      <c r="J22" s="10">
        <f>'DETAILS (sorted)'!DQ57</f>
        <v>0</v>
      </c>
    </row>
    <row r="23" spans="1:10" hidden="1" x14ac:dyDescent="0.35">
      <c r="A23" s="2"/>
      <c r="B23" s="2"/>
      <c r="C23" s="3"/>
      <c r="D23" s="3"/>
      <c r="E23" s="2"/>
      <c r="F23" s="2"/>
      <c r="H23" s="2"/>
      <c r="I23" s="408" t="s">
        <v>898</v>
      </c>
      <c r="J23" s="10">
        <f>'DETAILS (sorted)'!DR57</f>
        <v>0</v>
      </c>
    </row>
    <row r="24" spans="1:10" hidden="1" x14ac:dyDescent="0.35">
      <c r="A24" s="2"/>
      <c r="B24" s="2"/>
      <c r="C24" s="3"/>
      <c r="D24" s="3"/>
      <c r="E24" s="2"/>
      <c r="F24" s="2"/>
      <c r="H24" s="2"/>
      <c r="I24" s="2"/>
      <c r="J24" s="3"/>
    </row>
    <row r="25" spans="1:10" hidden="1" x14ac:dyDescent="0.35">
      <c r="A25" s="2"/>
      <c r="B25" s="2"/>
      <c r="C25" s="3"/>
      <c r="D25" s="3"/>
      <c r="E25" s="2"/>
      <c r="F25" s="2"/>
      <c r="H25" s="2"/>
      <c r="I25" s="2"/>
      <c r="J25" s="3"/>
    </row>
    <row r="26" spans="1:10" hidden="1" x14ac:dyDescent="0.35">
      <c r="A26" s="2"/>
      <c r="B26" s="2"/>
      <c r="C26" s="3"/>
      <c r="D26" s="3"/>
      <c r="E26" s="2"/>
      <c r="F26" s="2"/>
      <c r="H26" s="2"/>
      <c r="I26" s="2"/>
      <c r="J26" s="3"/>
    </row>
    <row r="27" spans="1:10" hidden="1" x14ac:dyDescent="0.35">
      <c r="A27" s="2"/>
      <c r="B27" s="2"/>
      <c r="C27" s="3"/>
      <c r="D27" s="3"/>
      <c r="E27" s="2"/>
      <c r="F27" s="2"/>
      <c r="H27" s="2"/>
      <c r="I27" s="2"/>
      <c r="J27" s="3"/>
    </row>
    <row r="28" spans="1:10" hidden="1" x14ac:dyDescent="0.35">
      <c r="A28" s="2"/>
      <c r="B28" s="2"/>
      <c r="C28" s="3"/>
      <c r="D28" s="3"/>
      <c r="E28" s="2"/>
      <c r="F28" s="2"/>
      <c r="H28" s="2"/>
      <c r="I28" s="2"/>
      <c r="J28" s="3"/>
    </row>
    <row r="29" spans="1:10" hidden="1" x14ac:dyDescent="0.35">
      <c r="A29" s="2"/>
      <c r="B29" s="2"/>
      <c r="C29" s="3"/>
      <c r="D29" s="3"/>
      <c r="E29" s="2"/>
      <c r="F29" s="2"/>
      <c r="H29" s="2"/>
      <c r="I29" s="2"/>
      <c r="J29" s="3"/>
    </row>
    <row r="30" spans="1:10" hidden="1" x14ac:dyDescent="0.35">
      <c r="A30" s="2"/>
      <c r="B30" s="2"/>
      <c r="C30" s="3"/>
      <c r="D30" s="3"/>
      <c r="E30" s="2"/>
      <c r="F30" s="2"/>
      <c r="H30" s="2"/>
      <c r="I30" s="2"/>
      <c r="J30" s="3"/>
    </row>
    <row r="31" spans="1:10" hidden="1" x14ac:dyDescent="0.35">
      <c r="A31" s="2"/>
      <c r="B31" s="2"/>
      <c r="C31" s="3"/>
      <c r="D31" s="3"/>
      <c r="E31" s="2"/>
      <c r="F31" s="2"/>
      <c r="H31" s="2"/>
      <c r="I31" s="2"/>
      <c r="J31" s="3"/>
    </row>
    <row r="32" spans="1:10" hidden="1" x14ac:dyDescent="0.35">
      <c r="A32" s="2"/>
      <c r="B32" s="2"/>
      <c r="C32" s="3"/>
      <c r="D32" s="3"/>
      <c r="E32" s="2"/>
      <c r="F32" s="2"/>
      <c r="H32" s="2"/>
      <c r="I32" s="2"/>
      <c r="J32" s="3"/>
    </row>
    <row r="33" spans="1:10" hidden="1" x14ac:dyDescent="0.35">
      <c r="A33" s="2"/>
      <c r="B33" s="2"/>
      <c r="C33" s="3"/>
      <c r="D33" s="3"/>
      <c r="E33" s="2"/>
      <c r="F33" s="2"/>
      <c r="H33" s="2"/>
      <c r="I33" s="2"/>
      <c r="J33" s="3"/>
    </row>
    <row r="34" spans="1:10" hidden="1" x14ac:dyDescent="0.35">
      <c r="A34" s="2"/>
      <c r="B34" s="2"/>
      <c r="C34" s="3"/>
      <c r="D34" s="3"/>
      <c r="E34" s="2"/>
      <c r="F34" s="2"/>
      <c r="H34" s="2"/>
      <c r="I34" s="2"/>
      <c r="J34" s="10"/>
    </row>
    <row r="35" spans="1:10" s="5" customFormat="1" x14ac:dyDescent="0.35">
      <c r="A35" s="74"/>
      <c r="B35" s="74"/>
      <c r="C35" s="191">
        <f>SUM(C6:C34)</f>
        <v>3600000</v>
      </c>
      <c r="D35" s="191">
        <f>C35+J35</f>
        <v>3623577.4890191639</v>
      </c>
      <c r="E35" s="191">
        <f>'DETAILS (sorted)'!DS57</f>
        <v>3660677.403756598</v>
      </c>
      <c r="F35" s="74">
        <f>D35-E35</f>
        <v>-37099.914737434126</v>
      </c>
      <c r="G35" s="5" t="b">
        <f>D35=E35</f>
        <v>0</v>
      </c>
      <c r="H35" s="74"/>
      <c r="I35" s="74"/>
      <c r="J35" s="191">
        <f>SUM(J6:J34)</f>
        <v>23577.48901916371</v>
      </c>
    </row>
    <row r="37" spans="1:10" x14ac:dyDescent="0.35">
      <c r="C37" s="191" t="s">
        <v>644</v>
      </c>
      <c r="D37" s="191">
        <f>C35+J35</f>
        <v>3623577.4890191639</v>
      </c>
      <c r="E37" s="122">
        <f>D37/D38</f>
        <v>0.36235774890191641</v>
      </c>
      <c r="F37" s="2" t="s">
        <v>652</v>
      </c>
    </row>
    <row r="38" spans="1:10" x14ac:dyDescent="0.35">
      <c r="C38" s="3"/>
      <c r="D38" s="3">
        <v>10000000</v>
      </c>
      <c r="E38" s="122">
        <f>D38/D38</f>
        <v>1</v>
      </c>
      <c r="F38" s="2" t="s">
        <v>654</v>
      </c>
    </row>
    <row r="39" spans="1:10" x14ac:dyDescent="0.35">
      <c r="C39" s="3"/>
      <c r="D39" s="3">
        <f>D37-D38</f>
        <v>-6376422.5109808361</v>
      </c>
      <c r="E39" s="122">
        <f>D39/D38</f>
        <v>-0.63764225109808359</v>
      </c>
      <c r="F39" s="2" t="s">
        <v>653</v>
      </c>
    </row>
  </sheetData>
  <mergeCells count="1">
    <mergeCell ref="B3:C3"/>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36029-D335-4105-B491-8BD45A096679}">
  <dimension ref="A2:J39"/>
  <sheetViews>
    <sheetView topLeftCell="A13"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8.1796875" bestFit="1" customWidth="1"/>
    <col min="8" max="8" width="10.1796875" bestFit="1" customWidth="1"/>
    <col min="9" max="9" width="24.7265625" style="479" customWidth="1"/>
    <col min="10" max="10" width="11.1796875" style="6" bestFit="1" customWidth="1"/>
  </cols>
  <sheetData>
    <row r="2" spans="1:10" s="5" customFormat="1" ht="28" customHeight="1" x14ac:dyDescent="0.35">
      <c r="A2" s="74" t="s">
        <v>190</v>
      </c>
      <c r="B2" s="191" t="s">
        <v>0</v>
      </c>
      <c r="C2" s="191"/>
      <c r="D2" s="74" t="s">
        <v>1</v>
      </c>
      <c r="E2" s="75" t="s">
        <v>2</v>
      </c>
      <c r="F2" s="74"/>
      <c r="G2" s="74"/>
      <c r="H2" s="74"/>
      <c r="I2" s="477"/>
      <c r="J2" s="63"/>
    </row>
    <row r="3" spans="1:10" s="1" customFormat="1" ht="28" x14ac:dyDescent="0.35">
      <c r="A3" s="210" t="s">
        <v>292</v>
      </c>
      <c r="B3" s="7" t="s">
        <v>293</v>
      </c>
      <c r="C3" s="7"/>
      <c r="D3" s="71"/>
      <c r="E3" s="11"/>
      <c r="F3" s="11"/>
      <c r="G3" s="71"/>
      <c r="H3" s="11"/>
      <c r="I3" s="478"/>
      <c r="J3" s="11"/>
    </row>
    <row r="4" spans="1:10" x14ac:dyDescent="0.35">
      <c r="H4" s="74" t="s">
        <v>643</v>
      </c>
      <c r="I4" s="537" t="s">
        <v>445</v>
      </c>
      <c r="J4" s="63" t="s">
        <v>568</v>
      </c>
    </row>
    <row r="5" spans="1:10" x14ac:dyDescent="0.35">
      <c r="A5" s="74" t="s">
        <v>487</v>
      </c>
      <c r="B5" s="74" t="s">
        <v>2</v>
      </c>
      <c r="C5" s="191" t="s">
        <v>124</v>
      </c>
      <c r="D5" s="191" t="s">
        <v>488</v>
      </c>
      <c r="E5" s="74" t="s">
        <v>489</v>
      </c>
      <c r="F5" s="74" t="s">
        <v>490</v>
      </c>
      <c r="H5" s="2"/>
      <c r="I5" s="537"/>
      <c r="J5" s="10"/>
    </row>
    <row r="6" spans="1:10" x14ac:dyDescent="0.35">
      <c r="A6" s="2">
        <v>1</v>
      </c>
      <c r="B6" s="71">
        <v>45356</v>
      </c>
      <c r="C6" s="7">
        <v>100000</v>
      </c>
      <c r="D6" s="3">
        <f>C6</f>
        <v>100000</v>
      </c>
      <c r="E6" s="2" t="s">
        <v>144</v>
      </c>
      <c r="F6" s="2">
        <v>1</v>
      </c>
      <c r="H6" s="2"/>
      <c r="I6" s="546" t="s">
        <v>210</v>
      </c>
      <c r="J6" s="10">
        <v>1486.5925004171161</v>
      </c>
    </row>
    <row r="7" spans="1:10" x14ac:dyDescent="0.35">
      <c r="A7" s="2">
        <v>2</v>
      </c>
      <c r="B7" s="71">
        <v>46104</v>
      </c>
      <c r="C7" s="3">
        <v>3000000</v>
      </c>
      <c r="D7" s="3">
        <f>D6+C7</f>
        <v>3100000</v>
      </c>
      <c r="E7" s="2" t="s">
        <v>30</v>
      </c>
      <c r="F7" s="2">
        <v>2</v>
      </c>
      <c r="H7" s="2"/>
      <c r="I7" s="546" t="s">
        <v>212</v>
      </c>
      <c r="J7" s="10">
        <v>1309.6296378116615</v>
      </c>
    </row>
    <row r="8" spans="1:10" x14ac:dyDescent="0.35">
      <c r="A8" s="2">
        <v>3</v>
      </c>
      <c r="B8" s="71">
        <v>46164</v>
      </c>
      <c r="C8" s="3">
        <v>300000</v>
      </c>
      <c r="D8" s="3">
        <f>D7+C8</f>
        <v>3400000</v>
      </c>
      <c r="E8" s="2" t="s">
        <v>30</v>
      </c>
      <c r="F8" s="2">
        <v>2</v>
      </c>
      <c r="H8" s="2"/>
      <c r="I8" s="546" t="s">
        <v>213</v>
      </c>
      <c r="J8" s="10">
        <v>1997.4241617494913</v>
      </c>
    </row>
    <row r="9" spans="1:10" x14ac:dyDescent="0.35">
      <c r="A9" s="2">
        <v>4</v>
      </c>
      <c r="B9" s="71"/>
      <c r="C9" s="3"/>
      <c r="D9" s="3"/>
      <c r="E9" s="2"/>
      <c r="F9" s="2"/>
      <c r="H9" s="2"/>
      <c r="I9" s="546" t="s">
        <v>215</v>
      </c>
      <c r="J9" s="10">
        <v>1422.3894362287945</v>
      </c>
    </row>
    <row r="10" spans="1:10" x14ac:dyDescent="0.35">
      <c r="A10" s="2">
        <v>5</v>
      </c>
      <c r="B10" s="71"/>
      <c r="C10" s="3"/>
      <c r="D10" s="3"/>
      <c r="E10" s="2"/>
      <c r="F10" s="2"/>
      <c r="H10" s="2"/>
      <c r="I10" s="546" t="s">
        <v>217</v>
      </c>
      <c r="J10" s="10">
        <v>3395.3104034440548</v>
      </c>
    </row>
    <row r="11" spans="1:10" x14ac:dyDescent="0.35">
      <c r="A11" s="2">
        <v>6</v>
      </c>
      <c r="B11" s="71"/>
      <c r="C11" s="3"/>
      <c r="D11" s="3"/>
      <c r="E11" s="2"/>
      <c r="F11" s="2"/>
      <c r="H11" s="2"/>
      <c r="I11" s="546" t="s">
        <v>219</v>
      </c>
      <c r="J11" s="10">
        <v>30115.940819892141</v>
      </c>
    </row>
    <row r="12" spans="1:10" x14ac:dyDescent="0.35">
      <c r="A12" s="2">
        <v>7</v>
      </c>
      <c r="B12" s="71"/>
      <c r="C12" s="3"/>
      <c r="D12" s="3"/>
      <c r="E12" s="2"/>
      <c r="F12" s="2"/>
      <c r="H12" s="2"/>
      <c r="I12" s="546" t="s">
        <v>537</v>
      </c>
      <c r="J12" s="10">
        <v>4790.2796115878109</v>
      </c>
    </row>
    <row r="13" spans="1:10" x14ac:dyDescent="0.35">
      <c r="A13" s="2">
        <v>8</v>
      </c>
      <c r="B13" s="294"/>
      <c r="C13" s="3"/>
      <c r="D13" s="3"/>
      <c r="E13" s="2"/>
      <c r="F13" s="2"/>
      <c r="H13" s="2"/>
      <c r="I13" s="546" t="s">
        <v>543</v>
      </c>
      <c r="J13" s="10">
        <v>12323.607009507226</v>
      </c>
    </row>
    <row r="14" spans="1:10" ht="26.5" x14ac:dyDescent="0.35">
      <c r="A14" s="2">
        <v>9</v>
      </c>
      <c r="B14" s="294"/>
      <c r="C14" s="3"/>
      <c r="D14" s="3"/>
      <c r="E14" s="2"/>
      <c r="F14" s="2"/>
      <c r="H14" s="2"/>
      <c r="I14" s="495" t="s">
        <v>681</v>
      </c>
      <c r="J14" s="10">
        <f>'DETAILS (sorted)'!DC58</f>
        <v>19161.259792710887</v>
      </c>
    </row>
    <row r="15" spans="1:10" x14ac:dyDescent="0.35">
      <c r="A15" s="2">
        <v>10</v>
      </c>
      <c r="B15" s="294"/>
      <c r="C15" s="205"/>
      <c r="D15" s="3"/>
      <c r="E15" s="2"/>
      <c r="F15" s="2"/>
      <c r="H15" s="2"/>
      <c r="I15" s="495" t="s">
        <v>696</v>
      </c>
      <c r="J15" s="10">
        <f>'DETAILS (sorted)'!DD58</f>
        <v>12973.992805745218</v>
      </c>
    </row>
    <row r="16" spans="1:10" x14ac:dyDescent="0.35">
      <c r="A16" s="2">
        <v>11</v>
      </c>
      <c r="B16" s="294"/>
      <c r="C16" s="3"/>
      <c r="D16" s="3"/>
      <c r="E16" s="2"/>
      <c r="F16" s="2"/>
      <c r="H16" s="2"/>
      <c r="I16" s="408" t="s">
        <v>887</v>
      </c>
      <c r="J16" s="10">
        <f>'DETAILS (sorted)'!DF58</f>
        <v>9116.1770823022798</v>
      </c>
    </row>
    <row r="17" spans="1:10" x14ac:dyDescent="0.35">
      <c r="A17" s="2">
        <v>12</v>
      </c>
      <c r="B17" s="71"/>
      <c r="C17" s="3"/>
      <c r="D17" s="3"/>
      <c r="E17" s="2"/>
      <c r="F17" s="2"/>
      <c r="H17" s="2"/>
      <c r="I17" s="408" t="s">
        <v>889</v>
      </c>
      <c r="J17" s="10">
        <f>'DETAILS (sorted)'!DG58</f>
        <v>30438.845331126304</v>
      </c>
    </row>
    <row r="18" spans="1:10" x14ac:dyDescent="0.35">
      <c r="A18" s="2">
        <v>13</v>
      </c>
      <c r="B18" s="71"/>
      <c r="C18" s="3"/>
      <c r="D18" s="3"/>
      <c r="E18" s="2"/>
      <c r="F18" s="2"/>
      <c r="H18" s="2"/>
      <c r="I18" s="408" t="s">
        <v>891</v>
      </c>
      <c r="J18" s="10">
        <f>'DETAILS (sorted)'!DL58</f>
        <v>10091.781932627369</v>
      </c>
    </row>
    <row r="19" spans="1:10" x14ac:dyDescent="0.35">
      <c r="A19" s="2">
        <v>14</v>
      </c>
      <c r="B19" s="71"/>
      <c r="C19" s="3"/>
      <c r="D19" s="3"/>
      <c r="E19" s="2"/>
      <c r="F19" s="2"/>
      <c r="H19" s="2"/>
      <c r="I19" s="408" t="s">
        <v>894</v>
      </c>
      <c r="J19" s="10">
        <f>'DETAILS (sorted)'!DM58</f>
        <v>0</v>
      </c>
    </row>
    <row r="20" spans="1:10" x14ac:dyDescent="0.35">
      <c r="A20" s="2">
        <v>15</v>
      </c>
      <c r="B20" s="71"/>
      <c r="C20" s="3"/>
      <c r="D20" s="3"/>
      <c r="E20" s="2"/>
      <c r="F20" s="2"/>
      <c r="H20" s="2"/>
      <c r="I20" s="408" t="s">
        <v>893</v>
      </c>
      <c r="J20" s="10">
        <f>'DETAILS (sorted)'!DN58</f>
        <v>0</v>
      </c>
    </row>
    <row r="21" spans="1:10" x14ac:dyDescent="0.35">
      <c r="A21" s="2">
        <v>16</v>
      </c>
      <c r="B21" s="71"/>
      <c r="C21" s="3"/>
      <c r="D21" s="3"/>
      <c r="E21" s="2"/>
      <c r="F21" s="2"/>
      <c r="H21" s="2"/>
      <c r="I21" s="408" t="s">
        <v>895</v>
      </c>
      <c r="J21" s="10">
        <f>'DETAILS (sorted)'!DO58</f>
        <v>0</v>
      </c>
    </row>
    <row r="22" spans="1:10" x14ac:dyDescent="0.35">
      <c r="A22" s="2"/>
      <c r="B22" s="2"/>
      <c r="C22" s="3"/>
      <c r="D22" s="3"/>
      <c r="E22" s="2"/>
      <c r="F22" s="2"/>
      <c r="H22" s="2"/>
      <c r="I22" s="408" t="s">
        <v>897</v>
      </c>
      <c r="J22" s="10">
        <f>'DETAILS (sorted)'!DQ58</f>
        <v>0</v>
      </c>
    </row>
    <row r="23" spans="1:10" x14ac:dyDescent="0.35">
      <c r="A23" s="2"/>
      <c r="B23" s="2"/>
      <c r="C23" s="3"/>
      <c r="D23" s="3"/>
      <c r="E23" s="2"/>
      <c r="F23" s="2"/>
      <c r="H23" s="2"/>
      <c r="I23" s="408" t="s">
        <v>898</v>
      </c>
      <c r="J23" s="10">
        <f>'DETAILS (sorted)'!DR58</f>
        <v>0</v>
      </c>
    </row>
    <row r="24" spans="1:10" x14ac:dyDescent="0.35">
      <c r="A24" s="2"/>
      <c r="B24" s="2"/>
      <c r="C24" s="3"/>
      <c r="D24" s="3"/>
      <c r="E24" s="2"/>
      <c r="F24" s="2"/>
      <c r="H24" s="2"/>
      <c r="I24" s="477"/>
      <c r="J24" s="10"/>
    </row>
    <row r="25" spans="1:10" x14ac:dyDescent="0.35">
      <c r="A25" s="2"/>
      <c r="B25" s="2"/>
      <c r="C25" s="3"/>
      <c r="D25" s="3"/>
      <c r="E25" s="2"/>
      <c r="F25" s="2"/>
      <c r="H25" s="2"/>
      <c r="I25" s="477"/>
      <c r="J25" s="10"/>
    </row>
    <row r="26" spans="1:10" x14ac:dyDescent="0.35">
      <c r="A26" s="2"/>
      <c r="B26" s="2"/>
      <c r="C26" s="3"/>
      <c r="D26" s="3"/>
      <c r="E26" s="2"/>
      <c r="F26" s="2"/>
      <c r="H26" s="2"/>
      <c r="I26" s="477"/>
      <c r="J26" s="10"/>
    </row>
    <row r="27" spans="1:10" x14ac:dyDescent="0.35">
      <c r="A27" s="2"/>
      <c r="B27" s="2"/>
      <c r="C27" s="3"/>
      <c r="D27" s="3"/>
      <c r="E27" s="2"/>
      <c r="F27" s="2"/>
      <c r="H27" s="2"/>
      <c r="I27" s="477"/>
      <c r="J27" s="10"/>
    </row>
    <row r="28" spans="1:10" x14ac:dyDescent="0.35">
      <c r="A28" s="2"/>
      <c r="B28" s="2"/>
      <c r="C28" s="3"/>
      <c r="D28" s="3"/>
      <c r="E28" s="2"/>
      <c r="F28" s="2"/>
      <c r="H28" s="2"/>
      <c r="I28" s="477"/>
      <c r="J28" s="10"/>
    </row>
    <row r="29" spans="1:10" x14ac:dyDescent="0.35">
      <c r="A29" s="2"/>
      <c r="B29" s="2"/>
      <c r="C29" s="3"/>
      <c r="D29" s="3"/>
      <c r="E29" s="2"/>
      <c r="F29" s="2"/>
      <c r="H29" s="2"/>
      <c r="I29" s="477"/>
      <c r="J29" s="10"/>
    </row>
    <row r="30" spans="1:10" x14ac:dyDescent="0.35">
      <c r="A30" s="2"/>
      <c r="B30" s="2"/>
      <c r="C30" s="3"/>
      <c r="D30" s="3"/>
      <c r="E30" s="2"/>
      <c r="F30" s="2"/>
      <c r="H30" s="2"/>
      <c r="I30" s="477"/>
      <c r="J30" s="10"/>
    </row>
    <row r="31" spans="1:10" x14ac:dyDescent="0.35">
      <c r="A31" s="2"/>
      <c r="B31" s="2"/>
      <c r="C31" s="3"/>
      <c r="D31" s="3"/>
      <c r="E31" s="2"/>
      <c r="F31" s="2"/>
      <c r="H31" s="2"/>
      <c r="I31" s="477"/>
      <c r="J31" s="10"/>
    </row>
    <row r="32" spans="1:10" x14ac:dyDescent="0.35">
      <c r="A32" s="2"/>
      <c r="B32" s="2"/>
      <c r="C32" s="3"/>
      <c r="D32" s="3"/>
      <c r="E32" s="2"/>
      <c r="F32" s="2"/>
      <c r="H32" s="2"/>
      <c r="I32" s="477"/>
      <c r="J32" s="10"/>
    </row>
    <row r="33" spans="1:10" x14ac:dyDescent="0.35">
      <c r="A33" s="2"/>
      <c r="B33" s="2"/>
      <c r="C33" s="3"/>
      <c r="D33" s="3"/>
      <c r="E33" s="2"/>
      <c r="F33" s="2"/>
      <c r="H33" s="2"/>
      <c r="I33" s="477"/>
      <c r="J33" s="10"/>
    </row>
    <row r="34" spans="1:10" x14ac:dyDescent="0.35">
      <c r="A34" s="2"/>
      <c r="B34" s="2"/>
      <c r="C34" s="3"/>
      <c r="D34" s="3"/>
      <c r="E34" s="2"/>
      <c r="F34" s="2"/>
      <c r="H34" s="2"/>
      <c r="I34" s="477"/>
      <c r="J34" s="10"/>
    </row>
    <row r="35" spans="1:10" s="5" customFormat="1" x14ac:dyDescent="0.35">
      <c r="A35" s="74"/>
      <c r="B35" s="74"/>
      <c r="C35" s="191">
        <f>SUM(C6:C34)</f>
        <v>3400000</v>
      </c>
      <c r="D35" s="191">
        <f>C35+J35</f>
        <v>3538623.2305251504</v>
      </c>
      <c r="E35" s="191">
        <f>'DETAILS (sorted)'!DS58</f>
        <v>3574853.3430419164</v>
      </c>
      <c r="F35" s="74">
        <f>D35-E35</f>
        <v>-36230.112516765948</v>
      </c>
      <c r="G35" s="5" t="b">
        <f>D35=E35</f>
        <v>0</v>
      </c>
      <c r="H35" s="74"/>
      <c r="I35" s="477"/>
      <c r="J35" s="63">
        <f>SUM(J6:J34)</f>
        <v>138623.23052515034</v>
      </c>
    </row>
    <row r="37" spans="1:10" x14ac:dyDescent="0.35">
      <c r="C37" s="191" t="s">
        <v>644</v>
      </c>
      <c r="D37" s="191">
        <f>C35+J35</f>
        <v>3538623.2305251504</v>
      </c>
      <c r="E37" s="122">
        <f>D37/D38</f>
        <v>0.35386232305251503</v>
      </c>
      <c r="F37" s="2" t="s">
        <v>652</v>
      </c>
    </row>
    <row r="38" spans="1:10" x14ac:dyDescent="0.35">
      <c r="C38" s="3" t="s">
        <v>650</v>
      </c>
      <c r="D38" s="3">
        <v>10000000</v>
      </c>
      <c r="E38" s="122">
        <f>D38/D38</f>
        <v>1</v>
      </c>
      <c r="F38" s="2" t="s">
        <v>654</v>
      </c>
    </row>
    <row r="39" spans="1:10" x14ac:dyDescent="0.35">
      <c r="C39" s="3"/>
      <c r="D39" s="3">
        <f>D37-D38</f>
        <v>-6461376.7694748491</v>
      </c>
      <c r="E39" s="122">
        <f>D39/D38</f>
        <v>-0.64613767694748492</v>
      </c>
      <c r="F39" s="2" t="s">
        <v>653</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3BAA6-1173-4738-912A-9EA0E3D5A5BD}">
  <dimension ref="A2:J39"/>
  <sheetViews>
    <sheetView topLeftCell="A6"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8.1796875" bestFit="1" customWidth="1"/>
    <col min="8" max="8" width="10.1796875" hidden="1" customWidth="1"/>
    <col min="9" max="9" width="24.36328125" customWidth="1"/>
    <col min="10" max="10" width="11.1796875" style="6" bestFit="1" customWidth="1"/>
  </cols>
  <sheetData>
    <row r="2" spans="1:10" s="5" customFormat="1" x14ac:dyDescent="0.35">
      <c r="A2" s="74" t="s">
        <v>190</v>
      </c>
      <c r="B2" s="191" t="s">
        <v>0</v>
      </c>
      <c r="C2" s="191"/>
      <c r="D2" s="74" t="s">
        <v>1</v>
      </c>
      <c r="E2" s="75" t="s">
        <v>2</v>
      </c>
      <c r="F2" s="74"/>
      <c r="G2" s="74"/>
      <c r="H2" s="74"/>
      <c r="I2" s="74"/>
      <c r="J2" s="63"/>
    </row>
    <row r="3" spans="1:10" s="1" customFormat="1" ht="28" x14ac:dyDescent="0.35">
      <c r="A3" s="210" t="s">
        <v>294</v>
      </c>
      <c r="B3" s="286" t="s">
        <v>994</v>
      </c>
      <c r="C3" s="7"/>
      <c r="D3" s="70"/>
      <c r="E3" s="11"/>
      <c r="F3" s="11"/>
      <c r="G3" s="70"/>
      <c r="H3" s="11"/>
      <c r="I3" s="7"/>
      <c r="J3" s="71"/>
    </row>
    <row r="4" spans="1:10" x14ac:dyDescent="0.35">
      <c r="H4" s="74" t="s">
        <v>643</v>
      </c>
      <c r="I4" s="74" t="s">
        <v>445</v>
      </c>
      <c r="J4" s="63" t="s">
        <v>568</v>
      </c>
    </row>
    <row r="5" spans="1:10" x14ac:dyDescent="0.35">
      <c r="A5" s="74" t="s">
        <v>487</v>
      </c>
      <c r="B5" s="74" t="s">
        <v>2</v>
      </c>
      <c r="C5" s="191" t="s">
        <v>124</v>
      </c>
      <c r="D5" s="191" t="s">
        <v>488</v>
      </c>
      <c r="E5" s="74" t="s">
        <v>489</v>
      </c>
      <c r="F5" s="74" t="s">
        <v>490</v>
      </c>
      <c r="H5" s="2"/>
      <c r="I5" s="2"/>
      <c r="J5" s="10"/>
    </row>
    <row r="6" spans="1:10" x14ac:dyDescent="0.35">
      <c r="A6" s="2">
        <v>1</v>
      </c>
      <c r="B6" s="70">
        <v>45353</v>
      </c>
      <c r="C6" s="7">
        <v>60000</v>
      </c>
      <c r="D6" s="3">
        <f>C6</f>
        <v>60000</v>
      </c>
      <c r="E6" s="2" t="s">
        <v>144</v>
      </c>
      <c r="F6" s="2">
        <v>1</v>
      </c>
      <c r="H6" s="2"/>
      <c r="I6" s="503" t="s">
        <v>210</v>
      </c>
      <c r="J6" s="10">
        <v>2378.5480006673856</v>
      </c>
    </row>
    <row r="7" spans="1:10" x14ac:dyDescent="0.35">
      <c r="A7" s="2">
        <v>2</v>
      </c>
      <c r="B7" s="71">
        <v>45441</v>
      </c>
      <c r="C7" s="3">
        <v>100000</v>
      </c>
      <c r="D7" s="3">
        <f>D6+C7</f>
        <v>160000</v>
      </c>
      <c r="E7" s="2" t="s">
        <v>144</v>
      </c>
      <c r="F7" s="2">
        <v>1</v>
      </c>
      <c r="H7" s="2"/>
      <c r="I7" s="504" t="s">
        <v>212</v>
      </c>
      <c r="J7" s="10">
        <v>2095.4074204986582</v>
      </c>
    </row>
    <row r="8" spans="1:10" x14ac:dyDescent="0.35">
      <c r="A8" s="2">
        <v>3</v>
      </c>
      <c r="B8" s="71">
        <v>46204</v>
      </c>
      <c r="C8" s="7">
        <v>3400000</v>
      </c>
      <c r="D8" s="3">
        <f>D7+C8</f>
        <v>3560000</v>
      </c>
      <c r="E8" s="2" t="s">
        <v>1003</v>
      </c>
      <c r="F8" s="2">
        <v>2</v>
      </c>
      <c r="H8" s="2"/>
      <c r="I8" s="504" t="s">
        <v>213</v>
      </c>
      <c r="J8" s="10">
        <v>3195.8786587991858</v>
      </c>
    </row>
    <row r="9" spans="1:10" x14ac:dyDescent="0.35">
      <c r="A9" s="2">
        <v>4</v>
      </c>
      <c r="B9" s="71"/>
      <c r="C9" s="3"/>
      <c r="D9" s="3"/>
      <c r="E9" s="2"/>
      <c r="F9" s="2"/>
      <c r="H9" s="2"/>
      <c r="I9" s="504" t="s">
        <v>215</v>
      </c>
      <c r="J9" s="10">
        <v>2275.8230979660711</v>
      </c>
    </row>
    <row r="10" spans="1:10" x14ac:dyDescent="0.35">
      <c r="A10" s="2">
        <v>5</v>
      </c>
      <c r="B10" s="71"/>
      <c r="C10" s="3"/>
      <c r="D10" s="3"/>
      <c r="E10" s="2"/>
      <c r="F10" s="2"/>
      <c r="H10" s="2"/>
      <c r="I10" s="504" t="s">
        <v>217</v>
      </c>
      <c r="J10" s="10">
        <v>5432.4966455104877</v>
      </c>
    </row>
    <row r="11" spans="1:10" x14ac:dyDescent="0.35">
      <c r="A11" s="2">
        <v>6</v>
      </c>
      <c r="B11" s="71"/>
      <c r="C11" s="3"/>
      <c r="D11" s="3"/>
      <c r="E11" s="2"/>
      <c r="F11" s="2"/>
      <c r="H11" s="2"/>
      <c r="I11" s="504" t="s">
        <v>219</v>
      </c>
      <c r="J11" s="10">
        <v>1554.3711390912069</v>
      </c>
    </row>
    <row r="12" spans="1:10" x14ac:dyDescent="0.35">
      <c r="A12" s="2">
        <v>7</v>
      </c>
      <c r="B12" s="71"/>
      <c r="C12" s="3"/>
      <c r="D12" s="3"/>
      <c r="E12" s="2"/>
      <c r="F12" s="2"/>
      <c r="H12" s="2"/>
      <c r="I12" s="504" t="s">
        <v>537</v>
      </c>
      <c r="J12" s="10">
        <v>247.24023801743542</v>
      </c>
    </row>
    <row r="13" spans="1:10" x14ac:dyDescent="0.35">
      <c r="A13" s="2">
        <v>8</v>
      </c>
      <c r="B13" s="294"/>
      <c r="C13" s="3"/>
      <c r="D13" s="3"/>
      <c r="E13" s="2"/>
      <c r="F13" s="2"/>
      <c r="H13" s="2"/>
      <c r="I13" s="504" t="s">
        <v>543</v>
      </c>
      <c r="J13" s="10">
        <v>636.05713597456656</v>
      </c>
    </row>
    <row r="14" spans="1:10" x14ac:dyDescent="0.35">
      <c r="A14" s="2">
        <v>9</v>
      </c>
      <c r="B14" s="294"/>
      <c r="C14" s="3"/>
      <c r="D14" s="3"/>
      <c r="E14" s="2"/>
      <c r="F14" s="2"/>
      <c r="H14" s="2"/>
      <c r="I14" s="504" t="s">
        <v>681</v>
      </c>
      <c r="J14" s="10">
        <f>'DETAILS (sorted)'!DC59</f>
        <v>901.70634318639463</v>
      </c>
    </row>
    <row r="15" spans="1:10" x14ac:dyDescent="0.35">
      <c r="A15" s="2">
        <v>10</v>
      </c>
      <c r="B15" s="294"/>
      <c r="C15" s="205"/>
      <c r="D15" s="3"/>
      <c r="E15" s="2"/>
      <c r="F15" s="2"/>
      <c r="H15" s="2"/>
      <c r="I15" s="504" t="s">
        <v>696</v>
      </c>
      <c r="J15" s="10">
        <f>'DETAILS (sorted)'!DD59</f>
        <v>610.54083791742198</v>
      </c>
    </row>
    <row r="16" spans="1:10" x14ac:dyDescent="0.35">
      <c r="A16" s="2">
        <v>11</v>
      </c>
      <c r="B16" s="294"/>
      <c r="C16" s="3"/>
      <c r="D16" s="3"/>
      <c r="E16" s="2"/>
      <c r="F16" s="2"/>
      <c r="H16" s="2"/>
      <c r="I16" s="408" t="s">
        <v>887</v>
      </c>
      <c r="J16" s="10">
        <f>'DETAILS (sorted)'!DF59</f>
        <v>428.99656857893081</v>
      </c>
    </row>
    <row r="17" spans="1:10" x14ac:dyDescent="0.35">
      <c r="A17" s="2">
        <v>12</v>
      </c>
      <c r="B17" s="71"/>
      <c r="C17" s="3"/>
      <c r="D17" s="3"/>
      <c r="E17" s="2"/>
      <c r="F17" s="2"/>
      <c r="H17" s="2"/>
      <c r="I17" s="408" t="s">
        <v>889</v>
      </c>
      <c r="J17" s="10">
        <f>'DETAILS (sorted)'!DG59</f>
        <v>1432.4162508765319</v>
      </c>
    </row>
    <row r="18" spans="1:10" x14ac:dyDescent="0.35">
      <c r="A18" s="2">
        <v>13</v>
      </c>
      <c r="B18" s="71"/>
      <c r="C18" s="3"/>
      <c r="D18" s="3"/>
      <c r="E18" s="2"/>
      <c r="F18" s="2"/>
      <c r="H18" s="2"/>
      <c r="I18" s="408" t="s">
        <v>891</v>
      </c>
      <c r="J18" s="10">
        <f>'DETAILS (sorted)'!DL59</f>
        <v>207585.94541041297</v>
      </c>
    </row>
    <row r="19" spans="1:10" x14ac:dyDescent="0.35">
      <c r="A19" s="2">
        <v>14</v>
      </c>
      <c r="B19" s="71"/>
      <c r="C19" s="3"/>
      <c r="D19" s="3"/>
      <c r="E19" s="2"/>
      <c r="F19" s="2"/>
      <c r="H19" s="2"/>
      <c r="I19" s="408" t="s">
        <v>894</v>
      </c>
      <c r="J19" s="10">
        <f>'DETAILS (sorted)'!DM59</f>
        <v>0</v>
      </c>
    </row>
    <row r="20" spans="1:10" x14ac:dyDescent="0.35">
      <c r="A20" s="2">
        <v>15</v>
      </c>
      <c r="B20" s="71"/>
      <c r="C20" s="3"/>
      <c r="D20" s="3"/>
      <c r="E20" s="2"/>
      <c r="F20" s="2"/>
      <c r="H20" s="2"/>
      <c r="I20" s="408" t="s">
        <v>893</v>
      </c>
      <c r="J20" s="10">
        <f>'DETAILS (sorted)'!DN59</f>
        <v>0</v>
      </c>
    </row>
    <row r="21" spans="1:10" x14ac:dyDescent="0.35">
      <c r="A21" s="2">
        <v>16</v>
      </c>
      <c r="B21" s="71"/>
      <c r="C21" s="3"/>
      <c r="D21" s="3"/>
      <c r="E21" s="2"/>
      <c r="F21" s="2"/>
      <c r="H21" s="2"/>
      <c r="I21" s="408" t="s">
        <v>895</v>
      </c>
      <c r="J21" s="10">
        <f>'DETAILS (sorted)'!DO59</f>
        <v>0</v>
      </c>
    </row>
    <row r="22" spans="1:10" x14ac:dyDescent="0.35">
      <c r="A22" s="2"/>
      <c r="B22" s="2"/>
      <c r="C22" s="3"/>
      <c r="D22" s="3"/>
      <c r="E22" s="2"/>
      <c r="F22" s="2"/>
      <c r="H22" s="2"/>
      <c r="I22" s="408" t="s">
        <v>897</v>
      </c>
      <c r="J22" s="10">
        <f>'DETAILS (sorted)'!DQ59</f>
        <v>0</v>
      </c>
    </row>
    <row r="23" spans="1:10" x14ac:dyDescent="0.35">
      <c r="A23" s="2"/>
      <c r="B23" s="2"/>
      <c r="C23" s="3"/>
      <c r="D23" s="3"/>
      <c r="E23" s="2"/>
      <c r="F23" s="2"/>
      <c r="H23" s="2"/>
      <c r="I23" s="408" t="s">
        <v>898</v>
      </c>
      <c r="J23" s="10">
        <f>'DETAILS (sorted)'!DR59</f>
        <v>0</v>
      </c>
    </row>
    <row r="24" spans="1:10" x14ac:dyDescent="0.35">
      <c r="A24" s="2"/>
      <c r="B24" s="2"/>
      <c r="C24" s="3"/>
      <c r="D24" s="3"/>
      <c r="E24" s="2"/>
      <c r="F24" s="2"/>
      <c r="H24" s="2"/>
      <c r="I24" s="2"/>
      <c r="J24" s="10"/>
    </row>
    <row r="25" spans="1:10" x14ac:dyDescent="0.35">
      <c r="A25" s="2"/>
      <c r="B25" s="2"/>
      <c r="C25" s="3"/>
      <c r="D25" s="3"/>
      <c r="E25" s="2"/>
      <c r="F25" s="2"/>
      <c r="H25" s="2"/>
      <c r="I25" s="2"/>
      <c r="J25" s="10"/>
    </row>
    <row r="26" spans="1:10" x14ac:dyDescent="0.35">
      <c r="A26" s="2"/>
      <c r="B26" s="2"/>
      <c r="C26" s="3"/>
      <c r="D26" s="3"/>
      <c r="E26" s="2"/>
      <c r="F26" s="2"/>
      <c r="H26" s="2"/>
      <c r="I26" s="2"/>
      <c r="J26" s="10"/>
    </row>
    <row r="27" spans="1:10" x14ac:dyDescent="0.35">
      <c r="A27" s="2"/>
      <c r="B27" s="2"/>
      <c r="C27" s="3"/>
      <c r="D27" s="3"/>
      <c r="E27" s="2"/>
      <c r="F27" s="2"/>
      <c r="H27" s="2"/>
      <c r="I27" s="2"/>
      <c r="J27" s="10"/>
    </row>
    <row r="28" spans="1:10" x14ac:dyDescent="0.35">
      <c r="A28" s="2"/>
      <c r="B28" s="2"/>
      <c r="C28" s="3"/>
      <c r="D28" s="3"/>
      <c r="E28" s="2"/>
      <c r="F28" s="2"/>
      <c r="H28" s="2"/>
      <c r="I28" s="2"/>
      <c r="J28" s="10"/>
    </row>
    <row r="29" spans="1:10" x14ac:dyDescent="0.35">
      <c r="A29" s="2"/>
      <c r="B29" s="2"/>
      <c r="C29" s="3"/>
      <c r="D29" s="3"/>
      <c r="E29" s="2"/>
      <c r="F29" s="2"/>
      <c r="H29" s="2"/>
      <c r="I29" s="2"/>
      <c r="J29" s="10"/>
    </row>
    <row r="30" spans="1:10" x14ac:dyDescent="0.35">
      <c r="A30" s="2"/>
      <c r="B30" s="2"/>
      <c r="C30" s="3"/>
      <c r="D30" s="3"/>
      <c r="E30" s="2"/>
      <c r="F30" s="2"/>
      <c r="H30" s="2"/>
      <c r="I30" s="2"/>
      <c r="J30" s="10"/>
    </row>
    <row r="31" spans="1:10" x14ac:dyDescent="0.35">
      <c r="A31" s="2"/>
      <c r="B31" s="2"/>
      <c r="C31" s="3"/>
      <c r="D31" s="3"/>
      <c r="E31" s="2"/>
      <c r="F31" s="2"/>
      <c r="H31" s="2"/>
      <c r="I31" s="2"/>
      <c r="J31" s="10"/>
    </row>
    <row r="32" spans="1:10" x14ac:dyDescent="0.35">
      <c r="A32" s="2"/>
      <c r="B32" s="2"/>
      <c r="C32" s="3"/>
      <c r="D32" s="3"/>
      <c r="E32" s="2"/>
      <c r="F32" s="2"/>
      <c r="H32" s="2"/>
      <c r="I32" s="2"/>
      <c r="J32" s="10"/>
    </row>
    <row r="33" spans="1:10" x14ac:dyDescent="0.35">
      <c r="A33" s="2"/>
      <c r="B33" s="2"/>
      <c r="C33" s="3"/>
      <c r="D33" s="3"/>
      <c r="E33" s="2"/>
      <c r="F33" s="2"/>
      <c r="H33" s="2"/>
      <c r="I33" s="2"/>
      <c r="J33" s="10"/>
    </row>
    <row r="34" spans="1:10" x14ac:dyDescent="0.35">
      <c r="A34" s="2"/>
      <c r="B34" s="2"/>
      <c r="C34" s="3"/>
      <c r="D34" s="3"/>
      <c r="E34" s="2"/>
      <c r="F34" s="2"/>
      <c r="H34" s="2"/>
      <c r="I34" s="2"/>
      <c r="J34" s="10"/>
    </row>
    <row r="35" spans="1:10" s="5" customFormat="1" x14ac:dyDescent="0.35">
      <c r="A35" s="74"/>
      <c r="B35" s="74"/>
      <c r="C35" s="191">
        <f>SUM(C6:C34)</f>
        <v>3560000</v>
      </c>
      <c r="D35" s="191">
        <f>C35+J35</f>
        <v>3788775.4277474973</v>
      </c>
      <c r="E35" s="191">
        <f>'DETAILS (sorted)'!DS59</f>
        <v>73534021.629986867</v>
      </c>
      <c r="F35" s="74">
        <f>D35-E35</f>
        <v>-69745246.202239364</v>
      </c>
      <c r="G35" s="5" t="b">
        <f>D35=E35</f>
        <v>0</v>
      </c>
      <c r="H35" s="74"/>
      <c r="I35" s="74"/>
      <c r="J35" s="63">
        <f>SUM(J6:J34)</f>
        <v>228775.42774749725</v>
      </c>
    </row>
    <row r="37" spans="1:10" x14ac:dyDescent="0.35">
      <c r="C37" s="191" t="s">
        <v>644</v>
      </c>
      <c r="D37" s="191">
        <f>C35+J35</f>
        <v>3788775.4277474973</v>
      </c>
      <c r="E37" s="122">
        <f>D37/D38</f>
        <v>0.25258502851649983</v>
      </c>
      <c r="F37" s="2" t="s">
        <v>652</v>
      </c>
    </row>
    <row r="38" spans="1:10" x14ac:dyDescent="0.35">
      <c r="C38" s="3"/>
      <c r="D38" s="3">
        <v>15000000</v>
      </c>
      <c r="E38" s="122">
        <f>D38/D38</f>
        <v>1</v>
      </c>
      <c r="F38" s="2" t="s">
        <v>654</v>
      </c>
    </row>
    <row r="39" spans="1:10" x14ac:dyDescent="0.35">
      <c r="C39" s="3"/>
      <c r="D39" s="3">
        <f>D37-D38</f>
        <v>-11211224.572252503</v>
      </c>
      <c r="E39" s="122">
        <f>D39/D38</f>
        <v>-0.74741497148350022</v>
      </c>
      <c r="F39" s="2" t="s">
        <v>653</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82AD3-594F-4472-B1A4-B4F99F27930A}">
  <dimension ref="A2:J39"/>
  <sheetViews>
    <sheetView topLeftCell="A9"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9.26953125" bestFit="1" customWidth="1"/>
    <col min="8" max="8" width="10.1796875" bestFit="1" customWidth="1"/>
    <col min="9" max="9" width="26.1796875" style="479" customWidth="1"/>
    <col min="10" max="10" width="11.1796875" style="547" bestFit="1" customWidth="1"/>
  </cols>
  <sheetData>
    <row r="2" spans="1:10" s="5" customFormat="1" ht="28" customHeight="1" x14ac:dyDescent="0.35">
      <c r="A2" s="74" t="s">
        <v>190</v>
      </c>
      <c r="B2" s="191" t="s">
        <v>0</v>
      </c>
      <c r="C2" s="191"/>
      <c r="D2" s="74" t="s">
        <v>1</v>
      </c>
      <c r="E2" s="75" t="s">
        <v>2</v>
      </c>
      <c r="F2" s="74"/>
      <c r="G2" s="74"/>
      <c r="H2" s="74"/>
      <c r="I2" s="477"/>
      <c r="J2" s="537"/>
    </row>
    <row r="3" spans="1:10" s="1" customFormat="1" ht="28" x14ac:dyDescent="0.35">
      <c r="A3" s="210" t="s">
        <v>295</v>
      </c>
      <c r="B3" s="7" t="s">
        <v>47</v>
      </c>
      <c r="C3" s="7"/>
      <c r="D3" s="71"/>
      <c r="E3" s="11"/>
      <c r="F3" s="11"/>
      <c r="G3" s="71"/>
      <c r="H3" s="11"/>
      <c r="I3" s="478"/>
      <c r="J3" s="478"/>
    </row>
    <row r="4" spans="1:10" x14ac:dyDescent="0.35">
      <c r="H4" s="2" t="s">
        <v>643</v>
      </c>
      <c r="I4" s="477" t="s">
        <v>445</v>
      </c>
      <c r="J4" s="537" t="s">
        <v>568</v>
      </c>
    </row>
    <row r="5" spans="1:10" x14ac:dyDescent="0.35">
      <c r="A5" s="74" t="s">
        <v>487</v>
      </c>
      <c r="B5" s="74" t="s">
        <v>2</v>
      </c>
      <c r="C5" s="191" t="s">
        <v>124</v>
      </c>
      <c r="D5" s="191" t="s">
        <v>488</v>
      </c>
      <c r="E5" s="74" t="s">
        <v>489</v>
      </c>
      <c r="F5" s="74" t="s">
        <v>490</v>
      </c>
      <c r="H5" s="2"/>
      <c r="I5" s="477"/>
      <c r="J5" s="537"/>
    </row>
    <row r="6" spans="1:10" x14ac:dyDescent="0.35">
      <c r="A6" s="2">
        <v>1</v>
      </c>
      <c r="B6" s="71">
        <v>45357</v>
      </c>
      <c r="C6" s="7">
        <v>100000</v>
      </c>
      <c r="D6" s="3">
        <f>C6</f>
        <v>100000</v>
      </c>
      <c r="E6" s="2" t="s">
        <v>144</v>
      </c>
      <c r="F6" s="2">
        <v>1</v>
      </c>
      <c r="H6" s="2"/>
      <c r="I6" s="546" t="s">
        <v>210</v>
      </c>
      <c r="J6" s="537">
        <v>1486.5925004171161</v>
      </c>
    </row>
    <row r="7" spans="1:10" x14ac:dyDescent="0.35">
      <c r="A7" s="2">
        <v>2</v>
      </c>
      <c r="B7" s="71">
        <v>46109</v>
      </c>
      <c r="C7" s="3">
        <v>900000</v>
      </c>
      <c r="D7" s="3">
        <f>D6+C7</f>
        <v>1000000</v>
      </c>
      <c r="E7" s="2" t="s">
        <v>30</v>
      </c>
      <c r="F7" s="2">
        <v>2</v>
      </c>
      <c r="H7" s="2"/>
      <c r="I7" s="546" t="s">
        <v>212</v>
      </c>
      <c r="J7" s="547">
        <v>1309.6296378116615</v>
      </c>
    </row>
    <row r="8" spans="1:10" x14ac:dyDescent="0.35">
      <c r="A8" s="2">
        <v>3</v>
      </c>
      <c r="B8" s="71">
        <v>46203</v>
      </c>
      <c r="C8" s="7">
        <v>3000000</v>
      </c>
      <c r="D8" s="3">
        <f>D7+C8</f>
        <v>4000000</v>
      </c>
      <c r="E8" s="2" t="s">
        <v>30</v>
      </c>
      <c r="F8" s="2">
        <v>2</v>
      </c>
      <c r="H8" s="2"/>
      <c r="I8" s="546" t="s">
        <v>213</v>
      </c>
      <c r="J8" s="537">
        <v>1997.4241617494913</v>
      </c>
    </row>
    <row r="9" spans="1:10" x14ac:dyDescent="0.35">
      <c r="A9" s="2">
        <v>4</v>
      </c>
      <c r="B9" s="71"/>
      <c r="C9" s="3"/>
      <c r="D9" s="3"/>
      <c r="E9" s="2"/>
      <c r="F9" s="2"/>
      <c r="H9" s="2"/>
      <c r="I9" s="546" t="s">
        <v>215</v>
      </c>
      <c r="J9" s="537">
        <v>1422.3894362287945</v>
      </c>
    </row>
    <row r="10" spans="1:10" x14ac:dyDescent="0.35">
      <c r="A10" s="2">
        <v>5</v>
      </c>
      <c r="B10" s="71"/>
      <c r="C10" s="3"/>
      <c r="D10" s="3"/>
      <c r="E10" s="2"/>
      <c r="F10" s="2"/>
      <c r="H10" s="2"/>
      <c r="I10" s="546" t="s">
        <v>217</v>
      </c>
      <c r="J10" s="537">
        <v>3395.3104034440548</v>
      </c>
    </row>
    <row r="11" spans="1:10" x14ac:dyDescent="0.35">
      <c r="A11" s="2">
        <v>6</v>
      </c>
      <c r="B11" s="71"/>
      <c r="C11" s="3"/>
      <c r="D11" s="3"/>
      <c r="E11" s="2"/>
      <c r="F11" s="2"/>
      <c r="H11" s="2"/>
      <c r="I11" s="546" t="s">
        <v>219</v>
      </c>
      <c r="J11" s="547">
        <v>9714.8196193200456</v>
      </c>
    </row>
    <row r="12" spans="1:10" x14ac:dyDescent="0.35">
      <c r="A12" s="2">
        <v>7</v>
      </c>
      <c r="B12" s="71"/>
      <c r="C12" s="3"/>
      <c r="D12" s="3"/>
      <c r="E12" s="2"/>
      <c r="F12" s="2"/>
      <c r="H12" s="2"/>
      <c r="I12" s="546" t="s">
        <v>537</v>
      </c>
      <c r="J12" s="547">
        <v>1545.2514876089715</v>
      </c>
    </row>
    <row r="13" spans="1:10" x14ac:dyDescent="0.35">
      <c r="A13" s="2">
        <v>8</v>
      </c>
      <c r="B13" s="294"/>
      <c r="C13" s="3"/>
      <c r="D13" s="3"/>
      <c r="E13" s="2"/>
      <c r="F13" s="2"/>
      <c r="H13" s="2"/>
      <c r="I13" s="546" t="s">
        <v>543</v>
      </c>
      <c r="J13" s="547">
        <v>3975.3570998410414</v>
      </c>
    </row>
    <row r="14" spans="1:10" x14ac:dyDescent="0.35">
      <c r="A14" s="2">
        <v>9</v>
      </c>
      <c r="B14" s="294"/>
      <c r="C14" s="3"/>
      <c r="D14" s="3"/>
      <c r="E14" s="2"/>
      <c r="F14" s="2"/>
      <c r="H14" s="2"/>
      <c r="I14" s="495" t="s">
        <v>681</v>
      </c>
      <c r="J14" s="537">
        <f>'DETAILS (sorted)'!DC60</f>
        <v>5635.6646449149666</v>
      </c>
    </row>
    <row r="15" spans="1:10" x14ac:dyDescent="0.35">
      <c r="A15" s="2">
        <v>10</v>
      </c>
      <c r="B15" s="294"/>
      <c r="C15" s="205"/>
      <c r="D15" s="3"/>
      <c r="E15" s="2"/>
      <c r="F15" s="2"/>
      <c r="H15" s="2"/>
      <c r="I15" s="495" t="s">
        <v>696</v>
      </c>
      <c r="J15" s="537">
        <f>'DETAILS (sorted)'!DD60</f>
        <v>3815.8802369838877</v>
      </c>
    </row>
    <row r="16" spans="1:10" x14ac:dyDescent="0.35">
      <c r="A16" s="2">
        <v>11</v>
      </c>
      <c r="B16" s="294"/>
      <c r="C16" s="3"/>
      <c r="D16" s="3"/>
      <c r="E16" s="2"/>
      <c r="F16" s="2"/>
      <c r="H16" s="2"/>
      <c r="I16" s="408" t="s">
        <v>887</v>
      </c>
      <c r="J16" s="10">
        <f>'DETAILS (sorted)'!DF60</f>
        <v>10724.91421447327</v>
      </c>
    </row>
    <row r="17" spans="1:10" x14ac:dyDescent="0.35">
      <c r="A17" s="2">
        <v>12</v>
      </c>
      <c r="B17" s="71"/>
      <c r="C17" s="3"/>
      <c r="D17" s="3"/>
      <c r="E17" s="2"/>
      <c r="F17" s="2"/>
      <c r="H17" s="2"/>
      <c r="I17" s="408" t="s">
        <v>889</v>
      </c>
      <c r="J17" s="10">
        <f>'DETAILS (sorted)'!DG60</f>
        <v>35810.4062719133</v>
      </c>
    </row>
    <row r="18" spans="1:10" x14ac:dyDescent="0.35">
      <c r="A18" s="2">
        <v>13</v>
      </c>
      <c r="B18" s="71"/>
      <c r="C18" s="3"/>
      <c r="D18" s="3"/>
      <c r="E18" s="2"/>
      <c r="F18" s="2"/>
      <c r="H18" s="2"/>
      <c r="I18" s="408" t="s">
        <v>891</v>
      </c>
      <c r="J18" s="10">
        <f>'DETAILS (sorted)'!DL60</f>
        <v>11671.394685105637</v>
      </c>
    </row>
    <row r="19" spans="1:10" x14ac:dyDescent="0.35">
      <c r="A19" s="2">
        <v>14</v>
      </c>
      <c r="B19" s="71"/>
      <c r="C19" s="3"/>
      <c r="D19" s="3"/>
      <c r="E19" s="2"/>
      <c r="F19" s="2"/>
      <c r="H19" s="2"/>
      <c r="I19" s="408" t="s">
        <v>894</v>
      </c>
      <c r="J19" s="10">
        <f>'DETAILS (sorted)'!DM60</f>
        <v>0</v>
      </c>
    </row>
    <row r="20" spans="1:10" x14ac:dyDescent="0.35">
      <c r="A20" s="2">
        <v>15</v>
      </c>
      <c r="B20" s="71"/>
      <c r="C20" s="3"/>
      <c r="D20" s="3"/>
      <c r="E20" s="2"/>
      <c r="F20" s="2"/>
      <c r="H20" s="2"/>
      <c r="I20" s="408" t="s">
        <v>893</v>
      </c>
      <c r="J20" s="10">
        <f>'DETAILS (sorted)'!DN60</f>
        <v>0</v>
      </c>
    </row>
    <row r="21" spans="1:10" x14ac:dyDescent="0.35">
      <c r="A21" s="2">
        <v>16</v>
      </c>
      <c r="B21" s="71"/>
      <c r="C21" s="3"/>
      <c r="D21" s="3"/>
      <c r="E21" s="2"/>
      <c r="F21" s="2"/>
      <c r="H21" s="2"/>
      <c r="I21" s="408" t="s">
        <v>895</v>
      </c>
      <c r="J21" s="10">
        <f>'DETAILS (sorted)'!DO60</f>
        <v>0</v>
      </c>
    </row>
    <row r="22" spans="1:10" x14ac:dyDescent="0.35">
      <c r="A22" s="2"/>
      <c r="B22" s="2"/>
      <c r="C22" s="3"/>
      <c r="D22" s="3"/>
      <c r="E22" s="2"/>
      <c r="F22" s="2"/>
      <c r="H22" s="2"/>
      <c r="I22" s="408" t="s">
        <v>897</v>
      </c>
      <c r="J22" s="10">
        <f>'DETAILS (sorted)'!DQ60</f>
        <v>0</v>
      </c>
    </row>
    <row r="23" spans="1:10" x14ac:dyDescent="0.35">
      <c r="A23" s="2"/>
      <c r="B23" s="2"/>
      <c r="C23" s="3"/>
      <c r="D23" s="3"/>
      <c r="E23" s="2"/>
      <c r="F23" s="2"/>
      <c r="H23" s="2"/>
      <c r="I23" s="408" t="s">
        <v>898</v>
      </c>
      <c r="J23" s="10">
        <f>'DETAILS (sorted)'!DR60</f>
        <v>0</v>
      </c>
    </row>
    <row r="24" spans="1:10" x14ac:dyDescent="0.35">
      <c r="A24" s="2"/>
      <c r="B24" s="2"/>
      <c r="C24" s="3"/>
      <c r="D24" s="3"/>
      <c r="E24" s="2"/>
      <c r="F24" s="2"/>
      <c r="H24" s="2"/>
      <c r="I24" s="477"/>
      <c r="J24" s="537"/>
    </row>
    <row r="25" spans="1:10" x14ac:dyDescent="0.35">
      <c r="A25" s="2"/>
      <c r="B25" s="2"/>
      <c r="C25" s="3"/>
      <c r="D25" s="3"/>
      <c r="E25" s="2"/>
      <c r="F25" s="2"/>
      <c r="H25" s="2"/>
      <c r="I25" s="477"/>
      <c r="J25" s="537"/>
    </row>
    <row r="26" spans="1:10" x14ac:dyDescent="0.35">
      <c r="A26" s="2"/>
      <c r="B26" s="2"/>
      <c r="C26" s="3"/>
      <c r="D26" s="3"/>
      <c r="E26" s="2"/>
      <c r="F26" s="2"/>
      <c r="H26" s="2"/>
      <c r="I26" s="477"/>
      <c r="J26" s="537"/>
    </row>
    <row r="27" spans="1:10" x14ac:dyDescent="0.35">
      <c r="A27" s="2"/>
      <c r="B27" s="2"/>
      <c r="C27" s="3"/>
      <c r="D27" s="3"/>
      <c r="E27" s="2"/>
      <c r="F27" s="2"/>
      <c r="H27" s="2"/>
      <c r="I27" s="477"/>
      <c r="J27" s="537"/>
    </row>
    <row r="28" spans="1:10" x14ac:dyDescent="0.35">
      <c r="A28" s="2"/>
      <c r="B28" s="2"/>
      <c r="C28" s="3"/>
      <c r="D28" s="3"/>
      <c r="E28" s="2"/>
      <c r="F28" s="2"/>
      <c r="H28" s="2"/>
      <c r="I28" s="477"/>
      <c r="J28" s="537"/>
    </row>
    <row r="29" spans="1:10" x14ac:dyDescent="0.35">
      <c r="A29" s="2"/>
      <c r="B29" s="2"/>
      <c r="C29" s="3"/>
      <c r="D29" s="3"/>
      <c r="E29" s="2"/>
      <c r="F29" s="2"/>
      <c r="H29" s="2"/>
      <c r="I29" s="477"/>
      <c r="J29" s="537"/>
    </row>
    <row r="30" spans="1:10" x14ac:dyDescent="0.35">
      <c r="A30" s="2"/>
      <c r="B30" s="2"/>
      <c r="C30" s="3"/>
      <c r="D30" s="3"/>
      <c r="E30" s="2"/>
      <c r="F30" s="2"/>
      <c r="H30" s="2"/>
      <c r="I30" s="477"/>
      <c r="J30" s="537"/>
    </row>
    <row r="31" spans="1:10" x14ac:dyDescent="0.35">
      <c r="A31" s="2"/>
      <c r="B31" s="2"/>
      <c r="C31" s="3"/>
      <c r="D31" s="3"/>
      <c r="E31" s="2"/>
      <c r="F31" s="2"/>
      <c r="H31" s="2"/>
      <c r="I31" s="477"/>
      <c r="J31" s="537"/>
    </row>
    <row r="32" spans="1:10" x14ac:dyDescent="0.35">
      <c r="A32" s="2"/>
      <c r="B32" s="2"/>
      <c r="C32" s="3"/>
      <c r="D32" s="3"/>
      <c r="E32" s="2"/>
      <c r="F32" s="2"/>
      <c r="H32" s="2"/>
      <c r="I32" s="477"/>
      <c r="J32" s="537"/>
    </row>
    <row r="33" spans="1:10" x14ac:dyDescent="0.35">
      <c r="A33" s="2"/>
      <c r="B33" s="2"/>
      <c r="C33" s="3"/>
      <c r="D33" s="3"/>
      <c r="E33" s="2"/>
      <c r="F33" s="2"/>
      <c r="H33" s="2"/>
      <c r="I33" s="477"/>
      <c r="J33" s="537"/>
    </row>
    <row r="34" spans="1:10" x14ac:dyDescent="0.35">
      <c r="A34" s="2"/>
      <c r="B34" s="2"/>
      <c r="C34" s="3"/>
      <c r="D34" s="3"/>
      <c r="E34" s="2"/>
      <c r="F34" s="2"/>
      <c r="H34" s="2"/>
      <c r="I34" s="477"/>
      <c r="J34" s="537"/>
    </row>
    <row r="35" spans="1:10" s="5" customFormat="1" x14ac:dyDescent="0.35">
      <c r="A35" s="74"/>
      <c r="B35" s="74"/>
      <c r="C35" s="191">
        <f>SUM(C6:C34)</f>
        <v>4000000</v>
      </c>
      <c r="D35" s="191">
        <f>C35+J35</f>
        <v>4092505.0343998121</v>
      </c>
      <c r="E35" s="191">
        <f>'DETAILS (sorted)'!DS60</f>
        <v>4134406.0530199073</v>
      </c>
      <c r="F35" s="74">
        <f>D35-E35</f>
        <v>-41901.018620095216</v>
      </c>
      <c r="G35" s="5" t="b">
        <f>D35=E35</f>
        <v>0</v>
      </c>
      <c r="H35" s="74"/>
      <c r="I35" s="477"/>
      <c r="J35" s="537">
        <f>SUM(J6:J34)</f>
        <v>92505.034399812241</v>
      </c>
    </row>
    <row r="37" spans="1:10" x14ac:dyDescent="0.35">
      <c r="C37" s="191" t="s">
        <v>644</v>
      </c>
      <c r="D37" s="191">
        <f>C35+J35</f>
        <v>4092505.0343998121</v>
      </c>
      <c r="E37" s="122">
        <f>D37/D38</f>
        <v>1.023126258599953</v>
      </c>
      <c r="F37" s="2" t="s">
        <v>652</v>
      </c>
    </row>
    <row r="38" spans="1:10" x14ac:dyDescent="0.35">
      <c r="C38" s="3"/>
      <c r="D38" s="3">
        <v>4000000</v>
      </c>
      <c r="E38" s="122">
        <f>D38/D38</f>
        <v>1</v>
      </c>
      <c r="F38" s="2" t="s">
        <v>654</v>
      </c>
    </row>
    <row r="39" spans="1:10" x14ac:dyDescent="0.35">
      <c r="C39" s="3"/>
      <c r="D39" s="3">
        <f>D37-D38</f>
        <v>92505.03439981211</v>
      </c>
      <c r="E39" s="122">
        <f>D39/D38</f>
        <v>2.3126258599953028E-2</v>
      </c>
      <c r="F39" s="2" t="s">
        <v>653</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50946-E9EC-41E0-B6BD-412886CE5477}">
  <dimension ref="A2:J39"/>
  <sheetViews>
    <sheetView topLeftCell="A12"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8.1796875" bestFit="1" customWidth="1"/>
    <col min="8" max="8" width="0" hidden="1" customWidth="1"/>
    <col min="9" max="9" width="26.36328125" style="526" customWidth="1"/>
    <col min="10" max="10" width="11.1796875" style="550" bestFit="1" customWidth="1"/>
  </cols>
  <sheetData>
    <row r="2" spans="1:10" s="5" customFormat="1" x14ac:dyDescent="0.35">
      <c r="A2" s="74" t="s">
        <v>190</v>
      </c>
      <c r="B2" s="191" t="s">
        <v>0</v>
      </c>
      <c r="C2" s="191"/>
      <c r="D2" s="74" t="s">
        <v>1</v>
      </c>
      <c r="E2" s="75" t="s">
        <v>2</v>
      </c>
      <c r="F2" s="74"/>
      <c r="G2" s="74"/>
      <c r="H2" s="74"/>
      <c r="I2" s="484"/>
      <c r="J2" s="548"/>
    </row>
    <row r="3" spans="1:10" s="1" customFormat="1" ht="28" x14ac:dyDescent="0.35">
      <c r="A3" s="210" t="s">
        <v>296</v>
      </c>
      <c r="B3" s="286" t="s">
        <v>1034</v>
      </c>
      <c r="C3" s="7"/>
      <c r="D3" s="71"/>
      <c r="E3" s="11"/>
      <c r="F3" s="11"/>
      <c r="G3" s="11"/>
      <c r="H3" s="11"/>
      <c r="I3" s="545"/>
      <c r="J3" s="545"/>
    </row>
    <row r="4" spans="1:10" x14ac:dyDescent="0.35">
      <c r="H4" s="74" t="s">
        <v>643</v>
      </c>
      <c r="I4" s="544" t="s">
        <v>445</v>
      </c>
      <c r="J4" s="548" t="s">
        <v>568</v>
      </c>
    </row>
    <row r="5" spans="1:10" x14ac:dyDescent="0.35">
      <c r="A5" s="74" t="s">
        <v>487</v>
      </c>
      <c r="B5" s="74" t="s">
        <v>2</v>
      </c>
      <c r="C5" s="191" t="s">
        <v>124</v>
      </c>
      <c r="D5" s="191" t="s">
        <v>488</v>
      </c>
      <c r="E5" s="74" t="s">
        <v>489</v>
      </c>
      <c r="F5" s="74" t="s">
        <v>490</v>
      </c>
      <c r="H5" s="2"/>
      <c r="I5" s="484"/>
      <c r="J5" s="549"/>
    </row>
    <row r="6" spans="1:10" x14ac:dyDescent="0.35">
      <c r="A6" s="2">
        <v>1</v>
      </c>
      <c r="B6" s="71">
        <v>45355</v>
      </c>
      <c r="C6" s="7">
        <v>100000</v>
      </c>
      <c r="D6" s="3">
        <f>C6</f>
        <v>100000</v>
      </c>
      <c r="E6" s="2" t="s">
        <v>144</v>
      </c>
      <c r="F6" s="2">
        <v>1</v>
      </c>
      <c r="H6" s="2"/>
      <c r="I6" s="523" t="s">
        <v>210</v>
      </c>
      <c r="J6" s="549">
        <v>1486.5925004171161</v>
      </c>
    </row>
    <row r="7" spans="1:10" x14ac:dyDescent="0.35">
      <c r="A7" s="2">
        <v>2</v>
      </c>
      <c r="B7" s="71">
        <v>46205</v>
      </c>
      <c r="C7" s="3">
        <v>6000000</v>
      </c>
      <c r="D7" s="3">
        <f>D6+C7</f>
        <v>6100000</v>
      </c>
      <c r="E7" s="2" t="s">
        <v>30</v>
      </c>
      <c r="F7" s="2">
        <v>2</v>
      </c>
      <c r="H7" s="2"/>
      <c r="I7" s="524" t="s">
        <v>212</v>
      </c>
      <c r="J7" s="549">
        <v>1309.6296378116615</v>
      </c>
    </row>
    <row r="8" spans="1:10" x14ac:dyDescent="0.35">
      <c r="A8" s="2">
        <v>3</v>
      </c>
      <c r="B8" s="71"/>
      <c r="C8" s="7"/>
      <c r="D8" s="3"/>
      <c r="E8" s="2"/>
      <c r="F8" s="2"/>
      <c r="H8" s="2"/>
      <c r="I8" s="524" t="s">
        <v>213</v>
      </c>
      <c r="J8" s="549">
        <v>1997.4241617494913</v>
      </c>
    </row>
    <row r="9" spans="1:10" x14ac:dyDescent="0.35">
      <c r="A9" s="2">
        <v>4</v>
      </c>
      <c r="B9" s="71"/>
      <c r="C9" s="3"/>
      <c r="D9" s="3"/>
      <c r="E9" s="2"/>
      <c r="F9" s="2"/>
      <c r="H9" s="2"/>
      <c r="I9" s="524" t="s">
        <v>215</v>
      </c>
      <c r="J9" s="549">
        <v>1422.3894362287945</v>
      </c>
    </row>
    <row r="10" spans="1:10" x14ac:dyDescent="0.35">
      <c r="A10" s="2">
        <v>5</v>
      </c>
      <c r="B10" s="71"/>
      <c r="C10" s="3"/>
      <c r="D10" s="3"/>
      <c r="E10" s="2"/>
      <c r="F10" s="2"/>
      <c r="H10" s="2"/>
      <c r="I10" s="524" t="s">
        <v>217</v>
      </c>
      <c r="J10" s="549">
        <v>3395.3104034440548</v>
      </c>
    </row>
    <row r="11" spans="1:10" x14ac:dyDescent="0.35">
      <c r="A11" s="2">
        <v>6</v>
      </c>
      <c r="B11" s="71"/>
      <c r="C11" s="3"/>
      <c r="D11" s="3"/>
      <c r="E11" s="2"/>
      <c r="F11" s="2"/>
      <c r="H11" s="2"/>
      <c r="I11" s="524" t="s">
        <v>219</v>
      </c>
      <c r="J11" s="549">
        <v>971.48196193200454</v>
      </c>
    </row>
    <row r="12" spans="1:10" x14ac:dyDescent="0.35">
      <c r="A12" s="2">
        <v>7</v>
      </c>
      <c r="B12" s="71"/>
      <c r="C12" s="3"/>
      <c r="D12" s="3"/>
      <c r="E12" s="2"/>
      <c r="F12" s="2"/>
      <c r="H12" s="2"/>
      <c r="I12" s="524" t="s">
        <v>537</v>
      </c>
      <c r="J12" s="549">
        <v>154.52514876089714</v>
      </c>
    </row>
    <row r="13" spans="1:10" x14ac:dyDescent="0.35">
      <c r="A13" s="2">
        <v>8</v>
      </c>
      <c r="B13" s="294"/>
      <c r="C13" s="3"/>
      <c r="D13" s="3"/>
      <c r="E13" s="2"/>
      <c r="F13" s="2"/>
      <c r="H13" s="2"/>
      <c r="I13" s="524" t="s">
        <v>543</v>
      </c>
      <c r="J13" s="549">
        <v>397.53570998410413</v>
      </c>
    </row>
    <row r="14" spans="1:10" x14ac:dyDescent="0.35">
      <c r="A14" s="2">
        <v>9</v>
      </c>
      <c r="B14" s="294"/>
      <c r="C14" s="3"/>
      <c r="D14" s="3"/>
      <c r="E14" s="2"/>
      <c r="F14" s="2"/>
      <c r="H14" s="2"/>
      <c r="I14" s="524" t="s">
        <v>681</v>
      </c>
      <c r="J14" s="549">
        <f>'DETAILS (sorted)'!DC61</f>
        <v>563.56646449149662</v>
      </c>
    </row>
    <row r="15" spans="1:10" x14ac:dyDescent="0.35">
      <c r="A15" s="2">
        <v>10</v>
      </c>
      <c r="B15" s="294"/>
      <c r="C15" s="205"/>
      <c r="D15" s="3"/>
      <c r="E15" s="2"/>
      <c r="F15" s="2"/>
      <c r="H15" s="2"/>
      <c r="I15" s="524" t="s">
        <v>696</v>
      </c>
      <c r="J15" s="549">
        <f>'DETAILS (sorted)'!DD61</f>
        <v>381.58802369838872</v>
      </c>
    </row>
    <row r="16" spans="1:10" x14ac:dyDescent="0.35">
      <c r="A16" s="2">
        <v>11</v>
      </c>
      <c r="B16" s="294"/>
      <c r="C16" s="3"/>
      <c r="D16" s="3"/>
      <c r="E16" s="2"/>
      <c r="F16" s="2"/>
      <c r="H16" s="2"/>
      <c r="I16" s="408" t="s">
        <v>887</v>
      </c>
      <c r="J16" s="10">
        <f>'DETAILS (sorted)'!DF61</f>
        <v>268.12285536183174</v>
      </c>
    </row>
    <row r="17" spans="1:10" x14ac:dyDescent="0.35">
      <c r="A17" s="2">
        <v>12</v>
      </c>
      <c r="B17" s="71"/>
      <c r="C17" s="3"/>
      <c r="D17" s="3"/>
      <c r="E17" s="2"/>
      <c r="F17" s="2"/>
      <c r="H17" s="2"/>
      <c r="I17" s="408" t="s">
        <v>889</v>
      </c>
      <c r="J17" s="10">
        <f>'DETAILS (sorted)'!DG61</f>
        <v>895.26015679783245</v>
      </c>
    </row>
    <row r="18" spans="1:10" x14ac:dyDescent="0.35">
      <c r="A18" s="2">
        <v>13</v>
      </c>
      <c r="B18" s="71"/>
      <c r="C18" s="3"/>
      <c r="D18" s="3"/>
      <c r="E18" s="2"/>
      <c r="F18" s="2"/>
      <c r="H18" s="2"/>
      <c r="I18" s="408" t="s">
        <v>891</v>
      </c>
      <c r="J18" s="10">
        <f>'DETAILS (sorted)'!DL61</f>
        <v>17484.191499984365</v>
      </c>
    </row>
    <row r="19" spans="1:10" x14ac:dyDescent="0.35">
      <c r="A19" s="2">
        <v>14</v>
      </c>
      <c r="B19" s="71"/>
      <c r="C19" s="3"/>
      <c r="D19" s="3"/>
      <c r="E19" s="2"/>
      <c r="F19" s="2"/>
      <c r="H19" s="2"/>
      <c r="I19" s="408" t="s">
        <v>894</v>
      </c>
      <c r="J19" s="10">
        <f>'DETAILS (sorted)'!DM61</f>
        <v>0</v>
      </c>
    </row>
    <row r="20" spans="1:10" x14ac:dyDescent="0.35">
      <c r="A20" s="2">
        <v>15</v>
      </c>
      <c r="B20" s="71"/>
      <c r="C20" s="3"/>
      <c r="D20" s="3"/>
      <c r="E20" s="2"/>
      <c r="F20" s="2"/>
      <c r="H20" s="2"/>
      <c r="I20" s="408" t="s">
        <v>893</v>
      </c>
      <c r="J20" s="10">
        <f>'DETAILS (sorted)'!DN61</f>
        <v>0</v>
      </c>
    </row>
    <row r="21" spans="1:10" x14ac:dyDescent="0.35">
      <c r="A21" s="2">
        <v>16</v>
      </c>
      <c r="B21" s="71"/>
      <c r="C21" s="3"/>
      <c r="D21" s="3"/>
      <c r="E21" s="2"/>
      <c r="F21" s="2"/>
      <c r="H21" s="2"/>
      <c r="I21" s="408" t="s">
        <v>895</v>
      </c>
      <c r="J21" s="10">
        <f>'DETAILS (sorted)'!DO61</f>
        <v>0</v>
      </c>
    </row>
    <row r="22" spans="1:10" x14ac:dyDescent="0.35">
      <c r="A22" s="2"/>
      <c r="B22" s="2"/>
      <c r="C22" s="3"/>
      <c r="D22" s="3"/>
      <c r="E22" s="2"/>
      <c r="F22" s="2"/>
      <c r="H22" s="2"/>
      <c r="I22" s="408" t="s">
        <v>897</v>
      </c>
      <c r="J22" s="10">
        <f>'DETAILS (sorted)'!DQ61</f>
        <v>0</v>
      </c>
    </row>
    <row r="23" spans="1:10" x14ac:dyDescent="0.35">
      <c r="A23" s="2"/>
      <c r="B23" s="2"/>
      <c r="C23" s="3"/>
      <c r="D23" s="3"/>
      <c r="E23" s="2"/>
      <c r="F23" s="2"/>
      <c r="H23" s="2"/>
      <c r="I23" s="408" t="s">
        <v>898</v>
      </c>
      <c r="J23" s="10">
        <f>'DETAILS (sorted)'!DR61</f>
        <v>0</v>
      </c>
    </row>
    <row r="24" spans="1:10" x14ac:dyDescent="0.35">
      <c r="A24" s="2"/>
      <c r="B24" s="2"/>
      <c r="C24" s="3"/>
      <c r="D24" s="3"/>
      <c r="E24" s="2"/>
      <c r="F24" s="2"/>
      <c r="H24" s="2"/>
      <c r="I24" s="484"/>
      <c r="J24" s="549"/>
    </row>
    <row r="25" spans="1:10" x14ac:dyDescent="0.35">
      <c r="A25" s="2"/>
      <c r="B25" s="2"/>
      <c r="C25" s="3"/>
      <c r="D25" s="3"/>
      <c r="E25" s="2"/>
      <c r="F25" s="2"/>
      <c r="H25" s="2"/>
      <c r="I25" s="484"/>
      <c r="J25" s="549"/>
    </row>
    <row r="26" spans="1:10" x14ac:dyDescent="0.35">
      <c r="A26" s="2"/>
      <c r="B26" s="2"/>
      <c r="C26" s="3"/>
      <c r="D26" s="3"/>
      <c r="E26" s="2"/>
      <c r="F26" s="2"/>
      <c r="H26" s="2"/>
      <c r="I26" s="484"/>
      <c r="J26" s="549"/>
    </row>
    <row r="27" spans="1:10" x14ac:dyDescent="0.35">
      <c r="A27" s="2"/>
      <c r="B27" s="2"/>
      <c r="C27" s="3"/>
      <c r="D27" s="3"/>
      <c r="E27" s="2"/>
      <c r="F27" s="2"/>
      <c r="H27" s="2"/>
      <c r="I27" s="484"/>
      <c r="J27" s="549"/>
    </row>
    <row r="28" spans="1:10" x14ac:dyDescent="0.35">
      <c r="A28" s="2"/>
      <c r="B28" s="2"/>
      <c r="C28" s="3"/>
      <c r="D28" s="3"/>
      <c r="E28" s="2"/>
      <c r="F28" s="2"/>
      <c r="H28" s="2"/>
      <c r="I28" s="484"/>
      <c r="J28" s="549"/>
    </row>
    <row r="29" spans="1:10" x14ac:dyDescent="0.35">
      <c r="A29" s="2"/>
      <c r="B29" s="2"/>
      <c r="C29" s="3"/>
      <c r="D29" s="3"/>
      <c r="E29" s="2"/>
      <c r="F29" s="2"/>
      <c r="H29" s="2"/>
      <c r="I29" s="484"/>
      <c r="J29" s="549"/>
    </row>
    <row r="30" spans="1:10" x14ac:dyDescent="0.35">
      <c r="A30" s="2"/>
      <c r="B30" s="2"/>
      <c r="C30" s="3"/>
      <c r="D30" s="3"/>
      <c r="E30" s="2"/>
      <c r="F30" s="2"/>
      <c r="H30" s="2"/>
      <c r="I30" s="484"/>
      <c r="J30" s="549"/>
    </row>
    <row r="31" spans="1:10" x14ac:dyDescent="0.35">
      <c r="A31" s="2"/>
      <c r="B31" s="2"/>
      <c r="C31" s="3"/>
      <c r="D31" s="3"/>
      <c r="E31" s="2"/>
      <c r="F31" s="2"/>
      <c r="H31" s="2"/>
      <c r="I31" s="484"/>
      <c r="J31" s="549"/>
    </row>
    <row r="32" spans="1:10" x14ac:dyDescent="0.35">
      <c r="A32" s="2"/>
      <c r="B32" s="2"/>
      <c r="C32" s="3"/>
      <c r="D32" s="3"/>
      <c r="E32" s="2"/>
      <c r="F32" s="2"/>
      <c r="H32" s="2"/>
      <c r="I32" s="484"/>
      <c r="J32" s="549"/>
    </row>
    <row r="33" spans="1:10" x14ac:dyDescent="0.35">
      <c r="A33" s="2"/>
      <c r="B33" s="2"/>
      <c r="C33" s="3"/>
      <c r="D33" s="3"/>
      <c r="E33" s="2"/>
      <c r="F33" s="2"/>
      <c r="H33" s="2"/>
      <c r="I33" s="484"/>
      <c r="J33" s="549"/>
    </row>
    <row r="34" spans="1:10" x14ac:dyDescent="0.35">
      <c r="A34" s="2"/>
      <c r="B34" s="2"/>
      <c r="C34" s="3"/>
      <c r="D34" s="3"/>
      <c r="E34" s="2"/>
      <c r="F34" s="2"/>
      <c r="H34" s="2"/>
      <c r="I34" s="484"/>
      <c r="J34" s="549"/>
    </row>
    <row r="35" spans="1:10" s="5" customFormat="1" x14ac:dyDescent="0.35">
      <c r="A35" s="74"/>
      <c r="B35" s="74"/>
      <c r="C35" s="191">
        <f>SUM(C6:C34)</f>
        <v>6100000</v>
      </c>
      <c r="D35" s="191">
        <f>C35+J35</f>
        <v>6130727.6179606616</v>
      </c>
      <c r="E35" s="191">
        <f>'DETAILS (sorted)'!DS61</f>
        <v>6193496.9316000231</v>
      </c>
      <c r="F35" s="74">
        <f>D35-E35</f>
        <v>-62769.313639361411</v>
      </c>
      <c r="G35" s="5" t="b">
        <f>D35=E35</f>
        <v>0</v>
      </c>
      <c r="H35" s="74"/>
      <c r="I35" s="484"/>
      <c r="J35" s="548">
        <f>SUM(J6:J34)</f>
        <v>30727.617960662035</v>
      </c>
    </row>
    <row r="37" spans="1:10" x14ac:dyDescent="0.35">
      <c r="C37" s="191" t="s">
        <v>644</v>
      </c>
      <c r="D37" s="191">
        <f>C35+J35</f>
        <v>6130727.6179606616</v>
      </c>
      <c r="E37" s="122">
        <f>D37/D38</f>
        <v>0.30653638089803309</v>
      </c>
      <c r="F37" s="2" t="s">
        <v>652</v>
      </c>
    </row>
    <row r="38" spans="1:10" x14ac:dyDescent="0.35">
      <c r="C38" s="3"/>
      <c r="D38" s="3">
        <v>20000000</v>
      </c>
      <c r="E38" s="122">
        <f>D38/D38</f>
        <v>1</v>
      </c>
      <c r="F38" s="2" t="s">
        <v>654</v>
      </c>
    </row>
    <row r="39" spans="1:10" x14ac:dyDescent="0.35">
      <c r="C39" s="3"/>
      <c r="D39" s="3">
        <f>D37-D38</f>
        <v>-13869272.382039338</v>
      </c>
      <c r="E39" s="122">
        <f>D39/D38</f>
        <v>-0.69346361910196697</v>
      </c>
      <c r="F39" s="2" t="s">
        <v>653</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A0ADE-0328-485E-BD19-B13C04CC3F65}">
  <dimension ref="A2:J39"/>
  <sheetViews>
    <sheetView topLeftCell="A16" workbookViewId="0">
      <selection activeCell="L11" sqref="L1:R1048576"/>
    </sheetView>
  </sheetViews>
  <sheetFormatPr defaultRowHeight="14.5" x14ac:dyDescent="0.35"/>
  <cols>
    <col min="1" max="1" width="9.08984375" customWidth="1"/>
    <col min="2" max="2" width="17" bestFit="1" customWidth="1"/>
    <col min="3" max="3" width="11.81640625" style="1" bestFit="1" customWidth="1"/>
    <col min="4" max="4" width="15" style="1" bestFit="1" customWidth="1"/>
    <col min="5" max="5" width="11.7265625" customWidth="1"/>
    <col min="6" max="6" width="9.90625" bestFit="1" customWidth="1"/>
    <col min="7" max="7" width="5.453125" bestFit="1" customWidth="1"/>
    <col min="8" max="8" width="5" bestFit="1" customWidth="1"/>
    <col min="9" max="9" width="24.36328125" bestFit="1" customWidth="1"/>
    <col min="10" max="10" width="11.1796875" style="6" bestFit="1" customWidth="1"/>
    <col min="11" max="41" width="8.90625" customWidth="1"/>
  </cols>
  <sheetData>
    <row r="2" spans="1:10" s="5" customFormat="1" x14ac:dyDescent="0.35">
      <c r="A2" s="74" t="s">
        <v>190</v>
      </c>
      <c r="B2" s="191" t="s">
        <v>0</v>
      </c>
      <c r="C2" s="191"/>
      <c r="D2" s="74" t="s">
        <v>1</v>
      </c>
      <c r="E2" s="75" t="s">
        <v>2</v>
      </c>
      <c r="F2" s="74"/>
      <c r="G2" s="74"/>
      <c r="H2" s="74"/>
      <c r="I2" s="74"/>
      <c r="J2" s="63"/>
    </row>
    <row r="3" spans="1:10" s="1" customFormat="1" ht="28" x14ac:dyDescent="0.35">
      <c r="A3" s="210" t="s">
        <v>297</v>
      </c>
      <c r="B3" s="7" t="s">
        <v>298</v>
      </c>
      <c r="C3" s="7"/>
      <c r="D3" s="71"/>
      <c r="E3" s="239"/>
      <c r="F3" s="11"/>
      <c r="G3" s="11"/>
      <c r="H3" s="11"/>
      <c r="I3" s="11"/>
      <c r="J3" s="11"/>
    </row>
    <row r="4" spans="1:10" x14ac:dyDescent="0.35">
      <c r="H4" s="74" t="s">
        <v>643</v>
      </c>
      <c r="I4" s="74" t="s">
        <v>445</v>
      </c>
      <c r="J4" s="63" t="s">
        <v>568</v>
      </c>
    </row>
    <row r="5" spans="1:10" x14ac:dyDescent="0.35">
      <c r="A5" s="74" t="s">
        <v>487</v>
      </c>
      <c r="B5" s="74" t="s">
        <v>2</v>
      </c>
      <c r="C5" s="191" t="s">
        <v>124</v>
      </c>
      <c r="D5" s="191" t="s">
        <v>488</v>
      </c>
      <c r="E5" s="74" t="s">
        <v>489</v>
      </c>
      <c r="F5" s="74" t="s">
        <v>490</v>
      </c>
      <c r="H5" s="2"/>
      <c r="I5" s="2"/>
      <c r="J5" s="10"/>
    </row>
    <row r="6" spans="1:10" x14ac:dyDescent="0.35">
      <c r="A6" s="2">
        <v>1</v>
      </c>
      <c r="B6" s="71">
        <v>46083</v>
      </c>
      <c r="C6" s="7">
        <v>5000000</v>
      </c>
      <c r="D6" s="3">
        <f>C6</f>
        <v>5000000</v>
      </c>
      <c r="E6" s="2" t="s">
        <v>30</v>
      </c>
      <c r="F6" s="2">
        <v>2</v>
      </c>
      <c r="H6" s="2"/>
      <c r="I6" s="462" t="s">
        <v>219</v>
      </c>
      <c r="J6" s="10">
        <v>247727.90029266116</v>
      </c>
    </row>
    <row r="7" spans="1:10" x14ac:dyDescent="0.35">
      <c r="A7" s="2">
        <v>2</v>
      </c>
      <c r="B7" s="71">
        <v>46093</v>
      </c>
      <c r="C7" s="3">
        <v>5000000</v>
      </c>
      <c r="D7" s="3">
        <f>D6+C7</f>
        <v>10000000</v>
      </c>
      <c r="E7" s="2" t="s">
        <v>30</v>
      </c>
      <c r="F7" s="2">
        <v>2</v>
      </c>
      <c r="H7" s="2"/>
      <c r="I7" s="495" t="s">
        <v>537</v>
      </c>
      <c r="J7" s="410">
        <v>56018.877237205059</v>
      </c>
    </row>
    <row r="8" spans="1:10" x14ac:dyDescent="0.35">
      <c r="A8" s="2">
        <v>3</v>
      </c>
      <c r="B8" s="71">
        <v>46098</v>
      </c>
      <c r="C8" s="7">
        <v>1000000</v>
      </c>
      <c r="D8" s="3">
        <f t="shared" ref="D8:D23" si="0">D7+C8</f>
        <v>11000000</v>
      </c>
      <c r="E8" s="2" t="s">
        <v>30</v>
      </c>
      <c r="F8" s="2">
        <v>2</v>
      </c>
      <c r="H8" s="2"/>
      <c r="I8" s="495" t="s">
        <v>543</v>
      </c>
      <c r="J8" s="10">
        <v>144115.72688056857</v>
      </c>
    </row>
    <row r="9" spans="1:10" x14ac:dyDescent="0.35">
      <c r="A9" s="2">
        <v>4</v>
      </c>
      <c r="B9" s="71">
        <v>46098</v>
      </c>
      <c r="C9" s="3">
        <v>3500000</v>
      </c>
      <c r="D9" s="3">
        <f t="shared" si="0"/>
        <v>14500000</v>
      </c>
      <c r="E9" s="2" t="s">
        <v>30</v>
      </c>
      <c r="F9" s="2">
        <v>2</v>
      </c>
      <c r="H9" s="2"/>
      <c r="I9" s="504" t="s">
        <v>681</v>
      </c>
      <c r="J9" s="10">
        <f>'DETAILS (sorted)'!DC62</f>
        <v>239809.57405647798</v>
      </c>
    </row>
    <row r="10" spans="1:10" x14ac:dyDescent="0.35">
      <c r="A10" s="2">
        <v>5</v>
      </c>
      <c r="B10" s="71">
        <v>46100</v>
      </c>
      <c r="C10" s="3">
        <v>2500000</v>
      </c>
      <c r="D10" s="3">
        <f t="shared" si="0"/>
        <v>17000000</v>
      </c>
      <c r="E10" s="2" t="s">
        <v>30</v>
      </c>
      <c r="F10" s="2">
        <v>2</v>
      </c>
      <c r="H10" s="2"/>
      <c r="I10" s="504" t="s">
        <v>696</v>
      </c>
      <c r="J10" s="10">
        <f>'DETAILS (sorted)'!DD62</f>
        <v>162373.85861973083</v>
      </c>
    </row>
    <row r="11" spans="1:10" x14ac:dyDescent="0.35">
      <c r="A11" s="2">
        <v>6</v>
      </c>
      <c r="B11" s="71">
        <v>46100</v>
      </c>
      <c r="C11" s="3">
        <v>1500000</v>
      </c>
      <c r="D11" s="3">
        <f t="shared" si="0"/>
        <v>18500000</v>
      </c>
      <c r="E11" s="2" t="s">
        <v>30</v>
      </c>
      <c r="F11" s="2">
        <v>2</v>
      </c>
      <c r="H11" s="2"/>
      <c r="I11" s="408" t="s">
        <v>887</v>
      </c>
      <c r="J11" s="10">
        <f>'DETAILS (sorted)'!DF62</f>
        <v>147841.42755238127</v>
      </c>
    </row>
    <row r="12" spans="1:10" x14ac:dyDescent="0.35">
      <c r="A12" s="2">
        <v>7</v>
      </c>
      <c r="B12" s="71">
        <v>46105</v>
      </c>
      <c r="C12" s="3">
        <v>500000</v>
      </c>
      <c r="D12" s="3">
        <f t="shared" si="0"/>
        <v>19000000</v>
      </c>
      <c r="E12" s="2" t="s">
        <v>30</v>
      </c>
      <c r="F12" s="2">
        <v>2</v>
      </c>
      <c r="H12" s="2"/>
      <c r="I12" s="408" t="s">
        <v>889</v>
      </c>
      <c r="J12" s="10">
        <f>'DETAILS (sorted)'!DG62</f>
        <v>493641.39223843894</v>
      </c>
    </row>
    <row r="13" spans="1:10" x14ac:dyDescent="0.35">
      <c r="A13" s="2">
        <v>8</v>
      </c>
      <c r="B13" s="294">
        <v>46108</v>
      </c>
      <c r="C13" s="3">
        <v>1500000</v>
      </c>
      <c r="D13" s="3">
        <f t="shared" si="0"/>
        <v>20500000</v>
      </c>
      <c r="E13" s="2" t="s">
        <v>30</v>
      </c>
      <c r="F13" s="2">
        <v>2</v>
      </c>
      <c r="H13" s="2"/>
      <c r="I13" s="408" t="s">
        <v>891</v>
      </c>
      <c r="J13" s="10">
        <f>'DETAILS (sorted)'!DL62</f>
        <v>262069.28235817366</v>
      </c>
    </row>
    <row r="14" spans="1:10" x14ac:dyDescent="0.35">
      <c r="A14" s="2">
        <v>9</v>
      </c>
      <c r="B14" s="294">
        <v>46112</v>
      </c>
      <c r="C14" s="3">
        <v>5000000</v>
      </c>
      <c r="D14" s="3">
        <f t="shared" si="0"/>
        <v>25500000</v>
      </c>
      <c r="E14" s="2" t="s">
        <v>30</v>
      </c>
      <c r="F14" s="2">
        <v>2</v>
      </c>
      <c r="H14" s="2"/>
      <c r="I14" s="408" t="s">
        <v>894</v>
      </c>
      <c r="J14" s="10">
        <f>'DETAILS (sorted)'!DM62</f>
        <v>0</v>
      </c>
    </row>
    <row r="15" spans="1:10" x14ac:dyDescent="0.35">
      <c r="A15" s="2">
        <v>10</v>
      </c>
      <c r="B15" s="294">
        <v>46127</v>
      </c>
      <c r="C15" s="205">
        <v>1254480</v>
      </c>
      <c r="D15" s="3">
        <f t="shared" si="0"/>
        <v>26754480</v>
      </c>
      <c r="E15" s="2" t="s">
        <v>30</v>
      </c>
      <c r="F15" s="2">
        <v>2</v>
      </c>
      <c r="H15" s="2"/>
      <c r="I15" s="408" t="s">
        <v>893</v>
      </c>
      <c r="J15" s="10">
        <f>'DETAILS (sorted)'!DN62</f>
        <v>0</v>
      </c>
    </row>
    <row r="16" spans="1:10" x14ac:dyDescent="0.35">
      <c r="A16" s="2">
        <v>11</v>
      </c>
      <c r="B16" s="294">
        <v>46128</v>
      </c>
      <c r="C16" s="3">
        <v>997792</v>
      </c>
      <c r="D16" s="3">
        <f t="shared" si="0"/>
        <v>27752272</v>
      </c>
      <c r="E16" s="2" t="s">
        <v>30</v>
      </c>
      <c r="F16" s="2">
        <v>2</v>
      </c>
      <c r="H16" s="2"/>
      <c r="I16" s="408" t="s">
        <v>895</v>
      </c>
      <c r="J16" s="10">
        <f>'DETAILS (sorted)'!DO62</f>
        <v>0</v>
      </c>
    </row>
    <row r="17" spans="1:10" x14ac:dyDescent="0.35">
      <c r="A17" s="2">
        <v>12</v>
      </c>
      <c r="B17" s="71">
        <v>46128</v>
      </c>
      <c r="C17" s="3">
        <v>1000000</v>
      </c>
      <c r="D17" s="3">
        <f t="shared" si="0"/>
        <v>28752272</v>
      </c>
      <c r="E17" s="2" t="s">
        <v>30</v>
      </c>
      <c r="F17" s="2">
        <v>2</v>
      </c>
      <c r="H17" s="2"/>
      <c r="I17" s="408" t="s">
        <v>897</v>
      </c>
      <c r="J17" s="10">
        <f>'DETAILS (sorted)'!DQ62</f>
        <v>0</v>
      </c>
    </row>
    <row r="18" spans="1:10" x14ac:dyDescent="0.35">
      <c r="A18" s="2">
        <v>13</v>
      </c>
      <c r="B18" s="71">
        <v>46137</v>
      </c>
      <c r="C18" s="3">
        <v>1500000</v>
      </c>
      <c r="D18" s="3">
        <f t="shared" si="0"/>
        <v>30252272</v>
      </c>
      <c r="E18" s="2" t="s">
        <v>30</v>
      </c>
      <c r="F18" s="2">
        <v>2</v>
      </c>
      <c r="H18" s="2"/>
      <c r="I18" s="408" t="s">
        <v>898</v>
      </c>
      <c r="J18" s="10">
        <f>'DETAILS (sorted)'!DR62</f>
        <v>0</v>
      </c>
    </row>
    <row r="19" spans="1:10" x14ac:dyDescent="0.35">
      <c r="A19" s="2">
        <v>14</v>
      </c>
      <c r="B19" s="71">
        <v>46140</v>
      </c>
      <c r="C19" s="3">
        <v>2500000</v>
      </c>
      <c r="D19" s="3">
        <f t="shared" si="0"/>
        <v>32752272</v>
      </c>
      <c r="E19" s="2" t="s">
        <v>30</v>
      </c>
      <c r="F19" s="2">
        <v>2</v>
      </c>
      <c r="H19" s="2"/>
      <c r="I19" s="2"/>
      <c r="J19" s="10"/>
    </row>
    <row r="20" spans="1:10" x14ac:dyDescent="0.35">
      <c r="A20" s="2">
        <v>15</v>
      </c>
      <c r="B20" s="71">
        <v>46142</v>
      </c>
      <c r="C20" s="3">
        <v>3500000</v>
      </c>
      <c r="D20" s="3">
        <f t="shared" si="0"/>
        <v>36252272</v>
      </c>
      <c r="E20" s="2" t="s">
        <v>30</v>
      </c>
      <c r="F20" s="2">
        <v>2</v>
      </c>
      <c r="H20" s="2"/>
      <c r="I20" s="2"/>
      <c r="J20" s="10"/>
    </row>
    <row r="21" spans="1:10" x14ac:dyDescent="0.35">
      <c r="A21" s="2">
        <v>16</v>
      </c>
      <c r="B21" s="71">
        <v>46153</v>
      </c>
      <c r="C21" s="3">
        <v>1299865</v>
      </c>
      <c r="D21" s="3">
        <f t="shared" si="0"/>
        <v>37552137</v>
      </c>
      <c r="E21" s="2" t="s">
        <v>30</v>
      </c>
      <c r="F21" s="2">
        <v>2</v>
      </c>
      <c r="H21" s="2"/>
      <c r="I21" s="2"/>
      <c r="J21" s="10"/>
    </row>
    <row r="22" spans="1:10" x14ac:dyDescent="0.35">
      <c r="A22" s="2">
        <v>17</v>
      </c>
      <c r="B22" s="71">
        <v>46169</v>
      </c>
      <c r="C22" s="3">
        <v>2000000</v>
      </c>
      <c r="D22" s="3">
        <f t="shared" si="0"/>
        <v>39552137</v>
      </c>
      <c r="E22" s="2" t="s">
        <v>30</v>
      </c>
      <c r="F22" s="2">
        <v>2</v>
      </c>
      <c r="H22" s="2"/>
      <c r="I22" s="2"/>
      <c r="J22" s="10"/>
    </row>
    <row r="23" spans="1:10" x14ac:dyDescent="0.35">
      <c r="A23" s="2">
        <v>18</v>
      </c>
      <c r="B23" s="71">
        <v>46170</v>
      </c>
      <c r="C23" s="3">
        <v>3000000</v>
      </c>
      <c r="D23" s="3">
        <f t="shared" si="0"/>
        <v>42552137</v>
      </c>
      <c r="E23" s="2" t="s">
        <v>30</v>
      </c>
      <c r="F23" s="2">
        <v>2</v>
      </c>
      <c r="H23" s="2"/>
      <c r="I23" s="2"/>
      <c r="J23" s="10"/>
    </row>
    <row r="24" spans="1:10" x14ac:dyDescent="0.35">
      <c r="A24" s="2">
        <v>19</v>
      </c>
      <c r="B24" s="71">
        <v>46174</v>
      </c>
      <c r="C24" s="3">
        <v>1000000</v>
      </c>
      <c r="D24" s="3">
        <f t="shared" ref="D24" si="1">D23+C24</f>
        <v>43552137</v>
      </c>
      <c r="E24" s="2" t="s">
        <v>30</v>
      </c>
      <c r="F24" s="2">
        <v>2</v>
      </c>
      <c r="H24" s="2"/>
      <c r="I24" s="2"/>
      <c r="J24" s="10"/>
    </row>
    <row r="25" spans="1:10" x14ac:dyDescent="0.35">
      <c r="A25" s="2">
        <v>20</v>
      </c>
      <c r="B25" s="71">
        <v>46178</v>
      </c>
      <c r="C25" s="3">
        <v>587298</v>
      </c>
      <c r="D25" s="3">
        <f t="shared" ref="D25" si="2">D24+C25</f>
        <v>44139435</v>
      </c>
      <c r="E25" s="2" t="s">
        <v>30</v>
      </c>
      <c r="F25" s="2">
        <v>2</v>
      </c>
      <c r="H25" s="2"/>
      <c r="I25" s="2"/>
      <c r="J25" s="10"/>
    </row>
    <row r="26" spans="1:10" x14ac:dyDescent="0.35">
      <c r="A26" s="2">
        <v>21</v>
      </c>
      <c r="B26" s="71">
        <v>46186</v>
      </c>
      <c r="C26" s="3">
        <v>1500000</v>
      </c>
      <c r="D26" s="3">
        <f t="shared" ref="D26:D27" si="3">D25+C26</f>
        <v>45639435</v>
      </c>
      <c r="E26" s="2" t="s">
        <v>30</v>
      </c>
      <c r="F26" s="2">
        <v>2</v>
      </c>
      <c r="H26" s="2"/>
      <c r="I26" s="2"/>
      <c r="J26" s="10"/>
    </row>
    <row r="27" spans="1:10" x14ac:dyDescent="0.35">
      <c r="A27" s="2">
        <v>22</v>
      </c>
      <c r="B27" s="71">
        <v>46187</v>
      </c>
      <c r="C27" s="3">
        <v>2000000</v>
      </c>
      <c r="D27" s="3">
        <f t="shared" si="3"/>
        <v>47639435</v>
      </c>
      <c r="E27" s="2" t="s">
        <v>30</v>
      </c>
      <c r="F27" s="2">
        <v>2</v>
      </c>
      <c r="H27" s="2"/>
      <c r="I27" s="2"/>
      <c r="J27" s="10"/>
    </row>
    <row r="28" spans="1:10" x14ac:dyDescent="0.35">
      <c r="A28" s="2">
        <v>23</v>
      </c>
      <c r="B28" s="71">
        <v>46200</v>
      </c>
      <c r="C28" s="3">
        <v>3500000</v>
      </c>
      <c r="D28" s="3">
        <f t="shared" ref="D28" si="4">D27+C28</f>
        <v>51139435</v>
      </c>
      <c r="E28" s="2" t="s">
        <v>30</v>
      </c>
      <c r="F28" s="2">
        <v>2</v>
      </c>
      <c r="H28" s="2"/>
      <c r="I28" s="2"/>
      <c r="J28" s="10"/>
    </row>
    <row r="29" spans="1:10" x14ac:dyDescent="0.35">
      <c r="A29" s="2">
        <v>24</v>
      </c>
      <c r="B29" s="71">
        <v>46202</v>
      </c>
      <c r="C29" s="3">
        <v>4000000</v>
      </c>
      <c r="D29" s="3">
        <f t="shared" ref="D29" si="5">D28+C29</f>
        <v>55139435</v>
      </c>
      <c r="E29" s="2" t="s">
        <v>30</v>
      </c>
      <c r="F29" s="2">
        <v>2</v>
      </c>
      <c r="H29" s="2"/>
      <c r="I29" s="2"/>
      <c r="J29" s="10"/>
    </row>
    <row r="30" spans="1:10" x14ac:dyDescent="0.35">
      <c r="A30" s="2"/>
      <c r="B30" s="2"/>
      <c r="C30" s="3"/>
      <c r="D30" s="3"/>
      <c r="E30" s="2"/>
      <c r="F30" s="2"/>
      <c r="H30" s="2"/>
      <c r="I30" s="2"/>
      <c r="J30" s="10"/>
    </row>
    <row r="31" spans="1:10" x14ac:dyDescent="0.35">
      <c r="A31" s="2"/>
      <c r="B31" s="2"/>
      <c r="C31" s="3"/>
      <c r="D31" s="3"/>
      <c r="E31" s="2"/>
      <c r="F31" s="2"/>
      <c r="H31" s="2"/>
      <c r="I31" s="2"/>
      <c r="J31" s="10"/>
    </row>
    <row r="32" spans="1:10" x14ac:dyDescent="0.35">
      <c r="A32" s="2"/>
      <c r="B32" s="2"/>
      <c r="C32" s="3"/>
      <c r="D32" s="3"/>
      <c r="E32" s="2"/>
      <c r="F32" s="2"/>
      <c r="H32" s="2"/>
      <c r="I32" s="2"/>
      <c r="J32" s="10"/>
    </row>
    <row r="33" spans="1:10" x14ac:dyDescent="0.35">
      <c r="A33" s="2"/>
      <c r="B33" s="2"/>
      <c r="C33" s="3"/>
      <c r="D33" s="3"/>
      <c r="E33" s="2"/>
      <c r="F33" s="2"/>
      <c r="H33" s="2"/>
      <c r="I33" s="2"/>
      <c r="J33" s="10"/>
    </row>
    <row r="34" spans="1:10" x14ac:dyDescent="0.35">
      <c r="A34" s="2"/>
      <c r="B34" s="2"/>
      <c r="C34" s="3"/>
      <c r="D34" s="3"/>
      <c r="E34" s="2"/>
      <c r="F34" s="2"/>
      <c r="H34" s="2"/>
      <c r="I34" s="2"/>
      <c r="J34" s="10"/>
    </row>
    <row r="35" spans="1:10" s="5" customFormat="1" x14ac:dyDescent="0.35">
      <c r="A35" s="74"/>
      <c r="B35" s="74"/>
      <c r="C35" s="191">
        <f>SUM(C6:C34)</f>
        <v>55139435</v>
      </c>
      <c r="D35" s="191">
        <f>C35+J35</f>
        <v>56893033.039235637</v>
      </c>
      <c r="E35" s="191">
        <f>'DETAILS (sorted)'!DS62</f>
        <v>92833877.743412971</v>
      </c>
      <c r="F35" s="191">
        <f>D35-E35</f>
        <v>-35940844.704177335</v>
      </c>
      <c r="G35" s="5" t="b">
        <f>D35=E35</f>
        <v>0</v>
      </c>
      <c r="H35" s="74"/>
      <c r="I35" s="74"/>
      <c r="J35" s="63">
        <f>SUM(J6:J34)</f>
        <v>1753598.0392356375</v>
      </c>
    </row>
    <row r="37" spans="1:10" x14ac:dyDescent="0.35">
      <c r="C37" s="191" t="s">
        <v>644</v>
      </c>
      <c r="D37" s="191">
        <f>C35+J35</f>
        <v>56893033.039235637</v>
      </c>
      <c r="E37" s="122">
        <f>D37/D38</f>
        <v>0.81275761484622333</v>
      </c>
      <c r="F37" s="2" t="s">
        <v>652</v>
      </c>
    </row>
    <row r="38" spans="1:10" x14ac:dyDescent="0.35">
      <c r="C38" s="3"/>
      <c r="D38" s="3">
        <v>70000000</v>
      </c>
      <c r="E38" s="122">
        <f>D38/D38</f>
        <v>1</v>
      </c>
      <c r="F38" s="2" t="s">
        <v>654</v>
      </c>
    </row>
    <row r="39" spans="1:10" x14ac:dyDescent="0.35">
      <c r="C39" s="3"/>
      <c r="D39" s="3">
        <f>D37-D38</f>
        <v>-13106966.960764363</v>
      </c>
      <c r="E39" s="122">
        <f>D39/D38</f>
        <v>-0.18724238515377661</v>
      </c>
      <c r="F39" s="2" t="s">
        <v>653</v>
      </c>
    </row>
  </sheetData>
  <pageMargins left="0.7" right="0.7" top="0.75" bottom="0.75" header="0.3" footer="0.3"/>
  <legacy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2262F-44AA-4A2E-A0D5-75B878ED875E}">
  <dimension ref="A2:J29"/>
  <sheetViews>
    <sheetView topLeftCell="A7"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9.26953125" bestFit="1" customWidth="1"/>
    <col min="9" max="9" width="23.90625" customWidth="1"/>
    <col min="10" max="10" width="10.1796875" style="6" bestFit="1" customWidth="1"/>
  </cols>
  <sheetData>
    <row r="2" spans="1:10" s="5" customFormat="1" x14ac:dyDescent="0.35">
      <c r="A2" s="74" t="s">
        <v>190</v>
      </c>
      <c r="B2" s="191" t="s">
        <v>0</v>
      </c>
      <c r="C2" s="191"/>
      <c r="D2" s="74" t="s">
        <v>1</v>
      </c>
      <c r="E2" s="75" t="s">
        <v>2</v>
      </c>
      <c r="F2" s="74"/>
      <c r="G2" s="74"/>
      <c r="H2" s="74"/>
      <c r="I2" s="74"/>
      <c r="J2" s="63"/>
    </row>
    <row r="3" spans="1:10" s="1" customFormat="1" ht="28" x14ac:dyDescent="0.35">
      <c r="A3" s="210" t="s">
        <v>299</v>
      </c>
      <c r="B3" s="7" t="s">
        <v>300</v>
      </c>
      <c r="C3" s="7"/>
      <c r="D3" s="71"/>
      <c r="E3" s="239"/>
      <c r="F3" s="11"/>
      <c r="G3" s="11"/>
      <c r="H3" s="11"/>
      <c r="I3" s="11"/>
      <c r="J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46093</v>
      </c>
      <c r="C6" s="7">
        <v>3000000</v>
      </c>
      <c r="D6" s="3">
        <f>C6</f>
        <v>3000000</v>
      </c>
      <c r="E6" s="2" t="s">
        <v>30</v>
      </c>
      <c r="F6" s="2">
        <v>2</v>
      </c>
      <c r="H6" s="2"/>
      <c r="I6" s="225" t="s">
        <v>219</v>
      </c>
      <c r="J6" s="10">
        <v>32058.904743756149</v>
      </c>
    </row>
    <row r="7" spans="1:10" ht="29" x14ac:dyDescent="0.35">
      <c r="A7" s="2">
        <v>2</v>
      </c>
      <c r="B7" s="71">
        <v>46093</v>
      </c>
      <c r="C7" s="3">
        <v>300000</v>
      </c>
      <c r="D7" s="3">
        <f>D6+C7</f>
        <v>3300000</v>
      </c>
      <c r="E7" s="2" t="s">
        <v>30</v>
      </c>
      <c r="F7" s="2">
        <v>2</v>
      </c>
      <c r="H7" s="2"/>
      <c r="I7" s="408" t="s">
        <v>537</v>
      </c>
      <c r="J7" s="410">
        <v>5099.329909109606</v>
      </c>
    </row>
    <row r="8" spans="1:10" x14ac:dyDescent="0.35">
      <c r="A8" s="2">
        <v>3</v>
      </c>
      <c r="B8" s="71">
        <v>46146</v>
      </c>
      <c r="C8" s="7">
        <v>200000</v>
      </c>
      <c r="D8" s="3">
        <f t="shared" ref="D8:D9" si="0">D7+C8</f>
        <v>3500000</v>
      </c>
      <c r="E8" s="2" t="s">
        <v>30</v>
      </c>
      <c r="F8" s="2">
        <v>2</v>
      </c>
      <c r="H8" s="2"/>
      <c r="I8" s="408" t="s">
        <v>543</v>
      </c>
      <c r="J8" s="10">
        <v>13118.678429475436</v>
      </c>
    </row>
    <row r="9" spans="1:10" ht="29" x14ac:dyDescent="0.35">
      <c r="A9" s="2">
        <v>4</v>
      </c>
      <c r="B9" s="71">
        <v>46158</v>
      </c>
      <c r="C9" s="3">
        <v>510000</v>
      </c>
      <c r="D9" s="3">
        <f t="shared" si="0"/>
        <v>4010000</v>
      </c>
      <c r="E9" s="2" t="s">
        <v>30</v>
      </c>
      <c r="F9" s="2">
        <v>2</v>
      </c>
      <c r="H9" s="2"/>
      <c r="I9" s="225" t="s">
        <v>681</v>
      </c>
      <c r="J9" s="10">
        <f>'DETAILS (sorted)'!DC63</f>
        <v>22599.015226109015</v>
      </c>
    </row>
    <row r="10" spans="1:10" x14ac:dyDescent="0.35">
      <c r="A10" s="2">
        <v>5</v>
      </c>
      <c r="B10" s="71">
        <v>46181</v>
      </c>
      <c r="C10" s="3">
        <v>1000000</v>
      </c>
      <c r="D10" s="3">
        <f t="shared" ref="D10" si="1">D9+C10</f>
        <v>5010000</v>
      </c>
      <c r="E10" s="2" t="s">
        <v>30</v>
      </c>
      <c r="F10" s="2">
        <v>2</v>
      </c>
      <c r="H10" s="2"/>
      <c r="I10" s="225" t="s">
        <v>696</v>
      </c>
      <c r="J10" s="10">
        <f>'DETAILS (sorted)'!DD63</f>
        <v>15301.679750305388</v>
      </c>
    </row>
    <row r="11" spans="1:10" x14ac:dyDescent="0.35">
      <c r="A11" s="2">
        <v>6</v>
      </c>
      <c r="B11" s="71"/>
      <c r="C11" s="3"/>
      <c r="D11" s="3"/>
      <c r="E11" s="2"/>
      <c r="F11" s="2"/>
      <c r="H11" s="2"/>
      <c r="I11" s="408" t="s">
        <v>887</v>
      </c>
      <c r="J11" s="10">
        <f>'DETAILS (sorted)'!DF63</f>
        <v>13432.955053627771</v>
      </c>
    </row>
    <row r="12" spans="1:10" x14ac:dyDescent="0.35">
      <c r="A12" s="2">
        <v>7</v>
      </c>
      <c r="B12" s="71"/>
      <c r="C12" s="3"/>
      <c r="D12" s="3"/>
      <c r="E12" s="2"/>
      <c r="F12" s="2"/>
      <c r="H12" s="2"/>
      <c r="I12" s="408" t="s">
        <v>889</v>
      </c>
      <c r="J12" s="10">
        <f>'DETAILS (sorted)'!DG63</f>
        <v>44852.533855571404</v>
      </c>
    </row>
    <row r="13" spans="1:10" x14ac:dyDescent="0.35">
      <c r="A13" s="2">
        <v>8</v>
      </c>
      <c r="B13" s="294"/>
      <c r="C13" s="3"/>
      <c r="D13" s="3"/>
      <c r="E13" s="2"/>
      <c r="F13" s="2"/>
      <c r="H13" s="2"/>
      <c r="I13" s="408" t="s">
        <v>891</v>
      </c>
      <c r="J13" s="10">
        <f>'DETAILS (sorted)'!DL51</f>
        <v>42683.718080740073</v>
      </c>
    </row>
    <row r="14" spans="1:10" x14ac:dyDescent="0.35">
      <c r="A14" s="2">
        <v>9</v>
      </c>
      <c r="B14" s="294"/>
      <c r="C14" s="3"/>
      <c r="D14" s="3"/>
      <c r="E14" s="2"/>
      <c r="F14" s="2"/>
      <c r="H14" s="2"/>
      <c r="I14" s="408" t="s">
        <v>894</v>
      </c>
      <c r="J14" s="10">
        <f>'DETAILS (sorted)'!DM51</f>
        <v>0</v>
      </c>
    </row>
    <row r="15" spans="1:10" x14ac:dyDescent="0.35">
      <c r="A15" s="2">
        <v>10</v>
      </c>
      <c r="B15" s="295"/>
      <c r="C15" s="205"/>
      <c r="D15" s="3"/>
      <c r="E15" s="2"/>
      <c r="F15" s="2"/>
      <c r="H15" s="2"/>
      <c r="I15" s="408" t="s">
        <v>893</v>
      </c>
      <c r="J15" s="10">
        <f>'DETAILS (sorted)'!DN51</f>
        <v>0</v>
      </c>
    </row>
    <row r="16" spans="1:10" x14ac:dyDescent="0.35">
      <c r="A16" s="2">
        <v>11</v>
      </c>
      <c r="B16" s="294"/>
      <c r="C16" s="3"/>
      <c r="D16" s="3"/>
      <c r="E16" s="2"/>
      <c r="F16" s="2"/>
      <c r="H16" s="2"/>
      <c r="I16" s="408" t="s">
        <v>895</v>
      </c>
      <c r="J16" s="10">
        <f>'DETAILS (sorted)'!DO51</f>
        <v>0</v>
      </c>
    </row>
    <row r="17" spans="1:10" x14ac:dyDescent="0.35">
      <c r="A17" s="2"/>
      <c r="B17" s="2"/>
      <c r="C17" s="3"/>
      <c r="D17" s="3"/>
      <c r="E17" s="2"/>
      <c r="F17" s="2"/>
      <c r="H17" s="2"/>
      <c r="I17" s="408" t="s">
        <v>897</v>
      </c>
      <c r="J17" s="10">
        <f>'DETAILS (sorted)'!DQ51</f>
        <v>0</v>
      </c>
    </row>
    <row r="18" spans="1:10" x14ac:dyDescent="0.35">
      <c r="A18" s="2"/>
      <c r="B18" s="2"/>
      <c r="C18" s="3"/>
      <c r="D18" s="3"/>
      <c r="E18" s="2"/>
      <c r="F18" s="2"/>
      <c r="H18" s="2"/>
      <c r="I18" s="408" t="s">
        <v>898</v>
      </c>
      <c r="J18" s="10">
        <f>'DETAILS (sorted)'!DR51</f>
        <v>0</v>
      </c>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5010000</v>
      </c>
      <c r="D25" s="3">
        <f>C25+J25</f>
        <v>5199146.8150486946</v>
      </c>
      <c r="E25" s="3">
        <f>'DETAILS (sorted)'!DS63</f>
        <v>5224156.1706417687</v>
      </c>
      <c r="F25" s="2">
        <f>D25-E25</f>
        <v>-25009.355593074113</v>
      </c>
      <c r="G25" t="b">
        <f>D25=E25</f>
        <v>0</v>
      </c>
      <c r="H25" s="2"/>
      <c r="I25" s="2"/>
      <c r="J25" s="10">
        <f>SUM(J6:J24)</f>
        <v>189146.81504869484</v>
      </c>
    </row>
    <row r="27" spans="1:10" x14ac:dyDescent="0.35">
      <c r="C27" s="191" t="s">
        <v>644</v>
      </c>
      <c r="D27" s="191">
        <f>C25+J25</f>
        <v>5199146.8150486946</v>
      </c>
      <c r="E27" s="122">
        <f>D27/D28</f>
        <v>0.34660978766991296</v>
      </c>
      <c r="F27" s="2" t="s">
        <v>652</v>
      </c>
    </row>
    <row r="28" spans="1:10" x14ac:dyDescent="0.35">
      <c r="C28" s="3"/>
      <c r="D28" s="3">
        <v>15000000</v>
      </c>
      <c r="E28" s="122">
        <f>D28/D28</f>
        <v>1</v>
      </c>
      <c r="F28" s="2" t="s">
        <v>654</v>
      </c>
    </row>
    <row r="29" spans="1:10" x14ac:dyDescent="0.35">
      <c r="C29" s="3"/>
      <c r="D29" s="3">
        <f>D27-D28</f>
        <v>-9800853.1849513054</v>
      </c>
      <c r="E29" s="122">
        <f>D29/D28</f>
        <v>-0.65339021233008698</v>
      </c>
      <c r="F29" s="2" t="s">
        <v>653</v>
      </c>
    </row>
  </sheetData>
  <pageMargins left="0.7" right="0.7" top="0.75" bottom="0.75" header="0.3" footer="0.3"/>
  <legacy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4495-6D5F-4741-8156-E4AF5A8E8D44}">
  <dimension ref="A2:J29"/>
  <sheetViews>
    <sheetView topLeftCell="A3"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8.1796875" bestFit="1" customWidth="1"/>
    <col min="9" max="9" width="25.81640625" customWidth="1"/>
    <col min="10" max="10" width="11.1796875" style="6" bestFit="1" customWidth="1"/>
  </cols>
  <sheetData>
    <row r="2" spans="1:10" s="5" customFormat="1" x14ac:dyDescent="0.35">
      <c r="A2" s="74" t="s">
        <v>190</v>
      </c>
      <c r="B2" s="191" t="s">
        <v>0</v>
      </c>
      <c r="C2" s="191"/>
      <c r="D2" s="74" t="s">
        <v>1</v>
      </c>
      <c r="E2" s="75" t="s">
        <v>2</v>
      </c>
      <c r="F2" s="74"/>
      <c r="G2" s="74"/>
      <c r="H2" s="74"/>
      <c r="I2" s="74"/>
      <c r="J2" s="63"/>
    </row>
    <row r="3" spans="1:10" s="1" customFormat="1" ht="28" x14ac:dyDescent="0.35">
      <c r="A3" s="210" t="s">
        <v>301</v>
      </c>
      <c r="B3" s="7" t="s">
        <v>302</v>
      </c>
      <c r="C3" s="7"/>
      <c r="D3" s="71"/>
      <c r="E3" s="239"/>
      <c r="F3" s="11"/>
      <c r="G3" s="11"/>
      <c r="H3" s="11"/>
      <c r="I3" s="11"/>
      <c r="J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46093</v>
      </c>
      <c r="C6" s="7">
        <v>3000000</v>
      </c>
      <c r="D6" s="3">
        <f>C6</f>
        <v>3000000</v>
      </c>
      <c r="E6" s="2" t="s">
        <v>30</v>
      </c>
      <c r="F6" s="2">
        <v>2</v>
      </c>
      <c r="H6" s="2"/>
      <c r="I6" s="225" t="s">
        <v>219</v>
      </c>
      <c r="J6" s="3">
        <v>29144.458857960133</v>
      </c>
    </row>
    <row r="7" spans="1:10" x14ac:dyDescent="0.35">
      <c r="A7" s="2">
        <v>2</v>
      </c>
      <c r="B7" s="71">
        <v>46142</v>
      </c>
      <c r="C7" s="3">
        <v>3000000</v>
      </c>
      <c r="D7" s="3">
        <f>D6+C7</f>
        <v>6000000</v>
      </c>
      <c r="E7" s="2" t="s">
        <v>30</v>
      </c>
      <c r="F7" s="2">
        <v>2</v>
      </c>
      <c r="H7" s="2"/>
      <c r="I7" s="408" t="s">
        <v>537</v>
      </c>
      <c r="J7" s="178">
        <v>9271.5089256538286</v>
      </c>
    </row>
    <row r="8" spans="1:10" x14ac:dyDescent="0.35">
      <c r="A8" s="2">
        <v>3</v>
      </c>
      <c r="B8" s="71">
        <v>46175</v>
      </c>
      <c r="C8" s="7">
        <v>1000000</v>
      </c>
      <c r="D8" s="3">
        <f>D7+C8</f>
        <v>7000000</v>
      </c>
      <c r="E8" s="2" t="s">
        <v>30</v>
      </c>
      <c r="F8" s="2">
        <v>2</v>
      </c>
      <c r="H8" s="2"/>
      <c r="I8" s="408" t="s">
        <v>543</v>
      </c>
      <c r="J8" s="3">
        <v>23852.142599046245</v>
      </c>
    </row>
    <row r="9" spans="1:10" ht="29" x14ac:dyDescent="0.35">
      <c r="A9" s="2">
        <v>4</v>
      </c>
      <c r="B9" s="71"/>
      <c r="C9" s="3"/>
      <c r="D9" s="3"/>
      <c r="E9" s="2"/>
      <c r="F9" s="2"/>
      <c r="H9" s="2"/>
      <c r="I9" s="225" t="s">
        <v>681</v>
      </c>
      <c r="J9" s="466">
        <v>33813.9878694898</v>
      </c>
    </row>
    <row r="10" spans="1:10" x14ac:dyDescent="0.35">
      <c r="A10" s="2">
        <v>5</v>
      </c>
      <c r="B10" s="71"/>
      <c r="C10" s="3"/>
      <c r="D10" s="3"/>
      <c r="E10" s="2"/>
      <c r="F10" s="2"/>
      <c r="H10" s="2"/>
      <c r="I10" s="225" t="s">
        <v>696</v>
      </c>
      <c r="J10" s="466">
        <v>22895.281421903324</v>
      </c>
    </row>
    <row r="11" spans="1:10" x14ac:dyDescent="0.35">
      <c r="A11" s="2">
        <v>6</v>
      </c>
      <c r="B11" s="71"/>
      <c r="C11" s="3"/>
      <c r="D11" s="3"/>
      <c r="E11" s="2"/>
      <c r="F11" s="2"/>
      <c r="H11" s="2"/>
      <c r="I11" s="408" t="s">
        <v>887</v>
      </c>
      <c r="J11" s="10">
        <f>'DETAILS (sorted)'!DF64</f>
        <v>18768.599875328226</v>
      </c>
    </row>
    <row r="12" spans="1:10" x14ac:dyDescent="0.35">
      <c r="A12" s="2">
        <v>7</v>
      </c>
      <c r="B12" s="71"/>
      <c r="C12" s="3"/>
      <c r="D12" s="3"/>
      <c r="E12" s="2"/>
      <c r="F12" s="2"/>
      <c r="H12" s="2"/>
      <c r="I12" s="408" t="s">
        <v>889</v>
      </c>
      <c r="J12" s="10">
        <f>'DETAILS (sorted)'!DG64</f>
        <v>62668.210975848277</v>
      </c>
    </row>
    <row r="13" spans="1:10" x14ac:dyDescent="0.35">
      <c r="A13" s="2">
        <v>8</v>
      </c>
      <c r="B13" s="294"/>
      <c r="C13" s="3"/>
      <c r="D13" s="3"/>
      <c r="E13" s="2"/>
      <c r="F13" s="2"/>
      <c r="H13" s="2"/>
      <c r="I13" s="408" t="s">
        <v>891</v>
      </c>
      <c r="J13" s="10">
        <f>'DETAILS (sorted)'!DL64</f>
        <v>23453.607534379222</v>
      </c>
    </row>
    <row r="14" spans="1:10" x14ac:dyDescent="0.35">
      <c r="A14" s="2">
        <v>9</v>
      </c>
      <c r="B14" s="294"/>
      <c r="C14" s="3"/>
      <c r="D14" s="3"/>
      <c r="E14" s="2"/>
      <c r="F14" s="2"/>
      <c r="H14" s="2"/>
      <c r="I14" s="408" t="s">
        <v>894</v>
      </c>
      <c r="J14" s="10">
        <f>'DETAILS (sorted)'!DM64</f>
        <v>0</v>
      </c>
    </row>
    <row r="15" spans="1:10" x14ac:dyDescent="0.35">
      <c r="A15" s="2">
        <v>10</v>
      </c>
      <c r="B15" s="295"/>
      <c r="C15" s="205"/>
      <c r="D15" s="3"/>
      <c r="E15" s="2"/>
      <c r="F15" s="2"/>
      <c r="H15" s="2"/>
      <c r="I15" s="408" t="s">
        <v>893</v>
      </c>
      <c r="J15" s="10">
        <f>'DETAILS (sorted)'!DN64</f>
        <v>0</v>
      </c>
    </row>
    <row r="16" spans="1:10" x14ac:dyDescent="0.35">
      <c r="A16" s="2">
        <v>11</v>
      </c>
      <c r="B16" s="294"/>
      <c r="C16" s="3"/>
      <c r="D16" s="3"/>
      <c r="E16" s="2"/>
      <c r="F16" s="2"/>
      <c r="H16" s="2"/>
      <c r="I16" s="408" t="s">
        <v>895</v>
      </c>
      <c r="J16" s="10">
        <f>'DETAILS (sorted)'!DO64</f>
        <v>0</v>
      </c>
    </row>
    <row r="17" spans="1:10" x14ac:dyDescent="0.35">
      <c r="A17" s="2"/>
      <c r="B17" s="2"/>
      <c r="C17" s="3"/>
      <c r="D17" s="3"/>
      <c r="E17" s="2"/>
      <c r="F17" s="2"/>
      <c r="H17" s="2"/>
      <c r="I17" s="408" t="s">
        <v>897</v>
      </c>
      <c r="J17" s="10">
        <f>'DETAILS (sorted)'!DQ64</f>
        <v>0</v>
      </c>
    </row>
    <row r="18" spans="1:10" x14ac:dyDescent="0.35">
      <c r="A18" s="2"/>
      <c r="B18" s="2"/>
      <c r="C18" s="3"/>
      <c r="D18" s="3"/>
      <c r="E18" s="2"/>
      <c r="F18" s="2"/>
      <c r="H18" s="2"/>
      <c r="I18" s="408" t="s">
        <v>898</v>
      </c>
      <c r="J18" s="10">
        <f>'DETAILS (sorted)'!DR64</f>
        <v>0</v>
      </c>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7000000</v>
      </c>
      <c r="D25" s="3">
        <f>C25+J25</f>
        <v>7223867.7980596088</v>
      </c>
      <c r="E25" s="3">
        <f>'DETAILS (sorted)'!DS64</f>
        <v>8308067.6792666558</v>
      </c>
      <c r="F25" s="2">
        <f>D25-E25</f>
        <v>-1084199.881207047</v>
      </c>
      <c r="G25" t="b">
        <f>D25=E25</f>
        <v>0</v>
      </c>
      <c r="H25" s="2"/>
      <c r="I25" s="2"/>
      <c r="J25" s="3">
        <f>SUM(J6:J24)</f>
        <v>223867.79805960905</v>
      </c>
    </row>
    <row r="27" spans="1:10" x14ac:dyDescent="0.35">
      <c r="C27" s="191" t="s">
        <v>644</v>
      </c>
      <c r="D27" s="191">
        <f>C25+J25</f>
        <v>7223867.7980596088</v>
      </c>
      <c r="E27" s="122">
        <f>D27/D28</f>
        <v>0.48159118653730726</v>
      </c>
      <c r="F27" s="2" t="s">
        <v>652</v>
      </c>
    </row>
    <row r="28" spans="1:10" x14ac:dyDescent="0.35">
      <c r="C28" s="3"/>
      <c r="D28" s="3">
        <v>15000000</v>
      </c>
      <c r="E28" s="122">
        <f>D28/D28</f>
        <v>1</v>
      </c>
      <c r="F28" s="2" t="s">
        <v>654</v>
      </c>
    </row>
    <row r="29" spans="1:10" x14ac:dyDescent="0.35">
      <c r="C29" s="3"/>
      <c r="D29" s="3">
        <f>D27-D28</f>
        <v>-7776132.2019403912</v>
      </c>
      <c r="E29" s="122">
        <f>D29/D28</f>
        <v>-0.51840881346269274</v>
      </c>
      <c r="F29" s="2" t="s">
        <v>653</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EFC4-707B-4581-AC90-44789C559B1D}">
  <dimension ref="A2:J29"/>
  <sheetViews>
    <sheetView topLeftCell="A2"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8.1796875" bestFit="1" customWidth="1"/>
    <col min="9" max="9" width="27.08984375" customWidth="1"/>
    <col min="10" max="10" width="10.1796875" style="6" bestFit="1" customWidth="1"/>
  </cols>
  <sheetData>
    <row r="2" spans="1:10" s="5" customFormat="1" x14ac:dyDescent="0.35">
      <c r="A2" s="74" t="s">
        <v>190</v>
      </c>
      <c r="B2" s="191" t="s">
        <v>0</v>
      </c>
      <c r="C2" s="191"/>
      <c r="D2" s="74" t="s">
        <v>1</v>
      </c>
      <c r="E2" s="75" t="s">
        <v>2</v>
      </c>
      <c r="F2" s="74"/>
      <c r="G2" s="74"/>
      <c r="H2" s="74"/>
      <c r="I2" s="74"/>
      <c r="J2" s="63"/>
    </row>
    <row r="3" spans="1:10" s="1" customFormat="1" ht="28" x14ac:dyDescent="0.35">
      <c r="A3" s="210" t="s">
        <v>303</v>
      </c>
      <c r="B3" s="7" t="s">
        <v>304</v>
      </c>
      <c r="C3" s="7"/>
      <c r="D3" s="71"/>
      <c r="E3" s="239"/>
      <c r="F3" s="11"/>
      <c r="G3" s="11"/>
      <c r="H3" s="11"/>
      <c r="I3" s="11"/>
      <c r="J3" s="11"/>
    </row>
    <row r="4" spans="1:10" x14ac:dyDescent="0.35">
      <c r="H4" s="21" t="s">
        <v>643</v>
      </c>
      <c r="I4" s="21" t="s">
        <v>445</v>
      </c>
      <c r="J4" s="14" t="s">
        <v>568</v>
      </c>
    </row>
    <row r="5" spans="1:10" x14ac:dyDescent="0.35">
      <c r="A5" s="74" t="s">
        <v>487</v>
      </c>
      <c r="B5" s="74" t="s">
        <v>2</v>
      </c>
      <c r="C5" s="191" t="s">
        <v>124</v>
      </c>
      <c r="D5" s="191" t="s">
        <v>488</v>
      </c>
      <c r="E5" s="74" t="s">
        <v>489</v>
      </c>
      <c r="F5" s="74" t="s">
        <v>490</v>
      </c>
      <c r="H5" s="2"/>
      <c r="I5" s="2"/>
      <c r="J5" s="10"/>
    </row>
    <row r="6" spans="1:10" x14ac:dyDescent="0.35">
      <c r="A6" s="2">
        <v>1</v>
      </c>
      <c r="B6" s="71">
        <v>46096</v>
      </c>
      <c r="C6" s="7">
        <v>3000000</v>
      </c>
      <c r="D6" s="3">
        <f>C6</f>
        <v>3000000</v>
      </c>
      <c r="E6" s="2" t="s">
        <v>30</v>
      </c>
      <c r="F6" s="2">
        <v>2</v>
      </c>
      <c r="H6" s="2"/>
      <c r="I6" s="225" t="s">
        <v>219</v>
      </c>
      <c r="J6" s="10">
        <v>38859.278477280182</v>
      </c>
    </row>
    <row r="7" spans="1:10" x14ac:dyDescent="0.35">
      <c r="A7" s="2">
        <v>2</v>
      </c>
      <c r="B7" s="71">
        <v>46096</v>
      </c>
      <c r="C7" s="3">
        <v>1000000</v>
      </c>
      <c r="D7" s="3">
        <f t="shared" ref="D7:D8" si="0">C7</f>
        <v>1000000</v>
      </c>
      <c r="E7" s="2" t="s">
        <v>30</v>
      </c>
      <c r="F7" s="2">
        <v>2</v>
      </c>
      <c r="H7" s="2"/>
      <c r="I7" s="408" t="s">
        <v>537</v>
      </c>
      <c r="J7" s="410">
        <v>7726.2574380448559</v>
      </c>
    </row>
    <row r="8" spans="1:10" x14ac:dyDescent="0.35">
      <c r="A8" s="2">
        <v>3</v>
      </c>
      <c r="B8" s="71">
        <v>46141</v>
      </c>
      <c r="C8" s="7">
        <v>1000000</v>
      </c>
      <c r="D8" s="3">
        <f t="shared" si="0"/>
        <v>1000000</v>
      </c>
      <c r="E8" s="2" t="s">
        <v>30</v>
      </c>
      <c r="F8" s="2">
        <v>2</v>
      </c>
      <c r="H8" s="2"/>
      <c r="I8" s="408" t="s">
        <v>543</v>
      </c>
      <c r="J8" s="10">
        <v>19876.785499205205</v>
      </c>
    </row>
    <row r="9" spans="1:10" ht="29" x14ac:dyDescent="0.35">
      <c r="A9" s="2">
        <v>4</v>
      </c>
      <c r="B9" s="71"/>
      <c r="C9" s="3"/>
      <c r="D9" s="3"/>
      <c r="E9" s="2"/>
      <c r="F9" s="2"/>
      <c r="H9" s="2"/>
      <c r="I9" s="225" t="s">
        <v>681</v>
      </c>
      <c r="J9" s="10">
        <f>'DETAILS (sorted)'!DC65</f>
        <v>28178.323224574837</v>
      </c>
    </row>
    <row r="10" spans="1:10" x14ac:dyDescent="0.35">
      <c r="A10" s="2">
        <v>5</v>
      </c>
      <c r="B10" s="71"/>
      <c r="C10" s="3"/>
      <c r="D10" s="3"/>
      <c r="E10" s="2"/>
      <c r="F10" s="2"/>
      <c r="H10" s="2"/>
      <c r="I10" s="225" t="s">
        <v>696</v>
      </c>
      <c r="J10" s="10">
        <f>'DETAILS (sorted)'!DD65</f>
        <v>19079.401184919439</v>
      </c>
    </row>
    <row r="11" spans="1:10" x14ac:dyDescent="0.35">
      <c r="A11" s="2">
        <v>6</v>
      </c>
      <c r="B11" s="71"/>
      <c r="C11" s="3"/>
      <c r="D11" s="3"/>
      <c r="E11" s="2"/>
      <c r="F11" s="2"/>
      <c r="H11" s="2"/>
      <c r="I11" s="408" t="s">
        <v>887</v>
      </c>
      <c r="J11" s="10">
        <f>'DETAILS (sorted)'!DF65</f>
        <v>13406.142768091588</v>
      </c>
    </row>
    <row r="12" spans="1:10" x14ac:dyDescent="0.35">
      <c r="A12" s="2">
        <v>7</v>
      </c>
      <c r="B12" s="71"/>
      <c r="C12" s="3"/>
      <c r="D12" s="3"/>
      <c r="E12" s="2"/>
      <c r="F12" s="2"/>
      <c r="H12" s="2"/>
      <c r="I12" s="408" t="s">
        <v>889</v>
      </c>
      <c r="J12" s="10">
        <f>'DETAILS (sorted)'!DG65</f>
        <v>44763.007839891623</v>
      </c>
    </row>
    <row r="13" spans="1:10" x14ac:dyDescent="0.35">
      <c r="A13" s="2">
        <v>8</v>
      </c>
      <c r="B13" s="294"/>
      <c r="C13" s="3"/>
      <c r="D13" s="3"/>
      <c r="E13" s="2"/>
      <c r="F13" s="2"/>
      <c r="H13" s="2"/>
      <c r="I13" s="408" t="s">
        <v>891</v>
      </c>
      <c r="J13" s="10">
        <f>'DETAILS (sorted)'!DL65</f>
        <v>23372.02458005042</v>
      </c>
    </row>
    <row r="14" spans="1:10" x14ac:dyDescent="0.35">
      <c r="A14" s="2">
        <v>9</v>
      </c>
      <c r="B14" s="294"/>
      <c r="C14" s="3"/>
      <c r="D14" s="3"/>
      <c r="E14" s="2"/>
      <c r="F14" s="2"/>
      <c r="H14" s="2"/>
      <c r="I14" s="408" t="s">
        <v>894</v>
      </c>
      <c r="J14" s="10">
        <f>'DETAILS (sorted)'!DM65</f>
        <v>0</v>
      </c>
    </row>
    <row r="15" spans="1:10" x14ac:dyDescent="0.35">
      <c r="A15" s="2">
        <v>10</v>
      </c>
      <c r="B15" s="295"/>
      <c r="C15" s="205"/>
      <c r="D15" s="3"/>
      <c r="E15" s="2"/>
      <c r="F15" s="2"/>
      <c r="H15" s="2"/>
      <c r="I15" s="408" t="s">
        <v>893</v>
      </c>
      <c r="J15" s="10">
        <f>'DETAILS (sorted)'!DN65</f>
        <v>0</v>
      </c>
    </row>
    <row r="16" spans="1:10" x14ac:dyDescent="0.35">
      <c r="A16" s="2">
        <v>11</v>
      </c>
      <c r="B16" s="294"/>
      <c r="C16" s="3"/>
      <c r="D16" s="3"/>
      <c r="E16" s="2"/>
      <c r="F16" s="2"/>
      <c r="H16" s="2"/>
      <c r="I16" s="408" t="s">
        <v>895</v>
      </c>
      <c r="J16" s="10">
        <f>'DETAILS (sorted)'!DO65</f>
        <v>0</v>
      </c>
    </row>
    <row r="17" spans="1:10" x14ac:dyDescent="0.35">
      <c r="A17" s="2"/>
      <c r="B17" s="2"/>
      <c r="C17" s="3"/>
      <c r="D17" s="3"/>
      <c r="E17" s="2"/>
      <c r="F17" s="2"/>
      <c r="H17" s="2"/>
      <c r="I17" s="408" t="s">
        <v>897</v>
      </c>
      <c r="J17" s="10">
        <f>'DETAILS (sorted)'!DQ65</f>
        <v>0</v>
      </c>
    </row>
    <row r="18" spans="1:10" x14ac:dyDescent="0.35">
      <c r="A18" s="2"/>
      <c r="B18" s="2"/>
      <c r="C18" s="3"/>
      <c r="D18" s="3"/>
      <c r="E18" s="2"/>
      <c r="F18" s="2"/>
      <c r="H18" s="2"/>
      <c r="I18" s="408" t="s">
        <v>898</v>
      </c>
      <c r="J18" s="10">
        <f>'DETAILS (sorted)'!DR65</f>
        <v>0</v>
      </c>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5000000</v>
      </c>
      <c r="D25" s="3">
        <f>C25+J25</f>
        <v>5195261.2210120577</v>
      </c>
      <c r="E25" s="3">
        <f>'DETAILS (sorted)'!DS65</f>
        <v>8279168.2144382838</v>
      </c>
      <c r="F25" s="2">
        <f>D25-E25</f>
        <v>-3083906.9934262261</v>
      </c>
      <c r="G25" t="b">
        <f>D25=E25</f>
        <v>0</v>
      </c>
      <c r="H25" s="2"/>
      <c r="I25" s="2"/>
      <c r="J25" s="10">
        <f>SUM(J6:J24)</f>
        <v>195261.22101205814</v>
      </c>
    </row>
    <row r="27" spans="1:10" x14ac:dyDescent="0.35">
      <c r="C27" s="191" t="s">
        <v>644</v>
      </c>
      <c r="D27" s="191">
        <f>C25+J25</f>
        <v>5195261.2210120577</v>
      </c>
      <c r="E27" s="122">
        <f>D27/D28</f>
        <v>0.34635074806747052</v>
      </c>
      <c r="F27" s="2" t="s">
        <v>652</v>
      </c>
    </row>
    <row r="28" spans="1:10" x14ac:dyDescent="0.35">
      <c r="C28" s="3"/>
      <c r="D28" s="3">
        <v>15000000</v>
      </c>
      <c r="E28" s="122">
        <f>D28/D28</f>
        <v>1</v>
      </c>
      <c r="F28" s="2" t="s">
        <v>654</v>
      </c>
    </row>
    <row r="29" spans="1:10" x14ac:dyDescent="0.35">
      <c r="C29" s="3"/>
      <c r="D29" s="3">
        <f>D27-D28</f>
        <v>-9804738.7789879423</v>
      </c>
      <c r="E29" s="122">
        <f>D29/D28</f>
        <v>-0.65364925193252943</v>
      </c>
      <c r="F29" s="2" t="s">
        <v>653</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20452-20F3-4F2D-871A-F9251777D78F}">
  <dimension ref="A2:AQ33"/>
  <sheetViews>
    <sheetView topLeftCell="A14" workbookViewId="0">
      <selection activeCell="J18" sqref="J18"/>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8.1796875" bestFit="1" customWidth="1"/>
    <col min="8" max="8" width="0" hidden="1" customWidth="1"/>
    <col min="9" max="9" width="25.7265625" customWidth="1"/>
    <col min="10" max="10" width="11.1796875" style="6" bestFit="1" customWidth="1"/>
  </cols>
  <sheetData>
    <row r="2" spans="1:10" s="5" customFormat="1" x14ac:dyDescent="0.35">
      <c r="A2" s="74" t="s">
        <v>190</v>
      </c>
      <c r="B2" s="191" t="s">
        <v>0</v>
      </c>
      <c r="C2" s="191"/>
      <c r="D2" s="74" t="s">
        <v>1</v>
      </c>
      <c r="E2" s="75" t="s">
        <v>2</v>
      </c>
      <c r="F2" s="74"/>
      <c r="G2" s="74"/>
      <c r="H2" s="74"/>
      <c r="I2" s="74"/>
      <c r="J2" s="63"/>
    </row>
    <row r="3" spans="1:10" s="1" customFormat="1" ht="28" x14ac:dyDescent="0.35">
      <c r="A3" s="210" t="s">
        <v>305</v>
      </c>
      <c r="B3" s="286" t="s">
        <v>306</v>
      </c>
      <c r="C3" s="286"/>
      <c r="D3" s="71"/>
      <c r="E3" s="239"/>
      <c r="F3" s="11"/>
      <c r="G3" s="11"/>
      <c r="H3" s="11"/>
      <c r="I3" s="11"/>
      <c r="J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46097</v>
      </c>
      <c r="C6" s="7">
        <v>1200000</v>
      </c>
      <c r="D6" s="3">
        <f>C6</f>
        <v>1200000</v>
      </c>
      <c r="E6" s="2" t="s">
        <v>30</v>
      </c>
      <c r="F6" s="2">
        <v>2</v>
      </c>
      <c r="H6" s="2"/>
      <c r="I6" s="462" t="s">
        <v>219</v>
      </c>
      <c r="J6" s="10">
        <v>29144.458857960133</v>
      </c>
    </row>
    <row r="7" spans="1:10" x14ac:dyDescent="0.35">
      <c r="A7" s="2">
        <v>2</v>
      </c>
      <c r="B7" s="71">
        <v>46097</v>
      </c>
      <c r="C7" s="3">
        <v>1800000</v>
      </c>
      <c r="D7" s="3">
        <f>D6+C7</f>
        <v>3000000</v>
      </c>
      <c r="E7" s="2" t="s">
        <v>30</v>
      </c>
      <c r="F7" s="2">
        <v>2</v>
      </c>
      <c r="H7" s="2"/>
      <c r="I7" s="495" t="s">
        <v>537</v>
      </c>
      <c r="J7" s="410">
        <v>9271.5089256538286</v>
      </c>
    </row>
    <row r="8" spans="1:10" x14ac:dyDescent="0.35">
      <c r="A8" s="2">
        <v>3</v>
      </c>
      <c r="B8" s="71">
        <v>46127</v>
      </c>
      <c r="C8" s="7">
        <v>500000</v>
      </c>
      <c r="D8" s="3">
        <f t="shared" ref="D8:D11" si="0">D7+C8</f>
        <v>3500000</v>
      </c>
      <c r="E8" s="2" t="s">
        <v>30</v>
      </c>
      <c r="F8" s="2">
        <v>2</v>
      </c>
      <c r="H8" s="2"/>
      <c r="I8" s="495" t="s">
        <v>543</v>
      </c>
      <c r="J8" s="10">
        <v>23852.142599046245</v>
      </c>
    </row>
    <row r="9" spans="1:10" x14ac:dyDescent="0.35">
      <c r="A9" s="2">
        <v>4</v>
      </c>
      <c r="B9" s="71">
        <v>46128</v>
      </c>
      <c r="C9" s="3">
        <v>300000</v>
      </c>
      <c r="D9" s="3">
        <f t="shared" si="0"/>
        <v>3800000</v>
      </c>
      <c r="E9" s="2" t="s">
        <v>30</v>
      </c>
      <c r="F9" s="2">
        <v>2</v>
      </c>
      <c r="H9" s="2"/>
      <c r="I9" s="462" t="s">
        <v>681</v>
      </c>
      <c r="J9" s="10">
        <f>'DETAILS (sorted)'!DC66</f>
        <v>39662.297412786698</v>
      </c>
    </row>
    <row r="10" spans="1:10" x14ac:dyDescent="0.35">
      <c r="A10" s="2">
        <v>5</v>
      </c>
      <c r="B10" s="71">
        <v>46141</v>
      </c>
      <c r="C10" s="3">
        <v>2200000</v>
      </c>
      <c r="D10" s="3">
        <f t="shared" si="0"/>
        <v>6000000</v>
      </c>
      <c r="E10" s="2" t="s">
        <v>30</v>
      </c>
      <c r="F10" s="2">
        <v>2</v>
      </c>
      <c r="H10" s="2"/>
      <c r="I10" s="462" t="s">
        <v>696</v>
      </c>
      <c r="J10" s="10">
        <f>'DETAILS (sorted)'!DD66</f>
        <v>26855.14245198909</v>
      </c>
    </row>
    <row r="11" spans="1:10" x14ac:dyDescent="0.35">
      <c r="A11" s="2">
        <v>6</v>
      </c>
      <c r="B11" s="71">
        <v>46149</v>
      </c>
      <c r="C11" s="3">
        <v>1037732</v>
      </c>
      <c r="D11" s="3">
        <f t="shared" si="0"/>
        <v>7037732</v>
      </c>
      <c r="E11" s="2" t="s">
        <v>30</v>
      </c>
      <c r="F11" s="2">
        <v>2</v>
      </c>
      <c r="H11" s="2"/>
      <c r="I11" s="408" t="s">
        <v>887</v>
      </c>
      <c r="J11" s="10">
        <f>'DETAILS (sorted)'!DF66</f>
        <v>37249.589726166916</v>
      </c>
    </row>
    <row r="12" spans="1:10" x14ac:dyDescent="0.35">
      <c r="A12" s="2">
        <v>7</v>
      </c>
      <c r="B12" s="71">
        <v>46184</v>
      </c>
      <c r="C12" s="3">
        <v>500000</v>
      </c>
      <c r="D12" s="3">
        <f t="shared" ref="D12" si="1">D11+C12</f>
        <v>7537732</v>
      </c>
      <c r="E12" s="2" t="s">
        <v>30</v>
      </c>
      <c r="F12" s="2">
        <v>2</v>
      </c>
      <c r="H12" s="2"/>
      <c r="I12" s="408" t="s">
        <v>889</v>
      </c>
      <c r="J12" s="10">
        <f>'DETAILS (sorted)'!DG66</f>
        <v>124376.09428670265</v>
      </c>
    </row>
    <row r="13" spans="1:10" x14ac:dyDescent="0.35">
      <c r="A13" s="2">
        <v>8</v>
      </c>
      <c r="B13" s="71">
        <v>46187</v>
      </c>
      <c r="C13" s="3">
        <v>355000</v>
      </c>
      <c r="D13" s="3">
        <f t="shared" ref="D13" si="2">D12+C13</f>
        <v>7892732</v>
      </c>
      <c r="E13" s="2" t="s">
        <v>30</v>
      </c>
      <c r="F13" s="2">
        <v>2</v>
      </c>
      <c r="H13" s="2"/>
      <c r="I13" s="408" t="s">
        <v>891</v>
      </c>
      <c r="J13" s="10">
        <f>'DETAILS (sorted)'!DL66</f>
        <v>57438.825470216412</v>
      </c>
    </row>
    <row r="14" spans="1:10" x14ac:dyDescent="0.35">
      <c r="A14" s="2">
        <v>9</v>
      </c>
      <c r="B14" s="71">
        <v>46187</v>
      </c>
      <c r="C14" s="3">
        <v>1500000</v>
      </c>
      <c r="D14" s="3">
        <f t="shared" ref="D14" si="3">D13+C14</f>
        <v>9392732</v>
      </c>
      <c r="E14" s="2" t="s">
        <v>30</v>
      </c>
      <c r="F14" s="2">
        <v>2</v>
      </c>
      <c r="H14" s="2"/>
      <c r="I14" s="408" t="s">
        <v>894</v>
      </c>
      <c r="J14" s="10">
        <f>'DETAILS (sorted)'!DM66</f>
        <v>0</v>
      </c>
    </row>
    <row r="15" spans="1:10" x14ac:dyDescent="0.35">
      <c r="A15" s="2">
        <v>10</v>
      </c>
      <c r="B15" s="71">
        <v>46190</v>
      </c>
      <c r="C15" s="205">
        <v>1000000</v>
      </c>
      <c r="D15" s="3">
        <f t="shared" ref="D15" si="4">D14+C15</f>
        <v>10392732</v>
      </c>
      <c r="E15" s="2" t="s">
        <v>30</v>
      </c>
      <c r="F15" s="2">
        <v>2</v>
      </c>
      <c r="H15" s="2"/>
      <c r="I15" s="408" t="s">
        <v>893</v>
      </c>
      <c r="J15" s="10">
        <f>'DETAILS (sorted)'!DN66</f>
        <v>0</v>
      </c>
    </row>
    <row r="16" spans="1:10" x14ac:dyDescent="0.35">
      <c r="A16" s="2">
        <v>11</v>
      </c>
      <c r="B16" s="71">
        <v>46198</v>
      </c>
      <c r="C16" s="3">
        <v>400000</v>
      </c>
      <c r="D16" s="3">
        <f t="shared" ref="D16:D17" si="5">D15+C16</f>
        <v>10792732</v>
      </c>
      <c r="E16" s="2" t="s">
        <v>30</v>
      </c>
      <c r="F16" s="2">
        <v>2</v>
      </c>
      <c r="H16" s="2"/>
      <c r="I16" s="408" t="s">
        <v>895</v>
      </c>
      <c r="J16" s="10">
        <f>'DETAILS (sorted)'!DO66</f>
        <v>0</v>
      </c>
    </row>
    <row r="17" spans="1:10" x14ac:dyDescent="0.35">
      <c r="A17" s="2">
        <v>12</v>
      </c>
      <c r="B17" s="71">
        <v>46202</v>
      </c>
      <c r="C17" s="3">
        <v>2100000</v>
      </c>
      <c r="D17" s="3">
        <f t="shared" si="5"/>
        <v>12892732</v>
      </c>
      <c r="E17" s="2" t="s">
        <v>30</v>
      </c>
      <c r="F17" s="2">
        <v>2</v>
      </c>
      <c r="H17" s="2"/>
      <c r="I17" s="408" t="s">
        <v>897</v>
      </c>
      <c r="J17" s="10">
        <f>'DETAILS (sorted)'!DQ66</f>
        <v>0</v>
      </c>
    </row>
    <row r="18" spans="1:10" x14ac:dyDescent="0.35">
      <c r="A18" s="2">
        <v>13</v>
      </c>
      <c r="B18" s="71">
        <v>46202</v>
      </c>
      <c r="C18" s="3">
        <v>1000000</v>
      </c>
      <c r="D18" s="3">
        <f t="shared" ref="D18" si="6">D17+C18</f>
        <v>13892732</v>
      </c>
      <c r="E18" s="2" t="s">
        <v>30</v>
      </c>
      <c r="F18" s="2">
        <v>2</v>
      </c>
      <c r="H18" s="2"/>
      <c r="I18" s="408" t="s">
        <v>898</v>
      </c>
      <c r="J18" s="10">
        <f>'DETAILS (sorted)'!DR66</f>
        <v>0</v>
      </c>
    </row>
    <row r="19" spans="1:10" x14ac:dyDescent="0.35">
      <c r="A19" s="2">
        <v>13</v>
      </c>
      <c r="B19" s="71">
        <v>46206</v>
      </c>
      <c r="C19" s="3">
        <v>900000</v>
      </c>
      <c r="D19" s="3">
        <f t="shared" ref="D19" si="7">D18+C19</f>
        <v>14792732</v>
      </c>
      <c r="E19" s="2" t="s">
        <v>30</v>
      </c>
      <c r="F19" s="2">
        <v>2</v>
      </c>
      <c r="H19" s="2"/>
      <c r="I19" s="2"/>
      <c r="J19" s="10"/>
    </row>
    <row r="20" spans="1:10" x14ac:dyDescent="0.35">
      <c r="A20" s="2"/>
      <c r="B20" s="2"/>
      <c r="C20" s="3"/>
      <c r="D20" s="3"/>
      <c r="E20" s="2"/>
      <c r="F20" s="2">
        <v>2</v>
      </c>
      <c r="H20" s="2"/>
      <c r="I20" s="2"/>
      <c r="J20" s="10"/>
    </row>
    <row r="21" spans="1:10" x14ac:dyDescent="0.35">
      <c r="A21" s="2"/>
      <c r="B21" s="2"/>
      <c r="C21" s="3"/>
      <c r="D21" s="3"/>
      <c r="E21" s="2"/>
      <c r="F21" s="2">
        <v>2</v>
      </c>
      <c r="H21" s="2"/>
      <c r="I21" s="2"/>
      <c r="J21" s="10"/>
    </row>
    <row r="22" spans="1:10" x14ac:dyDescent="0.35">
      <c r="A22" s="2"/>
      <c r="B22" s="2"/>
      <c r="C22" s="3"/>
      <c r="D22" s="3"/>
      <c r="E22" s="2"/>
      <c r="F22" s="2">
        <v>2</v>
      </c>
      <c r="H22" s="2"/>
      <c r="I22" s="2"/>
      <c r="J22" s="10"/>
    </row>
    <row r="23" spans="1:10" x14ac:dyDescent="0.35">
      <c r="A23" s="2"/>
      <c r="B23" s="2"/>
      <c r="C23" s="3"/>
      <c r="D23" s="3"/>
      <c r="E23" s="2"/>
      <c r="F23" s="2">
        <v>2</v>
      </c>
      <c r="H23" s="2"/>
      <c r="I23" s="2"/>
      <c r="J23" s="10"/>
    </row>
    <row r="24" spans="1:10" x14ac:dyDescent="0.35">
      <c r="A24" s="2"/>
      <c r="B24" s="2"/>
      <c r="C24" s="3"/>
      <c r="D24" s="3"/>
      <c r="E24" s="2"/>
      <c r="F24" s="2"/>
      <c r="H24" s="2"/>
      <c r="I24" s="2"/>
      <c r="J24" s="10"/>
    </row>
    <row r="25" spans="1:10" x14ac:dyDescent="0.35">
      <c r="A25" s="2"/>
      <c r="B25" s="2"/>
      <c r="C25" s="3">
        <f>SUM(C6:C24)</f>
        <v>14792732</v>
      </c>
      <c r="D25" s="191">
        <f>J25+C25</f>
        <v>15140582.059730522</v>
      </c>
      <c r="E25" s="191">
        <f>'DETAILS (sorted)'!DS66</f>
        <v>20346790.945684433</v>
      </c>
      <c r="F25" s="2">
        <f>D25-E25</f>
        <v>-5206208.8859539106</v>
      </c>
      <c r="G25" t="b">
        <f>D25=E25</f>
        <v>0</v>
      </c>
      <c r="H25" s="2"/>
      <c r="I25" s="2"/>
      <c r="J25" s="10">
        <f>SUM(J6:J24)</f>
        <v>347850.05973052193</v>
      </c>
    </row>
    <row r="27" spans="1:10" x14ac:dyDescent="0.35">
      <c r="C27" s="191" t="s">
        <v>644</v>
      </c>
      <c r="D27" s="191">
        <f>C25+J25</f>
        <v>15140582.059730522</v>
      </c>
      <c r="E27" s="122">
        <f>D27/D28</f>
        <v>0.50468606865768406</v>
      </c>
      <c r="F27" s="2" t="s">
        <v>652</v>
      </c>
    </row>
    <row r="28" spans="1:10" x14ac:dyDescent="0.35">
      <c r="C28" s="3"/>
      <c r="D28" s="3">
        <v>30000000</v>
      </c>
      <c r="E28" s="122">
        <f>D28/D28</f>
        <v>1</v>
      </c>
      <c r="F28" s="2" t="s">
        <v>654</v>
      </c>
    </row>
    <row r="29" spans="1:10" x14ac:dyDescent="0.35">
      <c r="C29" s="3"/>
      <c r="D29" s="3">
        <f>D27-D28</f>
        <v>-14859417.940269478</v>
      </c>
      <c r="E29" s="122">
        <f>D29/D28</f>
        <v>-0.49531393134231594</v>
      </c>
      <c r="F29" s="2" t="s">
        <v>653</v>
      </c>
    </row>
    <row r="33" spans="12:43" x14ac:dyDescent="0.35">
      <c r="L33">
        <v>46097</v>
      </c>
      <c r="M33">
        <v>3000000</v>
      </c>
      <c r="N33">
        <v>46127</v>
      </c>
      <c r="O33">
        <v>3000000</v>
      </c>
      <c r="P33">
        <v>46149</v>
      </c>
      <c r="Q33">
        <v>1037732</v>
      </c>
      <c r="R33">
        <v>46184</v>
      </c>
      <c r="S33">
        <v>2355000</v>
      </c>
      <c r="Z33">
        <v>9392732</v>
      </c>
      <c r="AA33">
        <v>9392732</v>
      </c>
      <c r="AH33">
        <v>0</v>
      </c>
      <c r="AI33">
        <v>0</v>
      </c>
      <c r="AJ33">
        <v>3000000</v>
      </c>
      <c r="AK33">
        <v>29144.458857960133</v>
      </c>
      <c r="AL33">
        <v>6000000</v>
      </c>
      <c r="AM33">
        <v>9271.5089256538286</v>
      </c>
      <c r="AN33">
        <v>23852.142599046245</v>
      </c>
      <c r="AO33">
        <v>7037732</v>
      </c>
      <c r="AP33">
        <v>39662.297412786698</v>
      </c>
      <c r="AQ33">
        <v>26855.14245198909</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90541-837E-41CF-A020-F90C51A43CE4}">
  <dimension ref="A2:J29"/>
  <sheetViews>
    <sheetView topLeftCell="A3"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8.1796875" bestFit="1" customWidth="1"/>
    <col min="9" max="9" width="23.08984375" customWidth="1"/>
    <col min="10" max="10" width="12.6328125" style="6" customWidth="1"/>
  </cols>
  <sheetData>
    <row r="2" spans="1:10" s="5" customFormat="1" ht="28" customHeight="1" x14ac:dyDescent="0.35">
      <c r="A2" s="74" t="s">
        <v>190</v>
      </c>
      <c r="B2" s="191" t="s">
        <v>0</v>
      </c>
      <c r="C2" s="191"/>
      <c r="D2" s="74" t="s">
        <v>1</v>
      </c>
      <c r="E2" s="75" t="s">
        <v>2</v>
      </c>
      <c r="F2" s="74"/>
      <c r="G2" s="74"/>
      <c r="H2" s="74"/>
      <c r="I2" s="74"/>
      <c r="J2" s="63"/>
    </row>
    <row r="3" spans="1:10" s="1" customFormat="1" ht="28" x14ac:dyDescent="0.35">
      <c r="A3" s="210" t="s">
        <v>307</v>
      </c>
      <c r="B3" s="7" t="s">
        <v>308</v>
      </c>
      <c r="C3" s="7"/>
      <c r="D3" s="71"/>
      <c r="E3" s="239"/>
      <c r="F3" s="11"/>
      <c r="G3" s="11"/>
      <c r="H3" s="11"/>
      <c r="I3" s="11"/>
      <c r="J3" s="11"/>
    </row>
    <row r="4" spans="1:10" x14ac:dyDescent="0.35">
      <c r="H4" s="21"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46100</v>
      </c>
      <c r="C6" s="7">
        <v>5000000</v>
      </c>
      <c r="D6" s="3">
        <f>C6</f>
        <v>5000000</v>
      </c>
      <c r="E6" s="2" t="s">
        <v>30</v>
      </c>
      <c r="F6" s="2">
        <v>2</v>
      </c>
      <c r="H6" s="2"/>
      <c r="I6" s="225" t="s">
        <v>219</v>
      </c>
      <c r="J6" s="10">
        <v>48574.098096600224</v>
      </c>
    </row>
    <row r="7" spans="1:10" ht="29" x14ac:dyDescent="0.35">
      <c r="A7" s="2">
        <v>2</v>
      </c>
      <c r="B7" s="71">
        <v>46122</v>
      </c>
      <c r="C7" s="3">
        <v>5000000</v>
      </c>
      <c r="D7" s="3">
        <f>D6+C7</f>
        <v>10000000</v>
      </c>
      <c r="E7" s="2" t="s">
        <v>30</v>
      </c>
      <c r="F7" s="2">
        <v>2</v>
      </c>
      <c r="H7" s="2"/>
      <c r="I7" s="408" t="s">
        <v>537</v>
      </c>
      <c r="J7" s="410">
        <v>15452.514876089712</v>
      </c>
    </row>
    <row r="8" spans="1:10" x14ac:dyDescent="0.35">
      <c r="A8" s="2">
        <v>3</v>
      </c>
      <c r="B8" s="71"/>
      <c r="C8" s="7"/>
      <c r="D8" s="3"/>
      <c r="E8" s="2"/>
      <c r="F8" s="2"/>
      <c r="H8" s="2"/>
      <c r="I8" s="408" t="s">
        <v>543</v>
      </c>
      <c r="J8" s="10">
        <v>39753.570998410411</v>
      </c>
    </row>
    <row r="9" spans="1:10" ht="29" x14ac:dyDescent="0.35">
      <c r="A9" s="2">
        <v>4</v>
      </c>
      <c r="B9" s="71"/>
      <c r="C9" s="3"/>
      <c r="D9" s="3"/>
      <c r="E9" s="2"/>
      <c r="F9" s="2"/>
      <c r="H9" s="2"/>
      <c r="I9" s="225" t="s">
        <v>681</v>
      </c>
      <c r="J9" s="10">
        <f>'DETAILS (sorted)'!DC67</f>
        <v>56356.646449149674</v>
      </c>
    </row>
    <row r="10" spans="1:10" x14ac:dyDescent="0.35">
      <c r="A10" s="2">
        <v>5</v>
      </c>
      <c r="B10" s="71"/>
      <c r="C10" s="3"/>
      <c r="D10" s="3"/>
      <c r="E10" s="2"/>
      <c r="F10" s="2"/>
      <c r="H10" s="2"/>
      <c r="I10" s="225" t="s">
        <v>696</v>
      </c>
      <c r="J10" s="10">
        <f>'DETAILS (sorted)'!DD67</f>
        <v>38158.802369838879</v>
      </c>
    </row>
    <row r="11" spans="1:10" x14ac:dyDescent="0.35">
      <c r="A11" s="2">
        <v>6</v>
      </c>
      <c r="B11" s="71"/>
      <c r="C11" s="3"/>
      <c r="D11" s="3"/>
      <c r="E11" s="2"/>
      <c r="F11" s="2"/>
      <c r="H11" s="2"/>
      <c r="I11" s="408" t="s">
        <v>887</v>
      </c>
      <c r="J11" s="10">
        <f>'DETAILS (sorted)'!DF67</f>
        <v>26812.285536183175</v>
      </c>
    </row>
    <row r="12" spans="1:10" x14ac:dyDescent="0.35">
      <c r="A12" s="2">
        <v>7</v>
      </c>
      <c r="B12" s="71"/>
      <c r="C12" s="3"/>
      <c r="D12" s="3"/>
      <c r="E12" s="2"/>
      <c r="F12" s="2"/>
      <c r="H12" s="2"/>
      <c r="I12" s="408" t="s">
        <v>889</v>
      </c>
      <c r="J12" s="10">
        <f>'DETAILS (sorted)'!DG67</f>
        <v>89526.015679783246</v>
      </c>
    </row>
    <row r="13" spans="1:10" x14ac:dyDescent="0.35">
      <c r="A13" s="2">
        <v>8</v>
      </c>
      <c r="B13" s="294"/>
      <c r="C13" s="3"/>
      <c r="D13" s="3"/>
      <c r="E13" s="2"/>
      <c r="F13" s="2"/>
      <c r="H13" s="2"/>
      <c r="I13" s="408" t="s">
        <v>891</v>
      </c>
      <c r="J13" s="10">
        <f>'DETAILS (sorted)'!DL67</f>
        <v>58100.900810992338</v>
      </c>
    </row>
    <row r="14" spans="1:10" x14ac:dyDescent="0.35">
      <c r="A14" s="2">
        <v>9</v>
      </c>
      <c r="B14" s="294"/>
      <c r="C14" s="3"/>
      <c r="D14" s="3"/>
      <c r="E14" s="2"/>
      <c r="F14" s="2"/>
      <c r="H14" s="2"/>
      <c r="I14" s="408" t="s">
        <v>894</v>
      </c>
      <c r="J14" s="10">
        <f>'DETAILS (sorted)'!DM67</f>
        <v>0</v>
      </c>
    </row>
    <row r="15" spans="1:10" x14ac:dyDescent="0.35">
      <c r="A15" s="2">
        <v>10</v>
      </c>
      <c r="B15" s="295"/>
      <c r="C15" s="205"/>
      <c r="D15" s="3"/>
      <c r="E15" s="2"/>
      <c r="F15" s="2"/>
      <c r="H15" s="2"/>
      <c r="I15" s="408" t="s">
        <v>893</v>
      </c>
      <c r="J15" s="10">
        <f>'DETAILS (sorted)'!DN67</f>
        <v>0</v>
      </c>
    </row>
    <row r="16" spans="1:10" x14ac:dyDescent="0.35">
      <c r="A16" s="2">
        <v>11</v>
      </c>
      <c r="B16" s="294"/>
      <c r="C16" s="3"/>
      <c r="D16" s="3"/>
      <c r="E16" s="2"/>
      <c r="F16" s="2"/>
      <c r="H16" s="2"/>
      <c r="I16" s="408" t="s">
        <v>895</v>
      </c>
      <c r="J16" s="10">
        <f>'DETAILS (sorted)'!DO67</f>
        <v>0</v>
      </c>
    </row>
    <row r="17" spans="1:10" x14ac:dyDescent="0.35">
      <c r="A17" s="2"/>
      <c r="B17" s="2"/>
      <c r="C17" s="3"/>
      <c r="D17" s="3"/>
      <c r="E17" s="2"/>
      <c r="F17" s="2"/>
      <c r="H17" s="2"/>
      <c r="I17" s="408" t="s">
        <v>897</v>
      </c>
      <c r="J17" s="10">
        <f>'DETAILS (sorted)'!DQ67</f>
        <v>0</v>
      </c>
    </row>
    <row r="18" spans="1:10" x14ac:dyDescent="0.35">
      <c r="A18" s="2"/>
      <c r="B18" s="2"/>
      <c r="C18" s="3"/>
      <c r="D18" s="3"/>
      <c r="E18" s="2"/>
      <c r="F18" s="2"/>
      <c r="H18" s="2"/>
      <c r="I18" s="408" t="s">
        <v>898</v>
      </c>
      <c r="J18" s="10">
        <f>'DETAILS (sorted)'!DR67</f>
        <v>0</v>
      </c>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10000000</v>
      </c>
      <c r="D25" s="3">
        <f>C25+J25</f>
        <v>10372734.834817048</v>
      </c>
      <c r="E25" s="3">
        <f>'DETAILS (sorted)'!DS67</f>
        <v>20581320.611616503</v>
      </c>
      <c r="F25" s="2">
        <f>D25-E25</f>
        <v>-10208585.776799455</v>
      </c>
      <c r="G25" t="b">
        <f>D25=E25</f>
        <v>0</v>
      </c>
      <c r="H25" s="2"/>
      <c r="I25" s="2"/>
      <c r="J25" s="10">
        <f>SUM(J6:J24)</f>
        <v>372734.83481704764</v>
      </c>
    </row>
    <row r="27" spans="1:10" x14ac:dyDescent="0.35">
      <c r="C27" s="191" t="s">
        <v>644</v>
      </c>
      <c r="D27" s="191">
        <f>C25+J25</f>
        <v>10372734.834817048</v>
      </c>
      <c r="E27" s="122">
        <f>D27/D28</f>
        <v>0.34575782782723496</v>
      </c>
      <c r="F27" s="2" t="s">
        <v>652</v>
      </c>
    </row>
    <row r="28" spans="1:10" x14ac:dyDescent="0.35">
      <c r="C28" s="3"/>
      <c r="D28" s="3">
        <v>30000000</v>
      </c>
      <c r="E28" s="122">
        <f>D28/D28</f>
        <v>1</v>
      </c>
      <c r="F28" s="2" t="s">
        <v>654</v>
      </c>
    </row>
    <row r="29" spans="1:10" x14ac:dyDescent="0.35">
      <c r="C29" s="3"/>
      <c r="D29" s="3">
        <f>D27-D28</f>
        <v>-19627265.165182952</v>
      </c>
      <c r="E29" s="122">
        <f>D29/D28</f>
        <v>-0.65424217217276504</v>
      </c>
      <c r="F29" s="2" t="s">
        <v>653</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9C0C-95F4-4CCF-A14E-4538826A2534}">
  <dimension ref="A2:J29"/>
  <sheetViews>
    <sheetView topLeftCell="B5"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8.1796875" bestFit="1" customWidth="1"/>
    <col min="9" max="9" width="26.08984375" customWidth="1"/>
    <col min="10" max="10" width="11.1796875" style="6" bestFit="1" customWidth="1"/>
  </cols>
  <sheetData>
    <row r="2" spans="1:10" s="5" customFormat="1" x14ac:dyDescent="0.35">
      <c r="A2" s="74" t="s">
        <v>190</v>
      </c>
      <c r="B2" s="191" t="s">
        <v>0</v>
      </c>
      <c r="C2" s="191"/>
      <c r="D2" s="74" t="s">
        <v>1</v>
      </c>
      <c r="E2" s="75" t="s">
        <v>2</v>
      </c>
      <c r="F2" s="74"/>
      <c r="G2" s="74"/>
      <c r="H2" s="74"/>
      <c r="I2" s="74"/>
      <c r="J2" s="63"/>
    </row>
    <row r="3" spans="1:10" s="1" customFormat="1" ht="28" x14ac:dyDescent="0.35">
      <c r="A3" s="210" t="s">
        <v>309</v>
      </c>
      <c r="B3" s="7" t="s">
        <v>310</v>
      </c>
      <c r="C3" s="7"/>
      <c r="D3" s="71"/>
      <c r="E3" s="239"/>
      <c r="F3" s="11"/>
      <c r="G3" s="11"/>
      <c r="H3" s="11"/>
      <c r="I3" s="11"/>
      <c r="J3" s="11"/>
    </row>
    <row r="4" spans="1:10" x14ac:dyDescent="0.35">
      <c r="H4" s="21" t="s">
        <v>643</v>
      </c>
      <c r="I4" s="21" t="s">
        <v>445</v>
      </c>
      <c r="J4" s="14" t="s">
        <v>568</v>
      </c>
    </row>
    <row r="5" spans="1:10" x14ac:dyDescent="0.35">
      <c r="A5" s="74" t="s">
        <v>487</v>
      </c>
      <c r="B5" s="74" t="s">
        <v>2</v>
      </c>
      <c r="C5" s="191" t="s">
        <v>124</v>
      </c>
      <c r="D5" s="191" t="s">
        <v>488</v>
      </c>
      <c r="E5" s="74" t="s">
        <v>489</v>
      </c>
      <c r="F5" s="74" t="s">
        <v>490</v>
      </c>
      <c r="H5" s="2"/>
      <c r="I5" s="2"/>
      <c r="J5" s="10"/>
    </row>
    <row r="6" spans="1:10" x14ac:dyDescent="0.35">
      <c r="A6" s="2">
        <v>1</v>
      </c>
      <c r="B6" s="71">
        <v>46099</v>
      </c>
      <c r="C6" s="7">
        <v>200000</v>
      </c>
      <c r="D6" s="3">
        <f>C6</f>
        <v>200000</v>
      </c>
      <c r="E6" s="2" t="s">
        <v>30</v>
      </c>
      <c r="F6" s="2">
        <v>2</v>
      </c>
      <c r="H6" s="2"/>
      <c r="I6" s="225" t="s">
        <v>219</v>
      </c>
      <c r="J6" s="10">
        <f>'DETAILS (sorted)'!CX68</f>
        <v>30115.940819892141</v>
      </c>
    </row>
    <row r="7" spans="1:10" x14ac:dyDescent="0.35">
      <c r="A7" s="2">
        <v>2</v>
      </c>
      <c r="B7" s="71">
        <v>46099</v>
      </c>
      <c r="C7" s="3">
        <v>300000</v>
      </c>
      <c r="D7" s="3">
        <f>D6+C7</f>
        <v>500000</v>
      </c>
      <c r="E7" s="2" t="s">
        <v>30</v>
      </c>
      <c r="F7" s="2">
        <v>2</v>
      </c>
      <c r="H7" s="2"/>
      <c r="I7" s="408" t="s">
        <v>537</v>
      </c>
      <c r="J7" s="410">
        <f>'DETAILS (sorted)'!CZ68</f>
        <v>4944.8047603487084</v>
      </c>
    </row>
    <row r="8" spans="1:10" x14ac:dyDescent="0.35">
      <c r="A8" s="2">
        <v>3</v>
      </c>
      <c r="B8" s="71">
        <v>46099</v>
      </c>
      <c r="C8" s="7">
        <v>2600000</v>
      </c>
      <c r="D8" s="3">
        <f t="shared" ref="D8:D10" si="0">D7+C8</f>
        <v>3100000</v>
      </c>
      <c r="E8" s="2" t="s">
        <v>30</v>
      </c>
      <c r="F8" s="2">
        <v>2</v>
      </c>
      <c r="H8" s="2"/>
      <c r="I8" s="408" t="s">
        <v>543</v>
      </c>
      <c r="J8" s="10">
        <f>'DETAILS (sorted)'!DA68</f>
        <v>12721.142719491332</v>
      </c>
    </row>
    <row r="9" spans="1:10" ht="29" x14ac:dyDescent="0.35">
      <c r="A9" s="2">
        <v>4</v>
      </c>
      <c r="B9" s="71">
        <v>46142</v>
      </c>
      <c r="C9" s="3">
        <v>100000</v>
      </c>
      <c r="D9" s="3">
        <f t="shared" si="0"/>
        <v>3200000</v>
      </c>
      <c r="E9" s="2" t="s">
        <v>30</v>
      </c>
      <c r="F9" s="2">
        <v>2</v>
      </c>
      <c r="H9" s="2"/>
      <c r="I9" s="225" t="s">
        <v>681</v>
      </c>
      <c r="J9" s="10">
        <f>'DETAILS (sorted)'!DC68</f>
        <v>18879.476560465137</v>
      </c>
    </row>
    <row r="10" spans="1:10" x14ac:dyDescent="0.35">
      <c r="A10" s="2">
        <v>5</v>
      </c>
      <c r="B10" s="71">
        <v>46171</v>
      </c>
      <c r="C10" s="3">
        <v>150000</v>
      </c>
      <c r="D10" s="3">
        <f t="shared" si="0"/>
        <v>3350000</v>
      </c>
      <c r="E10" s="2" t="s">
        <v>30</v>
      </c>
      <c r="F10" s="2">
        <v>2</v>
      </c>
      <c r="H10" s="2"/>
      <c r="I10" s="225" t="s">
        <v>696</v>
      </c>
      <c r="J10" s="10">
        <f>'DETAILS (sorted)'!DD68</f>
        <v>12783.198793896023</v>
      </c>
    </row>
    <row r="11" spans="1:10" x14ac:dyDescent="0.35">
      <c r="A11" s="2">
        <v>6</v>
      </c>
      <c r="B11" s="71">
        <v>46201</v>
      </c>
      <c r="C11" s="3">
        <v>150000</v>
      </c>
      <c r="D11" s="3">
        <f t="shared" ref="D11" si="1">D10+C11</f>
        <v>3500000</v>
      </c>
      <c r="E11" s="2" t="s">
        <v>30</v>
      </c>
      <c r="F11" s="2">
        <v>2</v>
      </c>
      <c r="H11" s="2"/>
      <c r="I11" s="408" t="s">
        <v>887</v>
      </c>
      <c r="J11" s="10">
        <f>'DETAILS (sorted)'!DF68</f>
        <v>9384.2999376641128</v>
      </c>
    </row>
    <row r="12" spans="1:10" x14ac:dyDescent="0.35">
      <c r="A12" s="2">
        <v>7</v>
      </c>
      <c r="B12" s="71"/>
      <c r="C12" s="3"/>
      <c r="D12" s="3"/>
      <c r="E12" s="2"/>
      <c r="F12" s="2"/>
      <c r="H12" s="2"/>
      <c r="I12" s="408" t="s">
        <v>889</v>
      </c>
      <c r="J12" s="10">
        <f>'DETAILS (sorted)'!DG68</f>
        <v>31334.105487924138</v>
      </c>
    </row>
    <row r="13" spans="1:10" x14ac:dyDescent="0.35">
      <c r="A13" s="2">
        <v>8</v>
      </c>
      <c r="B13" s="294"/>
      <c r="C13" s="3"/>
      <c r="D13" s="3"/>
      <c r="E13" s="2"/>
      <c r="F13" s="2"/>
      <c r="H13" s="2"/>
      <c r="I13" s="408" t="s">
        <v>891</v>
      </c>
      <c r="J13" s="10">
        <f>'DETAILS (sorted)'!DL68</f>
        <v>12355.888910882399</v>
      </c>
    </row>
    <row r="14" spans="1:10" x14ac:dyDescent="0.35">
      <c r="A14" s="2">
        <v>9</v>
      </c>
      <c r="B14" s="294"/>
      <c r="C14" s="3"/>
      <c r="D14" s="3"/>
      <c r="E14" s="2"/>
      <c r="F14" s="2"/>
      <c r="H14" s="2"/>
      <c r="I14" s="408" t="s">
        <v>894</v>
      </c>
      <c r="J14" s="10">
        <f>'DETAILS (sorted)'!DM68</f>
        <v>0</v>
      </c>
    </row>
    <row r="15" spans="1:10" x14ac:dyDescent="0.35">
      <c r="A15" s="2">
        <v>10</v>
      </c>
      <c r="B15" s="295"/>
      <c r="C15" s="205"/>
      <c r="D15" s="3"/>
      <c r="E15" s="2"/>
      <c r="F15" s="2"/>
      <c r="H15" s="2"/>
      <c r="I15" s="408" t="s">
        <v>893</v>
      </c>
      <c r="J15" s="10">
        <f>'DETAILS (sorted)'!DN68</f>
        <v>0</v>
      </c>
    </row>
    <row r="16" spans="1:10" x14ac:dyDescent="0.35">
      <c r="A16" s="2">
        <v>11</v>
      </c>
      <c r="B16" s="294"/>
      <c r="C16" s="3"/>
      <c r="D16" s="3"/>
      <c r="E16" s="2"/>
      <c r="F16" s="2"/>
      <c r="H16" s="2"/>
      <c r="I16" s="408" t="s">
        <v>895</v>
      </c>
      <c r="J16" s="10">
        <f>'DETAILS (sorted)'!DO68</f>
        <v>0</v>
      </c>
    </row>
    <row r="17" spans="1:10" x14ac:dyDescent="0.35">
      <c r="A17" s="2"/>
      <c r="B17" s="2"/>
      <c r="C17" s="3"/>
      <c r="D17" s="3"/>
      <c r="E17" s="2"/>
      <c r="F17" s="2"/>
      <c r="H17" s="2"/>
      <c r="I17" s="408" t="s">
        <v>897</v>
      </c>
      <c r="J17" s="10">
        <f>'DETAILS (sorted)'!DQ68</f>
        <v>0</v>
      </c>
    </row>
    <row r="18" spans="1:10" x14ac:dyDescent="0.35">
      <c r="A18" s="2"/>
      <c r="B18" s="2"/>
      <c r="C18" s="3"/>
      <c r="D18" s="3"/>
      <c r="E18" s="2"/>
      <c r="F18" s="2"/>
      <c r="H18" s="2"/>
      <c r="I18" s="408" t="s">
        <v>898</v>
      </c>
      <c r="J18" s="10">
        <f>'DETAILS (sorted)'!DR68</f>
        <v>0</v>
      </c>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3500000</v>
      </c>
      <c r="D25" s="3">
        <f>J25+C25</f>
        <v>3632518.8579905638</v>
      </c>
      <c r="E25" s="3">
        <f>'DETAILS (sorted)'!DS68</f>
        <v>4376877.2526204214</v>
      </c>
      <c r="F25" s="2">
        <f>D25-E25</f>
        <v>-744358.3946298575</v>
      </c>
      <c r="G25" t="b">
        <f>D25=E25</f>
        <v>0</v>
      </c>
      <c r="H25" s="2"/>
      <c r="I25" s="2"/>
      <c r="J25" s="10">
        <f>SUM(J6:J24)</f>
        <v>132518.85799056399</v>
      </c>
    </row>
    <row r="27" spans="1:10" x14ac:dyDescent="0.35">
      <c r="C27" s="191" t="s">
        <v>644</v>
      </c>
      <c r="D27" s="191">
        <f>C25+J25</f>
        <v>3632518.8579905638</v>
      </c>
      <c r="E27" s="122">
        <f>D27/D28</f>
        <v>0.36325188579905637</v>
      </c>
      <c r="F27" s="2" t="s">
        <v>652</v>
      </c>
    </row>
    <row r="28" spans="1:10" x14ac:dyDescent="0.35">
      <c r="C28" s="3"/>
      <c r="D28" s="3">
        <v>10000000</v>
      </c>
      <c r="E28" s="122">
        <f>D28/D28</f>
        <v>1</v>
      </c>
      <c r="F28" s="2" t="s">
        <v>654</v>
      </c>
    </row>
    <row r="29" spans="1:10" x14ac:dyDescent="0.35">
      <c r="C29" s="3"/>
      <c r="D29" s="3">
        <f>D27-D28</f>
        <v>-6367481.1420094362</v>
      </c>
      <c r="E29" s="122">
        <f>D29/D28</f>
        <v>-0.63674811420094357</v>
      </c>
      <c r="F29" s="2" t="s">
        <v>653</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A8A54-196D-4A7C-B6D4-7CE997815B88}">
  <dimension ref="A2:J29"/>
  <sheetViews>
    <sheetView topLeftCell="A2" workbookViewId="0">
      <selection activeCell="L11" sqref="L1:R1048576"/>
    </sheetView>
  </sheetViews>
  <sheetFormatPr defaultRowHeight="14.5" x14ac:dyDescent="0.35"/>
  <cols>
    <col min="1" max="1" width="8.1796875" bestFit="1" customWidth="1"/>
    <col min="2" max="2" width="16" bestFit="1" customWidth="1"/>
    <col min="3" max="3" width="11.36328125" style="1" bestFit="1" customWidth="1"/>
    <col min="4" max="4" width="14.453125" style="1" bestFit="1" customWidth="1"/>
    <col min="5" max="5" width="11.26953125" bestFit="1" customWidth="1"/>
    <col min="6" max="6" width="9.26953125" bestFit="1" customWidth="1"/>
    <col min="7" max="7" width="5.81640625" bestFit="1" customWidth="1"/>
    <col min="8" max="8" width="4.7265625" hidden="1" customWidth="1"/>
    <col min="9" max="9" width="26.453125" customWidth="1"/>
    <col min="10" max="10" width="11.1796875" style="6" bestFit="1" customWidth="1"/>
    <col min="11" max="11" width="9.08984375" bestFit="1" customWidth="1"/>
  </cols>
  <sheetData>
    <row r="2" spans="1:10" s="5" customFormat="1" x14ac:dyDescent="0.35">
      <c r="A2" s="74" t="s">
        <v>190</v>
      </c>
      <c r="B2" s="191" t="s">
        <v>0</v>
      </c>
      <c r="C2" s="191"/>
      <c r="D2" s="74" t="s">
        <v>1</v>
      </c>
      <c r="E2" s="75" t="s">
        <v>2</v>
      </c>
      <c r="F2" s="74"/>
      <c r="G2" s="74"/>
      <c r="H2" s="74"/>
      <c r="I2" s="74"/>
      <c r="J2" s="63"/>
    </row>
    <row r="3" spans="1:10" s="1" customFormat="1" ht="28" x14ac:dyDescent="0.35">
      <c r="A3" s="210" t="s">
        <v>311</v>
      </c>
      <c r="B3" s="286" t="s">
        <v>312</v>
      </c>
      <c r="C3" s="7"/>
      <c r="D3" s="71"/>
      <c r="E3" s="239"/>
      <c r="F3" s="11"/>
      <c r="G3" s="11"/>
      <c r="H3" s="11"/>
      <c r="I3" s="11"/>
      <c r="J3" s="11"/>
    </row>
    <row r="4" spans="1:10" x14ac:dyDescent="0.35">
      <c r="H4" s="21"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46106</v>
      </c>
      <c r="C6" s="3">
        <v>5000000</v>
      </c>
      <c r="D6" s="3">
        <f t="shared" ref="D6" si="0">C6</f>
        <v>5000000</v>
      </c>
      <c r="E6" s="2" t="s">
        <v>30</v>
      </c>
      <c r="F6" s="2">
        <v>2</v>
      </c>
      <c r="H6" s="2"/>
      <c r="I6" s="225" t="s">
        <v>219</v>
      </c>
      <c r="J6" s="10">
        <v>48574.098096600224</v>
      </c>
    </row>
    <row r="7" spans="1:10" x14ac:dyDescent="0.35">
      <c r="A7" s="2">
        <v>2</v>
      </c>
      <c r="B7" s="71">
        <v>46128</v>
      </c>
      <c r="C7" s="3">
        <v>3000000</v>
      </c>
      <c r="D7" s="3">
        <f>D6+C7</f>
        <v>8000000</v>
      </c>
      <c r="E7" s="2" t="s">
        <v>30</v>
      </c>
      <c r="F7" s="2">
        <v>2</v>
      </c>
      <c r="H7" s="2"/>
      <c r="I7" s="408" t="s">
        <v>537</v>
      </c>
      <c r="J7" s="10">
        <v>12362.011900871772</v>
      </c>
    </row>
    <row r="8" spans="1:10" x14ac:dyDescent="0.35">
      <c r="A8" s="2">
        <v>3</v>
      </c>
      <c r="B8" s="71">
        <v>46152</v>
      </c>
      <c r="C8" s="3">
        <v>5907261</v>
      </c>
      <c r="D8" s="3">
        <f t="shared" ref="D8" si="1">D7+C8</f>
        <v>13907261</v>
      </c>
      <c r="E8" s="2" t="s">
        <v>30</v>
      </c>
      <c r="F8" s="2">
        <v>2</v>
      </c>
      <c r="H8" s="2"/>
      <c r="I8" s="408" t="s">
        <v>543</v>
      </c>
      <c r="J8" s="10">
        <v>31802.856798728331</v>
      </c>
    </row>
    <row r="9" spans="1:10" ht="29" x14ac:dyDescent="0.35">
      <c r="A9" s="2">
        <v>4</v>
      </c>
      <c r="B9" s="71"/>
      <c r="C9" s="3"/>
      <c r="D9" s="3"/>
      <c r="E9" s="2"/>
      <c r="F9" s="2"/>
      <c r="H9" s="2"/>
      <c r="I9" s="225" t="s">
        <v>681</v>
      </c>
      <c r="J9" s="10">
        <f>'DETAILS (sorted)'!DC69</f>
        <v>78376.659125304752</v>
      </c>
    </row>
    <row r="10" spans="1:10" x14ac:dyDescent="0.35">
      <c r="A10" s="2">
        <v>5</v>
      </c>
      <c r="B10" s="71"/>
      <c r="C10" s="3"/>
      <c r="D10" s="3"/>
      <c r="E10" s="2"/>
      <c r="F10" s="2"/>
      <c r="H10" s="2"/>
      <c r="I10" s="225" t="s">
        <v>696</v>
      </c>
      <c r="J10" s="10">
        <f>'DETAILS (sorted)'!DD69</f>
        <v>53068.442400476772</v>
      </c>
    </row>
    <row r="11" spans="1:10" x14ac:dyDescent="0.35">
      <c r="A11" s="2">
        <v>6</v>
      </c>
      <c r="B11" s="71"/>
      <c r="C11" s="3"/>
      <c r="D11" s="3"/>
      <c r="E11" s="2"/>
      <c r="F11" s="2"/>
      <c r="H11" s="2"/>
      <c r="I11" s="408" t="s">
        <v>887</v>
      </c>
      <c r="J11" s="10">
        <f>'DETAILS (sorted)'!DF69</f>
        <v>37288.545295822441</v>
      </c>
    </row>
    <row r="12" spans="1:10" x14ac:dyDescent="0.35">
      <c r="A12" s="2">
        <v>7</v>
      </c>
      <c r="B12" s="71"/>
      <c r="C12" s="3"/>
      <c r="D12" s="3"/>
      <c r="E12" s="2"/>
      <c r="F12" s="2"/>
      <c r="H12" s="2"/>
      <c r="I12" s="408" t="s">
        <v>889</v>
      </c>
      <c r="J12" s="10">
        <f>'DETAILS (sorted)'!DG69</f>
        <v>124506.1666348838</v>
      </c>
    </row>
    <row r="13" spans="1:10" x14ac:dyDescent="0.35">
      <c r="A13" s="2">
        <v>8</v>
      </c>
      <c r="B13" s="294"/>
      <c r="C13" s="3"/>
      <c r="D13" s="3"/>
      <c r="E13" s="2"/>
      <c r="F13" s="2"/>
      <c r="H13" s="2"/>
      <c r="I13" s="408" t="s">
        <v>891</v>
      </c>
      <c r="J13" s="10">
        <f>'DETAILS (sorted)'!DL69</f>
        <v>60899.764004419332</v>
      </c>
    </row>
    <row r="14" spans="1:10" x14ac:dyDescent="0.35">
      <c r="A14" s="2">
        <v>9</v>
      </c>
      <c r="B14" s="294"/>
      <c r="C14" s="3"/>
      <c r="D14" s="3"/>
      <c r="E14" s="2"/>
      <c r="F14" s="2"/>
      <c r="H14" s="2"/>
      <c r="I14" s="408" t="s">
        <v>894</v>
      </c>
      <c r="J14" s="10">
        <f>'DETAILS (sorted)'!DM69</f>
        <v>0</v>
      </c>
    </row>
    <row r="15" spans="1:10" x14ac:dyDescent="0.35">
      <c r="A15" s="2">
        <v>10</v>
      </c>
      <c r="B15" s="294"/>
      <c r="C15" s="205"/>
      <c r="D15" s="3"/>
      <c r="E15" s="2"/>
      <c r="F15" s="2"/>
      <c r="H15" s="2"/>
      <c r="I15" s="408" t="s">
        <v>893</v>
      </c>
      <c r="J15" s="10">
        <f>'DETAILS (sorted)'!DN69</f>
        <v>0</v>
      </c>
    </row>
    <row r="16" spans="1:10" x14ac:dyDescent="0.35">
      <c r="A16" s="2">
        <v>11</v>
      </c>
      <c r="B16" s="294"/>
      <c r="C16" s="3"/>
      <c r="D16" s="3"/>
      <c r="E16" s="2"/>
      <c r="F16" s="2"/>
      <c r="H16" s="2"/>
      <c r="I16" s="408" t="s">
        <v>895</v>
      </c>
      <c r="J16" s="10">
        <f>'DETAILS (sorted)'!DO69</f>
        <v>0</v>
      </c>
    </row>
    <row r="17" spans="1:10" x14ac:dyDescent="0.35">
      <c r="A17" s="2"/>
      <c r="B17" s="2"/>
      <c r="C17" s="3"/>
      <c r="D17" s="3"/>
      <c r="E17" s="2"/>
      <c r="F17" s="2"/>
      <c r="H17" s="2"/>
      <c r="I17" s="408" t="s">
        <v>897</v>
      </c>
      <c r="J17" s="10">
        <f>'DETAILS (sorted)'!DQ69</f>
        <v>0</v>
      </c>
    </row>
    <row r="18" spans="1:10" x14ac:dyDescent="0.35">
      <c r="A18" s="2"/>
      <c r="B18" s="2"/>
      <c r="C18" s="3"/>
      <c r="D18" s="3"/>
      <c r="E18" s="2"/>
      <c r="F18" s="2"/>
      <c r="H18" s="2"/>
      <c r="I18" s="408" t="s">
        <v>898</v>
      </c>
      <c r="J18" s="10">
        <f>'DETAILS (sorted)'!DR69</f>
        <v>0</v>
      </c>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13907261</v>
      </c>
      <c r="D25" s="3">
        <f>C25+J25</f>
        <v>14354139.544257108</v>
      </c>
      <c r="E25" s="7">
        <f>'DETAILS (sorted)'!DS69</f>
        <v>21572773.410590589</v>
      </c>
      <c r="F25" s="2">
        <f>D25-E25</f>
        <v>-7218633.8663334809</v>
      </c>
      <c r="G25" t="b">
        <f>D25=E25</f>
        <v>0</v>
      </c>
      <c r="H25" s="2"/>
      <c r="I25" s="2"/>
      <c r="J25" s="10">
        <f>SUM(J6:J24)</f>
        <v>446878.54425710742</v>
      </c>
    </row>
    <row r="27" spans="1:10" x14ac:dyDescent="0.35">
      <c r="C27" s="191" t="s">
        <v>644</v>
      </c>
      <c r="D27" s="191">
        <f>J25+C25</f>
        <v>14354139.544257108</v>
      </c>
      <c r="E27" s="122">
        <f>D27/D28</f>
        <v>0.47847131814190358</v>
      </c>
      <c r="F27" s="2" t="s">
        <v>652</v>
      </c>
    </row>
    <row r="28" spans="1:10" x14ac:dyDescent="0.35">
      <c r="C28" s="3" t="s">
        <v>650</v>
      </c>
      <c r="D28" s="3">
        <v>30000000</v>
      </c>
      <c r="E28" s="122">
        <f>D28/D28</f>
        <v>1</v>
      </c>
      <c r="F28" s="2" t="s">
        <v>654</v>
      </c>
    </row>
    <row r="29" spans="1:10" x14ac:dyDescent="0.35">
      <c r="C29" s="3"/>
      <c r="D29" s="3">
        <f>D27-D28</f>
        <v>-15645860.455742892</v>
      </c>
      <c r="E29" s="122">
        <f>D29/D28</f>
        <v>-0.52152868185809642</v>
      </c>
      <c r="F29" s="2" t="s">
        <v>653</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D07AA-0BB6-4564-98AD-85C50C17C3A4}">
  <dimension ref="A2:J29"/>
  <sheetViews>
    <sheetView topLeftCell="A3"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8.1796875" bestFit="1" customWidth="1"/>
    <col min="9" max="9" width="24.08984375" bestFit="1" customWidth="1"/>
    <col min="10" max="10" width="10.1796875" style="6" bestFit="1" customWidth="1"/>
  </cols>
  <sheetData>
    <row r="2" spans="1:10" s="5" customFormat="1" ht="28" customHeight="1" x14ac:dyDescent="0.35">
      <c r="A2" s="74" t="s">
        <v>190</v>
      </c>
      <c r="B2" s="191" t="s">
        <v>0</v>
      </c>
      <c r="C2" s="191"/>
      <c r="D2" s="74" t="s">
        <v>1</v>
      </c>
      <c r="E2" s="75" t="s">
        <v>2</v>
      </c>
      <c r="F2" s="74"/>
      <c r="G2" s="74"/>
      <c r="H2" s="74"/>
      <c r="I2" s="74"/>
      <c r="J2" s="63"/>
    </row>
    <row r="3" spans="1:10" s="1" customFormat="1" ht="28" x14ac:dyDescent="0.35">
      <c r="A3" s="210" t="s">
        <v>313</v>
      </c>
      <c r="B3" s="7" t="s">
        <v>314</v>
      </c>
      <c r="C3" s="7"/>
      <c r="D3" s="71"/>
      <c r="E3" s="239"/>
      <c r="F3" s="11"/>
      <c r="G3" s="11"/>
      <c r="H3" s="11"/>
      <c r="I3" s="11"/>
      <c r="J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46111</v>
      </c>
      <c r="C6" s="7">
        <v>3000000</v>
      </c>
      <c r="D6" s="3">
        <f>C6</f>
        <v>3000000</v>
      </c>
      <c r="E6" s="2" t="s">
        <v>30</v>
      </c>
      <c r="F6" s="2">
        <v>2</v>
      </c>
      <c r="H6" s="2"/>
      <c r="I6" s="225" t="s">
        <v>219</v>
      </c>
      <c r="J6" s="10">
        <v>29144.458857960133</v>
      </c>
    </row>
    <row r="7" spans="1:10" x14ac:dyDescent="0.35">
      <c r="A7" s="2">
        <v>2</v>
      </c>
      <c r="B7" s="71">
        <v>46143</v>
      </c>
      <c r="C7" s="3">
        <v>200000</v>
      </c>
      <c r="D7" s="3">
        <f>D6+C7</f>
        <v>3200000</v>
      </c>
      <c r="E7" s="2" t="s">
        <v>30</v>
      </c>
      <c r="F7" s="2">
        <v>2</v>
      </c>
      <c r="H7" s="2"/>
      <c r="I7" s="408" t="s">
        <v>537</v>
      </c>
      <c r="J7" s="2">
        <v>4635.7544628269143</v>
      </c>
    </row>
    <row r="8" spans="1:10" x14ac:dyDescent="0.35">
      <c r="A8" s="2">
        <v>3</v>
      </c>
      <c r="B8" s="71">
        <v>46177</v>
      </c>
      <c r="C8" s="7">
        <v>500000</v>
      </c>
      <c r="D8" s="3">
        <f>D7+C8</f>
        <v>3700000</v>
      </c>
      <c r="E8" s="2" t="s">
        <v>30</v>
      </c>
      <c r="F8" s="2">
        <v>2</v>
      </c>
      <c r="H8" s="2"/>
      <c r="I8" s="408" t="s">
        <v>543</v>
      </c>
      <c r="J8" s="2">
        <v>11926.071299523122</v>
      </c>
    </row>
    <row r="9" spans="1:10" ht="29" x14ac:dyDescent="0.35">
      <c r="A9" s="2">
        <v>4</v>
      </c>
      <c r="B9" s="71"/>
      <c r="C9" s="3"/>
      <c r="D9" s="3"/>
      <c r="E9" s="2"/>
      <c r="F9" s="2"/>
      <c r="H9" s="2"/>
      <c r="I9" s="225" t="s">
        <v>681</v>
      </c>
      <c r="J9" s="10">
        <f>'DETAILS (sorted)'!DC70</f>
        <v>18034.126863727892</v>
      </c>
    </row>
    <row r="10" spans="1:10" x14ac:dyDescent="0.35">
      <c r="A10" s="2">
        <v>5</v>
      </c>
      <c r="B10" s="71"/>
      <c r="C10" s="3"/>
      <c r="D10" s="3"/>
      <c r="E10" s="2"/>
      <c r="F10" s="2"/>
      <c r="H10" s="2"/>
      <c r="I10" s="225" t="s">
        <v>696</v>
      </c>
      <c r="J10" s="10">
        <f>'DETAILS (sorted)'!DD70</f>
        <v>12210.816758348439</v>
      </c>
    </row>
    <row r="11" spans="1:10" x14ac:dyDescent="0.35">
      <c r="A11" s="2">
        <v>6</v>
      </c>
      <c r="B11" s="71"/>
      <c r="C11" s="3"/>
      <c r="D11" s="3"/>
      <c r="E11" s="2"/>
      <c r="F11" s="2"/>
      <c r="H11" s="2"/>
      <c r="I11" s="408" t="s">
        <v>887</v>
      </c>
      <c r="J11" s="10">
        <f>'DETAILS (sorted)'!DF70</f>
        <v>9920.545648387777</v>
      </c>
    </row>
    <row r="12" spans="1:10" x14ac:dyDescent="0.35">
      <c r="A12" s="2">
        <v>7</v>
      </c>
      <c r="B12" s="71"/>
      <c r="C12" s="3"/>
      <c r="D12" s="3"/>
      <c r="E12" s="2"/>
      <c r="F12" s="2"/>
      <c r="H12" s="2"/>
      <c r="I12" s="408" t="s">
        <v>889</v>
      </c>
      <c r="J12" s="10">
        <f>'DETAILS (sorted)'!DG70</f>
        <v>33124.625801519804</v>
      </c>
    </row>
    <row r="13" spans="1:10" x14ac:dyDescent="0.35">
      <c r="A13" s="2">
        <v>8</v>
      </c>
      <c r="B13" s="294"/>
      <c r="C13" s="3"/>
      <c r="D13" s="3"/>
      <c r="E13" s="2"/>
      <c r="F13" s="2"/>
      <c r="H13" s="2"/>
      <c r="I13" s="408" t="s">
        <v>891</v>
      </c>
      <c r="J13" s="10">
        <f>'DETAILS (sorted)'!DL70</f>
        <v>10922.526673967119</v>
      </c>
    </row>
    <row r="14" spans="1:10" x14ac:dyDescent="0.35">
      <c r="A14" s="2">
        <v>9</v>
      </c>
      <c r="B14" s="294"/>
      <c r="C14" s="3"/>
      <c r="D14" s="3"/>
      <c r="E14" s="2"/>
      <c r="F14" s="2"/>
      <c r="H14" s="2"/>
      <c r="I14" s="408" t="s">
        <v>894</v>
      </c>
      <c r="J14" s="10">
        <f>'DETAILS (sorted)'!DM70</f>
        <v>0</v>
      </c>
    </row>
    <row r="15" spans="1:10" x14ac:dyDescent="0.35">
      <c r="A15" s="2">
        <v>10</v>
      </c>
      <c r="B15" s="295"/>
      <c r="C15" s="205"/>
      <c r="D15" s="3"/>
      <c r="E15" s="2"/>
      <c r="F15" s="2"/>
      <c r="H15" s="2"/>
      <c r="I15" s="408" t="s">
        <v>893</v>
      </c>
      <c r="J15" s="10">
        <f>'DETAILS (sorted)'!DN70</f>
        <v>0</v>
      </c>
    </row>
    <row r="16" spans="1:10" x14ac:dyDescent="0.35">
      <c r="A16" s="2">
        <v>11</v>
      </c>
      <c r="B16" s="294"/>
      <c r="C16" s="3"/>
      <c r="D16" s="3"/>
      <c r="E16" s="2"/>
      <c r="F16" s="2"/>
      <c r="H16" s="2"/>
      <c r="I16" s="408" t="s">
        <v>895</v>
      </c>
      <c r="J16" s="10">
        <f>'DETAILS (sorted)'!DO70</f>
        <v>0</v>
      </c>
    </row>
    <row r="17" spans="1:10" x14ac:dyDescent="0.35">
      <c r="A17" s="2"/>
      <c r="B17" s="2"/>
      <c r="C17" s="3"/>
      <c r="D17" s="3"/>
      <c r="E17" s="2"/>
      <c r="F17" s="2"/>
      <c r="H17" s="2"/>
      <c r="I17" s="408" t="s">
        <v>897</v>
      </c>
      <c r="J17" s="10">
        <f>'DETAILS (sorted)'!DQ70</f>
        <v>0</v>
      </c>
    </row>
    <row r="18" spans="1:10" x14ac:dyDescent="0.35">
      <c r="A18" s="2"/>
      <c r="B18" s="2"/>
      <c r="C18" s="3"/>
      <c r="D18" s="3"/>
      <c r="E18" s="2"/>
      <c r="F18" s="2"/>
      <c r="H18" s="2"/>
      <c r="I18" s="408" t="s">
        <v>898</v>
      </c>
      <c r="J18" s="10">
        <f>'DETAILS (sorted)'!DR70</f>
        <v>0</v>
      </c>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3700000</v>
      </c>
      <c r="D25" s="3">
        <f>C25+J25</f>
        <v>3829918.9263662612</v>
      </c>
      <c r="E25" s="3">
        <f>'DETAILS (sorted)'!DS70</f>
        <v>3869131.4631617516</v>
      </c>
      <c r="F25" s="97">
        <f>D25-E25</f>
        <v>-39212.536795490421</v>
      </c>
      <c r="G25" t="b">
        <f>D25=E25</f>
        <v>0</v>
      </c>
      <c r="H25" s="2"/>
      <c r="I25" s="2"/>
      <c r="J25" s="10">
        <f>SUM(J6:J24)</f>
        <v>129918.92636626122</v>
      </c>
    </row>
    <row r="27" spans="1:10" x14ac:dyDescent="0.35">
      <c r="C27" s="191" t="s">
        <v>644</v>
      </c>
      <c r="D27" s="191">
        <f>C25+J25</f>
        <v>3829918.9263662612</v>
      </c>
      <c r="E27" s="122">
        <f>D27/D28</f>
        <v>0.38299189263662614</v>
      </c>
      <c r="F27" s="2" t="s">
        <v>652</v>
      </c>
    </row>
    <row r="28" spans="1:10" x14ac:dyDescent="0.35">
      <c r="C28" s="3"/>
      <c r="D28" s="3">
        <v>10000000</v>
      </c>
      <c r="E28" s="122">
        <f>D28/D28</f>
        <v>1</v>
      </c>
      <c r="F28" s="2" t="s">
        <v>654</v>
      </c>
    </row>
    <row r="29" spans="1:10" x14ac:dyDescent="0.35">
      <c r="C29" s="3"/>
      <c r="D29" s="3">
        <f>D27-D28</f>
        <v>-6170081.0736337388</v>
      </c>
      <c r="E29" s="122">
        <f>D29/D28</f>
        <v>-0.61700810736337386</v>
      </c>
      <c r="F29" s="2" t="s">
        <v>653</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5EBC5-243D-4004-A604-980E66A22B3F}">
  <dimension ref="A2:AY29"/>
  <sheetViews>
    <sheetView topLeftCell="A4" workbookViewId="0">
      <selection activeCell="N16" sqref="N16"/>
    </sheetView>
  </sheetViews>
  <sheetFormatPr defaultRowHeight="14.5" x14ac:dyDescent="0.35"/>
  <cols>
    <col min="1" max="1" width="8.1796875" bestFit="1" customWidth="1"/>
    <col min="2" max="2" width="19.90625" bestFit="1" customWidth="1"/>
    <col min="3" max="3" width="11.36328125" style="1" bestFit="1" customWidth="1"/>
    <col min="4" max="4" width="14.453125" style="1" bestFit="1" customWidth="1"/>
    <col min="5" max="5" width="11.26953125" bestFit="1" customWidth="1"/>
    <col min="6" max="6" width="9.26953125" bestFit="1" customWidth="1"/>
    <col min="7" max="7" width="6.08984375" bestFit="1" customWidth="1"/>
    <col min="8" max="8" width="4.7265625" hidden="1" customWidth="1"/>
    <col min="9" max="9" width="24.08984375" bestFit="1" customWidth="1"/>
    <col min="10" max="10" width="11.1796875" style="6" bestFit="1" customWidth="1"/>
    <col min="18" max="18" width="9.08984375" bestFit="1" customWidth="1"/>
    <col min="19" max="19" width="10.1796875" bestFit="1" customWidth="1"/>
    <col min="20" max="20" width="9.08984375" bestFit="1" customWidth="1"/>
    <col min="21" max="21" width="10.1796875" bestFit="1" customWidth="1"/>
    <col min="22" max="22" width="9.08984375" bestFit="1" customWidth="1"/>
    <col min="23" max="23" width="10.1796875" bestFit="1" customWidth="1"/>
    <col min="32" max="33" width="5.54296875" bestFit="1" customWidth="1"/>
    <col min="40" max="40" width="4.7265625" bestFit="1" customWidth="1"/>
    <col min="41" max="41" width="6.90625" bestFit="1" customWidth="1"/>
    <col min="42" max="42" width="10.1796875" bestFit="1" customWidth="1"/>
    <col min="43" max="43" width="6.90625" bestFit="1" customWidth="1"/>
    <col min="44" max="44" width="10.1796875" bestFit="1" customWidth="1"/>
    <col min="45" max="46" width="6.90625" bestFit="1" customWidth="1"/>
    <col min="47" max="47" width="5.6328125" bestFit="1" customWidth="1"/>
    <col min="48" max="48" width="5.54296875" bestFit="1" customWidth="1"/>
    <col min="49" max="49" width="19.90625" bestFit="1" customWidth="1"/>
    <col min="50" max="50" width="5.54296875" bestFit="1" customWidth="1"/>
    <col min="51" max="51" width="5.6328125" bestFit="1" customWidth="1"/>
  </cols>
  <sheetData>
    <row r="2" spans="1:51" s="5" customFormat="1" x14ac:dyDescent="0.35">
      <c r="A2" s="74" t="s">
        <v>190</v>
      </c>
      <c r="B2" s="191" t="s">
        <v>0</v>
      </c>
      <c r="C2" s="191"/>
      <c r="D2" s="74" t="s">
        <v>1</v>
      </c>
      <c r="E2" s="75" t="s">
        <v>2</v>
      </c>
      <c r="F2" s="74"/>
      <c r="G2" s="74"/>
      <c r="H2" s="74"/>
      <c r="I2" s="74"/>
      <c r="J2" s="63"/>
    </row>
    <row r="3" spans="1:51" s="1" customFormat="1" ht="28" x14ac:dyDescent="0.35">
      <c r="A3" s="210" t="s">
        <v>315</v>
      </c>
      <c r="B3" s="7" t="s">
        <v>316</v>
      </c>
      <c r="C3" s="7"/>
      <c r="D3" s="71"/>
      <c r="E3" s="239"/>
      <c r="F3" s="11"/>
      <c r="G3" s="11"/>
      <c r="H3" s="11"/>
      <c r="I3" s="11"/>
      <c r="J3" s="11"/>
      <c r="K3" s="200"/>
      <c r="L3" s="205"/>
      <c r="M3" s="200"/>
      <c r="N3" s="3"/>
      <c r="O3" s="3"/>
      <c r="P3" s="3"/>
      <c r="Q3" s="231"/>
      <c r="R3" s="71">
        <v>46112</v>
      </c>
      <c r="S3" s="3">
        <v>3000000</v>
      </c>
      <c r="T3" s="71">
        <v>46137</v>
      </c>
      <c r="U3" s="3">
        <v>1000000</v>
      </c>
      <c r="V3" s="71">
        <v>46162</v>
      </c>
      <c r="W3" s="3">
        <v>3000000</v>
      </c>
      <c r="X3" s="3"/>
      <c r="Y3" s="3"/>
      <c r="Z3" s="3"/>
      <c r="AA3" s="3"/>
      <c r="AB3" s="3"/>
      <c r="AC3" s="3"/>
      <c r="AD3" s="3"/>
      <c r="AE3" s="3"/>
      <c r="AF3" s="189" t="e">
        <f>#REF!+K3+M3+O3+Q3+S3+U3+W3+Y3+AA3+AC3+AE3</f>
        <v>#REF!</v>
      </c>
      <c r="AG3" s="189" t="e">
        <f>#REF!+AF3</f>
        <v>#REF!</v>
      </c>
      <c r="AH3" s="189"/>
      <c r="AI3" s="190"/>
      <c r="AJ3" s="189"/>
      <c r="AK3" s="189"/>
      <c r="AL3" s="189"/>
      <c r="AM3" s="189"/>
      <c r="AN3" s="189">
        <f t="shared" ref="AN3" si="0">AL3+Q3</f>
        <v>0</v>
      </c>
      <c r="AO3" s="189" t="e">
        <f t="shared" ref="AO3" si="1">AN3/$AN$91*$AU$113</f>
        <v>#DIV/0!</v>
      </c>
      <c r="AP3" s="189">
        <f t="shared" ref="AP3" si="2">AN3+S3</f>
        <v>3000000</v>
      </c>
      <c r="AQ3" s="189" t="e">
        <f t="shared" ref="AQ3" si="3">AP3/$AP$91*$AU$114</f>
        <v>#DIV/0!</v>
      </c>
      <c r="AR3" s="189">
        <f t="shared" ref="AR3" si="4">AP3+U3</f>
        <v>4000000</v>
      </c>
      <c r="AS3" s="388" t="e">
        <f t="shared" ref="AS3" si="5">AR3/$AR$91*750000</f>
        <v>#DIV/0!</v>
      </c>
      <c r="AT3" s="189" t="e">
        <f t="shared" ref="AT3" si="6">AR3/$AR$91*$AU$123</f>
        <v>#DIV/0!</v>
      </c>
      <c r="AU3" s="186" t="e">
        <f t="shared" ref="AU3" si="7">AG3+AH3+AJ3+AK3+AM3+AO3+AQ3+AS3+AT3</f>
        <v>#REF!</v>
      </c>
      <c r="AV3" s="1" t="e">
        <f t="shared" ref="AV3" si="8">AU3=AG3+AH3+AJ3+AK3+AM3+AO3+AQ3+AS3+AT3</f>
        <v>#REF!</v>
      </c>
      <c r="AW3" s="247" t="str">
        <f>B3</f>
        <v xml:space="preserve">Kusirye Boniface Ukio </v>
      </c>
      <c r="AX3" s="249" t="e">
        <f t="shared" ref="AX3" si="9">AU3</f>
        <v>#REF!</v>
      </c>
      <c r="AY3" s="248" t="e">
        <f t="shared" ref="AY3" si="10">AU3-AG3</f>
        <v>#REF!</v>
      </c>
    </row>
    <row r="4" spans="1:51" x14ac:dyDescent="0.35">
      <c r="H4" s="21" t="s">
        <v>643</v>
      </c>
      <c r="I4" s="21" t="s">
        <v>445</v>
      </c>
      <c r="J4" s="14" t="s">
        <v>568</v>
      </c>
    </row>
    <row r="5" spans="1:51" x14ac:dyDescent="0.35">
      <c r="A5" s="74" t="s">
        <v>487</v>
      </c>
      <c r="B5" s="74" t="s">
        <v>2</v>
      </c>
      <c r="C5" s="191" t="s">
        <v>124</v>
      </c>
      <c r="D5" s="191" t="s">
        <v>488</v>
      </c>
      <c r="E5" s="74" t="s">
        <v>489</v>
      </c>
      <c r="F5" s="74" t="s">
        <v>490</v>
      </c>
      <c r="H5" s="2"/>
      <c r="I5" s="2"/>
      <c r="J5" s="10"/>
    </row>
    <row r="6" spans="1:51" x14ac:dyDescent="0.35">
      <c r="A6" s="2">
        <v>1</v>
      </c>
      <c r="B6" s="71">
        <v>46112</v>
      </c>
      <c r="C6" s="7">
        <v>3000000</v>
      </c>
      <c r="D6" s="3">
        <f>C6</f>
        <v>3000000</v>
      </c>
      <c r="E6" s="2" t="s">
        <v>30</v>
      </c>
      <c r="F6" s="2">
        <v>2</v>
      </c>
      <c r="H6" s="2"/>
      <c r="I6" s="225" t="s">
        <v>219</v>
      </c>
      <c r="J6" s="10">
        <v>29144.458857960133</v>
      </c>
    </row>
    <row r="7" spans="1:51" x14ac:dyDescent="0.35">
      <c r="A7" s="2">
        <v>2</v>
      </c>
      <c r="B7" s="71">
        <v>46137</v>
      </c>
      <c r="C7" s="3">
        <v>1000000</v>
      </c>
      <c r="D7" s="3">
        <f>D6+C7</f>
        <v>4000000</v>
      </c>
      <c r="E7" s="2" t="s">
        <v>30</v>
      </c>
      <c r="F7" s="2">
        <v>2</v>
      </c>
      <c r="H7" s="2"/>
      <c r="I7" s="408" t="s">
        <v>537</v>
      </c>
      <c r="J7" s="10">
        <v>6181.005950435886</v>
      </c>
    </row>
    <row r="8" spans="1:51" x14ac:dyDescent="0.35">
      <c r="A8" s="2">
        <v>3</v>
      </c>
      <c r="B8" s="71">
        <v>46162</v>
      </c>
      <c r="C8" s="3">
        <v>3000000</v>
      </c>
      <c r="D8" s="3">
        <f t="shared" ref="D8:D9" si="11">D7+C8</f>
        <v>7000000</v>
      </c>
      <c r="E8" s="2" t="s">
        <v>30</v>
      </c>
      <c r="F8" s="2">
        <v>2</v>
      </c>
      <c r="H8" s="2"/>
      <c r="I8" s="408" t="s">
        <v>543</v>
      </c>
      <c r="J8" s="10">
        <v>15901.428399364166</v>
      </c>
    </row>
    <row r="9" spans="1:51" ht="29" x14ac:dyDescent="0.35">
      <c r="A9" s="2">
        <v>4</v>
      </c>
      <c r="B9" s="71">
        <v>46173</v>
      </c>
      <c r="C9" s="3">
        <v>500000</v>
      </c>
      <c r="D9" s="3">
        <f t="shared" si="11"/>
        <v>7500000</v>
      </c>
      <c r="E9" s="2" t="s">
        <v>30</v>
      </c>
      <c r="F9" s="2">
        <v>2</v>
      </c>
      <c r="H9" s="2"/>
      <c r="I9" s="225" t="s">
        <v>681</v>
      </c>
      <c r="J9" s="10">
        <f>'DETAILS (sorted)'!DC71</f>
        <v>39449.652514404763</v>
      </c>
    </row>
    <row r="10" spans="1:51" x14ac:dyDescent="0.35">
      <c r="A10" s="2">
        <v>5</v>
      </c>
      <c r="B10" s="71">
        <v>46190</v>
      </c>
      <c r="C10" s="3">
        <v>5000000</v>
      </c>
      <c r="D10" s="3">
        <f t="shared" ref="D10" si="12">D9+C10</f>
        <v>12500000</v>
      </c>
      <c r="E10" s="2" t="s">
        <v>30</v>
      </c>
      <c r="F10" s="2">
        <v>2</v>
      </c>
      <c r="H10" s="2"/>
      <c r="I10" s="225" t="s">
        <v>696</v>
      </c>
      <c r="J10" s="10">
        <f>'DETAILS (sorted)'!DD71</f>
        <v>26711.161658887213</v>
      </c>
    </row>
    <row r="11" spans="1:51" x14ac:dyDescent="0.35">
      <c r="A11" s="2">
        <v>6</v>
      </c>
      <c r="B11" s="71">
        <v>46204</v>
      </c>
      <c r="C11" s="3">
        <v>2500000</v>
      </c>
      <c r="D11" s="3">
        <f t="shared" ref="D11" si="13">D10+C11</f>
        <v>15000000</v>
      </c>
      <c r="E11" s="2" t="s">
        <v>30</v>
      </c>
      <c r="F11" s="2">
        <v>2</v>
      </c>
      <c r="H11" s="2"/>
      <c r="I11" s="408" t="s">
        <v>887</v>
      </c>
      <c r="J11" s="10">
        <f>'DETAILS (sorted)'!DF71</f>
        <v>33515.356920228973</v>
      </c>
    </row>
    <row r="12" spans="1:51" x14ac:dyDescent="0.35">
      <c r="A12" s="2">
        <v>7</v>
      </c>
      <c r="B12" s="71"/>
      <c r="C12" s="3"/>
      <c r="D12" s="3"/>
      <c r="E12" s="2"/>
      <c r="F12" s="2"/>
      <c r="H12" s="2"/>
      <c r="I12" s="408" t="s">
        <v>889</v>
      </c>
      <c r="J12" s="10">
        <f>'DETAILS (sorted)'!DG71</f>
        <v>111907.51959972907</v>
      </c>
    </row>
    <row r="13" spans="1:51" x14ac:dyDescent="0.35">
      <c r="A13" s="2">
        <v>8</v>
      </c>
      <c r="B13" s="294"/>
      <c r="C13" s="3"/>
      <c r="D13" s="3"/>
      <c r="E13" s="2"/>
      <c r="F13" s="2"/>
      <c r="H13" s="2"/>
      <c r="I13" s="408" t="s">
        <v>891</v>
      </c>
      <c r="J13" s="10">
        <f>'DETAILS (sorted)'!DL71</f>
        <v>43652.425473823059</v>
      </c>
    </row>
    <row r="14" spans="1:51" x14ac:dyDescent="0.35">
      <c r="A14" s="2">
        <v>9</v>
      </c>
      <c r="B14" s="294"/>
      <c r="C14" s="3"/>
      <c r="D14" s="3"/>
      <c r="E14" s="2"/>
      <c r="F14" s="2"/>
      <c r="H14" s="2"/>
      <c r="I14" s="408" t="s">
        <v>894</v>
      </c>
      <c r="J14" s="10">
        <f>'DETAILS (sorted)'!DM71</f>
        <v>0</v>
      </c>
    </row>
    <row r="15" spans="1:51" x14ac:dyDescent="0.35">
      <c r="A15" s="2">
        <v>10</v>
      </c>
      <c r="B15" s="295"/>
      <c r="C15" s="205"/>
      <c r="D15" s="3"/>
      <c r="E15" s="2"/>
      <c r="F15" s="2"/>
      <c r="H15" s="2"/>
      <c r="I15" s="408" t="s">
        <v>893</v>
      </c>
      <c r="J15" s="10">
        <f>'DETAILS (sorted)'!DN71</f>
        <v>0</v>
      </c>
    </row>
    <row r="16" spans="1:51" x14ac:dyDescent="0.35">
      <c r="A16" s="2">
        <v>11</v>
      </c>
      <c r="B16" s="294"/>
      <c r="C16" s="3"/>
      <c r="D16" s="3"/>
      <c r="E16" s="2"/>
      <c r="F16" s="2"/>
      <c r="H16" s="2"/>
      <c r="I16" s="408" t="s">
        <v>895</v>
      </c>
      <c r="J16" s="10">
        <f>'DETAILS (sorted)'!DO71</f>
        <v>0</v>
      </c>
    </row>
    <row r="17" spans="1:10" x14ac:dyDescent="0.35">
      <c r="A17" s="2"/>
      <c r="B17" s="2"/>
      <c r="C17" s="3"/>
      <c r="D17" s="3"/>
      <c r="E17" s="2"/>
      <c r="F17" s="2"/>
      <c r="H17" s="2"/>
      <c r="I17" s="408" t="s">
        <v>897</v>
      </c>
      <c r="J17" s="10">
        <f>'DETAILS (sorted)'!DQ71</f>
        <v>0</v>
      </c>
    </row>
    <row r="18" spans="1:10" x14ac:dyDescent="0.35">
      <c r="A18" s="2"/>
      <c r="B18" s="2"/>
      <c r="C18" s="3"/>
      <c r="D18" s="3"/>
      <c r="E18" s="2"/>
      <c r="F18" s="2"/>
      <c r="H18" s="2"/>
      <c r="I18" s="408" t="s">
        <v>898</v>
      </c>
      <c r="J18" s="10">
        <f>'DETAILS (sorted)'!DR71</f>
        <v>0</v>
      </c>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191">
        <f>SUM(C6:C24)</f>
        <v>15000000</v>
      </c>
      <c r="D25" s="191">
        <f>C25+J25</f>
        <v>15306463.009374833</v>
      </c>
      <c r="E25" s="191">
        <f>'DETAILS (sorted)'!DS71</f>
        <v>15463177.878671918</v>
      </c>
      <c r="F25" s="74">
        <f>D25-E25</f>
        <v>-156714.86929708533</v>
      </c>
      <c r="G25" s="5" t="b">
        <f>D25=E25</f>
        <v>0</v>
      </c>
      <c r="H25" s="74"/>
      <c r="I25" s="74"/>
      <c r="J25" s="63">
        <f>SUM(J5:J24)</f>
        <v>306463.00937483326</v>
      </c>
    </row>
    <row r="27" spans="1:10" x14ac:dyDescent="0.35">
      <c r="C27" s="191" t="s">
        <v>644</v>
      </c>
      <c r="D27" s="191">
        <f>C25+J25</f>
        <v>15306463.009374833</v>
      </c>
      <c r="E27" s="122">
        <f>D27/D28</f>
        <v>0.30612926018749664</v>
      </c>
      <c r="F27" s="2" t="s">
        <v>652</v>
      </c>
    </row>
    <row r="28" spans="1:10" x14ac:dyDescent="0.35">
      <c r="C28" s="3"/>
      <c r="D28" s="3">
        <v>50000000</v>
      </c>
      <c r="E28" s="122">
        <f>D28/D28</f>
        <v>1</v>
      </c>
      <c r="F28" s="2" t="s">
        <v>654</v>
      </c>
    </row>
    <row r="29" spans="1:10" x14ac:dyDescent="0.35">
      <c r="C29" s="3"/>
      <c r="D29" s="3">
        <f>D27-D28</f>
        <v>-34693536.990625165</v>
      </c>
      <c r="E29" s="122">
        <f>D29/D28</f>
        <v>-0.69387073981250336</v>
      </c>
      <c r="F29" s="2" t="s">
        <v>653</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9F63-D9EE-41E1-A19A-BBE4F1DD388D}">
  <dimension ref="A2:J29"/>
  <sheetViews>
    <sheetView topLeftCell="A6"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8.1796875" bestFit="1" customWidth="1"/>
    <col min="9" max="9" width="28.453125" customWidth="1"/>
    <col min="10" max="10" width="11.1796875" style="6" bestFit="1" customWidth="1"/>
  </cols>
  <sheetData>
    <row r="2" spans="1:10" s="5" customFormat="1" x14ac:dyDescent="0.35">
      <c r="A2" s="74" t="s">
        <v>190</v>
      </c>
      <c r="B2" s="191" t="s">
        <v>0</v>
      </c>
      <c r="C2" s="191"/>
      <c r="D2" s="74" t="s">
        <v>1</v>
      </c>
      <c r="E2" s="75" t="s">
        <v>2</v>
      </c>
      <c r="F2" s="74"/>
      <c r="G2" s="74"/>
      <c r="H2" s="74"/>
      <c r="I2" s="74"/>
      <c r="J2" s="63"/>
    </row>
    <row r="3" spans="1:10" s="1" customFormat="1" ht="28" x14ac:dyDescent="0.35">
      <c r="A3" s="210" t="s">
        <v>317</v>
      </c>
      <c r="B3" s="7" t="s">
        <v>318</v>
      </c>
      <c r="C3" s="7"/>
      <c r="D3" s="71"/>
      <c r="E3" s="11"/>
      <c r="F3" s="11"/>
      <c r="G3" s="11"/>
      <c r="H3" s="11"/>
      <c r="I3" s="11"/>
      <c r="J3" s="11"/>
    </row>
    <row r="4" spans="1:10" x14ac:dyDescent="0.35">
      <c r="H4" s="21"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46112</v>
      </c>
      <c r="C6" s="7">
        <v>3000000</v>
      </c>
      <c r="D6" s="3">
        <f>C6</f>
        <v>3000000</v>
      </c>
      <c r="E6" s="2" t="s">
        <v>30</v>
      </c>
      <c r="F6" s="2">
        <v>2</v>
      </c>
      <c r="H6" s="2"/>
      <c r="I6" s="225" t="s">
        <v>219</v>
      </c>
      <c r="J6" s="10">
        <v>29144.458857960133</v>
      </c>
    </row>
    <row r="7" spans="1:10" x14ac:dyDescent="0.35">
      <c r="A7" s="2">
        <v>2</v>
      </c>
      <c r="B7" s="71">
        <v>46113</v>
      </c>
      <c r="C7" s="3">
        <v>100000</v>
      </c>
      <c r="D7" s="3">
        <f>D6+C7</f>
        <v>3100000</v>
      </c>
      <c r="E7" s="2" t="s">
        <v>30</v>
      </c>
      <c r="F7" s="2">
        <v>2</v>
      </c>
      <c r="H7" s="2"/>
      <c r="I7" s="408" t="s">
        <v>537</v>
      </c>
      <c r="J7" s="410">
        <v>6644.5813967185768</v>
      </c>
    </row>
    <row r="8" spans="1:10" x14ac:dyDescent="0.35">
      <c r="A8" s="2">
        <v>3</v>
      </c>
      <c r="B8" s="71">
        <v>46113</v>
      </c>
      <c r="C8" s="7">
        <v>100000</v>
      </c>
      <c r="D8" s="3">
        <f t="shared" ref="D8:D12" si="0">D7+C8</f>
        <v>3200000</v>
      </c>
      <c r="E8" s="2" t="s">
        <v>30</v>
      </c>
      <c r="F8" s="2">
        <v>2</v>
      </c>
      <c r="H8" s="2"/>
      <c r="I8" s="408" t="s">
        <v>543</v>
      </c>
      <c r="J8" s="10">
        <v>17094.035529316476</v>
      </c>
    </row>
    <row r="9" spans="1:10" x14ac:dyDescent="0.35">
      <c r="A9" s="2">
        <v>4</v>
      </c>
      <c r="B9" s="71">
        <v>46140</v>
      </c>
      <c r="C9" s="3">
        <v>1100000</v>
      </c>
      <c r="D9" s="3">
        <f t="shared" si="0"/>
        <v>4300000</v>
      </c>
      <c r="E9" s="2" t="s">
        <v>30</v>
      </c>
      <c r="F9" s="2">
        <v>2</v>
      </c>
      <c r="H9" s="2"/>
      <c r="I9" s="225" t="s">
        <v>681</v>
      </c>
      <c r="J9" s="10">
        <f>'DETAILS (sorted)'!DC72</f>
        <v>29305.456153557829</v>
      </c>
    </row>
    <row r="10" spans="1:10" x14ac:dyDescent="0.35">
      <c r="A10" s="2">
        <v>5</v>
      </c>
      <c r="B10" s="71">
        <v>46146</v>
      </c>
      <c r="C10" s="3">
        <v>300000</v>
      </c>
      <c r="D10" s="3">
        <f t="shared" si="0"/>
        <v>4600000</v>
      </c>
      <c r="E10" s="2" t="s">
        <v>30</v>
      </c>
      <c r="F10" s="2">
        <v>2</v>
      </c>
      <c r="H10" s="2"/>
      <c r="I10" s="225" t="s">
        <v>696</v>
      </c>
      <c r="J10" s="10">
        <f>'DETAILS (sorted)'!DD72</f>
        <v>19842.577232316216</v>
      </c>
    </row>
    <row r="11" spans="1:10" x14ac:dyDescent="0.35">
      <c r="A11" s="2">
        <v>6</v>
      </c>
      <c r="B11" s="71">
        <v>46150</v>
      </c>
      <c r="C11" s="3">
        <v>600000</v>
      </c>
      <c r="D11" s="3">
        <f t="shared" si="0"/>
        <v>5200000</v>
      </c>
      <c r="E11" s="2" t="s">
        <v>30</v>
      </c>
      <c r="F11" s="2">
        <v>2</v>
      </c>
      <c r="H11" s="2"/>
      <c r="I11" s="408" t="s">
        <v>887</v>
      </c>
      <c r="J11" s="10">
        <f>'DETAILS (sorted)'!DF72</f>
        <v>15819.248466348074</v>
      </c>
    </row>
    <row r="12" spans="1:10" x14ac:dyDescent="0.35">
      <c r="A12" s="2">
        <v>7</v>
      </c>
      <c r="B12" s="71">
        <v>46175</v>
      </c>
      <c r="C12" s="3">
        <v>600000</v>
      </c>
      <c r="D12" s="3">
        <f t="shared" si="0"/>
        <v>5800000</v>
      </c>
      <c r="E12" s="2" t="s">
        <v>30</v>
      </c>
      <c r="F12" s="2">
        <v>2</v>
      </c>
      <c r="H12" s="2"/>
      <c r="I12" s="408" t="s">
        <v>889</v>
      </c>
      <c r="J12" s="10">
        <f>'DETAILS (sorted)'!DG72</f>
        <v>52820.349251072119</v>
      </c>
    </row>
    <row r="13" spans="1:10" x14ac:dyDescent="0.35">
      <c r="A13" s="2">
        <v>8</v>
      </c>
      <c r="B13" s="71">
        <v>46203</v>
      </c>
      <c r="C13" s="3">
        <v>100000</v>
      </c>
      <c r="D13" s="3">
        <f t="shared" ref="D13" si="1">D12+C13</f>
        <v>5900000</v>
      </c>
      <c r="E13" s="2" t="s">
        <v>30</v>
      </c>
      <c r="F13" s="2">
        <v>2</v>
      </c>
      <c r="H13" s="2"/>
      <c r="I13" s="408" t="s">
        <v>891</v>
      </c>
      <c r="J13" s="10">
        <f>'DETAILS (sorted)'!DL72</f>
        <v>17362.431326248374</v>
      </c>
    </row>
    <row r="14" spans="1:10" x14ac:dyDescent="0.35">
      <c r="A14" s="2">
        <v>9</v>
      </c>
      <c r="B14" s="294"/>
      <c r="C14" s="3"/>
      <c r="D14" s="3"/>
      <c r="E14" s="2"/>
      <c r="F14" s="2"/>
      <c r="H14" s="2"/>
      <c r="I14" s="408" t="s">
        <v>894</v>
      </c>
      <c r="J14" s="10">
        <f>'DETAILS (sorted)'!DM72</f>
        <v>0</v>
      </c>
    </row>
    <row r="15" spans="1:10" x14ac:dyDescent="0.35">
      <c r="A15" s="2">
        <v>10</v>
      </c>
      <c r="B15" s="295"/>
      <c r="C15" s="205"/>
      <c r="D15" s="3"/>
      <c r="E15" s="2"/>
      <c r="F15" s="2"/>
      <c r="H15" s="2"/>
      <c r="I15" s="408" t="s">
        <v>893</v>
      </c>
      <c r="J15" s="10">
        <f>'DETAILS (sorted)'!DN72</f>
        <v>0</v>
      </c>
    </row>
    <row r="16" spans="1:10" x14ac:dyDescent="0.35">
      <c r="A16" s="2">
        <v>11</v>
      </c>
      <c r="B16" s="294"/>
      <c r="C16" s="3"/>
      <c r="D16" s="3"/>
      <c r="E16" s="2"/>
      <c r="F16" s="2"/>
      <c r="H16" s="2"/>
      <c r="I16" s="408" t="s">
        <v>895</v>
      </c>
      <c r="J16" s="10">
        <f>'DETAILS (sorted)'!DO72</f>
        <v>0</v>
      </c>
    </row>
    <row r="17" spans="1:10" x14ac:dyDescent="0.35">
      <c r="A17" s="2"/>
      <c r="B17" s="2"/>
      <c r="C17" s="3"/>
      <c r="D17" s="3"/>
      <c r="E17" s="2"/>
      <c r="F17" s="2"/>
      <c r="H17" s="2"/>
      <c r="I17" s="408" t="s">
        <v>897</v>
      </c>
      <c r="J17" s="10">
        <f>'DETAILS (sorted)'!DQ72</f>
        <v>0</v>
      </c>
    </row>
    <row r="18" spans="1:10" x14ac:dyDescent="0.35">
      <c r="A18" s="2"/>
      <c r="B18" s="2"/>
      <c r="C18" s="3"/>
      <c r="D18" s="3"/>
      <c r="E18" s="2"/>
      <c r="F18" s="2"/>
      <c r="H18" s="2"/>
      <c r="I18" s="408" t="s">
        <v>898</v>
      </c>
      <c r="J18" s="10">
        <f>'DETAILS (sorted)'!DR72</f>
        <v>0</v>
      </c>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5900000</v>
      </c>
      <c r="D25" s="3">
        <f>C25+J25</f>
        <v>6088033.1382135376</v>
      </c>
      <c r="E25" s="3">
        <f>'DETAILS (sorted)'!DS72</f>
        <v>6150365.3254044717</v>
      </c>
      <c r="F25" s="2">
        <f>D25-E25</f>
        <v>-62332.187190934084</v>
      </c>
      <c r="G25" t="b">
        <f>D25=E25</f>
        <v>0</v>
      </c>
      <c r="H25" s="2"/>
      <c r="I25" s="2"/>
      <c r="J25" s="10">
        <f>SUM(J6:J24)</f>
        <v>188033.13821353778</v>
      </c>
    </row>
    <row r="27" spans="1:10" x14ac:dyDescent="0.35">
      <c r="C27" s="191" t="s">
        <v>644</v>
      </c>
      <c r="D27" s="191">
        <f>D25+J25</f>
        <v>6276066.2764270753</v>
      </c>
      <c r="E27" s="122">
        <v>0.32528830757839949</v>
      </c>
      <c r="F27" s="2" t="s">
        <v>652</v>
      </c>
    </row>
    <row r="28" spans="1:10" x14ac:dyDescent="0.35">
      <c r="C28" s="3" t="s">
        <v>650</v>
      </c>
      <c r="D28" s="3"/>
      <c r="E28" s="122">
        <v>1</v>
      </c>
      <c r="F28" s="2" t="s">
        <v>654</v>
      </c>
    </row>
    <row r="29" spans="1:10" x14ac:dyDescent="0.35">
      <c r="C29" s="3"/>
      <c r="D29" s="3"/>
      <c r="E29" s="122">
        <v>-0.67471169242160045</v>
      </c>
      <c r="F29" s="2" t="s">
        <v>653</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C2AE1-C6F6-4D17-B814-654AB51CCADA}">
  <dimension ref="A2:J29"/>
  <sheetViews>
    <sheetView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12.6328125" bestFit="1" customWidth="1"/>
    <col min="9" max="9" width="28.36328125" customWidth="1"/>
    <col min="10" max="10" width="10.1796875" style="6" bestFit="1" customWidth="1"/>
  </cols>
  <sheetData>
    <row r="2" spans="1:10" s="5" customFormat="1" x14ac:dyDescent="0.35">
      <c r="A2" s="74" t="s">
        <v>190</v>
      </c>
      <c r="B2" s="191" t="s">
        <v>0</v>
      </c>
      <c r="C2" s="191"/>
      <c r="D2" s="74" t="s">
        <v>1</v>
      </c>
      <c r="E2" s="75" t="s">
        <v>2</v>
      </c>
      <c r="F2" s="74"/>
      <c r="J2" s="409"/>
    </row>
    <row r="3" spans="1:10" s="1" customFormat="1" ht="28" x14ac:dyDescent="0.35">
      <c r="A3" s="210" t="s">
        <v>319</v>
      </c>
      <c r="B3" s="7" t="s">
        <v>320</v>
      </c>
      <c r="C3" s="7"/>
      <c r="D3" s="71"/>
      <c r="E3" s="239"/>
      <c r="F3" s="11"/>
      <c r="G3" s="11"/>
      <c r="H3" s="11"/>
      <c r="I3" s="11"/>
      <c r="J3" s="11"/>
    </row>
    <row r="5" spans="1:10" x14ac:dyDescent="0.35">
      <c r="A5" s="74" t="s">
        <v>487</v>
      </c>
      <c r="B5" s="74" t="s">
        <v>2</v>
      </c>
      <c r="C5" s="191" t="s">
        <v>124</v>
      </c>
      <c r="D5" s="191" t="s">
        <v>488</v>
      </c>
      <c r="E5" s="74" t="s">
        <v>489</v>
      </c>
      <c r="F5" s="74" t="s">
        <v>490</v>
      </c>
      <c r="H5" s="2" t="s">
        <v>643</v>
      </c>
      <c r="I5" s="2" t="s">
        <v>445</v>
      </c>
      <c r="J5" s="10" t="s">
        <v>568</v>
      </c>
    </row>
    <row r="6" spans="1:10" x14ac:dyDescent="0.35">
      <c r="A6" s="2">
        <v>1</v>
      </c>
      <c r="B6" s="71">
        <v>46112</v>
      </c>
      <c r="C6" s="3">
        <v>3200000</v>
      </c>
      <c r="D6" s="3">
        <f>C6</f>
        <v>3200000</v>
      </c>
      <c r="E6" s="2" t="s">
        <v>30</v>
      </c>
      <c r="F6" s="2">
        <v>2</v>
      </c>
      <c r="H6" s="2"/>
      <c r="I6" s="225" t="s">
        <v>219</v>
      </c>
      <c r="J6" s="189">
        <v>31087.422781824145</v>
      </c>
    </row>
    <row r="7" spans="1:10" x14ac:dyDescent="0.35">
      <c r="A7" s="2">
        <v>2</v>
      </c>
      <c r="B7" s="71">
        <v>46182</v>
      </c>
      <c r="C7" s="3">
        <v>500000</v>
      </c>
      <c r="D7" s="3">
        <f>D6+C7</f>
        <v>3700000</v>
      </c>
      <c r="E7" s="2" t="s">
        <v>30</v>
      </c>
      <c r="F7" s="2">
        <v>2</v>
      </c>
      <c r="H7" s="2"/>
      <c r="I7" s="408" t="s">
        <v>537</v>
      </c>
      <c r="J7" s="388">
        <v>4944.8047603487084</v>
      </c>
    </row>
    <row r="8" spans="1:10" x14ac:dyDescent="0.35">
      <c r="A8" s="2">
        <v>3</v>
      </c>
      <c r="B8" s="71"/>
      <c r="C8" s="7"/>
      <c r="D8" s="3"/>
      <c r="E8" s="2"/>
      <c r="F8" s="2"/>
      <c r="H8" s="2"/>
      <c r="I8" s="408" t="s">
        <v>543</v>
      </c>
      <c r="J8" s="189">
        <v>12721.142719491332</v>
      </c>
    </row>
    <row r="9" spans="1:10" x14ac:dyDescent="0.35">
      <c r="A9" s="2">
        <v>4</v>
      </c>
      <c r="B9" s="71"/>
      <c r="C9" s="3"/>
      <c r="D9" s="3"/>
      <c r="E9" s="2"/>
      <c r="F9" s="2"/>
      <c r="H9" s="2"/>
      <c r="I9" s="225" t="s">
        <v>681</v>
      </c>
      <c r="J9" s="189">
        <v>18034.126863727892</v>
      </c>
    </row>
    <row r="10" spans="1:10" x14ac:dyDescent="0.35">
      <c r="A10" s="2">
        <v>5</v>
      </c>
      <c r="B10" s="71"/>
      <c r="C10" s="3"/>
      <c r="D10" s="3"/>
      <c r="E10" s="2"/>
      <c r="F10" s="2"/>
      <c r="H10" s="2"/>
      <c r="I10" s="225" t="s">
        <v>696</v>
      </c>
      <c r="J10" s="189">
        <v>12210.816758348439</v>
      </c>
    </row>
    <row r="11" spans="1:10" x14ac:dyDescent="0.35">
      <c r="A11" s="2">
        <v>6</v>
      </c>
      <c r="B11" s="71"/>
      <c r="C11" s="3"/>
      <c r="D11" s="3"/>
      <c r="E11" s="2"/>
      <c r="F11" s="2"/>
      <c r="H11" s="2"/>
      <c r="I11" s="408" t="s">
        <v>887</v>
      </c>
      <c r="J11" s="10">
        <f>'DETAILS (sorted)'!DF73</f>
        <v>9920.545648387777</v>
      </c>
    </row>
    <row r="12" spans="1:10" x14ac:dyDescent="0.35">
      <c r="A12" s="2">
        <v>7</v>
      </c>
      <c r="B12" s="71"/>
      <c r="C12" s="3"/>
      <c r="D12" s="3"/>
      <c r="E12" s="2"/>
      <c r="F12" s="2"/>
      <c r="H12" s="2"/>
      <c r="I12" s="408" t="s">
        <v>889</v>
      </c>
      <c r="J12" s="10">
        <f>'DETAILS (sorted)'!DG73</f>
        <v>33124.625801519804</v>
      </c>
    </row>
    <row r="13" spans="1:10" x14ac:dyDescent="0.35">
      <c r="A13" s="2">
        <v>8</v>
      </c>
      <c r="B13" s="294"/>
      <c r="C13" s="3"/>
      <c r="D13" s="3"/>
      <c r="E13" s="2"/>
      <c r="F13" s="2"/>
      <c r="H13" s="2"/>
      <c r="I13" s="408" t="s">
        <v>891</v>
      </c>
      <c r="J13" s="10">
        <f>'DETAILS (sorted)'!DL73</f>
        <v>12361.267284359375</v>
      </c>
    </row>
    <row r="14" spans="1:10" x14ac:dyDescent="0.35">
      <c r="A14" s="2">
        <v>9</v>
      </c>
      <c r="B14" s="294"/>
      <c r="C14" s="3"/>
      <c r="D14" s="3"/>
      <c r="E14" s="2"/>
      <c r="F14" s="2"/>
      <c r="H14" s="2"/>
      <c r="I14" s="408" t="s">
        <v>894</v>
      </c>
      <c r="J14" s="10">
        <f>'DETAILS (sorted)'!DM73</f>
        <v>0</v>
      </c>
    </row>
    <row r="15" spans="1:10" x14ac:dyDescent="0.35">
      <c r="A15" s="2">
        <v>10</v>
      </c>
      <c r="B15" s="295"/>
      <c r="C15" s="205"/>
      <c r="D15" s="3"/>
      <c r="E15" s="2"/>
      <c r="F15" s="2"/>
      <c r="H15" s="2"/>
      <c r="I15" s="408" t="s">
        <v>893</v>
      </c>
      <c r="J15" s="10">
        <f>'DETAILS (sorted)'!DN73</f>
        <v>0</v>
      </c>
    </row>
    <row r="16" spans="1:10" x14ac:dyDescent="0.35">
      <c r="A16" s="2">
        <v>11</v>
      </c>
      <c r="B16" s="294"/>
      <c r="C16" s="3"/>
      <c r="D16" s="3"/>
      <c r="E16" s="2"/>
      <c r="F16" s="2"/>
      <c r="H16" s="2"/>
      <c r="I16" s="408" t="s">
        <v>895</v>
      </c>
      <c r="J16" s="10">
        <f>'DETAILS (sorted)'!DO73</f>
        <v>0</v>
      </c>
    </row>
    <row r="17" spans="1:10" x14ac:dyDescent="0.35">
      <c r="A17" s="2"/>
      <c r="B17" s="2"/>
      <c r="C17" s="3"/>
      <c r="D17" s="3"/>
      <c r="E17" s="2"/>
      <c r="F17" s="2"/>
      <c r="H17" s="2"/>
      <c r="I17" s="408" t="s">
        <v>897</v>
      </c>
      <c r="J17" s="10">
        <f>'DETAILS (sorted)'!DQ73</f>
        <v>0</v>
      </c>
    </row>
    <row r="18" spans="1:10" x14ac:dyDescent="0.35">
      <c r="A18" s="2"/>
      <c r="B18" s="2"/>
      <c r="C18" s="3"/>
      <c r="D18" s="3"/>
      <c r="E18" s="2"/>
      <c r="F18" s="2"/>
      <c r="H18" s="2"/>
      <c r="I18" s="408" t="s">
        <v>898</v>
      </c>
      <c r="J18" s="10">
        <f>'DETAILS (sorted)'!DR73</f>
        <v>0</v>
      </c>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3700000</v>
      </c>
      <c r="D25" s="3">
        <f>C25+J25</f>
        <v>3834404.7526180074</v>
      </c>
      <c r="E25" s="3">
        <f>'DETAILS (sorted)'!DS73</f>
        <v>4378782.4559366107</v>
      </c>
      <c r="F25" s="448">
        <f>D25-E25</f>
        <v>-544377.70331860334</v>
      </c>
      <c r="G25" t="b">
        <f>D25=E25</f>
        <v>0</v>
      </c>
      <c r="H25" s="2"/>
      <c r="I25" s="2"/>
      <c r="J25" s="3">
        <f>SUM(J6:J24)</f>
        <v>134404.75261800748</v>
      </c>
    </row>
    <row r="27" spans="1:10" x14ac:dyDescent="0.35">
      <c r="C27" s="191" t="s">
        <v>644</v>
      </c>
      <c r="D27" s="191">
        <f>D25+J25</f>
        <v>3968809.5052360147</v>
      </c>
      <c r="E27" s="122">
        <f>D27/D28</f>
        <v>0.39688095052360145</v>
      </c>
      <c r="F27" s="2" t="s">
        <v>652</v>
      </c>
    </row>
    <row r="28" spans="1:10" x14ac:dyDescent="0.35">
      <c r="C28" s="3"/>
      <c r="D28" s="3">
        <v>10000000</v>
      </c>
      <c r="E28" s="122">
        <f>D28/D28</f>
        <v>1</v>
      </c>
      <c r="F28" s="2" t="s">
        <v>654</v>
      </c>
    </row>
    <row r="29" spans="1:10" x14ac:dyDescent="0.35">
      <c r="C29" s="3"/>
      <c r="D29" s="3">
        <f>D27-D28</f>
        <v>-6031190.4947639853</v>
      </c>
      <c r="E29" s="122">
        <f>D29/D28</f>
        <v>-0.60311904947639849</v>
      </c>
      <c r="F29" s="2" t="s">
        <v>653</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1F4D2-194F-42ED-90FA-4E00A3A2C972}">
  <dimension ref="A2:J29"/>
  <sheetViews>
    <sheetView topLeftCell="A3"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2.7265625" bestFit="1" customWidth="1"/>
    <col min="6" max="6" width="8.1796875" bestFit="1" customWidth="1"/>
    <col min="9" max="9" width="30.08984375" customWidth="1"/>
    <col min="10" max="10" width="10.1796875" style="6" bestFit="1" customWidth="1"/>
  </cols>
  <sheetData>
    <row r="2" spans="1:10" s="5" customFormat="1" x14ac:dyDescent="0.35">
      <c r="A2" s="74" t="s">
        <v>190</v>
      </c>
      <c r="B2" s="191" t="s">
        <v>0</v>
      </c>
      <c r="C2" s="191"/>
      <c r="D2" s="74" t="s">
        <v>1</v>
      </c>
      <c r="E2" s="75" t="s">
        <v>2</v>
      </c>
      <c r="F2" s="74"/>
      <c r="J2" s="409"/>
    </row>
    <row r="3" spans="1:10" s="1" customFormat="1" ht="28" x14ac:dyDescent="0.35">
      <c r="A3" s="210" t="s">
        <v>321</v>
      </c>
      <c r="B3" s="7" t="s">
        <v>322</v>
      </c>
      <c r="C3" s="7"/>
      <c r="D3" s="71"/>
      <c r="E3" s="239"/>
      <c r="F3" s="11"/>
      <c r="G3" s="11"/>
      <c r="H3" s="11"/>
      <c r="I3" s="11"/>
      <c r="J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46128</v>
      </c>
      <c r="C6" s="3">
        <v>3300000</v>
      </c>
      <c r="D6" s="3">
        <f>C6</f>
        <v>3300000</v>
      </c>
      <c r="E6" s="2" t="s">
        <v>30</v>
      </c>
      <c r="F6" s="2">
        <v>2</v>
      </c>
      <c r="H6" s="2"/>
      <c r="I6" s="408" t="s">
        <v>537</v>
      </c>
      <c r="J6" s="410">
        <v>5099.329909109606</v>
      </c>
    </row>
    <row r="7" spans="1:10" x14ac:dyDescent="0.35">
      <c r="A7" s="2">
        <v>2</v>
      </c>
      <c r="B7" s="71"/>
      <c r="C7" s="3"/>
      <c r="D7" s="3"/>
      <c r="E7" s="2"/>
      <c r="F7" s="2"/>
      <c r="H7" s="2"/>
      <c r="I7" s="408" t="s">
        <v>543</v>
      </c>
      <c r="J7" s="10">
        <v>13118.678429475436</v>
      </c>
    </row>
    <row r="8" spans="1:10" x14ac:dyDescent="0.35">
      <c r="A8" s="2">
        <v>3</v>
      </c>
      <c r="B8" s="71"/>
      <c r="C8" s="7"/>
      <c r="D8" s="3"/>
      <c r="E8" s="2"/>
      <c r="F8" s="2"/>
      <c r="H8" s="2"/>
      <c r="I8" s="225" t="s">
        <v>681</v>
      </c>
      <c r="J8" s="10">
        <f>'DETAILS (sorted)'!DC74</f>
        <v>18597.69332821939</v>
      </c>
    </row>
    <row r="9" spans="1:10" x14ac:dyDescent="0.35">
      <c r="A9" s="2">
        <v>4</v>
      </c>
      <c r="B9" s="71"/>
      <c r="C9" s="3"/>
      <c r="D9" s="3"/>
      <c r="E9" s="2"/>
      <c r="F9" s="2"/>
      <c r="H9" s="2"/>
      <c r="I9" s="225" t="s">
        <v>696</v>
      </c>
      <c r="J9" s="10">
        <f>'DETAILS (sorted)'!DD74</f>
        <v>12592.404782046828</v>
      </c>
    </row>
    <row r="10" spans="1:10" x14ac:dyDescent="0.35">
      <c r="A10" s="2">
        <v>5</v>
      </c>
      <c r="B10" s="71"/>
      <c r="C10" s="3"/>
      <c r="D10" s="3"/>
      <c r="E10" s="2"/>
      <c r="F10" s="2"/>
      <c r="H10" s="2"/>
      <c r="I10" s="408" t="s">
        <v>887</v>
      </c>
      <c r="J10" s="10">
        <f>'DETAILS (sorted)'!DF74</f>
        <v>8848.0542269404486</v>
      </c>
    </row>
    <row r="11" spans="1:10" x14ac:dyDescent="0.35">
      <c r="A11" s="2">
        <v>6</v>
      </c>
      <c r="B11" s="71"/>
      <c r="C11" s="3"/>
      <c r="D11" s="3"/>
      <c r="E11" s="2"/>
      <c r="F11" s="2"/>
      <c r="H11" s="2"/>
      <c r="I11" s="408" t="s">
        <v>889</v>
      </c>
      <c r="J11" s="10">
        <f>'DETAILS (sorted)'!DG74</f>
        <v>29543.585174328473</v>
      </c>
    </row>
    <row r="12" spans="1:10" x14ac:dyDescent="0.35">
      <c r="A12" s="2">
        <v>7</v>
      </c>
      <c r="B12" s="71"/>
      <c r="C12" s="3"/>
      <c r="D12" s="3"/>
      <c r="E12" s="2"/>
      <c r="F12" s="2"/>
      <c r="H12" s="2"/>
      <c r="I12" s="408" t="s">
        <v>891</v>
      </c>
      <c r="J12" s="10">
        <f>'DETAILS (sorted)'!DL74</f>
        <v>9689.282004321456</v>
      </c>
    </row>
    <row r="13" spans="1:10" x14ac:dyDescent="0.35">
      <c r="A13" s="2">
        <v>8</v>
      </c>
      <c r="B13" s="294"/>
      <c r="C13" s="3"/>
      <c r="D13" s="3"/>
      <c r="E13" s="2"/>
      <c r="F13" s="2"/>
      <c r="H13" s="2"/>
      <c r="I13" s="408" t="s">
        <v>894</v>
      </c>
      <c r="J13" s="10">
        <f>'DETAILS (sorted)'!DM74</f>
        <v>0</v>
      </c>
    </row>
    <row r="14" spans="1:10" x14ac:dyDescent="0.35">
      <c r="A14" s="2">
        <v>9</v>
      </c>
      <c r="B14" s="294"/>
      <c r="C14" s="3"/>
      <c r="D14" s="3"/>
      <c r="E14" s="2"/>
      <c r="F14" s="2"/>
      <c r="H14" s="2"/>
      <c r="I14" s="408" t="s">
        <v>893</v>
      </c>
      <c r="J14" s="10">
        <f>'DETAILS (sorted)'!DN74</f>
        <v>0</v>
      </c>
    </row>
    <row r="15" spans="1:10" x14ac:dyDescent="0.35">
      <c r="A15" s="2">
        <v>10</v>
      </c>
      <c r="B15" s="295"/>
      <c r="C15" s="205"/>
      <c r="D15" s="3"/>
      <c r="E15" s="2"/>
      <c r="F15" s="2"/>
      <c r="H15" s="2"/>
      <c r="I15" s="408" t="s">
        <v>895</v>
      </c>
      <c r="J15" s="10">
        <f>'DETAILS (sorted)'!DO74</f>
        <v>0</v>
      </c>
    </row>
    <row r="16" spans="1:10" x14ac:dyDescent="0.35">
      <c r="A16" s="2">
        <v>11</v>
      </c>
      <c r="B16" s="294"/>
      <c r="C16" s="3"/>
      <c r="D16" s="3"/>
      <c r="E16" s="2"/>
      <c r="F16" s="2"/>
      <c r="H16" s="2"/>
      <c r="I16" s="408" t="s">
        <v>897</v>
      </c>
      <c r="J16" s="10">
        <f>'DETAILS (sorted)'!DQ74</f>
        <v>0</v>
      </c>
    </row>
    <row r="17" spans="1:10" x14ac:dyDescent="0.35">
      <c r="A17" s="2"/>
      <c r="B17" s="2"/>
      <c r="C17" s="3"/>
      <c r="D17" s="3"/>
      <c r="E17" s="2"/>
      <c r="F17" s="2"/>
      <c r="H17" s="2"/>
      <c r="I17" s="408" t="s">
        <v>898</v>
      </c>
      <c r="J17" s="10">
        <f>'DETAILS (sorted)'!DR74</f>
        <v>0</v>
      </c>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3300000</v>
      </c>
      <c r="D25" s="3">
        <f>C25+J25</f>
        <v>3397489.0278544417</v>
      </c>
      <c r="E25" s="3">
        <f>'DETAILS (sorted)'!DS74</f>
        <v>3432274.1410848722</v>
      </c>
      <c r="F25" s="2">
        <f>D25-E25</f>
        <v>-34785.113230430521</v>
      </c>
      <c r="G25" t="b">
        <f>D25=E25</f>
        <v>0</v>
      </c>
      <c r="H25" s="2"/>
      <c r="I25" s="2"/>
      <c r="J25" s="10">
        <f>SUM(J6:J24)</f>
        <v>97489.027854441636</v>
      </c>
    </row>
    <row r="27" spans="1:10" x14ac:dyDescent="0.35">
      <c r="C27" s="191" t="s">
        <v>644</v>
      </c>
      <c r="D27" s="191">
        <f>D25+J25</f>
        <v>3494978.0557088833</v>
      </c>
      <c r="E27" s="122">
        <f>D27/D28</f>
        <v>0.2329985370472589</v>
      </c>
      <c r="F27" s="2" t="s">
        <v>652</v>
      </c>
    </row>
    <row r="28" spans="1:10" x14ac:dyDescent="0.35">
      <c r="C28" s="3"/>
      <c r="D28" s="3">
        <v>15000000</v>
      </c>
      <c r="E28" s="122">
        <f>D28/D28</f>
        <v>1</v>
      </c>
      <c r="F28" s="2" t="s">
        <v>654</v>
      </c>
    </row>
    <row r="29" spans="1:10" x14ac:dyDescent="0.35">
      <c r="C29" s="3"/>
      <c r="D29" s="3">
        <f>D27-D28</f>
        <v>-11505021.944291117</v>
      </c>
      <c r="E29" s="122">
        <f>D29/D28</f>
        <v>-0.76700146295274108</v>
      </c>
      <c r="F29" s="2" t="s">
        <v>653</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EBBFA-8468-4A82-8BCF-E775A666B1F5}">
  <dimension ref="A2:J29"/>
  <sheetViews>
    <sheetView topLeftCell="A2"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8.1796875" bestFit="1" customWidth="1"/>
    <col min="9" max="9" width="27.08984375" customWidth="1"/>
    <col min="10" max="10" width="10.1796875" style="6" bestFit="1" customWidth="1"/>
  </cols>
  <sheetData>
    <row r="2" spans="1:10" s="5" customFormat="1" x14ac:dyDescent="0.35">
      <c r="A2" s="74" t="s">
        <v>190</v>
      </c>
      <c r="B2" s="191" t="s">
        <v>0</v>
      </c>
      <c r="C2" s="191"/>
      <c r="D2" s="74" t="s">
        <v>1</v>
      </c>
      <c r="E2" s="75" t="s">
        <v>2</v>
      </c>
      <c r="F2" s="74"/>
      <c r="J2" s="409"/>
    </row>
    <row r="3" spans="1:10" s="1" customFormat="1" ht="28" x14ac:dyDescent="0.35">
      <c r="A3" s="210" t="s">
        <v>323</v>
      </c>
      <c r="B3" s="7" t="s">
        <v>324</v>
      </c>
      <c r="C3" s="7"/>
      <c r="D3" s="71"/>
      <c r="E3" s="239"/>
      <c r="F3" s="11"/>
      <c r="G3" s="11"/>
      <c r="H3" s="11"/>
      <c r="I3" s="11"/>
      <c r="J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46129</v>
      </c>
      <c r="C6" s="3">
        <v>3200000</v>
      </c>
      <c r="D6" s="3">
        <f>C6</f>
        <v>3200000</v>
      </c>
      <c r="E6" s="2" t="s">
        <v>30</v>
      </c>
      <c r="F6" s="2">
        <v>2</v>
      </c>
      <c r="H6" s="2"/>
      <c r="I6" s="408" t="s">
        <v>537</v>
      </c>
      <c r="J6" s="410">
        <v>4944.8047603487084</v>
      </c>
    </row>
    <row r="7" spans="1:10" x14ac:dyDescent="0.35">
      <c r="A7" s="2">
        <v>2</v>
      </c>
      <c r="B7" s="71">
        <v>46172</v>
      </c>
      <c r="C7" s="3">
        <v>800000</v>
      </c>
      <c r="D7" s="3">
        <f>C7</f>
        <v>800000</v>
      </c>
      <c r="E7" s="2" t="s">
        <v>30</v>
      </c>
      <c r="F7" s="2">
        <v>2</v>
      </c>
      <c r="H7" s="2"/>
      <c r="I7" s="408" t="s">
        <v>543</v>
      </c>
      <c r="J7" s="10">
        <v>12721.142719491332</v>
      </c>
    </row>
    <row r="8" spans="1:10" ht="29" x14ac:dyDescent="0.35">
      <c r="A8" s="2">
        <v>3</v>
      </c>
      <c r="B8" s="71"/>
      <c r="C8" s="7"/>
      <c r="D8" s="3"/>
      <c r="E8" s="2"/>
      <c r="F8" s="2"/>
      <c r="H8" s="2"/>
      <c r="I8" s="225" t="s">
        <v>681</v>
      </c>
      <c r="J8" s="10">
        <f>'DETAILS (sorted)'!DC75</f>
        <v>22542.658579659867</v>
      </c>
    </row>
    <row r="9" spans="1:10" x14ac:dyDescent="0.35">
      <c r="A9" s="2">
        <v>4</v>
      </c>
      <c r="B9" s="71"/>
      <c r="C9" s="3"/>
      <c r="D9" s="3"/>
      <c r="E9" s="2"/>
      <c r="F9" s="2"/>
      <c r="H9" s="2"/>
      <c r="I9" s="225" t="s">
        <v>696</v>
      </c>
      <c r="J9" s="10">
        <f>'DETAILS (sorted)'!DD75</f>
        <v>15263.520947935551</v>
      </c>
    </row>
    <row r="10" spans="1:10" x14ac:dyDescent="0.35">
      <c r="A10" s="2">
        <v>5</v>
      </c>
      <c r="B10" s="71"/>
      <c r="C10" s="3"/>
      <c r="D10" s="3"/>
      <c r="E10" s="2"/>
      <c r="F10" s="2"/>
      <c r="H10" s="2"/>
      <c r="I10" s="408" t="s">
        <v>887</v>
      </c>
      <c r="J10" s="10">
        <f>'DETAILS (sorted)'!DF75</f>
        <v>10724.91421447327</v>
      </c>
    </row>
    <row r="11" spans="1:10" x14ac:dyDescent="0.35">
      <c r="A11" s="2">
        <v>6</v>
      </c>
      <c r="B11" s="71"/>
      <c r="C11" s="3"/>
      <c r="D11" s="3"/>
      <c r="E11" s="2"/>
      <c r="F11" s="2"/>
      <c r="H11" s="2"/>
      <c r="I11" s="408" t="s">
        <v>889</v>
      </c>
      <c r="J11" s="10">
        <f>'DETAILS (sorted)'!DG75</f>
        <v>35810.4062719133</v>
      </c>
    </row>
    <row r="12" spans="1:10" x14ac:dyDescent="0.35">
      <c r="A12" s="2">
        <v>7</v>
      </c>
      <c r="B12" s="71"/>
      <c r="C12" s="3"/>
      <c r="D12" s="3"/>
      <c r="E12" s="2"/>
      <c r="F12" s="2"/>
      <c r="H12" s="2"/>
      <c r="I12" s="408" t="s">
        <v>891</v>
      </c>
      <c r="J12" s="10">
        <f>'DETAILS (sorted)'!DL75</f>
        <v>11731.952867426906</v>
      </c>
    </row>
    <row r="13" spans="1:10" x14ac:dyDescent="0.35">
      <c r="A13" s="2">
        <v>8</v>
      </c>
      <c r="B13" s="294"/>
      <c r="C13" s="3"/>
      <c r="D13" s="3"/>
      <c r="E13" s="2"/>
      <c r="F13" s="2"/>
      <c r="H13" s="2"/>
      <c r="I13" s="408" t="s">
        <v>894</v>
      </c>
      <c r="J13" s="10">
        <f>'DETAILS (sorted)'!DM75</f>
        <v>0</v>
      </c>
    </row>
    <row r="14" spans="1:10" x14ac:dyDescent="0.35">
      <c r="A14" s="2">
        <v>9</v>
      </c>
      <c r="B14" s="294"/>
      <c r="C14" s="3"/>
      <c r="D14" s="3"/>
      <c r="E14" s="2"/>
      <c r="F14" s="2"/>
      <c r="H14" s="2"/>
      <c r="I14" s="408" t="s">
        <v>893</v>
      </c>
      <c r="J14" s="10">
        <f>'DETAILS (sorted)'!DN75</f>
        <v>0</v>
      </c>
    </row>
    <row r="15" spans="1:10" x14ac:dyDescent="0.35">
      <c r="A15" s="2">
        <v>10</v>
      </c>
      <c r="B15" s="295"/>
      <c r="C15" s="205"/>
      <c r="D15" s="3"/>
      <c r="E15" s="2"/>
      <c r="F15" s="2"/>
      <c r="H15" s="2"/>
      <c r="I15" s="408" t="s">
        <v>895</v>
      </c>
      <c r="J15" s="10">
        <f>'DETAILS (sorted)'!DO75</f>
        <v>0</v>
      </c>
    </row>
    <row r="16" spans="1:10" x14ac:dyDescent="0.35">
      <c r="A16" s="2">
        <v>11</v>
      </c>
      <c r="B16" s="294"/>
      <c r="C16" s="3"/>
      <c r="D16" s="3"/>
      <c r="E16" s="2"/>
      <c r="F16" s="2"/>
      <c r="H16" s="2"/>
      <c r="I16" s="408" t="s">
        <v>897</v>
      </c>
      <c r="J16" s="10">
        <f>'DETAILS (sorted)'!DQ75</f>
        <v>0</v>
      </c>
    </row>
    <row r="17" spans="1:10" x14ac:dyDescent="0.35">
      <c r="A17" s="2"/>
      <c r="B17" s="2"/>
      <c r="C17" s="3"/>
      <c r="D17" s="3"/>
      <c r="E17" s="2"/>
      <c r="F17" s="2"/>
      <c r="H17" s="2"/>
      <c r="I17" s="408" t="s">
        <v>898</v>
      </c>
      <c r="J17" s="10">
        <f>'DETAILS (sorted)'!DR75</f>
        <v>0</v>
      </c>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4000000</v>
      </c>
      <c r="D25" s="3">
        <f>C25+J25</f>
        <v>4113739.4003612488</v>
      </c>
      <c r="E25" s="3">
        <f>'DETAILS (sorted)'!DS75</f>
        <v>4155857.8265486066</v>
      </c>
      <c r="F25" s="2">
        <f>D25-E25</f>
        <v>-42118.426187357865</v>
      </c>
      <c r="G25" t="b">
        <f>D25=E25</f>
        <v>0</v>
      </c>
      <c r="H25" s="2"/>
      <c r="I25" s="2"/>
      <c r="J25" s="10">
        <f>SUM(J6:J24)</f>
        <v>113739.40036124893</v>
      </c>
    </row>
    <row r="27" spans="1:10" x14ac:dyDescent="0.35">
      <c r="C27" s="191" t="s">
        <v>644</v>
      </c>
      <c r="D27" s="191">
        <f>D25+J25</f>
        <v>4227478.8007224975</v>
      </c>
      <c r="E27" s="122">
        <f>D27/D28</f>
        <v>0.42274788007224973</v>
      </c>
      <c r="F27" s="2" t="s">
        <v>652</v>
      </c>
    </row>
    <row r="28" spans="1:10" x14ac:dyDescent="0.35">
      <c r="C28" s="3"/>
      <c r="D28" s="3">
        <v>10000000</v>
      </c>
      <c r="E28" s="122">
        <f>D28/D28</f>
        <v>1</v>
      </c>
      <c r="F28" s="2" t="s">
        <v>654</v>
      </c>
    </row>
    <row r="29" spans="1:10" x14ac:dyDescent="0.35">
      <c r="C29" s="3"/>
      <c r="D29" s="3">
        <f>D27-D28</f>
        <v>-5772521.1992775025</v>
      </c>
      <c r="E29" s="122">
        <f>D29/D28</f>
        <v>-0.57725211992775027</v>
      </c>
      <c r="F29" s="2" t="s">
        <v>653</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16A2F-3A62-4E04-9511-6A60B56C8F71}">
  <dimension ref="A2:J29"/>
  <sheetViews>
    <sheetView topLeftCell="A3" workbookViewId="0">
      <selection activeCell="L11" sqref="L1:R1048576"/>
    </sheetView>
  </sheetViews>
  <sheetFormatPr defaultColWidth="22.453125" defaultRowHeight="14.5" x14ac:dyDescent="0.35"/>
  <cols>
    <col min="1" max="1" width="8.1796875" bestFit="1" customWidth="1"/>
    <col min="2" max="2" width="12.81640625" customWidth="1"/>
    <col min="3" max="3" width="11.36328125" style="1" bestFit="1" customWidth="1"/>
    <col min="4" max="4" width="14.453125" style="1" bestFit="1" customWidth="1"/>
    <col min="5" max="5" width="11.26953125" bestFit="1" customWidth="1"/>
    <col min="6" max="6" width="9.26953125" bestFit="1" customWidth="1"/>
    <col min="7" max="7" width="5.1796875" bestFit="1" customWidth="1"/>
    <col min="8" max="8" width="4.7265625" hidden="1" customWidth="1"/>
    <col min="9" max="9" width="20.08984375" bestFit="1" customWidth="1"/>
    <col min="10" max="10" width="10.1796875" style="6" bestFit="1" customWidth="1"/>
  </cols>
  <sheetData>
    <row r="2" spans="1:10" s="5" customFormat="1" x14ac:dyDescent="0.35">
      <c r="A2" s="74" t="s">
        <v>190</v>
      </c>
      <c r="B2" s="191" t="s">
        <v>0</v>
      </c>
      <c r="C2" s="191"/>
      <c r="D2" s="74" t="s">
        <v>1</v>
      </c>
      <c r="E2" s="75" t="s">
        <v>2</v>
      </c>
      <c r="F2" s="74"/>
      <c r="J2" s="409"/>
    </row>
    <row r="3" spans="1:10" s="1" customFormat="1" ht="28" x14ac:dyDescent="0.35">
      <c r="A3" s="210" t="s">
        <v>325</v>
      </c>
      <c r="B3" s="286" t="s">
        <v>326</v>
      </c>
      <c r="C3" s="7"/>
      <c r="D3" s="71"/>
      <c r="E3" s="239"/>
      <c r="F3" s="11"/>
      <c r="G3" s="11"/>
      <c r="H3" s="11"/>
      <c r="I3" s="11"/>
      <c r="J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ht="26.5" x14ac:dyDescent="0.35">
      <c r="A6" s="2">
        <v>1</v>
      </c>
      <c r="B6" s="71">
        <v>46122</v>
      </c>
      <c r="C6" s="7">
        <v>1000000</v>
      </c>
      <c r="D6" s="3">
        <f>C6</f>
        <v>1000000</v>
      </c>
      <c r="E6" s="2" t="s">
        <v>30</v>
      </c>
      <c r="F6" s="2">
        <v>2</v>
      </c>
      <c r="H6" s="2"/>
      <c r="I6" s="495" t="s">
        <v>537</v>
      </c>
      <c r="J6" s="410">
        <v>6490.0562479576802</v>
      </c>
    </row>
    <row r="7" spans="1:10" x14ac:dyDescent="0.35">
      <c r="A7" s="2">
        <v>2</v>
      </c>
      <c r="B7" s="71">
        <v>46123</v>
      </c>
      <c r="C7" s="3">
        <v>1000000</v>
      </c>
      <c r="D7" s="3">
        <f>D6+C7</f>
        <v>2000000</v>
      </c>
      <c r="E7" s="2" t="s">
        <v>30</v>
      </c>
      <c r="F7" s="2">
        <v>2</v>
      </c>
      <c r="H7" s="2"/>
      <c r="I7" s="495" t="s">
        <v>543</v>
      </c>
      <c r="J7" s="6">
        <v>16696.499819332374</v>
      </c>
    </row>
    <row r="8" spans="1:10" ht="26.5" x14ac:dyDescent="0.35">
      <c r="A8" s="2">
        <v>3</v>
      </c>
      <c r="B8" s="71">
        <v>46129</v>
      </c>
      <c r="C8" s="7">
        <v>500000</v>
      </c>
      <c r="D8" s="3">
        <f t="shared" ref="D8:D13" si="0">D7+C8</f>
        <v>2500000</v>
      </c>
      <c r="E8" s="2" t="s">
        <v>30</v>
      </c>
      <c r="F8" s="2">
        <v>2</v>
      </c>
      <c r="H8" s="2"/>
      <c r="I8" s="462" t="s">
        <v>681</v>
      </c>
      <c r="J8" s="10">
        <f>'DETAILS (sorted)'!DC76</f>
        <v>61428.744629573128</v>
      </c>
    </row>
    <row r="9" spans="1:10" x14ac:dyDescent="0.35">
      <c r="A9" s="2">
        <v>4</v>
      </c>
      <c r="B9" s="71">
        <v>46130</v>
      </c>
      <c r="C9" s="3">
        <v>1700000</v>
      </c>
      <c r="D9" s="3">
        <f t="shared" si="0"/>
        <v>4200000</v>
      </c>
      <c r="E9" s="2" t="s">
        <v>30</v>
      </c>
      <c r="F9" s="2">
        <v>2</v>
      </c>
      <c r="H9" s="2"/>
      <c r="I9" s="462" t="s">
        <v>696</v>
      </c>
      <c r="J9" s="10">
        <f>'DETAILS (sorted)'!DD76</f>
        <v>41593.094583124366</v>
      </c>
    </row>
    <row r="10" spans="1:10" x14ac:dyDescent="0.35">
      <c r="A10" s="2">
        <v>5</v>
      </c>
      <c r="B10" s="71">
        <v>46148</v>
      </c>
      <c r="C10" s="3">
        <v>4000000</v>
      </c>
      <c r="D10" s="3">
        <f t="shared" si="0"/>
        <v>8200000</v>
      </c>
      <c r="E10" s="2" t="s">
        <v>30</v>
      </c>
      <c r="F10" s="2">
        <v>2</v>
      </c>
      <c r="H10" s="2"/>
      <c r="I10" s="408" t="s">
        <v>887</v>
      </c>
      <c r="J10" s="10">
        <f>'DETAILS (sorted)'!DF76</f>
        <v>30029.75980052516</v>
      </c>
    </row>
    <row r="11" spans="1:10" x14ac:dyDescent="0.35">
      <c r="A11" s="2">
        <v>6</v>
      </c>
      <c r="B11" s="71">
        <v>46157</v>
      </c>
      <c r="C11" s="3">
        <v>1000000</v>
      </c>
      <c r="D11" s="3">
        <f t="shared" si="0"/>
        <v>9200000</v>
      </c>
      <c r="E11" s="2" t="s">
        <v>30</v>
      </c>
      <c r="F11" s="2">
        <v>2</v>
      </c>
      <c r="H11" s="2"/>
      <c r="I11" s="408" t="s">
        <v>889</v>
      </c>
      <c r="J11" s="10">
        <f>'DETAILS (sorted)'!DG76</f>
        <v>100269.13756135725</v>
      </c>
    </row>
    <row r="12" spans="1:10" x14ac:dyDescent="0.35">
      <c r="A12" s="2">
        <v>7</v>
      </c>
      <c r="B12" s="71">
        <v>46157</v>
      </c>
      <c r="C12" s="3">
        <v>500000</v>
      </c>
      <c r="D12" s="3">
        <f t="shared" si="0"/>
        <v>9700000</v>
      </c>
      <c r="E12" s="2" t="s">
        <v>30</v>
      </c>
      <c r="F12" s="2">
        <v>2</v>
      </c>
      <c r="H12" s="2"/>
      <c r="I12" s="408" t="s">
        <v>891</v>
      </c>
      <c r="J12" s="10">
        <f>'DETAILS (sorted)'!DL76</f>
        <v>38486.30489784079</v>
      </c>
    </row>
    <row r="13" spans="1:10" x14ac:dyDescent="0.35">
      <c r="A13" s="2">
        <v>8</v>
      </c>
      <c r="B13" s="71">
        <v>46167</v>
      </c>
      <c r="C13" s="3">
        <v>500000</v>
      </c>
      <c r="D13" s="3">
        <f t="shared" si="0"/>
        <v>10200000</v>
      </c>
      <c r="E13" s="2" t="s">
        <v>30</v>
      </c>
      <c r="F13" s="2">
        <v>2</v>
      </c>
      <c r="H13" s="2"/>
      <c r="I13" s="408" t="s">
        <v>894</v>
      </c>
      <c r="J13" s="10">
        <f>'DETAILS (sorted)'!DM76</f>
        <v>0</v>
      </c>
    </row>
    <row r="14" spans="1:10" x14ac:dyDescent="0.35">
      <c r="A14" s="2">
        <v>9</v>
      </c>
      <c r="B14" s="71">
        <v>46173</v>
      </c>
      <c r="C14" s="3">
        <v>700000</v>
      </c>
      <c r="D14" s="3">
        <f t="shared" ref="D14" si="1">D13+C14</f>
        <v>10900000</v>
      </c>
      <c r="E14" s="2" t="s">
        <v>30</v>
      </c>
      <c r="F14" s="2">
        <v>2</v>
      </c>
      <c r="H14" s="2"/>
      <c r="I14" s="408" t="s">
        <v>893</v>
      </c>
      <c r="J14" s="10">
        <f>'DETAILS (sorted)'!DN76</f>
        <v>0</v>
      </c>
    </row>
    <row r="15" spans="1:10" ht="29" x14ac:dyDescent="0.35">
      <c r="A15" s="2">
        <v>10</v>
      </c>
      <c r="B15" s="71">
        <v>46174</v>
      </c>
      <c r="C15" s="205">
        <v>300000</v>
      </c>
      <c r="D15" s="3">
        <f t="shared" ref="D15" si="2">D14+C15</f>
        <v>11200000</v>
      </c>
      <c r="E15" s="2" t="s">
        <v>30</v>
      </c>
      <c r="F15" s="2">
        <v>2</v>
      </c>
      <c r="H15" s="2"/>
      <c r="I15" s="408" t="s">
        <v>895</v>
      </c>
      <c r="J15" s="10">
        <f>'DETAILS (sorted)'!DO76</f>
        <v>0</v>
      </c>
    </row>
    <row r="16" spans="1:10" x14ac:dyDescent="0.35">
      <c r="A16" s="2">
        <v>11</v>
      </c>
      <c r="B16" s="294"/>
      <c r="C16" s="3"/>
      <c r="D16" s="3"/>
      <c r="E16" s="2"/>
      <c r="F16" s="2"/>
      <c r="H16" s="2"/>
      <c r="I16" s="408" t="s">
        <v>897</v>
      </c>
      <c r="J16" s="10">
        <f>'DETAILS (sorted)'!DQ76</f>
        <v>0</v>
      </c>
    </row>
    <row r="17" spans="1:10" x14ac:dyDescent="0.35">
      <c r="A17" s="2"/>
      <c r="B17" s="2"/>
      <c r="C17" s="3"/>
      <c r="D17" s="3"/>
      <c r="E17" s="2"/>
      <c r="F17" s="2"/>
      <c r="H17" s="2"/>
      <c r="I17" s="408" t="s">
        <v>898</v>
      </c>
      <c r="J17" s="10">
        <f>'DETAILS (sorted)'!DR76</f>
        <v>0</v>
      </c>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191">
        <f>SUM(C6:C24)</f>
        <v>11200000</v>
      </c>
      <c r="D25" s="191">
        <f>C25+J25</f>
        <v>11494993.59753971</v>
      </c>
      <c r="E25" s="191">
        <f>'DETAILS (sorted)'!DS76</f>
        <v>13633161.778948316</v>
      </c>
      <c r="F25" s="74">
        <f>D25-E25</f>
        <v>-2138168.1814086065</v>
      </c>
      <c r="G25" s="5" t="b">
        <f>D25=E25</f>
        <v>0</v>
      </c>
      <c r="H25" s="74"/>
      <c r="I25" s="74"/>
      <c r="J25" s="191">
        <f>SUM(J6:J24)</f>
        <v>294993.5975397107</v>
      </c>
    </row>
    <row r="27" spans="1:10" x14ac:dyDescent="0.35">
      <c r="C27" s="191" t="s">
        <v>644</v>
      </c>
      <c r="D27" s="191">
        <f>D25+J25</f>
        <v>11789987.19507942</v>
      </c>
      <c r="E27" s="122">
        <f>D27/D28</f>
        <v>0.392999573169314</v>
      </c>
      <c r="F27" s="2" t="s">
        <v>652</v>
      </c>
    </row>
    <row r="28" spans="1:10" x14ac:dyDescent="0.35">
      <c r="C28" s="3"/>
      <c r="D28" s="3">
        <v>30000000</v>
      </c>
      <c r="E28" s="122">
        <f>D28/D28</f>
        <v>1</v>
      </c>
      <c r="F28" s="2" t="s">
        <v>654</v>
      </c>
    </row>
    <row r="29" spans="1:10" x14ac:dyDescent="0.35">
      <c r="C29" s="3"/>
      <c r="D29" s="3">
        <f>D27-D28</f>
        <v>-18210012.80492058</v>
      </c>
      <c r="E29" s="122">
        <f>D29/D28</f>
        <v>-0.607000426830686</v>
      </c>
      <c r="F29" s="2" t="s">
        <v>653</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018EC-B059-4A76-9D10-941F894312A3}">
  <dimension ref="A2:J29"/>
  <sheetViews>
    <sheetView topLeftCell="A6" workbookViewId="0">
      <selection activeCell="L11" sqref="L1:R1048576"/>
    </sheetView>
  </sheetViews>
  <sheetFormatPr defaultRowHeight="14.5" x14ac:dyDescent="0.35"/>
  <cols>
    <col min="1" max="1" width="10.81640625" customWidth="1"/>
    <col min="2" max="2" width="12" bestFit="1" customWidth="1"/>
    <col min="3" max="3" width="15.54296875" style="1" bestFit="1" customWidth="1"/>
    <col min="4" max="4" width="15.54296875" style="1" customWidth="1"/>
    <col min="5" max="5" width="11.7265625" customWidth="1"/>
    <col min="6" max="6" width="9.26953125" bestFit="1" customWidth="1"/>
    <col min="9" max="9" width="25.7265625" style="479" customWidth="1"/>
    <col min="10" max="10" width="10.1796875" bestFit="1" customWidth="1"/>
  </cols>
  <sheetData>
    <row r="2" spans="1:10" s="5" customFormat="1" ht="28" customHeight="1" x14ac:dyDescent="0.35">
      <c r="A2" s="74" t="s">
        <v>190</v>
      </c>
      <c r="B2" s="191" t="s">
        <v>0</v>
      </c>
      <c r="C2" s="191"/>
      <c r="D2" s="74" t="s">
        <v>1</v>
      </c>
      <c r="E2" s="75" t="s">
        <v>2</v>
      </c>
      <c r="F2" s="74"/>
      <c r="I2" s="479"/>
    </row>
    <row r="3" spans="1:10" s="1" customFormat="1" ht="28" x14ac:dyDescent="0.35">
      <c r="A3" s="210" t="s">
        <v>492</v>
      </c>
      <c r="B3" s="7" t="s">
        <v>493</v>
      </c>
      <c r="C3" s="7"/>
      <c r="D3" s="71"/>
      <c r="E3" s="11"/>
      <c r="F3" s="11"/>
      <c r="G3" s="239"/>
      <c r="H3" s="239"/>
      <c r="I3" s="552"/>
      <c r="J3" s="239"/>
    </row>
    <row r="4" spans="1:10" x14ac:dyDescent="0.35">
      <c r="H4" s="2" t="s">
        <v>643</v>
      </c>
      <c r="I4" s="477" t="s">
        <v>445</v>
      </c>
      <c r="J4" s="2" t="s">
        <v>568</v>
      </c>
    </row>
    <row r="5" spans="1:10" x14ac:dyDescent="0.35">
      <c r="A5" s="74" t="s">
        <v>487</v>
      </c>
      <c r="B5" s="74" t="s">
        <v>2</v>
      </c>
      <c r="C5" s="191" t="s">
        <v>124</v>
      </c>
      <c r="D5" s="191" t="s">
        <v>488</v>
      </c>
      <c r="E5" s="74" t="s">
        <v>489</v>
      </c>
      <c r="F5" s="74" t="s">
        <v>490</v>
      </c>
      <c r="H5" s="2"/>
      <c r="I5" s="477"/>
      <c r="J5" s="2"/>
    </row>
    <row r="6" spans="1:10" x14ac:dyDescent="0.35">
      <c r="A6" s="2">
        <v>1</v>
      </c>
      <c r="B6" s="313">
        <v>46135</v>
      </c>
      <c r="C6" s="7">
        <v>2000000</v>
      </c>
      <c r="D6" s="3">
        <f>C6</f>
        <v>2000000</v>
      </c>
      <c r="E6" s="2" t="s">
        <v>30</v>
      </c>
      <c r="F6" s="2">
        <v>2</v>
      </c>
      <c r="H6" s="2"/>
      <c r="I6" s="495" t="s">
        <v>537</v>
      </c>
      <c r="J6" s="178">
        <v>3090.502975217943</v>
      </c>
    </row>
    <row r="7" spans="1:10" x14ac:dyDescent="0.35">
      <c r="A7" s="2">
        <v>2</v>
      </c>
      <c r="B7" s="313">
        <v>46141</v>
      </c>
      <c r="C7" s="3">
        <v>1200000</v>
      </c>
      <c r="D7" s="7">
        <f>D6+C7</f>
        <v>3200000</v>
      </c>
      <c r="E7" s="2" t="s">
        <v>30</v>
      </c>
      <c r="F7" s="2">
        <v>2</v>
      </c>
      <c r="H7" s="2"/>
      <c r="I7" s="495" t="s">
        <v>543</v>
      </c>
      <c r="J7" s="7">
        <v>7950.7141996820828</v>
      </c>
    </row>
    <row r="8" spans="1:10" x14ac:dyDescent="0.35">
      <c r="A8" s="2">
        <v>3</v>
      </c>
      <c r="B8" s="313">
        <v>46185</v>
      </c>
      <c r="C8" s="7">
        <v>1000000</v>
      </c>
      <c r="D8" s="7">
        <f>D7+C8</f>
        <v>4200000</v>
      </c>
      <c r="E8" s="2" t="s">
        <v>30</v>
      </c>
      <c r="F8" s="2">
        <v>2</v>
      </c>
      <c r="H8" s="2"/>
      <c r="I8" s="495" t="s">
        <v>681</v>
      </c>
      <c r="J8" s="10">
        <f>'DETAILS (sorted)'!DC77</f>
        <v>18034.126863727892</v>
      </c>
    </row>
    <row r="9" spans="1:10" x14ac:dyDescent="0.35">
      <c r="A9" s="2">
        <v>4</v>
      </c>
      <c r="B9" s="71"/>
      <c r="C9" s="3"/>
      <c r="D9" s="3"/>
      <c r="E9" s="2"/>
      <c r="F9" s="2"/>
      <c r="H9" s="2"/>
      <c r="I9" s="495" t="s">
        <v>696</v>
      </c>
      <c r="J9" s="10">
        <f>'DETAILS (sorted)'!DD77</f>
        <v>12210.816758348439</v>
      </c>
    </row>
    <row r="10" spans="1:10" x14ac:dyDescent="0.35">
      <c r="A10" s="2">
        <v>5</v>
      </c>
      <c r="B10" s="71"/>
      <c r="C10" s="3"/>
      <c r="D10" s="3"/>
      <c r="E10" s="2"/>
      <c r="F10" s="2"/>
      <c r="H10" s="2"/>
      <c r="I10" s="495" t="s">
        <v>887</v>
      </c>
      <c r="J10" s="10">
        <f>'DETAILS (sorted)'!DF77</f>
        <v>11261.159925196935</v>
      </c>
    </row>
    <row r="11" spans="1:10" x14ac:dyDescent="0.35">
      <c r="A11" s="2">
        <v>6</v>
      </c>
      <c r="B11" s="294"/>
      <c r="C11" s="3"/>
      <c r="D11" s="3"/>
      <c r="E11" s="2"/>
      <c r="F11" s="2"/>
      <c r="H11" s="2"/>
      <c r="I11" s="495" t="s">
        <v>889</v>
      </c>
      <c r="J11" s="10">
        <f>'DETAILS (sorted)'!DG77</f>
        <v>37600.926585508969</v>
      </c>
    </row>
    <row r="12" spans="1:10" x14ac:dyDescent="0.35">
      <c r="A12" s="2">
        <v>7</v>
      </c>
      <c r="B12" s="294"/>
      <c r="C12" s="3"/>
      <c r="D12" s="3"/>
      <c r="E12" s="2"/>
      <c r="F12" s="2"/>
      <c r="H12" s="2"/>
      <c r="I12" s="495" t="s">
        <v>891</v>
      </c>
      <c r="J12" s="10">
        <f>'DETAILS (sorted)'!DL77</f>
        <v>15130.096835156532</v>
      </c>
    </row>
    <row r="13" spans="1:10" x14ac:dyDescent="0.35">
      <c r="A13" s="2">
        <v>8</v>
      </c>
      <c r="B13" s="294"/>
      <c r="C13" s="3"/>
      <c r="D13" s="3"/>
      <c r="E13" s="2"/>
      <c r="F13" s="2"/>
      <c r="H13" s="2"/>
      <c r="I13" s="495" t="s">
        <v>894</v>
      </c>
      <c r="J13" s="10">
        <f>'DETAILS (sorted)'!DM77</f>
        <v>0</v>
      </c>
    </row>
    <row r="14" spans="1:10" x14ac:dyDescent="0.35">
      <c r="A14" s="2">
        <v>9</v>
      </c>
      <c r="B14" s="294"/>
      <c r="C14" s="3"/>
      <c r="D14" s="3"/>
      <c r="E14" s="2"/>
      <c r="F14" s="2"/>
      <c r="H14" s="2"/>
      <c r="I14" s="495" t="s">
        <v>893</v>
      </c>
      <c r="J14" s="10">
        <f>'DETAILS (sorted)'!DN77</f>
        <v>0</v>
      </c>
    </row>
    <row r="15" spans="1:10" x14ac:dyDescent="0.35">
      <c r="A15" s="2">
        <v>10</v>
      </c>
      <c r="B15" s="295"/>
      <c r="C15" s="205"/>
      <c r="D15" s="3"/>
      <c r="E15" s="2"/>
      <c r="F15" s="2"/>
      <c r="H15" s="2"/>
      <c r="I15" s="495" t="s">
        <v>895</v>
      </c>
      <c r="J15" s="10">
        <f>'DETAILS (sorted)'!DO77</f>
        <v>0</v>
      </c>
    </row>
    <row r="16" spans="1:10" x14ac:dyDescent="0.35">
      <c r="A16" s="2">
        <v>11</v>
      </c>
      <c r="B16" s="294"/>
      <c r="C16" s="3"/>
      <c r="D16" s="3"/>
      <c r="E16" s="2"/>
      <c r="F16" s="2"/>
      <c r="H16" s="2"/>
      <c r="I16" s="495" t="s">
        <v>897</v>
      </c>
      <c r="J16" s="10">
        <f>'DETAILS (sorted)'!DQ77</f>
        <v>0</v>
      </c>
    </row>
    <row r="17" spans="1:10" x14ac:dyDescent="0.35">
      <c r="A17" s="2"/>
      <c r="B17" s="2"/>
      <c r="C17" s="3"/>
      <c r="D17" s="3"/>
      <c r="E17" s="2"/>
      <c r="F17" s="2"/>
      <c r="H17" s="2"/>
      <c r="I17" s="495" t="s">
        <v>898</v>
      </c>
      <c r="J17" s="10">
        <f>'DETAILS (sorted)'!DR77</f>
        <v>0</v>
      </c>
    </row>
    <row r="18" spans="1:10" x14ac:dyDescent="0.35">
      <c r="A18" s="2"/>
      <c r="B18" s="2"/>
      <c r="C18" s="3"/>
      <c r="D18" s="3"/>
      <c r="E18" s="2"/>
      <c r="F18" s="2"/>
      <c r="H18" s="2"/>
      <c r="I18" s="477"/>
      <c r="J18" s="2"/>
    </row>
    <row r="19" spans="1:10" x14ac:dyDescent="0.35">
      <c r="A19" s="2"/>
      <c r="B19" s="2"/>
      <c r="C19" s="3"/>
      <c r="D19" s="3"/>
      <c r="E19" s="2"/>
      <c r="F19" s="2"/>
      <c r="H19" s="2"/>
      <c r="I19" s="477"/>
      <c r="J19" s="2"/>
    </row>
    <row r="20" spans="1:10" x14ac:dyDescent="0.35">
      <c r="A20" s="2"/>
      <c r="B20" s="2"/>
      <c r="C20" s="3"/>
      <c r="D20" s="3"/>
      <c r="E20" s="2"/>
      <c r="F20" s="2"/>
      <c r="H20" s="2"/>
      <c r="I20" s="477"/>
      <c r="J20" s="2"/>
    </row>
    <row r="21" spans="1:10" x14ac:dyDescent="0.35">
      <c r="A21" s="2"/>
      <c r="B21" s="2"/>
      <c r="C21" s="3"/>
      <c r="D21" s="3"/>
      <c r="E21" s="2"/>
      <c r="F21" s="2"/>
      <c r="H21" s="2"/>
      <c r="I21" s="477"/>
      <c r="J21" s="2"/>
    </row>
    <row r="22" spans="1:10" x14ac:dyDescent="0.35">
      <c r="A22" s="2"/>
      <c r="B22" s="2"/>
      <c r="C22" s="3"/>
      <c r="D22" s="3"/>
      <c r="E22" s="2"/>
      <c r="F22" s="2"/>
      <c r="H22" s="2"/>
      <c r="I22" s="477"/>
      <c r="J22" s="2"/>
    </row>
    <row r="23" spans="1:10" x14ac:dyDescent="0.35">
      <c r="A23" s="2"/>
      <c r="B23" s="2"/>
      <c r="C23" s="3"/>
      <c r="D23" s="3"/>
      <c r="E23" s="2"/>
      <c r="F23" s="2"/>
      <c r="H23" s="2"/>
      <c r="I23" s="477"/>
      <c r="J23" s="2"/>
    </row>
    <row r="24" spans="1:10" x14ac:dyDescent="0.35">
      <c r="A24" s="2"/>
      <c r="B24" s="2"/>
      <c r="C24" s="3"/>
      <c r="D24" s="3"/>
      <c r="E24" s="2"/>
      <c r="F24" s="2"/>
      <c r="H24" s="2"/>
      <c r="I24" s="477"/>
      <c r="J24" s="2"/>
    </row>
    <row r="25" spans="1:10" x14ac:dyDescent="0.35">
      <c r="A25" s="2"/>
      <c r="B25" s="2"/>
      <c r="C25" s="3">
        <f>SUM(C6:C24)</f>
        <v>4200000</v>
      </c>
      <c r="D25" s="3">
        <f>C25+J25</f>
        <v>4305278.3441428384</v>
      </c>
      <c r="E25" s="3">
        <f>'DETAILS (sorted)'!DS77</f>
        <v>5359596.3143870281</v>
      </c>
      <c r="F25" s="2">
        <f>D25-E25</f>
        <v>-1054317.9702441897</v>
      </c>
      <c r="G25" t="b">
        <f>D25=E25</f>
        <v>0</v>
      </c>
      <c r="H25" s="2"/>
      <c r="I25" s="477"/>
      <c r="J25" s="97">
        <f>SUM(J6:J24)</f>
        <v>105278.34414283879</v>
      </c>
    </row>
    <row r="27" spans="1:10" x14ac:dyDescent="0.35">
      <c r="C27" s="191" t="s">
        <v>644</v>
      </c>
      <c r="D27" s="191">
        <f>D25+J25</f>
        <v>4410556.6882856768</v>
      </c>
      <c r="E27" s="122">
        <f>D27/D28</f>
        <v>1.1026391720714193</v>
      </c>
      <c r="F27" s="2" t="s">
        <v>652</v>
      </c>
    </row>
    <row r="28" spans="1:10" x14ac:dyDescent="0.35">
      <c r="C28" s="3"/>
      <c r="D28" s="3">
        <v>4000000</v>
      </c>
      <c r="E28" s="122">
        <f>D28/D28</f>
        <v>1</v>
      </c>
      <c r="F28" s="2" t="s">
        <v>654</v>
      </c>
    </row>
    <row r="29" spans="1:10" x14ac:dyDescent="0.35">
      <c r="C29" s="3"/>
      <c r="D29" s="3">
        <f>D27-D28</f>
        <v>410556.68828567676</v>
      </c>
      <c r="E29" s="122">
        <f>D29/D28</f>
        <v>0.10263917207141919</v>
      </c>
      <c r="F29" s="2" t="s">
        <v>653</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7BC34-5B85-4DF5-A251-F4BF89DE10A1}">
  <dimension ref="A2:J29"/>
  <sheetViews>
    <sheetView topLeftCell="A5" workbookViewId="0">
      <selection activeCell="L11" sqref="L1:R1048576"/>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8.1796875" bestFit="1" customWidth="1"/>
    <col min="9" max="9" width="26.08984375" style="479" customWidth="1"/>
    <col min="10" max="10" width="11.1796875" bestFit="1" customWidth="1"/>
  </cols>
  <sheetData>
    <row r="2" spans="1:10" s="5" customFormat="1" ht="28" customHeight="1" x14ac:dyDescent="0.35">
      <c r="A2" s="74" t="s">
        <v>190</v>
      </c>
      <c r="B2" s="191" t="s">
        <v>0</v>
      </c>
      <c r="C2" s="191"/>
      <c r="D2" s="74" t="s">
        <v>1</v>
      </c>
      <c r="E2" s="75" t="s">
        <v>2</v>
      </c>
      <c r="I2" s="479"/>
    </row>
    <row r="3" spans="1:10" s="1" customFormat="1" ht="28" x14ac:dyDescent="0.35">
      <c r="A3" s="311" t="s">
        <v>494</v>
      </c>
      <c r="B3" s="7" t="s">
        <v>327</v>
      </c>
      <c r="C3" s="7"/>
      <c r="D3" s="71"/>
      <c r="E3" s="11"/>
      <c r="F3" s="11"/>
      <c r="I3" s="536"/>
    </row>
    <row r="4" spans="1:10" x14ac:dyDescent="0.35">
      <c r="H4" s="2" t="s">
        <v>643</v>
      </c>
      <c r="I4" s="477" t="s">
        <v>445</v>
      </c>
      <c r="J4" s="2" t="s">
        <v>568</v>
      </c>
    </row>
    <row r="5" spans="1:10" x14ac:dyDescent="0.35">
      <c r="A5" s="74" t="s">
        <v>487</v>
      </c>
      <c r="B5" s="74" t="s">
        <v>2</v>
      </c>
      <c r="C5" s="191" t="s">
        <v>124</v>
      </c>
      <c r="D5" s="191" t="s">
        <v>488</v>
      </c>
      <c r="E5" s="74" t="s">
        <v>489</v>
      </c>
      <c r="F5" s="74" t="s">
        <v>490</v>
      </c>
      <c r="H5" s="2"/>
      <c r="I5" s="477"/>
      <c r="J5" s="2"/>
    </row>
    <row r="6" spans="1:10" x14ac:dyDescent="0.35">
      <c r="A6" s="2">
        <v>1</v>
      </c>
      <c r="B6" s="71">
        <v>46116</v>
      </c>
      <c r="C6" s="7">
        <v>1000000</v>
      </c>
      <c r="D6" s="3">
        <f>C6</f>
        <v>1000000</v>
      </c>
      <c r="E6" s="2" t="s">
        <v>30</v>
      </c>
      <c r="F6" s="2">
        <v>2</v>
      </c>
      <c r="H6" s="2"/>
      <c r="I6" s="495" t="s">
        <v>537</v>
      </c>
      <c r="J6" s="3">
        <v>1545.2514876089715</v>
      </c>
    </row>
    <row r="7" spans="1:10" x14ac:dyDescent="0.35">
      <c r="A7" s="2">
        <v>2</v>
      </c>
      <c r="B7" s="71">
        <v>46186</v>
      </c>
      <c r="C7" s="3">
        <v>10000000</v>
      </c>
      <c r="D7" s="7">
        <f>D6+C7</f>
        <v>11000000</v>
      </c>
      <c r="E7" s="2" t="s">
        <v>30</v>
      </c>
      <c r="F7" s="2">
        <v>2</v>
      </c>
      <c r="H7" s="2"/>
      <c r="I7" s="495" t="s">
        <v>543</v>
      </c>
      <c r="J7" s="3">
        <v>3975.3570998410414</v>
      </c>
    </row>
    <row r="8" spans="1:10" x14ac:dyDescent="0.35">
      <c r="A8" s="2">
        <v>3</v>
      </c>
      <c r="B8" s="71"/>
      <c r="C8" s="7"/>
      <c r="D8" s="3"/>
      <c r="E8" s="2"/>
      <c r="F8" s="2"/>
      <c r="H8" s="2"/>
      <c r="I8" s="495" t="s">
        <v>681</v>
      </c>
      <c r="J8" s="3">
        <f>'DETAILS (sorted)'!DC78</f>
        <v>5635.6646449149666</v>
      </c>
    </row>
    <row r="9" spans="1:10" x14ac:dyDescent="0.35">
      <c r="A9" s="2">
        <v>4</v>
      </c>
      <c r="B9" s="71"/>
      <c r="C9" s="3"/>
      <c r="D9" s="3"/>
      <c r="E9" s="2"/>
      <c r="F9" s="2"/>
      <c r="H9" s="2"/>
      <c r="I9" s="495" t="s">
        <v>696</v>
      </c>
      <c r="J9" s="3">
        <f>'DETAILS (sorted)'!DD78</f>
        <v>3815.8802369838877</v>
      </c>
    </row>
    <row r="10" spans="1:10" x14ac:dyDescent="0.35">
      <c r="A10" s="2">
        <v>5</v>
      </c>
      <c r="B10" s="71"/>
      <c r="C10" s="3"/>
      <c r="D10" s="3"/>
      <c r="E10" s="2"/>
      <c r="F10" s="2"/>
      <c r="H10" s="2"/>
      <c r="I10" s="495" t="s">
        <v>887</v>
      </c>
      <c r="J10" s="10">
        <f>'DETAILS (sorted)'!DF78</f>
        <v>29493.514089801498</v>
      </c>
    </row>
    <row r="11" spans="1:10" x14ac:dyDescent="0.35">
      <c r="A11" s="2">
        <v>6</v>
      </c>
      <c r="B11" s="294"/>
      <c r="C11" s="3"/>
      <c r="D11" s="3"/>
      <c r="E11" s="2"/>
      <c r="F11" s="2"/>
      <c r="H11" s="2"/>
      <c r="I11" s="495" t="s">
        <v>889</v>
      </c>
      <c r="J11" s="10">
        <f>'DETAILS (sorted)'!DG78</f>
        <v>98478.617247761576</v>
      </c>
    </row>
    <row r="12" spans="1:10" x14ac:dyDescent="0.35">
      <c r="A12" s="2">
        <v>7</v>
      </c>
      <c r="B12" s="294"/>
      <c r="C12" s="3"/>
      <c r="D12" s="3"/>
      <c r="E12" s="2"/>
      <c r="F12" s="2"/>
      <c r="H12" s="2"/>
      <c r="I12" s="495" t="s">
        <v>891</v>
      </c>
      <c r="J12" s="10">
        <f>'DETAILS (sorted)'!DL78</f>
        <v>31869.395369720529</v>
      </c>
    </row>
    <row r="13" spans="1:10" x14ac:dyDescent="0.35">
      <c r="A13" s="2">
        <v>8</v>
      </c>
      <c r="B13" s="294"/>
      <c r="C13" s="3"/>
      <c r="D13" s="3"/>
      <c r="E13" s="2"/>
      <c r="F13" s="2"/>
      <c r="H13" s="2"/>
      <c r="I13" s="495" t="s">
        <v>894</v>
      </c>
      <c r="J13" s="10">
        <f>'DETAILS (sorted)'!DM78</f>
        <v>0</v>
      </c>
    </row>
    <row r="14" spans="1:10" x14ac:dyDescent="0.35">
      <c r="A14" s="2">
        <v>9</v>
      </c>
      <c r="B14" s="294"/>
      <c r="C14" s="3"/>
      <c r="D14" s="3"/>
      <c r="E14" s="2"/>
      <c r="F14" s="2"/>
      <c r="H14" s="2"/>
      <c r="I14" s="495" t="s">
        <v>893</v>
      </c>
      <c r="J14" s="10">
        <f>'DETAILS (sorted)'!DN78</f>
        <v>0</v>
      </c>
    </row>
    <row r="15" spans="1:10" x14ac:dyDescent="0.35">
      <c r="A15" s="2">
        <v>10</v>
      </c>
      <c r="B15" s="295"/>
      <c r="C15" s="205"/>
      <c r="D15" s="3"/>
      <c r="E15" s="2"/>
      <c r="F15" s="2"/>
      <c r="H15" s="2"/>
      <c r="I15" s="495" t="s">
        <v>895</v>
      </c>
      <c r="J15" s="10">
        <f>'DETAILS (sorted)'!DO78</f>
        <v>0</v>
      </c>
    </row>
    <row r="16" spans="1:10" x14ac:dyDescent="0.35">
      <c r="A16" s="2">
        <v>11</v>
      </c>
      <c r="B16" s="294"/>
      <c r="C16" s="3"/>
      <c r="D16" s="3"/>
      <c r="E16" s="2"/>
      <c r="F16" s="2"/>
      <c r="H16" s="2"/>
      <c r="I16" s="495" t="s">
        <v>897</v>
      </c>
      <c r="J16" s="10">
        <f>'DETAILS (sorted)'!DQ78</f>
        <v>0</v>
      </c>
    </row>
    <row r="17" spans="1:10" x14ac:dyDescent="0.35">
      <c r="A17" s="2"/>
      <c r="B17" s="2"/>
      <c r="C17" s="3"/>
      <c r="D17" s="3"/>
      <c r="E17" s="2"/>
      <c r="F17" s="2"/>
      <c r="H17" s="2"/>
      <c r="I17" s="495" t="s">
        <v>898</v>
      </c>
      <c r="J17" s="10">
        <f>'DETAILS (sorted)'!DR78</f>
        <v>0</v>
      </c>
    </row>
    <row r="18" spans="1:10" x14ac:dyDescent="0.35">
      <c r="A18" s="2"/>
      <c r="B18" s="2"/>
      <c r="C18" s="3"/>
      <c r="D18" s="3"/>
      <c r="E18" s="2"/>
      <c r="F18" s="2"/>
      <c r="H18" s="2"/>
      <c r="I18" s="477"/>
      <c r="J18" s="2"/>
    </row>
    <row r="19" spans="1:10" x14ac:dyDescent="0.35">
      <c r="A19" s="2"/>
      <c r="B19" s="2"/>
      <c r="C19" s="3"/>
      <c r="D19" s="3"/>
      <c r="E19" s="2"/>
      <c r="F19" s="2"/>
      <c r="H19" s="2"/>
      <c r="I19" s="477"/>
      <c r="J19" s="2"/>
    </row>
    <row r="20" spans="1:10" x14ac:dyDescent="0.35">
      <c r="A20" s="2"/>
      <c r="B20" s="2"/>
      <c r="C20" s="3"/>
      <c r="D20" s="3"/>
      <c r="E20" s="2"/>
      <c r="F20" s="2"/>
      <c r="H20" s="2"/>
      <c r="I20" s="477"/>
      <c r="J20" s="2"/>
    </row>
    <row r="21" spans="1:10" x14ac:dyDescent="0.35">
      <c r="A21" s="2"/>
      <c r="B21" s="2"/>
      <c r="C21" s="3"/>
      <c r="D21" s="3"/>
      <c r="E21" s="2"/>
      <c r="F21" s="2"/>
      <c r="H21" s="2"/>
      <c r="I21" s="477"/>
      <c r="J21" s="2"/>
    </row>
    <row r="22" spans="1:10" x14ac:dyDescent="0.35">
      <c r="A22" s="2"/>
      <c r="B22" s="2"/>
      <c r="C22" s="3"/>
      <c r="D22" s="3"/>
      <c r="E22" s="2"/>
      <c r="F22" s="2"/>
      <c r="H22" s="2"/>
      <c r="I22" s="477"/>
      <c r="J22" s="2"/>
    </row>
    <row r="23" spans="1:10" x14ac:dyDescent="0.35">
      <c r="A23" s="2"/>
      <c r="B23" s="2"/>
      <c r="C23" s="3"/>
      <c r="D23" s="3"/>
      <c r="E23" s="2"/>
      <c r="F23" s="2"/>
      <c r="H23" s="2"/>
      <c r="I23" s="477"/>
      <c r="J23" s="2"/>
    </row>
    <row r="24" spans="1:10" x14ac:dyDescent="0.35">
      <c r="A24" s="2"/>
      <c r="B24" s="2"/>
      <c r="C24" s="3"/>
      <c r="D24" s="3"/>
      <c r="E24" s="2"/>
      <c r="F24" s="2"/>
      <c r="H24" s="2"/>
      <c r="I24" s="477"/>
      <c r="J24" s="2"/>
    </row>
    <row r="25" spans="1:10" x14ac:dyDescent="0.35">
      <c r="A25" s="2"/>
      <c r="B25" s="2"/>
      <c r="C25" s="3">
        <f>SUM(C6:C24)</f>
        <v>11000000</v>
      </c>
      <c r="D25" s="3">
        <f>C25+J25</f>
        <v>11174813.680176632</v>
      </c>
      <c r="E25" s="3">
        <f>'DETAILS (sorted)'!DS78</f>
        <v>11289226.752892096</v>
      </c>
      <c r="F25" s="2">
        <f>D25-E25</f>
        <v>-114413.07271546312</v>
      </c>
      <c r="G25" t="b">
        <f>D25=E25</f>
        <v>0</v>
      </c>
      <c r="H25" s="2"/>
      <c r="I25" s="477"/>
      <c r="J25" s="22">
        <f>SUM(J6:J24)</f>
        <v>174813.68017663248</v>
      </c>
    </row>
    <row r="27" spans="1:10" x14ac:dyDescent="0.35">
      <c r="C27" s="191" t="s">
        <v>644</v>
      </c>
      <c r="D27" s="191">
        <f>C25+J25</f>
        <v>11174813.680176632</v>
      </c>
      <c r="E27" s="122">
        <f>D27/D28</f>
        <v>0.37249378933922106</v>
      </c>
      <c r="F27" s="2" t="s">
        <v>652</v>
      </c>
    </row>
    <row r="28" spans="1:10" x14ac:dyDescent="0.35">
      <c r="C28" s="3" t="s">
        <v>650</v>
      </c>
      <c r="D28" s="3">
        <v>30000000</v>
      </c>
      <c r="E28" s="122">
        <f>D28/D28</f>
        <v>1</v>
      </c>
      <c r="F28" s="2" t="s">
        <v>654</v>
      </c>
    </row>
    <row r="29" spans="1:10" x14ac:dyDescent="0.35">
      <c r="C29" s="3"/>
      <c r="D29" s="3">
        <f>D27-D28</f>
        <v>-18825186.319823369</v>
      </c>
      <c r="E29" s="122">
        <f>D29/D28</f>
        <v>-0.62750621066077894</v>
      </c>
      <c r="F29" s="2" t="s">
        <v>653</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8B1A2-6D8C-422E-8346-92D26903C786}">
  <dimension ref="A2:J29"/>
  <sheetViews>
    <sheetView topLeftCell="A5" workbookViewId="0">
      <selection activeCell="L11" sqref="L1:R1048576"/>
    </sheetView>
  </sheetViews>
  <sheetFormatPr defaultRowHeight="14.5" x14ac:dyDescent="0.35"/>
  <cols>
    <col min="1" max="1" width="8.1796875" bestFit="1" customWidth="1"/>
    <col min="2" max="2" width="14.26953125" bestFit="1" customWidth="1"/>
    <col min="3" max="3" width="11.3632812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5.81640625" bestFit="1" customWidth="1"/>
    <col min="10" max="10" width="10.1796875" bestFit="1" customWidth="1"/>
  </cols>
  <sheetData>
    <row r="2" spans="1:10" s="5" customFormat="1" x14ac:dyDescent="0.35">
      <c r="A2" s="74" t="s">
        <v>190</v>
      </c>
      <c r="B2" s="191" t="s">
        <v>0</v>
      </c>
      <c r="C2" s="191"/>
      <c r="D2" s="74" t="s">
        <v>1</v>
      </c>
      <c r="E2" s="75" t="s">
        <v>2</v>
      </c>
    </row>
    <row r="3" spans="1:10" s="1" customFormat="1" ht="28" x14ac:dyDescent="0.35">
      <c r="A3" s="311" t="s">
        <v>507</v>
      </c>
      <c r="B3" s="286" t="s">
        <v>508</v>
      </c>
      <c r="C3" s="7"/>
      <c r="D3" s="71"/>
      <c r="E3" s="11"/>
      <c r="F3" s="11"/>
    </row>
    <row r="4" spans="1:10" x14ac:dyDescent="0.35">
      <c r="H4" s="2" t="s">
        <v>643</v>
      </c>
      <c r="I4" s="2" t="s">
        <v>445</v>
      </c>
      <c r="J4" s="2" t="s">
        <v>568</v>
      </c>
    </row>
    <row r="5" spans="1:10" x14ac:dyDescent="0.35">
      <c r="A5" s="74" t="s">
        <v>487</v>
      </c>
      <c r="B5" s="74" t="s">
        <v>2</v>
      </c>
      <c r="C5" s="191" t="s">
        <v>124</v>
      </c>
      <c r="D5" s="191" t="s">
        <v>488</v>
      </c>
      <c r="E5" s="74" t="s">
        <v>489</v>
      </c>
      <c r="F5" s="74" t="s">
        <v>490</v>
      </c>
      <c r="H5" s="2"/>
      <c r="I5" s="2"/>
      <c r="J5" s="2"/>
    </row>
    <row r="6" spans="1:10" x14ac:dyDescent="0.35">
      <c r="A6" s="2">
        <v>1</v>
      </c>
      <c r="B6" s="71">
        <v>46140</v>
      </c>
      <c r="C6" s="7">
        <v>1000000</v>
      </c>
      <c r="D6" s="3">
        <f>C6</f>
        <v>1000000</v>
      </c>
      <c r="E6" s="2" t="s">
        <v>30</v>
      </c>
      <c r="F6" s="2">
        <v>2</v>
      </c>
      <c r="H6" s="2"/>
      <c r="I6" s="408" t="s">
        <v>537</v>
      </c>
      <c r="J6" s="10">
        <v>1545.2514876089715</v>
      </c>
    </row>
    <row r="7" spans="1:10" x14ac:dyDescent="0.35">
      <c r="A7" s="2">
        <v>2</v>
      </c>
      <c r="B7" s="71">
        <v>46162</v>
      </c>
      <c r="C7" s="3">
        <v>2300000</v>
      </c>
      <c r="D7" s="7">
        <f>D6+C7</f>
        <v>3300000</v>
      </c>
      <c r="E7" s="2" t="s">
        <v>30</v>
      </c>
      <c r="F7" s="2">
        <v>2</v>
      </c>
      <c r="H7" s="2"/>
      <c r="I7" s="408" t="s">
        <v>543</v>
      </c>
      <c r="J7" s="10">
        <v>3975.3570998410414</v>
      </c>
    </row>
    <row r="8" spans="1:10" ht="29" x14ac:dyDescent="0.35">
      <c r="A8" s="2">
        <v>3</v>
      </c>
      <c r="B8" s="71">
        <v>46179</v>
      </c>
      <c r="C8" s="7">
        <v>1000000</v>
      </c>
      <c r="D8" s="7">
        <f>D7+C8</f>
        <v>4300000</v>
      </c>
      <c r="E8" s="2" t="s">
        <v>30</v>
      </c>
      <c r="F8" s="2">
        <v>2</v>
      </c>
      <c r="H8" s="2"/>
      <c r="I8" s="225" t="s">
        <v>681</v>
      </c>
      <c r="J8" s="10">
        <f>'DETAILS (sorted)'!DC79</f>
        <v>18597.69332821939</v>
      </c>
    </row>
    <row r="9" spans="1:10" x14ac:dyDescent="0.35">
      <c r="A9" s="2">
        <v>4</v>
      </c>
      <c r="B9" s="71">
        <v>46191</v>
      </c>
      <c r="C9" s="3">
        <v>1000000</v>
      </c>
      <c r="D9" s="7">
        <f>D8+C9</f>
        <v>5300000</v>
      </c>
      <c r="E9" s="2" t="s">
        <v>30</v>
      </c>
      <c r="F9" s="2">
        <v>2</v>
      </c>
      <c r="H9" s="2"/>
      <c r="I9" s="225" t="s">
        <v>696</v>
      </c>
      <c r="J9" s="10">
        <f>'DETAILS (sorted)'!DD79</f>
        <v>12592.404782046828</v>
      </c>
    </row>
    <row r="10" spans="1:10" x14ac:dyDescent="0.35">
      <c r="A10" s="2">
        <v>5</v>
      </c>
      <c r="B10" s="71"/>
      <c r="C10" s="3"/>
      <c r="D10" s="3"/>
      <c r="E10" s="2"/>
      <c r="F10" s="2"/>
      <c r="H10" s="2"/>
      <c r="I10" s="408" t="s">
        <v>887</v>
      </c>
      <c r="J10" s="10">
        <f>'DETAILS (sorted)'!DF79</f>
        <v>14210.511334177085</v>
      </c>
    </row>
    <row r="11" spans="1:10" x14ac:dyDescent="0.35">
      <c r="A11" s="2">
        <v>6</v>
      </c>
      <c r="B11" s="294"/>
      <c r="C11" s="3"/>
      <c r="D11" s="3"/>
      <c r="E11" s="2"/>
      <c r="F11" s="2"/>
      <c r="H11" s="2"/>
      <c r="I11" s="408" t="s">
        <v>889</v>
      </c>
      <c r="J11" s="10">
        <f>'DETAILS (sorted)'!DG79</f>
        <v>47448.788310285126</v>
      </c>
    </row>
    <row r="12" spans="1:10" x14ac:dyDescent="0.35">
      <c r="A12" s="2">
        <v>7</v>
      </c>
      <c r="B12" s="294"/>
      <c r="C12" s="3"/>
      <c r="D12" s="3"/>
      <c r="E12" s="2"/>
      <c r="F12" s="2"/>
      <c r="H12" s="2"/>
      <c r="I12" s="408" t="s">
        <v>891</v>
      </c>
      <c r="J12" s="10">
        <f>'DETAILS (sorted)'!DL79</f>
        <v>15439.616647705494</v>
      </c>
    </row>
    <row r="13" spans="1:10" x14ac:dyDescent="0.35">
      <c r="A13" s="2">
        <v>8</v>
      </c>
      <c r="B13" s="294"/>
      <c r="C13" s="3"/>
      <c r="D13" s="3"/>
      <c r="E13" s="2"/>
      <c r="F13" s="2"/>
      <c r="H13" s="2"/>
      <c r="I13" s="408" t="s">
        <v>894</v>
      </c>
      <c r="J13" s="10">
        <f>'DETAILS (sorted)'!DM79</f>
        <v>0</v>
      </c>
    </row>
    <row r="14" spans="1:10" x14ac:dyDescent="0.35">
      <c r="A14" s="2">
        <v>9</v>
      </c>
      <c r="B14" s="294"/>
      <c r="C14" s="3"/>
      <c r="D14" s="3"/>
      <c r="E14" s="2"/>
      <c r="F14" s="2"/>
      <c r="H14" s="2"/>
      <c r="I14" s="408" t="s">
        <v>893</v>
      </c>
      <c r="J14" s="10">
        <f>'DETAILS (sorted)'!DN79</f>
        <v>0</v>
      </c>
    </row>
    <row r="15" spans="1:10" x14ac:dyDescent="0.35">
      <c r="A15" s="2">
        <v>10</v>
      </c>
      <c r="B15" s="295"/>
      <c r="C15" s="205"/>
      <c r="D15" s="3"/>
      <c r="E15" s="2"/>
      <c r="F15" s="2"/>
      <c r="H15" s="2"/>
      <c r="I15" s="408" t="s">
        <v>895</v>
      </c>
      <c r="J15" s="10">
        <f>'DETAILS (sorted)'!DO79</f>
        <v>0</v>
      </c>
    </row>
    <row r="16" spans="1:10" x14ac:dyDescent="0.35">
      <c r="A16" s="2">
        <v>11</v>
      </c>
      <c r="B16" s="294"/>
      <c r="C16" s="3"/>
      <c r="D16" s="3"/>
      <c r="E16" s="2"/>
      <c r="F16" s="2"/>
      <c r="H16" s="2"/>
      <c r="I16" s="408" t="s">
        <v>897</v>
      </c>
      <c r="J16" s="10">
        <f>'DETAILS (sorted)'!DQ79</f>
        <v>0</v>
      </c>
    </row>
    <row r="17" spans="1:10" x14ac:dyDescent="0.35">
      <c r="A17" s="2"/>
      <c r="B17" s="2"/>
      <c r="C17" s="3"/>
      <c r="D17" s="3"/>
      <c r="E17" s="2"/>
      <c r="F17" s="2"/>
      <c r="H17" s="2"/>
      <c r="I17" s="408" t="s">
        <v>898</v>
      </c>
      <c r="J17" s="10">
        <f>'DETAILS (sorted)'!DR79</f>
        <v>0</v>
      </c>
    </row>
    <row r="18" spans="1:10" x14ac:dyDescent="0.35">
      <c r="A18" s="2"/>
      <c r="B18" s="2"/>
      <c r="C18" s="3"/>
      <c r="D18" s="3"/>
      <c r="E18" s="2"/>
      <c r="F18" s="2"/>
      <c r="H18" s="2"/>
      <c r="I18" s="2"/>
      <c r="J18" s="2"/>
    </row>
    <row r="19" spans="1:10" x14ac:dyDescent="0.35">
      <c r="A19" s="2"/>
      <c r="B19" s="2"/>
      <c r="C19" s="3"/>
      <c r="D19" s="3"/>
      <c r="E19" s="2"/>
      <c r="F19" s="2"/>
      <c r="H19" s="2"/>
      <c r="I19" s="2"/>
      <c r="J19" s="2"/>
    </row>
    <row r="20" spans="1:10" x14ac:dyDescent="0.35">
      <c r="A20" s="2"/>
      <c r="B20" s="2"/>
      <c r="C20" s="3"/>
      <c r="D20" s="3"/>
      <c r="E20" s="2"/>
      <c r="F20" s="2"/>
      <c r="H20" s="2"/>
      <c r="I20" s="2"/>
      <c r="J20" s="2"/>
    </row>
    <row r="21" spans="1:10" x14ac:dyDescent="0.35">
      <c r="A21" s="2"/>
      <c r="B21" s="2"/>
      <c r="C21" s="3"/>
      <c r="D21" s="3"/>
      <c r="E21" s="2"/>
      <c r="F21" s="2"/>
      <c r="H21" s="2"/>
      <c r="I21" s="2"/>
      <c r="J21" s="2"/>
    </row>
    <row r="22" spans="1:10" x14ac:dyDescent="0.35">
      <c r="A22" s="2"/>
      <c r="B22" s="2"/>
      <c r="C22" s="3"/>
      <c r="D22" s="3"/>
      <c r="E22" s="2"/>
      <c r="F22" s="2"/>
      <c r="H22" s="2"/>
      <c r="I22" s="2"/>
      <c r="J22" s="2"/>
    </row>
    <row r="23" spans="1:10" x14ac:dyDescent="0.35">
      <c r="A23" s="2"/>
      <c r="B23" s="2"/>
      <c r="C23" s="3"/>
      <c r="D23" s="3"/>
      <c r="E23" s="2"/>
      <c r="F23" s="2"/>
      <c r="H23" s="2"/>
      <c r="I23" s="2"/>
      <c r="J23" s="2"/>
    </row>
    <row r="24" spans="1:10" x14ac:dyDescent="0.35">
      <c r="A24" s="2"/>
      <c r="B24" s="2"/>
      <c r="C24" s="3"/>
      <c r="D24" s="3"/>
      <c r="E24" s="2"/>
      <c r="F24" s="2"/>
      <c r="H24" s="2"/>
      <c r="I24" s="2"/>
      <c r="J24" s="2"/>
    </row>
    <row r="25" spans="1:10" x14ac:dyDescent="0.35">
      <c r="A25" s="2"/>
      <c r="B25" s="2"/>
      <c r="C25" s="3">
        <f>SUM(C6:C24)</f>
        <v>5300000</v>
      </c>
      <c r="D25" s="3">
        <f>C25+J25</f>
        <v>5413809.6229898836</v>
      </c>
      <c r="E25" s="3">
        <f>'DETAILS (sorted)'!DS79</f>
        <v>5469238.7882350823</v>
      </c>
      <c r="F25" s="22">
        <f>D25-E25</f>
        <v>-55429.165245198645</v>
      </c>
      <c r="G25" t="b">
        <f>D25=E25</f>
        <v>0</v>
      </c>
      <c r="H25" s="2"/>
      <c r="I25" s="2"/>
      <c r="J25" s="22">
        <f>SUM(J6:J24)</f>
        <v>113809.62298988394</v>
      </c>
    </row>
    <row r="27" spans="1:10" x14ac:dyDescent="0.35">
      <c r="C27" s="191" t="s">
        <v>644</v>
      </c>
      <c r="D27" s="191">
        <f>C25+J25</f>
        <v>5413809.6229898836</v>
      </c>
      <c r="E27" s="122">
        <f>D27/D28</f>
        <v>0.54138096229898836</v>
      </c>
      <c r="F27" s="2" t="s">
        <v>652</v>
      </c>
    </row>
    <row r="28" spans="1:10" x14ac:dyDescent="0.35">
      <c r="C28" s="3" t="s">
        <v>650</v>
      </c>
      <c r="D28" s="3">
        <v>10000000</v>
      </c>
      <c r="E28" s="122">
        <f>D28/D28</f>
        <v>1</v>
      </c>
      <c r="F28" s="2" t="s">
        <v>654</v>
      </c>
    </row>
    <row r="29" spans="1:10" x14ac:dyDescent="0.35">
      <c r="C29" s="3"/>
      <c r="D29" s="3">
        <f>D27-D28</f>
        <v>-4586190.3770101164</v>
      </c>
      <c r="E29" s="122">
        <f>D29/D28</f>
        <v>-0.45861903770101164</v>
      </c>
      <c r="F29" s="2" t="s">
        <v>653</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344E-0030-4A58-BED8-CA07E8AEFE26}">
  <dimension ref="A2:J29"/>
  <sheetViews>
    <sheetView topLeftCell="A19" workbookViewId="0">
      <selection activeCell="N16" sqref="N16"/>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8.1796875" bestFit="1" customWidth="1"/>
    <col min="9" max="9" width="25.81640625" style="479" customWidth="1"/>
    <col min="10" max="10" width="11.1796875" style="547" bestFit="1" customWidth="1"/>
  </cols>
  <sheetData>
    <row r="2" spans="1:10" s="5" customFormat="1" ht="28" customHeight="1" x14ac:dyDescent="0.35">
      <c r="A2" s="74" t="s">
        <v>190</v>
      </c>
      <c r="B2" s="191" t="s">
        <v>0</v>
      </c>
      <c r="C2" s="191"/>
      <c r="D2" s="74" t="s">
        <v>1</v>
      </c>
      <c r="E2" s="75" t="s">
        <v>2</v>
      </c>
      <c r="I2" s="479"/>
      <c r="J2" s="551"/>
    </row>
    <row r="3" spans="1:10" ht="28" x14ac:dyDescent="0.35">
      <c r="A3" s="311" t="s">
        <v>511</v>
      </c>
      <c r="B3" s="7" t="s">
        <v>512</v>
      </c>
      <c r="C3" s="7"/>
      <c r="D3" s="71"/>
      <c r="E3" s="11"/>
      <c r="F3" s="11"/>
    </row>
    <row r="4" spans="1:10" x14ac:dyDescent="0.35">
      <c r="H4" s="2" t="s">
        <v>643</v>
      </c>
      <c r="I4" s="477" t="s">
        <v>445</v>
      </c>
      <c r="J4" s="537" t="s">
        <v>568</v>
      </c>
    </row>
    <row r="5" spans="1:10" x14ac:dyDescent="0.35">
      <c r="A5" s="74" t="s">
        <v>487</v>
      </c>
      <c r="B5" s="74" t="s">
        <v>2</v>
      </c>
      <c r="C5" s="191" t="s">
        <v>124</v>
      </c>
      <c r="D5" s="191" t="s">
        <v>488</v>
      </c>
      <c r="E5" s="74" t="s">
        <v>489</v>
      </c>
      <c r="F5" s="74" t="s">
        <v>490</v>
      </c>
      <c r="H5" s="2"/>
      <c r="I5" s="477"/>
      <c r="J5" s="537"/>
    </row>
    <row r="6" spans="1:10" x14ac:dyDescent="0.35">
      <c r="A6" s="2">
        <v>1</v>
      </c>
      <c r="B6" s="71">
        <v>46141</v>
      </c>
      <c r="C6" s="3">
        <v>4200000</v>
      </c>
      <c r="D6" s="3">
        <f>C6</f>
        <v>4200000</v>
      </c>
      <c r="E6" s="2" t="s">
        <v>30</v>
      </c>
      <c r="F6" s="2">
        <v>2</v>
      </c>
      <c r="H6" s="2"/>
      <c r="I6" s="495" t="s">
        <v>537</v>
      </c>
      <c r="J6" s="537">
        <v>10353.184966980099</v>
      </c>
    </row>
    <row r="7" spans="1:10" x14ac:dyDescent="0.35">
      <c r="A7" s="2">
        <v>2</v>
      </c>
      <c r="B7" s="71">
        <v>46142</v>
      </c>
      <c r="C7" s="3">
        <v>2500000</v>
      </c>
      <c r="D7" s="3">
        <f t="shared" ref="D7:D10" si="0">C7</f>
        <v>2500000</v>
      </c>
      <c r="E7" s="2" t="s">
        <v>30</v>
      </c>
      <c r="F7" s="2">
        <v>2</v>
      </c>
      <c r="H7" s="2"/>
      <c r="I7" s="495" t="s">
        <v>543</v>
      </c>
      <c r="J7" s="537">
        <v>26634.892568934974</v>
      </c>
    </row>
    <row r="8" spans="1:10" x14ac:dyDescent="0.35">
      <c r="A8" s="2">
        <v>3</v>
      </c>
      <c r="B8" s="71">
        <v>46149</v>
      </c>
      <c r="C8" s="7">
        <f>1000000</f>
        <v>1000000</v>
      </c>
      <c r="D8" s="3">
        <f t="shared" si="0"/>
        <v>1000000</v>
      </c>
      <c r="E8" s="2" t="s">
        <v>30</v>
      </c>
      <c r="F8" s="2">
        <v>2</v>
      </c>
      <c r="H8" s="2"/>
      <c r="I8" s="495" t="s">
        <v>681</v>
      </c>
      <c r="J8" s="537">
        <f>'DETAILS (sorted)'!DC80</f>
        <v>65937.276345505103</v>
      </c>
    </row>
    <row r="9" spans="1:10" x14ac:dyDescent="0.35">
      <c r="A9" s="2">
        <v>4</v>
      </c>
      <c r="B9" s="71">
        <v>46156</v>
      </c>
      <c r="C9" s="3">
        <v>1000000</v>
      </c>
      <c r="D9" s="3">
        <f t="shared" si="0"/>
        <v>1000000</v>
      </c>
      <c r="E9" s="2" t="s">
        <v>30</v>
      </c>
      <c r="F9" s="2">
        <v>2</v>
      </c>
      <c r="H9" s="2"/>
      <c r="I9" s="495" t="s">
        <v>696</v>
      </c>
      <c r="J9" s="537">
        <f>'DETAILS (sorted)'!DD80</f>
        <v>44645.798772711481</v>
      </c>
    </row>
    <row r="10" spans="1:10" x14ac:dyDescent="0.35">
      <c r="A10" s="2">
        <v>5</v>
      </c>
      <c r="B10" s="71">
        <v>46157</v>
      </c>
      <c r="C10" s="3">
        <v>2000000</v>
      </c>
      <c r="D10" s="3">
        <f t="shared" si="0"/>
        <v>2000000</v>
      </c>
      <c r="E10" s="2" t="s">
        <v>30</v>
      </c>
      <c r="F10" s="2">
        <v>2</v>
      </c>
      <c r="H10" s="2"/>
      <c r="I10" s="495" t="s">
        <v>887</v>
      </c>
      <c r="J10" s="537">
        <f>'DETAILS (sorted)'!DF80</f>
        <v>31370.374077334316</v>
      </c>
    </row>
    <row r="11" spans="1:10" x14ac:dyDescent="0.35">
      <c r="A11" s="2">
        <v>6</v>
      </c>
      <c r="B11" s="71">
        <v>46172</v>
      </c>
      <c r="C11" s="3">
        <v>1000000</v>
      </c>
      <c r="D11" s="3">
        <f t="shared" ref="D11:D12" si="1">C11</f>
        <v>1000000</v>
      </c>
      <c r="E11" s="2" t="s">
        <v>30</v>
      </c>
      <c r="F11" s="2">
        <v>2</v>
      </c>
      <c r="H11" s="2"/>
      <c r="I11" s="495" t="s">
        <v>889</v>
      </c>
      <c r="J11" s="537">
        <f>'DETAILS (sorted)'!DG80</f>
        <v>104745.4383453464</v>
      </c>
    </row>
    <row r="12" spans="1:10" x14ac:dyDescent="0.35">
      <c r="A12" s="2">
        <v>7</v>
      </c>
      <c r="B12" s="71">
        <v>46207</v>
      </c>
      <c r="C12" s="3">
        <v>500000</v>
      </c>
      <c r="D12" s="3">
        <f t="shared" si="1"/>
        <v>500000</v>
      </c>
      <c r="E12" s="2" t="s">
        <v>30</v>
      </c>
      <c r="F12" s="2">
        <v>2</v>
      </c>
      <c r="H12" s="2"/>
      <c r="I12" s="495" t="s">
        <v>891</v>
      </c>
      <c r="J12" s="537">
        <f>'DETAILS (sorted)'!DL80</f>
        <v>35703.98858624047</v>
      </c>
    </row>
    <row r="13" spans="1:10" x14ac:dyDescent="0.35">
      <c r="A13" s="2">
        <v>8</v>
      </c>
      <c r="B13" s="294"/>
      <c r="C13" s="3"/>
      <c r="D13" s="3"/>
      <c r="E13" s="2"/>
      <c r="F13" s="2"/>
      <c r="H13" s="2"/>
      <c r="I13" s="495" t="s">
        <v>894</v>
      </c>
      <c r="J13" s="537">
        <f>'DETAILS (sorted)'!DM80</f>
        <v>0</v>
      </c>
    </row>
    <row r="14" spans="1:10" x14ac:dyDescent="0.35">
      <c r="A14" s="2">
        <v>9</v>
      </c>
      <c r="B14" s="294"/>
      <c r="C14" s="3"/>
      <c r="D14" s="3"/>
      <c r="E14" s="2"/>
      <c r="F14" s="2"/>
      <c r="H14" s="2"/>
      <c r="I14" s="495" t="s">
        <v>893</v>
      </c>
      <c r="J14" s="537">
        <f>'DETAILS (sorted)'!DN80</f>
        <v>0</v>
      </c>
    </row>
    <row r="15" spans="1:10" x14ac:dyDescent="0.35">
      <c r="A15" s="2">
        <v>10</v>
      </c>
      <c r="B15" s="295"/>
      <c r="C15" s="205"/>
      <c r="D15" s="3"/>
      <c r="E15" s="2"/>
      <c r="F15" s="2"/>
      <c r="H15" s="2"/>
      <c r="I15" s="495" t="s">
        <v>895</v>
      </c>
      <c r="J15" s="537">
        <f>'DETAILS (sorted)'!DO80</f>
        <v>0</v>
      </c>
    </row>
    <row r="16" spans="1:10" x14ac:dyDescent="0.35">
      <c r="A16" s="2">
        <v>11</v>
      </c>
      <c r="B16" s="294"/>
      <c r="C16" s="3"/>
      <c r="D16" s="3"/>
      <c r="E16" s="2"/>
      <c r="F16" s="2"/>
      <c r="H16" s="2"/>
      <c r="I16" s="495" t="s">
        <v>897</v>
      </c>
      <c r="J16" s="537">
        <f>'DETAILS (sorted)'!DQ80</f>
        <v>0</v>
      </c>
    </row>
    <row r="17" spans="1:10" x14ac:dyDescent="0.35">
      <c r="A17" s="2"/>
      <c r="B17" s="2"/>
      <c r="C17" s="3"/>
      <c r="D17" s="3"/>
      <c r="E17" s="2"/>
      <c r="F17" s="2"/>
      <c r="H17" s="2"/>
      <c r="I17" s="495" t="s">
        <v>898</v>
      </c>
      <c r="J17" s="537">
        <f>'DETAILS (sorted)'!DR80</f>
        <v>0</v>
      </c>
    </row>
    <row r="18" spans="1:10" x14ac:dyDescent="0.35">
      <c r="A18" s="2"/>
      <c r="B18" s="2"/>
      <c r="C18" s="3"/>
      <c r="D18" s="3"/>
      <c r="E18" s="2"/>
      <c r="F18" s="2"/>
      <c r="H18" s="2"/>
      <c r="I18" s="477"/>
      <c r="J18" s="537"/>
    </row>
    <row r="19" spans="1:10" x14ac:dyDescent="0.35">
      <c r="A19" s="2"/>
      <c r="B19" s="2"/>
      <c r="C19" s="3"/>
      <c r="D19" s="3"/>
      <c r="E19" s="2"/>
      <c r="F19" s="2"/>
      <c r="H19" s="2"/>
      <c r="I19" s="477"/>
      <c r="J19" s="537"/>
    </row>
    <row r="20" spans="1:10" x14ac:dyDescent="0.35">
      <c r="A20" s="2"/>
      <c r="B20" s="2"/>
      <c r="C20" s="3"/>
      <c r="D20" s="3"/>
      <c r="E20" s="2"/>
      <c r="F20" s="2"/>
      <c r="H20" s="2"/>
      <c r="I20" s="477"/>
      <c r="J20" s="537"/>
    </row>
    <row r="21" spans="1:10" x14ac:dyDescent="0.35">
      <c r="A21" s="2"/>
      <c r="B21" s="2"/>
      <c r="C21" s="3"/>
      <c r="D21" s="3"/>
      <c r="E21" s="2"/>
      <c r="F21" s="2"/>
      <c r="H21" s="2"/>
      <c r="I21" s="477"/>
      <c r="J21" s="537"/>
    </row>
    <row r="22" spans="1:10" x14ac:dyDescent="0.35">
      <c r="A22" s="2"/>
      <c r="B22" s="2"/>
      <c r="C22" s="3"/>
      <c r="D22" s="3"/>
      <c r="E22" s="2"/>
      <c r="F22" s="2"/>
      <c r="H22" s="2"/>
      <c r="I22" s="477"/>
      <c r="J22" s="537"/>
    </row>
    <row r="23" spans="1:10" x14ac:dyDescent="0.35">
      <c r="A23" s="2"/>
      <c r="B23" s="2"/>
      <c r="C23" s="3"/>
      <c r="D23" s="3"/>
      <c r="E23" s="2"/>
      <c r="F23" s="2"/>
      <c r="H23" s="2"/>
      <c r="I23" s="477"/>
      <c r="J23" s="537"/>
    </row>
    <row r="24" spans="1:10" x14ac:dyDescent="0.35">
      <c r="A24" s="2"/>
      <c r="B24" s="2"/>
      <c r="C24" s="3"/>
      <c r="D24" s="3"/>
      <c r="E24" s="2"/>
      <c r="F24" s="2"/>
      <c r="H24" s="2"/>
      <c r="I24" s="477"/>
      <c r="J24" s="537"/>
    </row>
    <row r="25" spans="1:10" x14ac:dyDescent="0.35">
      <c r="A25" s="2"/>
      <c r="B25" s="2"/>
      <c r="C25" s="3">
        <f>SUM(C6:C24)</f>
        <v>12200000</v>
      </c>
      <c r="D25" s="3">
        <f>C25+J25</f>
        <v>12519390.953663053</v>
      </c>
      <c r="E25" s="3">
        <f>'DETAILS (sorted)'!DS80</f>
        <v>12647570.449852392</v>
      </c>
      <c r="F25" s="2">
        <f>D25-E25</f>
        <v>-128179.49618933909</v>
      </c>
      <c r="G25" t="b">
        <f>D25=E25</f>
        <v>0</v>
      </c>
      <c r="H25" s="2"/>
      <c r="I25" s="477"/>
      <c r="J25" s="537">
        <f>SUM(J6:J24)</f>
        <v>319390.95366305276</v>
      </c>
    </row>
    <row r="27" spans="1:10" x14ac:dyDescent="0.35">
      <c r="C27" s="191" t="s">
        <v>644</v>
      </c>
      <c r="D27" s="191">
        <f>C25+J25</f>
        <v>12519390.953663053</v>
      </c>
      <c r="E27" s="122">
        <f>D27/D28</f>
        <v>0.41731303178876844</v>
      </c>
      <c r="F27" s="2" t="s">
        <v>652</v>
      </c>
    </row>
    <row r="28" spans="1:10" x14ac:dyDescent="0.35">
      <c r="C28" s="3" t="s">
        <v>650</v>
      </c>
      <c r="D28" s="3">
        <v>30000000</v>
      </c>
      <c r="E28" s="122">
        <f>D28/D28</f>
        <v>1</v>
      </c>
      <c r="F28" s="2" t="s">
        <v>654</v>
      </c>
    </row>
    <row r="29" spans="1:10" x14ac:dyDescent="0.35">
      <c r="C29" s="3"/>
      <c r="D29" s="3">
        <f>D27-D28</f>
        <v>-17480609.046336949</v>
      </c>
      <c r="E29" s="122">
        <f>D29/D28</f>
        <v>-0.58268696821123167</v>
      </c>
      <c r="F29" s="2" t="s">
        <v>653</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DFD86-96FD-4A49-A716-AB4A245BE5A4}">
  <dimension ref="A2:J29"/>
  <sheetViews>
    <sheetView topLeftCell="A3" workbookViewId="0">
      <selection activeCell="J13" sqref="J1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8.1796875" bestFit="1" customWidth="1"/>
    <col min="8" max="8" width="0" hidden="1" customWidth="1"/>
    <col min="9" max="9" width="20.1796875" customWidth="1"/>
    <col min="10" max="10" width="10.1796875" bestFit="1" customWidth="1"/>
  </cols>
  <sheetData>
    <row r="2" spans="1:10" s="5" customFormat="1" ht="28" customHeight="1" x14ac:dyDescent="0.35">
      <c r="A2" s="74" t="s">
        <v>190</v>
      </c>
      <c r="B2" s="191" t="s">
        <v>0</v>
      </c>
      <c r="C2" s="191"/>
      <c r="D2" s="74" t="s">
        <v>1</v>
      </c>
      <c r="E2" s="75" t="s">
        <v>2</v>
      </c>
    </row>
    <row r="3" spans="1:10" ht="28" x14ac:dyDescent="0.35">
      <c r="A3" s="311" t="s">
        <v>545</v>
      </c>
      <c r="B3" s="286" t="s">
        <v>877</v>
      </c>
      <c r="C3" s="7"/>
      <c r="D3" s="71"/>
      <c r="E3" s="11"/>
      <c r="F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ht="26.5" x14ac:dyDescent="0.35">
      <c r="A6" s="2">
        <v>1</v>
      </c>
      <c r="B6" s="71">
        <v>46149</v>
      </c>
      <c r="C6" s="3">
        <v>300000</v>
      </c>
      <c r="D6" s="3">
        <f>C6</f>
        <v>300000</v>
      </c>
      <c r="E6" s="2" t="s">
        <v>30</v>
      </c>
      <c r="F6" s="2">
        <v>2</v>
      </c>
      <c r="H6" s="2"/>
      <c r="I6" s="495" t="s">
        <v>537</v>
      </c>
      <c r="J6" s="10"/>
    </row>
    <row r="7" spans="1:10" x14ac:dyDescent="0.35">
      <c r="A7" s="2">
        <v>2</v>
      </c>
      <c r="B7" s="71">
        <v>46153</v>
      </c>
      <c r="C7" s="3">
        <v>100000</v>
      </c>
      <c r="D7" s="3">
        <f>D6+C7</f>
        <v>400000</v>
      </c>
      <c r="E7" s="2" t="s">
        <v>30</v>
      </c>
      <c r="F7" s="2">
        <v>2</v>
      </c>
      <c r="H7" s="2"/>
      <c r="I7" s="495" t="s">
        <v>543</v>
      </c>
      <c r="J7" s="10"/>
    </row>
    <row r="8" spans="1:10" ht="26.5" x14ac:dyDescent="0.35">
      <c r="A8" s="2">
        <v>3</v>
      </c>
      <c r="B8" s="71">
        <v>46157</v>
      </c>
      <c r="C8" s="3">
        <v>100000</v>
      </c>
      <c r="D8" s="3">
        <f t="shared" ref="D8:D13" si="0">D7+C8</f>
        <v>500000</v>
      </c>
      <c r="E8" s="2" t="s">
        <v>30</v>
      </c>
      <c r="F8" s="2">
        <v>2</v>
      </c>
      <c r="H8" s="2"/>
      <c r="I8" s="462" t="s">
        <v>681</v>
      </c>
      <c r="J8" s="10">
        <f>'DETAILS (sorted)'!DC81</f>
        <v>2817.8323224574833</v>
      </c>
    </row>
    <row r="9" spans="1:10" x14ac:dyDescent="0.35">
      <c r="A9" s="2">
        <v>4</v>
      </c>
      <c r="B9" s="71">
        <v>46176</v>
      </c>
      <c r="C9" s="3">
        <v>200000</v>
      </c>
      <c r="D9" s="3">
        <f t="shared" si="0"/>
        <v>700000</v>
      </c>
      <c r="E9" s="2" t="s">
        <v>30</v>
      </c>
      <c r="F9" s="2">
        <v>2</v>
      </c>
      <c r="H9" s="2"/>
      <c r="I9" s="462" t="s">
        <v>696</v>
      </c>
      <c r="J9" s="10">
        <f>'DETAILS (sorted)'!DD81</f>
        <v>1907.9401184919438</v>
      </c>
    </row>
    <row r="10" spans="1:10" x14ac:dyDescent="0.35">
      <c r="A10" s="2">
        <v>5</v>
      </c>
      <c r="B10" s="71">
        <v>46187</v>
      </c>
      <c r="C10" s="3">
        <v>500000</v>
      </c>
      <c r="D10" s="3">
        <f t="shared" si="0"/>
        <v>1200000</v>
      </c>
      <c r="E10" s="2" t="s">
        <v>30</v>
      </c>
      <c r="F10" s="2">
        <v>2</v>
      </c>
      <c r="H10" s="2"/>
      <c r="I10" s="408" t="s">
        <v>887</v>
      </c>
      <c r="J10" s="10">
        <f>'DETAILS (sorted)'!DF81</f>
        <v>13674.265623453421</v>
      </c>
    </row>
    <row r="11" spans="1:10" x14ac:dyDescent="0.35">
      <c r="A11" s="2">
        <v>6</v>
      </c>
      <c r="B11" s="71">
        <v>46187</v>
      </c>
      <c r="C11" s="3">
        <v>300000</v>
      </c>
      <c r="D11" s="3">
        <f t="shared" si="0"/>
        <v>1500000</v>
      </c>
      <c r="E11" s="2" t="s">
        <v>30</v>
      </c>
      <c r="F11" s="2">
        <v>2</v>
      </c>
      <c r="H11" s="2"/>
      <c r="I11" s="408" t="s">
        <v>889</v>
      </c>
      <c r="J11" s="10">
        <f>'DETAILS (sorted)'!DG81</f>
        <v>45658.267996689458</v>
      </c>
    </row>
    <row r="12" spans="1:10" x14ac:dyDescent="0.35">
      <c r="A12" s="2">
        <v>7</v>
      </c>
      <c r="B12" s="71">
        <v>46190</v>
      </c>
      <c r="C12" s="3">
        <v>500000</v>
      </c>
      <c r="D12" s="3">
        <f t="shared" si="0"/>
        <v>2000000</v>
      </c>
      <c r="E12" s="2" t="s">
        <v>30</v>
      </c>
      <c r="F12" s="2">
        <v>2</v>
      </c>
      <c r="H12" s="2"/>
      <c r="I12" s="408" t="s">
        <v>891</v>
      </c>
      <c r="J12" s="10">
        <f>'DETAILS (sorted)'!DL81</f>
        <v>15341.483415220771</v>
      </c>
    </row>
    <row r="13" spans="1:10" x14ac:dyDescent="0.35">
      <c r="A13" s="2">
        <v>8</v>
      </c>
      <c r="B13" s="71">
        <v>46198</v>
      </c>
      <c r="C13" s="3">
        <v>100000</v>
      </c>
      <c r="D13" s="3">
        <f t="shared" si="0"/>
        <v>2100000</v>
      </c>
      <c r="E13" s="2" t="s">
        <v>30</v>
      </c>
      <c r="F13" s="2">
        <v>2</v>
      </c>
      <c r="H13" s="2"/>
      <c r="I13" s="408" t="s">
        <v>894</v>
      </c>
      <c r="J13" s="10">
        <f>'DETAILS (sorted)'!DM81</f>
        <v>0</v>
      </c>
    </row>
    <row r="14" spans="1:10" x14ac:dyDescent="0.35">
      <c r="A14" s="2">
        <v>9</v>
      </c>
      <c r="B14" s="71">
        <v>46202</v>
      </c>
      <c r="C14" s="3">
        <v>3000000</v>
      </c>
      <c r="D14" s="3">
        <f t="shared" ref="D14" si="1">D13+C14</f>
        <v>5100000</v>
      </c>
      <c r="E14" s="2" t="s">
        <v>30</v>
      </c>
      <c r="F14" s="2">
        <v>2</v>
      </c>
      <c r="H14" s="2"/>
      <c r="I14" s="408" t="s">
        <v>893</v>
      </c>
      <c r="J14" s="10">
        <f>'DETAILS (sorted)'!DN81</f>
        <v>0</v>
      </c>
    </row>
    <row r="15" spans="1:10" ht="29" x14ac:dyDescent="0.35">
      <c r="A15" s="2">
        <v>10</v>
      </c>
      <c r="B15" s="295"/>
      <c r="C15" s="205"/>
      <c r="D15" s="3"/>
      <c r="E15" s="2"/>
      <c r="F15" s="2"/>
      <c r="H15" s="2"/>
      <c r="I15" s="408" t="s">
        <v>895</v>
      </c>
      <c r="J15" s="10">
        <f>'DETAILS (sorted)'!DO81</f>
        <v>0</v>
      </c>
    </row>
    <row r="16" spans="1:10" x14ac:dyDescent="0.35">
      <c r="A16" s="2">
        <v>11</v>
      </c>
      <c r="B16" s="294"/>
      <c r="C16" s="3"/>
      <c r="D16" s="3"/>
      <c r="E16" s="2"/>
      <c r="F16" s="2"/>
      <c r="H16" s="2"/>
      <c r="I16" s="408" t="s">
        <v>897</v>
      </c>
      <c r="J16" s="10">
        <f>'DETAILS (sorted)'!DQ81</f>
        <v>0</v>
      </c>
    </row>
    <row r="17" spans="1:10" hidden="1" x14ac:dyDescent="0.35">
      <c r="A17" s="2"/>
      <c r="B17" s="2"/>
      <c r="C17" s="3"/>
      <c r="D17" s="3"/>
      <c r="E17" s="2"/>
      <c r="F17" s="2"/>
      <c r="H17" s="2"/>
      <c r="I17" s="408" t="s">
        <v>898</v>
      </c>
      <c r="J17" s="10">
        <f>'DETAILS (sorted)'!DR84</f>
        <v>0</v>
      </c>
    </row>
    <row r="18" spans="1:10" hidden="1" x14ac:dyDescent="0.35">
      <c r="A18" s="2"/>
      <c r="B18" s="2"/>
      <c r="C18" s="3"/>
      <c r="D18" s="3"/>
      <c r="E18" s="2"/>
      <c r="F18" s="2"/>
      <c r="H18" s="2"/>
      <c r="I18" s="2"/>
      <c r="J18" s="10"/>
    </row>
    <row r="19" spans="1:10" hidden="1" x14ac:dyDescent="0.35">
      <c r="A19" s="2"/>
      <c r="B19" s="2"/>
      <c r="C19" s="3"/>
      <c r="D19" s="3"/>
      <c r="E19" s="2"/>
      <c r="F19" s="2"/>
      <c r="H19" s="2"/>
      <c r="I19" s="2"/>
      <c r="J19" s="10"/>
    </row>
    <row r="20" spans="1:10" hidden="1" x14ac:dyDescent="0.35">
      <c r="A20" s="2"/>
      <c r="B20" s="2"/>
      <c r="C20" s="3"/>
      <c r="D20" s="3"/>
      <c r="E20" s="2"/>
      <c r="F20" s="2"/>
      <c r="H20" s="2"/>
      <c r="I20" s="2"/>
      <c r="J20" s="10"/>
    </row>
    <row r="21" spans="1:10" hidden="1" x14ac:dyDescent="0.35">
      <c r="A21" s="2"/>
      <c r="B21" s="2"/>
      <c r="C21" s="3"/>
      <c r="D21" s="3"/>
      <c r="E21" s="2"/>
      <c r="F21" s="2"/>
      <c r="H21" s="2"/>
      <c r="I21" s="2"/>
      <c r="J21" s="10"/>
    </row>
    <row r="22" spans="1:10" hidden="1"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5100000</v>
      </c>
      <c r="D25" s="3">
        <f>C25+J25</f>
        <v>5179399.7894763127</v>
      </c>
      <c r="E25" s="3">
        <f>'DETAILS (sorted)'!DS81</f>
        <v>5434476.6504329043</v>
      </c>
      <c r="F25" s="2">
        <f>D25-E25</f>
        <v>-255076.86095659155</v>
      </c>
      <c r="G25" t="b">
        <f>D25=E25</f>
        <v>0</v>
      </c>
      <c r="H25" s="2"/>
      <c r="I25" s="2"/>
      <c r="J25" s="10">
        <f>SUM(J6:J24)</f>
        <v>79399.789476313075</v>
      </c>
    </row>
    <row r="27" spans="1:10" x14ac:dyDescent="0.35">
      <c r="C27" s="3" t="s">
        <v>644</v>
      </c>
      <c r="D27" s="3">
        <f>C25+J25</f>
        <v>5179399.7894763127</v>
      </c>
      <c r="E27" s="122">
        <f>D27/D28</f>
        <v>1.2948499473690782</v>
      </c>
      <c r="F27" s="2" t="s">
        <v>652</v>
      </c>
    </row>
    <row r="28" spans="1:10" x14ac:dyDescent="0.35">
      <c r="C28" s="3" t="s">
        <v>650</v>
      </c>
      <c r="D28" s="3">
        <v>4000000</v>
      </c>
      <c r="E28" s="122">
        <f>D28/D28</f>
        <v>1</v>
      </c>
      <c r="F28" s="2" t="s">
        <v>654</v>
      </c>
    </row>
    <row r="29" spans="1:10" x14ac:dyDescent="0.35">
      <c r="C29" s="3"/>
      <c r="D29" s="3">
        <f>D27-D28</f>
        <v>1179399.7894763127</v>
      </c>
      <c r="E29" s="122">
        <f>D29/D28</f>
        <v>0.29484994736907816</v>
      </c>
      <c r="F29" s="2" t="s">
        <v>653</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BBE11-1D18-401F-A396-EB709F38FD72}">
  <dimension ref="A2:J29"/>
  <sheetViews>
    <sheetView topLeftCell="A6"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8.1796875" bestFit="1" customWidth="1"/>
    <col min="9" max="9" width="25.36328125" style="479" bestFit="1" customWidth="1"/>
    <col min="10" max="10" width="10.1796875" bestFit="1" customWidth="1"/>
  </cols>
  <sheetData>
    <row r="2" spans="1:10" s="5" customFormat="1" ht="28" customHeight="1" x14ac:dyDescent="0.35">
      <c r="A2" s="74" t="s">
        <v>190</v>
      </c>
      <c r="B2" s="191" t="s">
        <v>0</v>
      </c>
      <c r="C2" s="191"/>
      <c r="D2" s="74" t="s">
        <v>1</v>
      </c>
      <c r="E2" s="75" t="s">
        <v>2</v>
      </c>
      <c r="I2" s="479"/>
    </row>
    <row r="3" spans="1:10" ht="28" x14ac:dyDescent="0.35">
      <c r="A3" s="311" t="s">
        <v>566</v>
      </c>
      <c r="B3" s="7" t="s">
        <v>601</v>
      </c>
      <c r="C3" s="7"/>
      <c r="D3" s="71"/>
      <c r="E3" s="11"/>
      <c r="F3" s="11"/>
      <c r="H3" s="2" t="s">
        <v>643</v>
      </c>
      <c r="I3" s="477" t="s">
        <v>445</v>
      </c>
      <c r="J3" s="10" t="s">
        <v>568</v>
      </c>
    </row>
    <row r="4" spans="1:10" x14ac:dyDescent="0.35">
      <c r="H4" s="2"/>
      <c r="I4" s="477"/>
      <c r="J4" s="10"/>
    </row>
    <row r="5" spans="1:10" x14ac:dyDescent="0.35">
      <c r="A5" s="74" t="s">
        <v>487</v>
      </c>
      <c r="B5" s="74" t="s">
        <v>2</v>
      </c>
      <c r="C5" s="191" t="s">
        <v>124</v>
      </c>
      <c r="D5" s="191" t="s">
        <v>488</v>
      </c>
      <c r="E5" s="74" t="s">
        <v>489</v>
      </c>
      <c r="F5" s="74" t="s">
        <v>490</v>
      </c>
      <c r="H5" s="2"/>
      <c r="I5" s="495" t="s">
        <v>537</v>
      </c>
      <c r="J5" s="10"/>
    </row>
    <row r="6" spans="1:10" x14ac:dyDescent="0.35">
      <c r="A6" s="2">
        <v>1</v>
      </c>
      <c r="B6" s="71">
        <v>46152</v>
      </c>
      <c r="C6" s="3">
        <v>3200000</v>
      </c>
      <c r="D6" s="3">
        <f>C6</f>
        <v>3200000</v>
      </c>
      <c r="E6" s="2" t="s">
        <v>30</v>
      </c>
      <c r="F6" s="2">
        <v>2</v>
      </c>
      <c r="H6" s="2"/>
      <c r="I6" s="495" t="s">
        <v>543</v>
      </c>
      <c r="J6" s="10"/>
    </row>
    <row r="7" spans="1:10" x14ac:dyDescent="0.35">
      <c r="A7" s="2">
        <v>2</v>
      </c>
      <c r="B7" s="71">
        <v>46154</v>
      </c>
      <c r="C7" s="3">
        <v>2150000</v>
      </c>
      <c r="D7" s="3">
        <f t="shared" ref="D7:D8" si="0">C7</f>
        <v>2150000</v>
      </c>
      <c r="E7" s="2" t="s">
        <v>30</v>
      </c>
      <c r="F7" s="2">
        <v>2</v>
      </c>
      <c r="H7" s="2"/>
      <c r="I7" s="495" t="s">
        <v>681</v>
      </c>
      <c r="J7" s="10">
        <f>'DETAILS (sorted)'!DC82</f>
        <v>41422.135140125007</v>
      </c>
    </row>
    <row r="8" spans="1:10" x14ac:dyDescent="0.35">
      <c r="A8" s="2">
        <v>3</v>
      </c>
      <c r="B8" s="71">
        <v>46157</v>
      </c>
      <c r="C8" s="3">
        <v>2000000</v>
      </c>
      <c r="D8" s="3">
        <f t="shared" si="0"/>
        <v>2000000</v>
      </c>
      <c r="E8" s="2" t="s">
        <v>30</v>
      </c>
      <c r="F8" s="2">
        <v>2</v>
      </c>
      <c r="H8" s="2"/>
      <c r="I8" s="495" t="s">
        <v>696</v>
      </c>
      <c r="J8" s="10">
        <f>'DETAILS (sorted)'!DD82</f>
        <v>28046.719741831574</v>
      </c>
    </row>
    <row r="9" spans="1:10" x14ac:dyDescent="0.35">
      <c r="A9" s="2">
        <v>4</v>
      </c>
      <c r="B9" s="294"/>
      <c r="C9" s="3"/>
      <c r="D9" s="3"/>
      <c r="E9" s="2"/>
      <c r="F9" s="2"/>
      <c r="H9" s="2"/>
      <c r="I9" s="495" t="s">
        <v>887</v>
      </c>
      <c r="J9" s="10">
        <f>'DETAILS (sorted)'!DF82</f>
        <v>19707.029869094633</v>
      </c>
    </row>
    <row r="10" spans="1:10" x14ac:dyDescent="0.35">
      <c r="A10" s="2">
        <v>5</v>
      </c>
      <c r="B10" s="294"/>
      <c r="C10" s="3"/>
      <c r="D10" s="3"/>
      <c r="E10" s="2"/>
      <c r="F10" s="2"/>
      <c r="H10" s="2"/>
      <c r="I10" s="495" t="s">
        <v>889</v>
      </c>
      <c r="J10" s="10">
        <f>'DETAILS (sorted)'!DG82</f>
        <v>65801.621524640679</v>
      </c>
    </row>
    <row r="11" spans="1:10" x14ac:dyDescent="0.35">
      <c r="A11" s="2">
        <v>6</v>
      </c>
      <c r="B11" s="294"/>
      <c r="C11" s="3"/>
      <c r="D11" s="3"/>
      <c r="E11" s="2"/>
      <c r="F11" s="2"/>
      <c r="H11" s="2"/>
      <c r="I11" s="495" t="s">
        <v>891</v>
      </c>
      <c r="J11" s="10">
        <f>'DETAILS (sorted)'!DL82</f>
        <v>32904.829055563649</v>
      </c>
    </row>
    <row r="12" spans="1:10" x14ac:dyDescent="0.35">
      <c r="A12" s="2">
        <v>7</v>
      </c>
      <c r="B12" s="294"/>
      <c r="C12" s="3"/>
      <c r="D12" s="3"/>
      <c r="E12" s="2"/>
      <c r="F12" s="2"/>
      <c r="H12" s="2"/>
      <c r="I12" s="495" t="s">
        <v>894</v>
      </c>
      <c r="J12" s="10">
        <f>'DETAILS (sorted)'!DM82</f>
        <v>0</v>
      </c>
    </row>
    <row r="13" spans="1:10" x14ac:dyDescent="0.35">
      <c r="A13" s="2">
        <v>8</v>
      </c>
      <c r="B13" s="294"/>
      <c r="C13" s="3"/>
      <c r="D13" s="3"/>
      <c r="E13" s="2"/>
      <c r="F13" s="2"/>
      <c r="H13" s="2"/>
      <c r="I13" s="495" t="s">
        <v>893</v>
      </c>
      <c r="J13" s="10">
        <f>'DETAILS (sorted)'!DN82</f>
        <v>0</v>
      </c>
    </row>
    <row r="14" spans="1:10" x14ac:dyDescent="0.35">
      <c r="A14" s="2">
        <v>9</v>
      </c>
      <c r="B14" s="294"/>
      <c r="C14" s="3"/>
      <c r="D14" s="3"/>
      <c r="E14" s="2"/>
      <c r="F14" s="2"/>
      <c r="H14" s="2"/>
      <c r="I14" s="495" t="s">
        <v>895</v>
      </c>
      <c r="J14" s="10">
        <f>'DETAILS (sorted)'!DO82</f>
        <v>0</v>
      </c>
    </row>
    <row r="15" spans="1:10" x14ac:dyDescent="0.35">
      <c r="A15" s="2">
        <v>10</v>
      </c>
      <c r="B15" s="295"/>
      <c r="C15" s="205"/>
      <c r="D15" s="3"/>
      <c r="E15" s="2"/>
      <c r="F15" s="2"/>
      <c r="H15" s="2"/>
      <c r="I15" s="495" t="s">
        <v>897</v>
      </c>
      <c r="J15" s="10">
        <f>'DETAILS (sorted)'!DQ82</f>
        <v>0</v>
      </c>
    </row>
    <row r="16" spans="1:10" x14ac:dyDescent="0.35">
      <c r="A16" s="2">
        <v>11</v>
      </c>
      <c r="B16" s="294"/>
      <c r="C16" s="3"/>
      <c r="D16" s="3"/>
      <c r="E16" s="2"/>
      <c r="F16" s="2"/>
      <c r="H16" s="2"/>
      <c r="I16" s="495" t="s">
        <v>898</v>
      </c>
      <c r="J16" s="10">
        <f>'DETAILS (sorted)'!DR82</f>
        <v>0</v>
      </c>
    </row>
    <row r="17" spans="1:10" x14ac:dyDescent="0.35">
      <c r="A17" s="2"/>
      <c r="B17" s="2"/>
      <c r="C17" s="3"/>
      <c r="D17" s="3"/>
      <c r="E17" s="2"/>
      <c r="F17" s="2"/>
      <c r="H17" s="2"/>
      <c r="I17" s="477"/>
      <c r="J17" s="10"/>
    </row>
    <row r="18" spans="1:10" x14ac:dyDescent="0.35">
      <c r="A18" s="2"/>
      <c r="B18" s="2"/>
      <c r="C18" s="3"/>
      <c r="D18" s="3"/>
      <c r="E18" s="2"/>
      <c r="F18" s="2"/>
      <c r="H18" s="2"/>
      <c r="I18" s="477"/>
      <c r="J18" s="10"/>
    </row>
    <row r="19" spans="1:10" x14ac:dyDescent="0.35">
      <c r="A19" s="2"/>
      <c r="B19" s="2"/>
      <c r="C19" s="3"/>
      <c r="D19" s="3"/>
      <c r="E19" s="2"/>
      <c r="F19" s="2"/>
      <c r="H19" s="2"/>
      <c r="I19" s="477"/>
      <c r="J19" s="10"/>
    </row>
    <row r="20" spans="1:10" x14ac:dyDescent="0.35">
      <c r="A20" s="2"/>
      <c r="B20" s="2"/>
      <c r="C20" s="3"/>
      <c r="D20" s="3"/>
      <c r="E20" s="2"/>
      <c r="F20" s="2"/>
      <c r="H20" s="2"/>
      <c r="I20" s="477"/>
      <c r="J20" s="10"/>
    </row>
    <row r="21" spans="1:10" x14ac:dyDescent="0.35">
      <c r="A21" s="2"/>
      <c r="B21" s="2"/>
      <c r="C21" s="3"/>
      <c r="D21" s="3"/>
      <c r="E21" s="2"/>
      <c r="F21" s="2"/>
      <c r="H21" s="2"/>
      <c r="I21" s="477"/>
      <c r="J21" s="10"/>
    </row>
    <row r="22" spans="1:10" x14ac:dyDescent="0.35">
      <c r="A22" s="2"/>
      <c r="B22" s="2"/>
      <c r="C22" s="3"/>
      <c r="D22" s="3"/>
      <c r="E22" s="2"/>
      <c r="F22" s="2"/>
      <c r="H22" s="2"/>
      <c r="I22" s="477"/>
      <c r="J22" s="10"/>
    </row>
    <row r="23" spans="1:10" x14ac:dyDescent="0.35">
      <c r="A23" s="2"/>
      <c r="B23" s="2"/>
      <c r="C23" s="3"/>
      <c r="D23" s="3"/>
      <c r="E23" s="2"/>
      <c r="F23" s="2"/>
      <c r="H23" s="2"/>
      <c r="I23" s="477"/>
      <c r="J23" s="10"/>
    </row>
    <row r="24" spans="1:10" x14ac:dyDescent="0.35">
      <c r="A24" s="2"/>
      <c r="B24" s="2"/>
      <c r="C24" s="3"/>
      <c r="D24" s="3"/>
      <c r="E24" s="2"/>
      <c r="F24" s="2"/>
      <c r="H24" s="2"/>
      <c r="I24" s="477"/>
      <c r="J24" s="2"/>
    </row>
    <row r="25" spans="1:10" x14ac:dyDescent="0.35">
      <c r="A25" s="2"/>
      <c r="B25" s="2"/>
      <c r="C25" s="3">
        <f>SUM(C6:C24)</f>
        <v>7350000</v>
      </c>
      <c r="D25" s="3">
        <f>C25+J25</f>
        <v>7537882.3353312556</v>
      </c>
      <c r="E25" s="3">
        <f>'DETAILS (sorted)'!DS82</f>
        <v>11656012.678117774</v>
      </c>
      <c r="F25" s="2">
        <f>D25-E25</f>
        <v>-4118130.3427865189</v>
      </c>
      <c r="G25" t="b">
        <f>D25=E25</f>
        <v>0</v>
      </c>
      <c r="H25" s="2"/>
      <c r="I25" s="477"/>
      <c r="J25" s="10">
        <f>SUM(J5:J23)</f>
        <v>187882.33533125557</v>
      </c>
    </row>
    <row r="27" spans="1:10" x14ac:dyDescent="0.35">
      <c r="C27" s="3" t="s">
        <v>644</v>
      </c>
      <c r="D27" s="3">
        <f>C25+J25</f>
        <v>7537882.3353312556</v>
      </c>
      <c r="E27" s="122">
        <f>D27/D28</f>
        <v>0.37689411676656276</v>
      </c>
      <c r="F27" s="2" t="s">
        <v>652</v>
      </c>
    </row>
    <row r="28" spans="1:10" x14ac:dyDescent="0.35">
      <c r="C28" s="3" t="s">
        <v>650</v>
      </c>
      <c r="D28" s="3">
        <v>20000000</v>
      </c>
      <c r="E28" s="122">
        <f>D28/D28</f>
        <v>1</v>
      </c>
      <c r="F28" s="2" t="s">
        <v>654</v>
      </c>
    </row>
    <row r="29" spans="1:10" x14ac:dyDescent="0.35">
      <c r="C29" s="3"/>
      <c r="D29" s="3">
        <f>D27-D28</f>
        <v>-12462117.664668744</v>
      </c>
      <c r="E29" s="122">
        <f>D29/D28</f>
        <v>-0.62310588323343719</v>
      </c>
      <c r="F29" s="2" t="s">
        <v>653</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ECFE-6D2B-4C87-8B14-5F859266B6C5}">
  <dimension ref="A2:J29"/>
  <sheetViews>
    <sheetView topLeftCell="A9" workbookViewId="0">
      <selection activeCell="J23" sqref="J23"/>
    </sheetView>
  </sheetViews>
  <sheetFormatPr defaultRowHeight="14.5" x14ac:dyDescent="0.35"/>
  <cols>
    <col min="1" max="1" width="8.1796875" bestFit="1" customWidth="1"/>
    <col min="2" max="2" width="12.1796875"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bestFit="1" customWidth="1"/>
    <col min="9" max="9" width="24.08984375" customWidth="1"/>
    <col min="10" max="10" width="10.1796875" bestFit="1" customWidth="1"/>
  </cols>
  <sheetData>
    <row r="2" spans="1:10" s="5" customFormat="1" x14ac:dyDescent="0.35">
      <c r="A2" s="74" t="s">
        <v>190</v>
      </c>
      <c r="B2" s="191" t="s">
        <v>0</v>
      </c>
      <c r="C2" s="191"/>
      <c r="D2" s="74" t="s">
        <v>1</v>
      </c>
      <c r="E2" s="75" t="s">
        <v>2</v>
      </c>
    </row>
    <row r="3" spans="1:10" ht="28" x14ac:dyDescent="0.35">
      <c r="A3" s="311" t="s">
        <v>602</v>
      </c>
      <c r="B3" s="7" t="s">
        <v>600</v>
      </c>
      <c r="C3" s="7"/>
      <c r="D3" s="71"/>
      <c r="E3" s="11"/>
      <c r="F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46154</v>
      </c>
      <c r="C6" s="3">
        <v>3200000</v>
      </c>
      <c r="D6" s="3">
        <f>C6</f>
        <v>3200000</v>
      </c>
      <c r="E6" s="2" t="s">
        <v>30</v>
      </c>
      <c r="F6" s="2">
        <v>2</v>
      </c>
      <c r="H6" s="2"/>
      <c r="I6" s="408" t="s">
        <v>537</v>
      </c>
      <c r="J6" s="10"/>
    </row>
    <row r="7" spans="1:10" x14ac:dyDescent="0.35">
      <c r="A7" s="2">
        <v>2</v>
      </c>
      <c r="B7" s="294">
        <v>46165</v>
      </c>
      <c r="C7" s="3">
        <v>1000000</v>
      </c>
      <c r="D7" s="3">
        <f>D6+C7</f>
        <v>4200000</v>
      </c>
      <c r="E7" s="2" t="s">
        <v>30</v>
      </c>
      <c r="F7" s="2">
        <v>2</v>
      </c>
      <c r="H7" s="2"/>
      <c r="I7" s="408" t="s">
        <v>543</v>
      </c>
      <c r="J7" s="10"/>
    </row>
    <row r="8" spans="1:10" ht="29" x14ac:dyDescent="0.35">
      <c r="A8" s="2">
        <v>3</v>
      </c>
      <c r="B8" s="294">
        <v>46196</v>
      </c>
      <c r="C8" s="3">
        <v>1100000</v>
      </c>
      <c r="D8" s="3">
        <f>D7+C8</f>
        <v>5300000</v>
      </c>
      <c r="E8" s="2" t="s">
        <v>30</v>
      </c>
      <c r="F8" s="2">
        <v>2</v>
      </c>
      <c r="H8" s="2"/>
      <c r="I8" s="225" t="s">
        <v>681</v>
      </c>
      <c r="J8" s="10">
        <f>'DETAILS (sorted)'!DC83</f>
        <v>23669.791508642862</v>
      </c>
    </row>
    <row r="9" spans="1:10" x14ac:dyDescent="0.35">
      <c r="A9" s="2">
        <v>4</v>
      </c>
      <c r="B9" s="294"/>
      <c r="C9" s="3"/>
      <c r="D9" s="3"/>
      <c r="E9" s="2"/>
      <c r="F9" s="2"/>
      <c r="H9" s="2"/>
      <c r="I9" s="225" t="s">
        <v>696</v>
      </c>
      <c r="J9" s="10">
        <f>'DETAILS (sorted)'!DD83</f>
        <v>16026.696995332328</v>
      </c>
    </row>
    <row r="10" spans="1:10" x14ac:dyDescent="0.35">
      <c r="A10" s="2">
        <v>5</v>
      </c>
      <c r="B10" s="294"/>
      <c r="C10" s="3"/>
      <c r="D10" s="3"/>
      <c r="E10" s="2"/>
      <c r="F10" s="2"/>
      <c r="H10" s="2"/>
      <c r="I10" s="408" t="s">
        <v>887</v>
      </c>
      <c r="J10" s="10">
        <f>'DETAILS (sorted)'!DF83</f>
        <v>14210.511334177085</v>
      </c>
    </row>
    <row r="11" spans="1:10" x14ac:dyDescent="0.35">
      <c r="A11" s="2">
        <v>6</v>
      </c>
      <c r="B11" s="294"/>
      <c r="C11" s="3"/>
      <c r="D11" s="3"/>
      <c r="E11" s="2"/>
      <c r="F11" s="2"/>
      <c r="H11" s="2"/>
      <c r="I11" s="408" t="s">
        <v>889</v>
      </c>
      <c r="J11" s="10">
        <f>'DETAILS (sorted)'!DG83</f>
        <v>47448.788310285126</v>
      </c>
    </row>
    <row r="12" spans="1:10" x14ac:dyDescent="0.35">
      <c r="A12" s="2">
        <v>7</v>
      </c>
      <c r="B12" s="294"/>
      <c r="C12" s="3"/>
      <c r="D12" s="3"/>
      <c r="E12" s="2"/>
      <c r="F12" s="2"/>
      <c r="H12" s="2"/>
      <c r="I12" s="408" t="s">
        <v>891</v>
      </c>
      <c r="J12" s="10">
        <f>'DETAILS (sorted)'!DL83</f>
        <v>23170.295394486064</v>
      </c>
    </row>
    <row r="13" spans="1:10" x14ac:dyDescent="0.35">
      <c r="A13" s="2">
        <v>8</v>
      </c>
      <c r="B13" s="294"/>
      <c r="C13" s="3"/>
      <c r="D13" s="3"/>
      <c r="E13" s="2"/>
      <c r="F13" s="2"/>
      <c r="H13" s="2"/>
      <c r="I13" s="408" t="s">
        <v>894</v>
      </c>
      <c r="J13" s="10">
        <f>'DETAILS (sorted)'!DM83</f>
        <v>0</v>
      </c>
    </row>
    <row r="14" spans="1:10" x14ac:dyDescent="0.35">
      <c r="A14" s="2">
        <v>9</v>
      </c>
      <c r="B14" s="294"/>
      <c r="C14" s="3"/>
      <c r="D14" s="3"/>
      <c r="E14" s="2"/>
      <c r="F14" s="2"/>
      <c r="H14" s="2"/>
      <c r="I14" s="408" t="s">
        <v>893</v>
      </c>
      <c r="J14" s="10">
        <f>'DETAILS (sorted)'!DN83</f>
        <v>0</v>
      </c>
    </row>
    <row r="15" spans="1:10" x14ac:dyDescent="0.35">
      <c r="A15" s="2">
        <v>10</v>
      </c>
      <c r="B15" s="295"/>
      <c r="C15" s="205"/>
      <c r="D15" s="3"/>
      <c r="E15" s="2"/>
      <c r="F15" s="2"/>
      <c r="H15" s="2"/>
      <c r="I15" s="408" t="s">
        <v>895</v>
      </c>
      <c r="J15" s="10">
        <f>'DETAILS (sorted)'!DO83</f>
        <v>0</v>
      </c>
    </row>
    <row r="16" spans="1:10" x14ac:dyDescent="0.35">
      <c r="A16" s="2">
        <v>11</v>
      </c>
      <c r="B16" s="294"/>
      <c r="C16" s="3"/>
      <c r="D16" s="3"/>
      <c r="E16" s="2"/>
      <c r="F16" s="2"/>
      <c r="H16" s="2"/>
      <c r="I16" s="408" t="s">
        <v>897</v>
      </c>
      <c r="J16" s="10">
        <f>'DETAILS (sorted)'!DQ83</f>
        <v>0</v>
      </c>
    </row>
    <row r="17" spans="1:10" x14ac:dyDescent="0.35">
      <c r="A17" s="2"/>
      <c r="B17" s="2"/>
      <c r="C17" s="3"/>
      <c r="D17" s="3"/>
      <c r="E17" s="2"/>
      <c r="F17" s="2"/>
      <c r="H17" s="2"/>
      <c r="I17" s="408" t="s">
        <v>898</v>
      </c>
      <c r="J17" s="10">
        <f>'DETAILS (sorted)'!DR83</f>
        <v>0</v>
      </c>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5300000</v>
      </c>
      <c r="D25" s="3">
        <f>C25+J25</f>
        <v>5424526.0835429234</v>
      </c>
      <c r="E25" s="3">
        <f>'DETAILS (sorted)'!DS83</f>
        <v>8207708.8568918901</v>
      </c>
      <c r="F25" s="2">
        <f>D25-E25</f>
        <v>-2783182.7733489666</v>
      </c>
      <c r="G25" t="b">
        <f>D25=E25</f>
        <v>0</v>
      </c>
      <c r="H25" s="2"/>
      <c r="I25" s="2"/>
      <c r="J25" s="10">
        <f>SUM(J6:J24)</f>
        <v>124526.08354292346</v>
      </c>
    </row>
    <row r="27" spans="1:10" x14ac:dyDescent="0.35">
      <c r="C27" s="3" t="s">
        <v>644</v>
      </c>
      <c r="D27" s="3">
        <f>C25+J25</f>
        <v>5424526.0835429234</v>
      </c>
      <c r="E27" s="122">
        <f>D27/D28</f>
        <v>0.3616350722361949</v>
      </c>
      <c r="F27" s="2" t="s">
        <v>652</v>
      </c>
    </row>
    <row r="28" spans="1:10" x14ac:dyDescent="0.35">
      <c r="C28" s="3" t="s">
        <v>650</v>
      </c>
      <c r="D28" s="3">
        <v>15000000</v>
      </c>
      <c r="E28" s="122">
        <f>D28/D28</f>
        <v>1</v>
      </c>
      <c r="F28" s="2" t="s">
        <v>654</v>
      </c>
    </row>
    <row r="29" spans="1:10" x14ac:dyDescent="0.35">
      <c r="C29" s="3"/>
      <c r="D29" s="3">
        <f>D27-D28</f>
        <v>-9575473.9164570756</v>
      </c>
      <c r="E29" s="122">
        <f>D29/D28</f>
        <v>-0.63836492776380505</v>
      </c>
      <c r="F29" s="2" t="s">
        <v>653</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64AD-B647-416C-8F5F-D4A6EA18E302}">
  <dimension ref="A2:J29"/>
  <sheetViews>
    <sheetView topLeftCell="A6" workbookViewId="0">
      <selection activeCell="J26" sqref="J26"/>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6" customWidth="1"/>
    <col min="10" max="10" width="10.1796875" bestFit="1" customWidth="1"/>
  </cols>
  <sheetData>
    <row r="2" spans="1:10" s="5" customFormat="1" x14ac:dyDescent="0.35">
      <c r="A2" s="74" t="s">
        <v>190</v>
      </c>
      <c r="B2" s="191" t="s">
        <v>0</v>
      </c>
      <c r="C2" s="346"/>
      <c r="D2" s="74" t="s">
        <v>1</v>
      </c>
      <c r="F2" s="75"/>
      <c r="G2" s="63"/>
    </row>
    <row r="3" spans="1:10" ht="28" x14ac:dyDescent="0.35">
      <c r="A3" s="311" t="s">
        <v>769</v>
      </c>
      <c r="B3" s="286" t="s">
        <v>770</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(sorted)'!DF107</f>
        <v>11529.282780558766</v>
      </c>
    </row>
    <row r="6" spans="1:10" x14ac:dyDescent="0.35">
      <c r="A6" s="2">
        <v>1</v>
      </c>
      <c r="B6" s="71">
        <v>46193</v>
      </c>
      <c r="C6" s="7">
        <v>1650000</v>
      </c>
      <c r="D6" s="3">
        <f>C6</f>
        <v>1650000</v>
      </c>
      <c r="E6" s="2" t="s">
        <v>30</v>
      </c>
      <c r="F6" s="2">
        <v>2</v>
      </c>
      <c r="H6" s="2"/>
      <c r="I6" s="408" t="s">
        <v>889</v>
      </c>
      <c r="J6" s="10">
        <f>'DETAILS (sorted)'!DG107</f>
        <v>38496.186742306796</v>
      </c>
    </row>
    <row r="7" spans="1:10" x14ac:dyDescent="0.35">
      <c r="A7" s="2">
        <v>2</v>
      </c>
      <c r="B7" s="71">
        <v>46196</v>
      </c>
      <c r="C7" s="7">
        <v>1650000</v>
      </c>
      <c r="D7" s="3">
        <f>C7</f>
        <v>1650000</v>
      </c>
      <c r="E7" s="2" t="s">
        <v>30</v>
      </c>
      <c r="F7" s="2">
        <v>2</v>
      </c>
      <c r="H7" s="2"/>
      <c r="I7" s="408" t="s">
        <v>891</v>
      </c>
      <c r="J7" s="10">
        <f>'DETAILS (sorted)'!DL107</f>
        <v>17303.38488257509</v>
      </c>
    </row>
    <row r="8" spans="1:10" x14ac:dyDescent="0.35">
      <c r="A8" s="2">
        <v>3</v>
      </c>
      <c r="B8" s="71">
        <v>46201</v>
      </c>
      <c r="C8" s="7">
        <v>1000000</v>
      </c>
      <c r="D8" s="3">
        <f>C8</f>
        <v>1000000</v>
      </c>
      <c r="E8" s="2" t="s">
        <v>30</v>
      </c>
      <c r="F8" s="2">
        <v>2</v>
      </c>
      <c r="H8" s="2"/>
      <c r="I8" s="408" t="s">
        <v>894</v>
      </c>
      <c r="J8" s="10">
        <f>'DETAILS (sorted)'!DM107</f>
        <v>0</v>
      </c>
    </row>
    <row r="9" spans="1:10" x14ac:dyDescent="0.35">
      <c r="A9" s="2">
        <v>4</v>
      </c>
      <c r="B9" s="71"/>
      <c r="C9" s="3"/>
      <c r="D9" s="3"/>
      <c r="E9" s="2"/>
      <c r="F9" s="2"/>
      <c r="H9" s="2"/>
      <c r="I9" s="408" t="s">
        <v>893</v>
      </c>
      <c r="J9" s="10">
        <f>'DETAILS (sorted)'!DN107</f>
        <v>0</v>
      </c>
    </row>
    <row r="10" spans="1:10" x14ac:dyDescent="0.35">
      <c r="A10" s="2">
        <v>5</v>
      </c>
      <c r="B10" s="71"/>
      <c r="C10" s="3"/>
      <c r="D10" s="3"/>
      <c r="E10" s="2"/>
      <c r="F10" s="2"/>
      <c r="H10" s="2"/>
      <c r="I10" s="408" t="s">
        <v>895</v>
      </c>
      <c r="J10" s="10">
        <f>'DETAILS (sorted)'!DO107</f>
        <v>0</v>
      </c>
    </row>
    <row r="11" spans="1:10" x14ac:dyDescent="0.35">
      <c r="A11" s="2">
        <v>6</v>
      </c>
      <c r="B11" s="71"/>
      <c r="C11" s="3"/>
      <c r="D11" s="3"/>
      <c r="E11" s="2"/>
      <c r="F11" s="2"/>
      <c r="H11" s="2"/>
      <c r="I11" s="408" t="s">
        <v>897</v>
      </c>
      <c r="J11" s="10">
        <f>'DETAILS (sorted)'!DQ107</f>
        <v>0</v>
      </c>
    </row>
    <row r="12" spans="1:10" x14ac:dyDescent="0.35">
      <c r="A12" s="2">
        <v>7</v>
      </c>
      <c r="B12" s="71"/>
      <c r="C12" s="3"/>
      <c r="D12" s="3"/>
      <c r="E12" s="2"/>
      <c r="F12" s="2"/>
      <c r="H12" s="2"/>
      <c r="I12" s="408" t="s">
        <v>898</v>
      </c>
      <c r="J12" s="10">
        <f>'DETAILS (sorted)'!DR107</f>
        <v>0</v>
      </c>
    </row>
    <row r="13" spans="1:10" x14ac:dyDescent="0.35">
      <c r="A13" s="2">
        <v>8</v>
      </c>
      <c r="B13" s="71"/>
      <c r="C13" s="3"/>
      <c r="D13" s="3"/>
      <c r="E13" s="2"/>
      <c r="F13" s="2"/>
      <c r="H13" s="2"/>
      <c r="I13" s="2"/>
      <c r="J13" s="10"/>
    </row>
    <row r="14" spans="1:10" x14ac:dyDescent="0.35">
      <c r="A14" s="2">
        <v>9</v>
      </c>
      <c r="B14" s="71"/>
      <c r="C14" s="3"/>
      <c r="D14" s="3"/>
      <c r="E14" s="2"/>
      <c r="F14" s="2"/>
      <c r="H14" s="2"/>
      <c r="I14" s="2"/>
      <c r="J14" s="10"/>
    </row>
    <row r="15" spans="1:10" x14ac:dyDescent="0.35">
      <c r="A15" s="2">
        <v>10</v>
      </c>
      <c r="B15" s="71"/>
      <c r="C15" s="205"/>
      <c r="D15" s="3"/>
      <c r="E15" s="2"/>
      <c r="F15" s="2"/>
      <c r="H15" s="2"/>
      <c r="I15" s="2"/>
      <c r="J15" s="10"/>
    </row>
    <row r="16" spans="1:10" x14ac:dyDescent="0.35">
      <c r="A16" s="2">
        <v>11</v>
      </c>
      <c r="B16" s="71"/>
      <c r="C16" s="3"/>
      <c r="D16" s="3"/>
      <c r="E16" s="2"/>
      <c r="F16" s="2"/>
      <c r="H16" s="2"/>
      <c r="I16" s="2"/>
      <c r="J16" s="10"/>
    </row>
    <row r="17" spans="1:10" x14ac:dyDescent="0.35">
      <c r="A17" s="2"/>
      <c r="B17" s="71"/>
      <c r="C17" s="3"/>
      <c r="D17" s="3"/>
      <c r="E17" s="2"/>
      <c r="F17" s="2"/>
      <c r="H17" s="2"/>
      <c r="I17" s="2"/>
      <c r="J17" s="10"/>
    </row>
    <row r="18" spans="1:10" x14ac:dyDescent="0.35">
      <c r="A18" s="2"/>
      <c r="B18" s="71"/>
      <c r="C18" s="3"/>
      <c r="D18" s="3"/>
      <c r="E18" s="2"/>
      <c r="F18" s="2"/>
      <c r="H18" s="2"/>
      <c r="I18" s="2"/>
      <c r="J18" s="10"/>
    </row>
    <row r="19" spans="1:10" x14ac:dyDescent="0.35">
      <c r="A19" s="2"/>
      <c r="B19" s="71"/>
      <c r="C19" s="3"/>
      <c r="D19" s="3"/>
      <c r="E19" s="2"/>
      <c r="F19" s="2"/>
      <c r="H19" s="2"/>
      <c r="I19" s="2"/>
      <c r="J19" s="10"/>
    </row>
    <row r="20" spans="1:10" x14ac:dyDescent="0.35">
      <c r="A20" s="2"/>
      <c r="B20" s="71"/>
      <c r="C20" s="3"/>
      <c r="D20" s="3"/>
      <c r="E20" s="2"/>
      <c r="F20" s="2"/>
      <c r="H20" s="2"/>
      <c r="I20" s="2"/>
      <c r="J20" s="10"/>
    </row>
    <row r="21" spans="1:10" x14ac:dyDescent="0.35">
      <c r="A21" s="2"/>
      <c r="B21" s="71"/>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4300000</v>
      </c>
      <c r="D25" s="3">
        <f>C25+J25</f>
        <v>4367328.8544054404</v>
      </c>
      <c r="E25" s="3">
        <f>'DETAILS (sorted)'!DS107</f>
        <v>6129449.0612630416</v>
      </c>
      <c r="F25" s="3">
        <f>D25-E25</f>
        <v>-1762120.2068576012</v>
      </c>
      <c r="G25" t="b">
        <f>D25=E25</f>
        <v>0</v>
      </c>
      <c r="H25" s="2"/>
      <c r="I25" s="2"/>
      <c r="J25" s="10">
        <f>SUM(J5:J24)</f>
        <v>67328.854405440652</v>
      </c>
    </row>
    <row r="27" spans="1:10" x14ac:dyDescent="0.35">
      <c r="C27" s="3" t="s">
        <v>644</v>
      </c>
      <c r="D27" s="3">
        <f>C25+J25</f>
        <v>4367328.8544054404</v>
      </c>
      <c r="E27" s="122">
        <f>D27/D28</f>
        <v>0.43673288544054406</v>
      </c>
      <c r="F27" s="2" t="s">
        <v>652</v>
      </c>
    </row>
    <row r="28" spans="1:10" x14ac:dyDescent="0.35">
      <c r="C28" s="3" t="s">
        <v>650</v>
      </c>
      <c r="D28" s="3">
        <v>10000000</v>
      </c>
      <c r="E28" s="122">
        <f>D28/D28</f>
        <v>1</v>
      </c>
      <c r="F28" s="2" t="s">
        <v>654</v>
      </c>
    </row>
    <row r="29" spans="1:10" x14ac:dyDescent="0.35">
      <c r="C29" s="3"/>
      <c r="D29" s="3">
        <f>D27-D28</f>
        <v>-5632671.1455945596</v>
      </c>
      <c r="E29" s="122">
        <f>D29/D28</f>
        <v>-0.56326711455945599</v>
      </c>
      <c r="F29" s="2" t="s">
        <v>653</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E22BF-124C-48E7-8C60-D000D92B4D87}">
  <dimension ref="A2:J29"/>
  <sheetViews>
    <sheetView topLeftCell="A6" workbookViewId="0">
      <selection activeCell="N16" sqref="N16"/>
    </sheetView>
  </sheetViews>
  <sheetFormatPr defaultRowHeight="14.5" x14ac:dyDescent="0.35"/>
  <cols>
    <col min="1" max="1" width="8.1796875" bestFit="1" customWidth="1"/>
    <col min="2" max="2" width="17.5429687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bestFit="1" customWidth="1"/>
    <col min="9" max="9" width="24.08984375" bestFit="1" customWidth="1"/>
    <col min="10" max="10" width="10.1796875" bestFit="1" customWidth="1"/>
  </cols>
  <sheetData>
    <row r="2" spans="1:10" s="5" customFormat="1" x14ac:dyDescent="0.35">
      <c r="A2" s="74" t="s">
        <v>190</v>
      </c>
      <c r="B2" s="191" t="s">
        <v>0</v>
      </c>
      <c r="C2" s="191"/>
      <c r="D2" s="74" t="s">
        <v>1</v>
      </c>
      <c r="E2" s="75" t="s">
        <v>2</v>
      </c>
    </row>
    <row r="3" spans="1:10" ht="28" x14ac:dyDescent="0.35">
      <c r="A3" s="311" t="s">
        <v>607</v>
      </c>
      <c r="B3" s="286" t="s">
        <v>608</v>
      </c>
      <c r="C3" s="7"/>
      <c r="D3" s="71"/>
      <c r="E3" s="11"/>
      <c r="F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46154</v>
      </c>
      <c r="C6" s="3">
        <v>3500000</v>
      </c>
      <c r="D6" s="3">
        <f>C6</f>
        <v>3500000</v>
      </c>
      <c r="E6" s="2" t="s">
        <v>30</v>
      </c>
      <c r="F6" s="2">
        <v>2</v>
      </c>
      <c r="H6" s="2"/>
      <c r="I6" s="408" t="s">
        <v>537</v>
      </c>
      <c r="J6" s="10"/>
    </row>
    <row r="7" spans="1:10" x14ac:dyDescent="0.35">
      <c r="A7" s="2">
        <v>2</v>
      </c>
      <c r="B7" s="71">
        <v>46160</v>
      </c>
      <c r="C7" s="3">
        <v>300000</v>
      </c>
      <c r="D7" s="3">
        <f>D6+C7</f>
        <v>3800000</v>
      </c>
      <c r="E7" s="2" t="s">
        <v>30</v>
      </c>
      <c r="F7" s="2">
        <v>2</v>
      </c>
      <c r="H7" s="2"/>
      <c r="I7" s="408" t="s">
        <v>543</v>
      </c>
      <c r="J7" s="10"/>
    </row>
    <row r="8" spans="1:10" ht="29" x14ac:dyDescent="0.35">
      <c r="A8" s="2">
        <v>3</v>
      </c>
      <c r="B8" s="71">
        <v>46154</v>
      </c>
      <c r="C8" s="3">
        <v>200000</v>
      </c>
      <c r="D8" s="3">
        <f t="shared" ref="D8:D9" si="0">D7+C8</f>
        <v>4000000</v>
      </c>
      <c r="E8" s="2" t="s">
        <v>30</v>
      </c>
      <c r="F8" s="2">
        <v>2</v>
      </c>
      <c r="H8" s="2"/>
      <c r="I8" s="225" t="s">
        <v>681</v>
      </c>
      <c r="J8" s="10">
        <f>'DETAILS (sorted)'!DC84</f>
        <v>24796.924437625854</v>
      </c>
    </row>
    <row r="9" spans="1:10" x14ac:dyDescent="0.35">
      <c r="A9" s="2">
        <v>4</v>
      </c>
      <c r="B9" s="71">
        <v>46167</v>
      </c>
      <c r="C9" s="3">
        <v>400000</v>
      </c>
      <c r="D9" s="3">
        <f t="shared" si="0"/>
        <v>4400000</v>
      </c>
      <c r="E9" s="2" t="s">
        <v>30</v>
      </c>
      <c r="F9" s="2">
        <v>2</v>
      </c>
      <c r="H9" s="2"/>
      <c r="I9" s="225" t="s">
        <v>696</v>
      </c>
      <c r="J9" s="10">
        <f>'DETAILS (sorted)'!DD84</f>
        <v>16789.873042729105</v>
      </c>
    </row>
    <row r="10" spans="1:10" x14ac:dyDescent="0.35">
      <c r="A10" s="2">
        <v>5</v>
      </c>
      <c r="B10" s="71">
        <v>46178</v>
      </c>
      <c r="C10" s="3">
        <v>600000</v>
      </c>
      <c r="D10" s="3">
        <f t="shared" ref="D10:D11" si="1">D9+C10</f>
        <v>5000000</v>
      </c>
      <c r="E10" s="2" t="s">
        <v>30</v>
      </c>
      <c r="F10" s="2">
        <v>2</v>
      </c>
      <c r="H10" s="2"/>
      <c r="I10" s="408" t="s">
        <v>887</v>
      </c>
      <c r="J10" s="10">
        <f>'DETAILS (sorted)'!DF84</f>
        <v>77755.628054931221</v>
      </c>
    </row>
    <row r="11" spans="1:10" x14ac:dyDescent="0.35">
      <c r="A11" s="2">
        <v>6</v>
      </c>
      <c r="B11" s="71">
        <v>46182</v>
      </c>
      <c r="C11" s="3">
        <v>400000</v>
      </c>
      <c r="D11" s="3">
        <f t="shared" si="1"/>
        <v>5400000</v>
      </c>
      <c r="E11" s="2" t="s">
        <v>30</v>
      </c>
      <c r="F11" s="2">
        <v>2</v>
      </c>
      <c r="H11" s="2"/>
      <c r="I11" s="408" t="s">
        <v>889</v>
      </c>
      <c r="J11" s="10">
        <f>'DETAILS (sorted)'!DG84</f>
        <v>259625.44547137144</v>
      </c>
    </row>
    <row r="12" spans="1:10" x14ac:dyDescent="0.35">
      <c r="A12" s="2">
        <v>7</v>
      </c>
      <c r="B12" s="71">
        <v>46200</v>
      </c>
      <c r="C12" s="3">
        <v>20000000</v>
      </c>
      <c r="D12" s="3">
        <f t="shared" ref="D12" si="2">D11+C12</f>
        <v>25400000</v>
      </c>
      <c r="E12" s="2" t="s">
        <v>30</v>
      </c>
      <c r="F12" s="2">
        <v>2</v>
      </c>
      <c r="H12" s="2"/>
      <c r="I12" s="408" t="s">
        <v>891</v>
      </c>
      <c r="J12" s="10">
        <f>'DETAILS (sorted)'!DL84</f>
        <v>89662.616557461472</v>
      </c>
    </row>
    <row r="13" spans="1:10" x14ac:dyDescent="0.35">
      <c r="A13" s="2">
        <v>8</v>
      </c>
      <c r="B13" s="71">
        <v>46204</v>
      </c>
      <c r="C13" s="3">
        <v>3600000</v>
      </c>
      <c r="D13" s="3">
        <f t="shared" ref="D13" si="3">D12+C13</f>
        <v>29000000</v>
      </c>
      <c r="E13" s="2" t="s">
        <v>30</v>
      </c>
      <c r="F13" s="2">
        <v>2</v>
      </c>
      <c r="H13" s="2"/>
      <c r="I13" s="408" t="s">
        <v>894</v>
      </c>
      <c r="J13" s="10">
        <f>'DETAILS (sorted)'!DM84</f>
        <v>0</v>
      </c>
    </row>
    <row r="14" spans="1:10" x14ac:dyDescent="0.35">
      <c r="A14" s="2">
        <v>9</v>
      </c>
      <c r="B14" s="71">
        <v>46203</v>
      </c>
      <c r="C14" s="3">
        <v>1200000</v>
      </c>
      <c r="D14" s="3">
        <f t="shared" ref="D14" si="4">D13+C14</f>
        <v>30200000</v>
      </c>
      <c r="E14" s="2" t="s">
        <v>30</v>
      </c>
      <c r="F14" s="2">
        <v>2</v>
      </c>
      <c r="H14" s="2"/>
      <c r="I14" s="408" t="s">
        <v>893</v>
      </c>
      <c r="J14" s="10">
        <f>'DETAILS (sorted)'!DN84</f>
        <v>0</v>
      </c>
    </row>
    <row r="15" spans="1:10" x14ac:dyDescent="0.35">
      <c r="A15" s="2">
        <v>10</v>
      </c>
      <c r="B15" s="71">
        <v>46211</v>
      </c>
      <c r="C15" s="3">
        <v>260000</v>
      </c>
      <c r="D15" s="3">
        <f t="shared" ref="D15" si="5">D14+C15</f>
        <v>30460000</v>
      </c>
      <c r="E15" s="2" t="s">
        <v>30</v>
      </c>
      <c r="F15" s="2">
        <v>3</v>
      </c>
      <c r="H15" s="2"/>
      <c r="I15" s="408" t="s">
        <v>895</v>
      </c>
      <c r="J15" s="10">
        <f>'DETAILS (sorted)'!DO84</f>
        <v>0</v>
      </c>
    </row>
    <row r="16" spans="1:10" x14ac:dyDescent="0.35">
      <c r="A16" s="2">
        <v>11</v>
      </c>
      <c r="B16" s="294"/>
      <c r="C16" s="3"/>
      <c r="D16" s="3"/>
      <c r="E16" s="2"/>
      <c r="F16" s="2"/>
      <c r="H16" s="2"/>
      <c r="I16" s="408" t="s">
        <v>897</v>
      </c>
      <c r="J16" s="10">
        <f>'DETAILS (sorted)'!DQ84</f>
        <v>0</v>
      </c>
    </row>
    <row r="17" spans="1:10" x14ac:dyDescent="0.35">
      <c r="A17" s="2"/>
      <c r="B17" s="2"/>
      <c r="C17" s="3"/>
      <c r="D17" s="3"/>
      <c r="E17" s="2"/>
      <c r="F17" s="2"/>
      <c r="H17" s="2"/>
      <c r="I17" s="408" t="s">
        <v>898</v>
      </c>
      <c r="J17" s="10">
        <f>'DETAILS (sorted)'!DR84</f>
        <v>0</v>
      </c>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30460000</v>
      </c>
      <c r="D25" s="3">
        <f>C25+J25</f>
        <v>30928630.48756412</v>
      </c>
      <c r="E25" s="3">
        <f>'DETAILS (sorted)'!DS84</f>
        <v>31761556.748469815</v>
      </c>
      <c r="F25" s="2">
        <f>D25-E25</f>
        <v>-832926.26090569422</v>
      </c>
      <c r="G25" t="b">
        <f>D25=E25</f>
        <v>0</v>
      </c>
      <c r="H25" s="2"/>
      <c r="I25" s="2"/>
      <c r="J25" s="10">
        <f>SUM(J6:J24)</f>
        <v>468630.48756411904</v>
      </c>
    </row>
    <row r="27" spans="1:10" x14ac:dyDescent="0.35">
      <c r="C27" s="3" t="s">
        <v>644</v>
      </c>
      <c r="D27" s="3">
        <f>C25+J25</f>
        <v>30928630.48756412</v>
      </c>
      <c r="E27" s="122">
        <f>D27/D28</f>
        <v>1.0309543495854707</v>
      </c>
      <c r="F27" s="2" t="s">
        <v>652</v>
      </c>
    </row>
    <row r="28" spans="1:10" x14ac:dyDescent="0.35">
      <c r="C28" s="3" t="s">
        <v>650</v>
      </c>
      <c r="D28" s="3">
        <v>30000000</v>
      </c>
      <c r="E28" s="122">
        <f>D28/D28</f>
        <v>1</v>
      </c>
      <c r="F28" s="2" t="s">
        <v>654</v>
      </c>
    </row>
    <row r="29" spans="1:10" x14ac:dyDescent="0.35">
      <c r="C29" s="3"/>
      <c r="D29" s="3">
        <f>D27-D28</f>
        <v>928630.48756412044</v>
      </c>
      <c r="E29" s="122">
        <f>D29/D28</f>
        <v>3.0954349585470681E-2</v>
      </c>
      <c r="F29" s="2" t="s">
        <v>653</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6B8D8-4FF6-433D-B540-259636749303}">
  <dimension ref="A2:J29"/>
  <sheetViews>
    <sheetView topLeftCell="A6"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8.1796875" bestFit="1" customWidth="1"/>
    <col min="9" max="9" width="26.26953125" style="479" customWidth="1"/>
    <col min="10" max="10" width="11.1796875" bestFit="1" customWidth="1"/>
  </cols>
  <sheetData>
    <row r="2" spans="1:10" s="5" customFormat="1" ht="28" customHeight="1" x14ac:dyDescent="0.35">
      <c r="A2" s="74" t="s">
        <v>190</v>
      </c>
      <c r="B2" s="191" t="s">
        <v>0</v>
      </c>
      <c r="C2" s="191"/>
      <c r="D2" s="74" t="s">
        <v>1</v>
      </c>
      <c r="E2" s="75" t="s">
        <v>2</v>
      </c>
      <c r="I2" s="479"/>
    </row>
    <row r="3" spans="1:10" ht="28" x14ac:dyDescent="0.35">
      <c r="A3" s="311" t="s">
        <v>609</v>
      </c>
      <c r="B3" s="7" t="s">
        <v>610</v>
      </c>
      <c r="C3" s="7"/>
      <c r="D3" s="71"/>
      <c r="E3" s="11"/>
      <c r="F3" s="11"/>
    </row>
    <row r="4" spans="1:10" x14ac:dyDescent="0.35">
      <c r="H4" s="2" t="s">
        <v>643</v>
      </c>
      <c r="I4" s="477" t="s">
        <v>445</v>
      </c>
      <c r="J4" s="10" t="s">
        <v>568</v>
      </c>
    </row>
    <row r="5" spans="1:10" x14ac:dyDescent="0.35">
      <c r="A5" s="74" t="s">
        <v>487</v>
      </c>
      <c r="B5" s="74" t="s">
        <v>2</v>
      </c>
      <c r="C5" s="191" t="s">
        <v>124</v>
      </c>
      <c r="D5" s="191" t="s">
        <v>488</v>
      </c>
      <c r="E5" s="74" t="s">
        <v>489</v>
      </c>
      <c r="F5" s="74" t="s">
        <v>490</v>
      </c>
      <c r="H5" s="2"/>
      <c r="I5" s="477"/>
      <c r="J5" s="10"/>
    </row>
    <row r="6" spans="1:10" x14ac:dyDescent="0.35">
      <c r="A6" s="2">
        <v>1</v>
      </c>
      <c r="B6" s="71">
        <v>46155</v>
      </c>
      <c r="C6" s="3">
        <v>1300000</v>
      </c>
      <c r="D6" s="3">
        <f>C6</f>
        <v>1300000</v>
      </c>
      <c r="E6" s="2" t="s">
        <v>30</v>
      </c>
      <c r="F6" s="2">
        <v>2</v>
      </c>
      <c r="H6" s="2"/>
      <c r="I6" s="495" t="s">
        <v>537</v>
      </c>
      <c r="J6" s="10"/>
    </row>
    <row r="7" spans="1:10" x14ac:dyDescent="0.35">
      <c r="A7" s="2">
        <v>2</v>
      </c>
      <c r="B7" s="71">
        <v>46177</v>
      </c>
      <c r="C7" s="3">
        <v>2100000</v>
      </c>
      <c r="D7" s="3">
        <f>D6+C7</f>
        <v>3400000</v>
      </c>
      <c r="E7" s="2" t="s">
        <v>30</v>
      </c>
      <c r="F7" s="2">
        <v>2</v>
      </c>
      <c r="H7" s="2"/>
      <c r="I7" s="495" t="s">
        <v>543</v>
      </c>
      <c r="J7" s="10"/>
    </row>
    <row r="8" spans="1:10" x14ac:dyDescent="0.35">
      <c r="A8" s="2">
        <v>3</v>
      </c>
      <c r="B8" s="294"/>
      <c r="C8" s="3"/>
      <c r="D8" s="3"/>
      <c r="E8" s="2"/>
      <c r="F8" s="2"/>
      <c r="H8" s="2"/>
      <c r="I8" s="495" t="s">
        <v>681</v>
      </c>
      <c r="J8" s="10">
        <f>'DETAILS (sorted)'!DC85</f>
        <v>7326.3640383894572</v>
      </c>
    </row>
    <row r="9" spans="1:10" x14ac:dyDescent="0.35">
      <c r="A9" s="2">
        <v>4</v>
      </c>
      <c r="B9" s="294"/>
      <c r="C9" s="3"/>
      <c r="D9" s="3"/>
      <c r="E9" s="2"/>
      <c r="F9" s="2"/>
      <c r="H9" s="2"/>
      <c r="I9" s="495" t="s">
        <v>696</v>
      </c>
      <c r="J9" s="10">
        <f>'DETAILS (sorted)'!DD85</f>
        <v>4960.6443080790541</v>
      </c>
    </row>
    <row r="10" spans="1:10" x14ac:dyDescent="0.35">
      <c r="A10" s="2">
        <v>5</v>
      </c>
      <c r="B10" s="294"/>
      <c r="C10" s="3"/>
      <c r="D10" s="3"/>
      <c r="E10" s="2"/>
      <c r="F10" s="2"/>
      <c r="H10" s="2"/>
      <c r="I10" s="495" t="s">
        <v>887</v>
      </c>
      <c r="J10" s="10">
        <f>'DETAILS (sorted)'!DF85</f>
        <v>9116.1770823022798</v>
      </c>
    </row>
    <row r="11" spans="1:10" x14ac:dyDescent="0.35">
      <c r="A11" s="2">
        <v>6</v>
      </c>
      <c r="B11" s="294"/>
      <c r="C11" s="3"/>
      <c r="D11" s="3"/>
      <c r="E11" s="2"/>
      <c r="F11" s="2"/>
      <c r="H11" s="2"/>
      <c r="I11" s="495" t="s">
        <v>889</v>
      </c>
      <c r="J11" s="10">
        <f>'DETAILS (sorted)'!DG85</f>
        <v>30438.845331126304</v>
      </c>
    </row>
    <row r="12" spans="1:10" x14ac:dyDescent="0.35">
      <c r="A12" s="2">
        <v>7</v>
      </c>
      <c r="B12" s="294"/>
      <c r="C12" s="3"/>
      <c r="D12" s="3"/>
      <c r="E12" s="2"/>
      <c r="F12" s="2"/>
      <c r="H12" s="2"/>
      <c r="I12" s="495" t="s">
        <v>891</v>
      </c>
      <c r="J12" s="10">
        <f>'DETAILS (sorted)'!DL85</f>
        <v>9872.4462422466841</v>
      </c>
    </row>
    <row r="13" spans="1:10" x14ac:dyDescent="0.35">
      <c r="A13" s="2">
        <v>8</v>
      </c>
      <c r="B13" s="294"/>
      <c r="C13" s="3"/>
      <c r="D13" s="3"/>
      <c r="E13" s="2"/>
      <c r="F13" s="2"/>
      <c r="H13" s="2"/>
      <c r="I13" s="495" t="s">
        <v>894</v>
      </c>
      <c r="J13" s="10">
        <f>'DETAILS (sorted)'!DM85</f>
        <v>0</v>
      </c>
    </row>
    <row r="14" spans="1:10" x14ac:dyDescent="0.35">
      <c r="A14" s="2">
        <v>9</v>
      </c>
      <c r="B14" s="294"/>
      <c r="C14" s="3"/>
      <c r="D14" s="3"/>
      <c r="E14" s="2"/>
      <c r="F14" s="2"/>
      <c r="H14" s="2"/>
      <c r="I14" s="495" t="s">
        <v>893</v>
      </c>
      <c r="J14" s="10">
        <f>'DETAILS (sorted)'!DN85</f>
        <v>0</v>
      </c>
    </row>
    <row r="15" spans="1:10" x14ac:dyDescent="0.35">
      <c r="A15" s="2">
        <v>10</v>
      </c>
      <c r="B15" s="295"/>
      <c r="C15" s="205"/>
      <c r="D15" s="3"/>
      <c r="E15" s="2"/>
      <c r="F15" s="2"/>
      <c r="H15" s="2"/>
      <c r="I15" s="495" t="s">
        <v>895</v>
      </c>
      <c r="J15" s="10">
        <f>'DETAILS (sorted)'!DO85</f>
        <v>0</v>
      </c>
    </row>
    <row r="16" spans="1:10" x14ac:dyDescent="0.35">
      <c r="A16" s="2">
        <v>11</v>
      </c>
      <c r="B16" s="294"/>
      <c r="C16" s="3"/>
      <c r="D16" s="3"/>
      <c r="E16" s="2"/>
      <c r="F16" s="2"/>
      <c r="H16" s="2"/>
      <c r="I16" s="495" t="s">
        <v>897</v>
      </c>
      <c r="J16" s="10">
        <f>'DETAILS (sorted)'!DQ85</f>
        <v>0</v>
      </c>
    </row>
    <row r="17" spans="1:10" x14ac:dyDescent="0.35">
      <c r="A17" s="2"/>
      <c r="B17" s="2"/>
      <c r="C17" s="3"/>
      <c r="D17" s="3"/>
      <c r="E17" s="2"/>
      <c r="F17" s="2"/>
      <c r="H17" s="2"/>
      <c r="I17" s="495" t="s">
        <v>898</v>
      </c>
      <c r="J17" s="10">
        <f>'DETAILS (sorted)'!DR85</f>
        <v>0</v>
      </c>
    </row>
    <row r="18" spans="1:10" x14ac:dyDescent="0.35">
      <c r="A18" s="2"/>
      <c r="B18" s="2"/>
      <c r="C18" s="3"/>
      <c r="D18" s="3"/>
      <c r="E18" s="2"/>
      <c r="F18" s="2"/>
      <c r="H18" s="2"/>
      <c r="I18" s="477"/>
      <c r="J18" s="10"/>
    </row>
    <row r="19" spans="1:10" x14ac:dyDescent="0.35">
      <c r="A19" s="2"/>
      <c r="B19" s="2"/>
      <c r="C19" s="3"/>
      <c r="D19" s="3"/>
      <c r="E19" s="2"/>
      <c r="F19" s="2"/>
      <c r="H19" s="2"/>
      <c r="I19" s="477"/>
      <c r="J19" s="10"/>
    </row>
    <row r="20" spans="1:10" x14ac:dyDescent="0.35">
      <c r="A20" s="2"/>
      <c r="B20" s="2"/>
      <c r="C20" s="3"/>
      <c r="D20" s="3"/>
      <c r="E20" s="2"/>
      <c r="F20" s="2"/>
      <c r="H20" s="2"/>
      <c r="I20" s="477"/>
      <c r="J20" s="10"/>
    </row>
    <row r="21" spans="1:10" x14ac:dyDescent="0.35">
      <c r="A21" s="2"/>
      <c r="B21" s="2"/>
      <c r="C21" s="3"/>
      <c r="D21" s="3"/>
      <c r="E21" s="2"/>
      <c r="F21" s="2"/>
      <c r="H21" s="2"/>
      <c r="I21" s="477"/>
      <c r="J21" s="10"/>
    </row>
    <row r="22" spans="1:10" x14ac:dyDescent="0.35">
      <c r="A22" s="2"/>
      <c r="B22" s="2"/>
      <c r="C22" s="3"/>
      <c r="D22" s="3"/>
      <c r="E22" s="2"/>
      <c r="F22" s="2"/>
      <c r="H22" s="2"/>
      <c r="I22" s="477"/>
      <c r="J22" s="10"/>
    </row>
    <row r="23" spans="1:10" x14ac:dyDescent="0.35">
      <c r="A23" s="2"/>
      <c r="B23" s="2"/>
      <c r="C23" s="3"/>
      <c r="D23" s="3"/>
      <c r="E23" s="2"/>
      <c r="F23" s="2"/>
      <c r="H23" s="2"/>
      <c r="I23" s="477"/>
      <c r="J23" s="10"/>
    </row>
    <row r="24" spans="1:10" x14ac:dyDescent="0.35">
      <c r="A24" s="2"/>
      <c r="B24" s="2"/>
      <c r="C24" s="3"/>
      <c r="D24" s="3"/>
      <c r="E24" s="2"/>
      <c r="F24" s="2"/>
      <c r="H24" s="2"/>
      <c r="I24" s="477"/>
      <c r="J24" s="10"/>
    </row>
    <row r="25" spans="1:10" x14ac:dyDescent="0.35">
      <c r="A25" s="2"/>
      <c r="B25" s="2"/>
      <c r="C25" s="3">
        <f>SUM(C6:C24)</f>
        <v>3400000</v>
      </c>
      <c r="D25" s="3">
        <f>C25+J25</f>
        <v>3461714.4770021439</v>
      </c>
      <c r="E25" s="3">
        <f>'DETAILS (sorted)'!DS85</f>
        <v>3497157.1610157499</v>
      </c>
      <c r="F25" s="2">
        <f>D25-E25</f>
        <v>-35442.684013606049</v>
      </c>
      <c r="G25" t="b">
        <f>D25=E25</f>
        <v>0</v>
      </c>
      <c r="H25" s="2"/>
      <c r="I25" s="477"/>
      <c r="J25" s="10">
        <f>SUM(J6:J24)</f>
        <v>61714.47700214378</v>
      </c>
    </row>
    <row r="27" spans="1:10" x14ac:dyDescent="0.35">
      <c r="C27" s="3" t="s">
        <v>644</v>
      </c>
      <c r="D27" s="3">
        <f>C25+J25</f>
        <v>3461714.4770021439</v>
      </c>
      <c r="E27" s="122">
        <f>D27/D28</f>
        <v>0.86542861925053594</v>
      </c>
      <c r="F27" s="122" t="s">
        <v>652</v>
      </c>
    </row>
    <row r="28" spans="1:10" x14ac:dyDescent="0.35">
      <c r="C28" s="3" t="s">
        <v>650</v>
      </c>
      <c r="D28" s="3">
        <v>4000000</v>
      </c>
      <c r="E28" s="122">
        <f>D28/D28</f>
        <v>1</v>
      </c>
      <c r="F28" s="122" t="s">
        <v>654</v>
      </c>
    </row>
    <row r="29" spans="1:10" x14ac:dyDescent="0.35">
      <c r="C29" s="3"/>
      <c r="D29" s="3">
        <f>D27-D28</f>
        <v>-538285.52299785614</v>
      </c>
      <c r="E29" s="122">
        <f>D29/D28</f>
        <v>-0.13457138074946404</v>
      </c>
      <c r="F29" s="122" t="s">
        <v>653</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E27A0-79B5-4081-A5A1-F94397C0E2E1}">
  <dimension ref="A2:J29"/>
  <sheetViews>
    <sheetView topLeftCell="A7"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8.1796875" bestFit="1" customWidth="1"/>
    <col min="9" max="9" width="23.90625" customWidth="1"/>
    <col min="10" max="10" width="10.1796875" bestFit="1" customWidth="1"/>
  </cols>
  <sheetData>
    <row r="2" spans="1:10" s="5" customFormat="1" ht="28" customHeight="1" x14ac:dyDescent="0.35">
      <c r="A2" s="74" t="s">
        <v>190</v>
      </c>
      <c r="B2" s="191" t="s">
        <v>0</v>
      </c>
      <c r="C2" s="191"/>
      <c r="D2" s="74" t="s">
        <v>1</v>
      </c>
      <c r="E2" s="75" t="s">
        <v>2</v>
      </c>
    </row>
    <row r="3" spans="1:10" ht="28" x14ac:dyDescent="0.35">
      <c r="A3" s="311" t="s">
        <v>611</v>
      </c>
      <c r="B3" s="7" t="s">
        <v>612</v>
      </c>
      <c r="C3" s="7"/>
      <c r="D3" s="71"/>
      <c r="E3" s="11"/>
      <c r="F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46155</v>
      </c>
      <c r="C6" s="3">
        <v>300000</v>
      </c>
      <c r="D6" s="3">
        <f>C6</f>
        <v>300000</v>
      </c>
      <c r="E6" s="2" t="s">
        <v>30</v>
      </c>
      <c r="F6" s="2">
        <v>2</v>
      </c>
      <c r="H6" s="2"/>
      <c r="I6" s="495" t="s">
        <v>537</v>
      </c>
      <c r="J6" s="10"/>
    </row>
    <row r="7" spans="1:10" x14ac:dyDescent="0.35">
      <c r="A7" s="2">
        <v>2</v>
      </c>
      <c r="B7" s="71">
        <v>46172</v>
      </c>
      <c r="C7" s="3">
        <v>200000</v>
      </c>
      <c r="D7" s="3">
        <f>D6+C7</f>
        <v>500000</v>
      </c>
      <c r="E7" s="2" t="s">
        <v>30</v>
      </c>
      <c r="F7" s="2">
        <v>2</v>
      </c>
      <c r="H7" s="2"/>
      <c r="I7" s="495" t="s">
        <v>543</v>
      </c>
      <c r="J7" s="10"/>
    </row>
    <row r="8" spans="1:10" ht="26.5" x14ac:dyDescent="0.35">
      <c r="A8" s="2">
        <v>3</v>
      </c>
      <c r="B8" s="71">
        <v>46177</v>
      </c>
      <c r="C8" s="3">
        <v>200000</v>
      </c>
      <c r="D8" s="3">
        <f t="shared" ref="D8:D9" si="0">D7+C8</f>
        <v>700000</v>
      </c>
      <c r="E8" s="2" t="s">
        <v>30</v>
      </c>
      <c r="F8" s="2">
        <v>2</v>
      </c>
      <c r="H8" s="2"/>
      <c r="I8" s="495" t="s">
        <v>681</v>
      </c>
      <c r="J8" s="10">
        <f>'DETAILS (sorted)'!DC86</f>
        <v>2817.8323224574833</v>
      </c>
    </row>
    <row r="9" spans="1:10" x14ac:dyDescent="0.35">
      <c r="A9" s="2">
        <v>4</v>
      </c>
      <c r="B9" s="71">
        <v>46178</v>
      </c>
      <c r="C9" s="3">
        <v>300000</v>
      </c>
      <c r="D9" s="3">
        <f t="shared" si="0"/>
        <v>1000000</v>
      </c>
      <c r="E9" s="2" t="s">
        <v>30</v>
      </c>
      <c r="F9" s="2">
        <v>2</v>
      </c>
      <c r="H9" s="2"/>
      <c r="I9" s="495" t="s">
        <v>696</v>
      </c>
      <c r="J9" s="10">
        <f>'DETAILS (sorted)'!DD86</f>
        <v>1907.9401184919438</v>
      </c>
    </row>
    <row r="10" spans="1:10" x14ac:dyDescent="0.35">
      <c r="A10" s="2">
        <v>5</v>
      </c>
      <c r="B10" s="71">
        <v>46203</v>
      </c>
      <c r="C10" s="3">
        <v>2100000</v>
      </c>
      <c r="D10" s="3">
        <f t="shared" ref="D10" si="1">D9+C10</f>
        <v>3100000</v>
      </c>
      <c r="E10" s="2" t="s">
        <v>30</v>
      </c>
      <c r="F10" s="2">
        <v>2</v>
      </c>
      <c r="H10" s="2"/>
      <c r="I10" s="495" t="s">
        <v>887</v>
      </c>
      <c r="J10" s="10">
        <f>'DETAILS (sorted)'!DF86</f>
        <v>8848.0542269404486</v>
      </c>
    </row>
    <row r="11" spans="1:10" x14ac:dyDescent="0.35">
      <c r="A11" s="2">
        <v>6</v>
      </c>
      <c r="B11" s="71">
        <v>46203</v>
      </c>
      <c r="C11" s="3">
        <v>200000</v>
      </c>
      <c r="D11" s="3">
        <f t="shared" ref="D11" si="2">D10+C11</f>
        <v>3300000</v>
      </c>
      <c r="E11" s="2" t="s">
        <v>30</v>
      </c>
      <c r="F11" s="2"/>
      <c r="H11" s="2"/>
      <c r="I11" s="495" t="s">
        <v>889</v>
      </c>
      <c r="J11" s="10">
        <f>'DETAILS (sorted)'!DG86</f>
        <v>29543.585174328473</v>
      </c>
    </row>
    <row r="12" spans="1:10" x14ac:dyDescent="0.35">
      <c r="A12" s="2">
        <v>7</v>
      </c>
      <c r="B12" s="294"/>
      <c r="C12" s="3"/>
      <c r="D12" s="3"/>
      <c r="E12" s="2"/>
      <c r="F12" s="2"/>
      <c r="H12" s="2"/>
      <c r="I12" s="495" t="s">
        <v>891</v>
      </c>
      <c r="J12" s="10">
        <f>'DETAILS (sorted)'!DL86</f>
        <v>9561.4882244960172</v>
      </c>
    </row>
    <row r="13" spans="1:10" x14ac:dyDescent="0.35">
      <c r="A13" s="2">
        <v>8</v>
      </c>
      <c r="B13" s="294"/>
      <c r="C13" s="3"/>
      <c r="D13" s="3"/>
      <c r="E13" s="2"/>
      <c r="F13" s="2"/>
      <c r="H13" s="2"/>
      <c r="I13" s="495" t="s">
        <v>894</v>
      </c>
      <c r="J13" s="10">
        <f>'DETAILS (sorted)'!DM86</f>
        <v>0</v>
      </c>
    </row>
    <row r="14" spans="1:10" x14ac:dyDescent="0.35">
      <c r="A14" s="2">
        <v>9</v>
      </c>
      <c r="B14" s="294"/>
      <c r="C14" s="3"/>
      <c r="D14" s="3"/>
      <c r="E14" s="2"/>
      <c r="F14" s="2"/>
      <c r="H14" s="2"/>
      <c r="I14" s="495" t="s">
        <v>893</v>
      </c>
      <c r="J14" s="10">
        <f>'DETAILS (sorted)'!DN86</f>
        <v>0</v>
      </c>
    </row>
    <row r="15" spans="1:10" x14ac:dyDescent="0.35">
      <c r="A15" s="2">
        <v>10</v>
      </c>
      <c r="B15" s="295"/>
      <c r="C15" s="205"/>
      <c r="D15" s="3"/>
      <c r="E15" s="2"/>
      <c r="F15" s="2"/>
      <c r="H15" s="2"/>
      <c r="I15" s="495" t="s">
        <v>895</v>
      </c>
      <c r="J15" s="10">
        <f>'DETAILS (sorted)'!DO86</f>
        <v>0</v>
      </c>
    </row>
    <row r="16" spans="1:10" x14ac:dyDescent="0.35">
      <c r="A16" s="2">
        <v>11</v>
      </c>
      <c r="B16" s="294"/>
      <c r="C16" s="3"/>
      <c r="D16" s="3"/>
      <c r="E16" s="2"/>
      <c r="F16" s="2"/>
      <c r="H16" s="2"/>
      <c r="I16" s="495" t="s">
        <v>897</v>
      </c>
      <c r="J16" s="10">
        <f>'DETAILS (sorted)'!DQ86</f>
        <v>0</v>
      </c>
    </row>
    <row r="17" spans="1:10" x14ac:dyDescent="0.35">
      <c r="A17" s="2"/>
      <c r="B17" s="2"/>
      <c r="C17" s="3"/>
      <c r="D17" s="3"/>
      <c r="E17" s="2"/>
      <c r="F17" s="2"/>
      <c r="H17" s="2"/>
      <c r="I17" s="495" t="s">
        <v>898</v>
      </c>
      <c r="J17" s="10">
        <f>'DETAILS (sorted)'!DR86</f>
        <v>0</v>
      </c>
    </row>
    <row r="18" spans="1:10" x14ac:dyDescent="0.35">
      <c r="A18" s="2"/>
      <c r="B18" s="2"/>
      <c r="C18" s="3"/>
      <c r="D18" s="3"/>
      <c r="E18" s="2"/>
      <c r="F18" s="2"/>
      <c r="H18" s="2"/>
      <c r="I18" s="477"/>
      <c r="J18" s="10"/>
    </row>
    <row r="19" spans="1:10" x14ac:dyDescent="0.35">
      <c r="A19" s="2"/>
      <c r="B19" s="2"/>
      <c r="C19" s="3"/>
      <c r="D19" s="3"/>
      <c r="E19" s="2"/>
      <c r="F19" s="2"/>
      <c r="H19" s="2"/>
      <c r="I19" s="477"/>
      <c r="J19" s="10"/>
    </row>
    <row r="20" spans="1:10" x14ac:dyDescent="0.35">
      <c r="A20" s="2"/>
      <c r="B20" s="2"/>
      <c r="C20" s="3"/>
      <c r="D20" s="3"/>
      <c r="E20" s="2"/>
      <c r="F20" s="2"/>
      <c r="H20" s="2"/>
      <c r="I20" s="477"/>
      <c r="J20" s="10"/>
    </row>
    <row r="21" spans="1:10" x14ac:dyDescent="0.35">
      <c r="A21" s="2"/>
      <c r="B21" s="2"/>
      <c r="C21" s="3"/>
      <c r="D21" s="3"/>
      <c r="E21" s="2"/>
      <c r="F21" s="2"/>
      <c r="H21" s="2"/>
      <c r="I21" s="477"/>
      <c r="J21" s="10"/>
    </row>
    <row r="22" spans="1:10" x14ac:dyDescent="0.35">
      <c r="A22" s="2"/>
      <c r="B22" s="2"/>
      <c r="C22" s="3"/>
      <c r="D22" s="3"/>
      <c r="E22" s="2"/>
      <c r="F22" s="2"/>
      <c r="H22" s="2"/>
      <c r="I22" s="477"/>
      <c r="J22" s="10"/>
    </row>
    <row r="23" spans="1:10" x14ac:dyDescent="0.35">
      <c r="A23" s="2"/>
      <c r="B23" s="2"/>
      <c r="C23" s="3"/>
      <c r="D23" s="3"/>
      <c r="E23" s="2"/>
      <c r="F23" s="2"/>
      <c r="H23" s="2"/>
      <c r="I23" s="477"/>
      <c r="J23" s="10"/>
    </row>
    <row r="24" spans="1:10" x14ac:dyDescent="0.35">
      <c r="A24" s="2"/>
      <c r="B24" s="2"/>
      <c r="C24" s="3"/>
      <c r="D24" s="3"/>
      <c r="E24" s="2"/>
      <c r="F24" s="2"/>
      <c r="H24" s="2"/>
      <c r="I24" s="477"/>
      <c r="J24" s="10"/>
    </row>
    <row r="25" spans="1:10" x14ac:dyDescent="0.35">
      <c r="A25" s="2"/>
      <c r="B25" s="2"/>
      <c r="C25" s="3">
        <f>SUM(C6:C24)</f>
        <v>3300000</v>
      </c>
      <c r="D25" s="3">
        <f>C25+J25</f>
        <v>3352678.9000667143</v>
      </c>
      <c r="E25" s="3">
        <f>'DETAILS (sorted)'!DS86</f>
        <v>3387005.2258349373</v>
      </c>
      <c r="F25" s="2">
        <f>D25-E25</f>
        <v>-34326.325768223032</v>
      </c>
      <c r="G25" t="b">
        <f>D25=E25</f>
        <v>0</v>
      </c>
      <c r="H25" s="2"/>
      <c r="I25" s="477"/>
      <c r="J25" s="10">
        <f>SUM(J6:J24)</f>
        <v>52678.90006671437</v>
      </c>
    </row>
    <row r="27" spans="1:10" x14ac:dyDescent="0.35">
      <c r="C27" s="3" t="s">
        <v>644</v>
      </c>
      <c r="D27" s="3">
        <f>C25+J25</f>
        <v>3352678.9000667143</v>
      </c>
      <c r="E27" s="122">
        <f>D27/D28</f>
        <v>0.83816972501667852</v>
      </c>
      <c r="F27" s="2" t="s">
        <v>652</v>
      </c>
    </row>
    <row r="28" spans="1:10" x14ac:dyDescent="0.35">
      <c r="C28" s="3" t="s">
        <v>650</v>
      </c>
      <c r="D28" s="3">
        <v>4000000</v>
      </c>
      <c r="E28" s="122">
        <f>D28/D28</f>
        <v>1</v>
      </c>
      <c r="F28" s="2" t="s">
        <v>654</v>
      </c>
    </row>
    <row r="29" spans="1:10" x14ac:dyDescent="0.35">
      <c r="C29" s="3"/>
      <c r="D29" s="3">
        <f>D27-D28</f>
        <v>-647321.09993328573</v>
      </c>
      <c r="E29" s="122">
        <f>D29/D28</f>
        <v>-0.16183027498332142</v>
      </c>
      <c r="F29" s="2" t="s">
        <v>653</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E8346-1CE2-407E-8185-B38C948830AA}">
  <dimension ref="A2:J29"/>
  <sheetViews>
    <sheetView topLeftCell="A8" workbookViewId="0">
      <selection activeCell="J23" sqref="J23"/>
    </sheetView>
  </sheetViews>
  <sheetFormatPr defaultRowHeight="14.5" x14ac:dyDescent="0.35"/>
  <cols>
    <col min="1" max="1" width="13.1796875" bestFit="1" customWidth="1"/>
    <col min="2" max="2" width="18.6328125" bestFit="1" customWidth="1"/>
    <col min="3" max="3" width="11.7265625" style="1" bestFit="1" customWidth="1"/>
    <col min="4" max="4" width="15" style="1" bestFit="1" customWidth="1"/>
    <col min="5" max="5" width="11.7265625" customWidth="1"/>
    <col min="6" max="6" width="9.90625" bestFit="1" customWidth="1"/>
    <col min="7" max="7" width="5.1796875" bestFit="1" customWidth="1"/>
    <col min="8" max="8" width="4.7265625" bestFit="1" customWidth="1"/>
    <col min="9" max="9" width="22.08984375" style="479" customWidth="1"/>
    <col min="10" max="10" width="10.1796875" bestFit="1" customWidth="1"/>
  </cols>
  <sheetData>
    <row r="2" spans="1:10" s="5" customFormat="1" x14ac:dyDescent="0.35">
      <c r="A2" s="74" t="s">
        <v>190</v>
      </c>
      <c r="B2" s="191" t="s">
        <v>0</v>
      </c>
      <c r="C2" s="191"/>
      <c r="D2" s="74" t="s">
        <v>1</v>
      </c>
      <c r="E2" s="75" t="s">
        <v>2</v>
      </c>
      <c r="I2" s="479"/>
    </row>
    <row r="3" spans="1:10" x14ac:dyDescent="0.35">
      <c r="A3" s="311" t="s">
        <v>620</v>
      </c>
      <c r="B3" s="7" t="s">
        <v>622</v>
      </c>
      <c r="C3" s="7"/>
      <c r="D3" s="71"/>
      <c r="E3" s="11"/>
      <c r="F3" s="11"/>
    </row>
    <row r="4" spans="1:10" x14ac:dyDescent="0.35">
      <c r="H4" s="2" t="s">
        <v>643</v>
      </c>
      <c r="I4" s="477" t="s">
        <v>445</v>
      </c>
      <c r="J4" s="10" t="s">
        <v>568</v>
      </c>
    </row>
    <row r="5" spans="1:10" x14ac:dyDescent="0.35">
      <c r="A5" s="74" t="s">
        <v>487</v>
      </c>
      <c r="B5" s="74" t="s">
        <v>2</v>
      </c>
      <c r="C5" s="191" t="s">
        <v>124</v>
      </c>
      <c r="D5" s="191" t="s">
        <v>488</v>
      </c>
      <c r="E5" s="74" t="s">
        <v>489</v>
      </c>
      <c r="F5" s="74" t="s">
        <v>490</v>
      </c>
      <c r="H5" s="2"/>
      <c r="I5" s="477"/>
      <c r="J5" s="10"/>
    </row>
    <row r="6" spans="1:10" x14ac:dyDescent="0.35">
      <c r="A6" s="2">
        <v>1</v>
      </c>
      <c r="B6" s="71">
        <v>46159</v>
      </c>
      <c r="C6" s="3">
        <v>3200000</v>
      </c>
      <c r="D6" s="3">
        <f>C6</f>
        <v>3200000</v>
      </c>
      <c r="E6" s="2" t="s">
        <v>30</v>
      </c>
      <c r="F6" s="2">
        <v>2</v>
      </c>
      <c r="H6" s="2"/>
      <c r="I6" s="495" t="s">
        <v>537</v>
      </c>
      <c r="J6" s="10"/>
    </row>
    <row r="7" spans="1:10" x14ac:dyDescent="0.35">
      <c r="A7" s="2">
        <v>2</v>
      </c>
      <c r="B7" s="71">
        <v>46167</v>
      </c>
      <c r="C7" s="3">
        <v>300000</v>
      </c>
      <c r="D7" s="3">
        <f>C7</f>
        <v>300000</v>
      </c>
      <c r="E7" s="2" t="s">
        <v>30</v>
      </c>
      <c r="F7" s="2">
        <v>2</v>
      </c>
      <c r="H7" s="2"/>
      <c r="I7" s="495" t="s">
        <v>543</v>
      </c>
      <c r="J7" s="10"/>
    </row>
    <row r="8" spans="1:10" ht="26.5" x14ac:dyDescent="0.35">
      <c r="A8" s="2">
        <v>3</v>
      </c>
      <c r="B8" s="294"/>
      <c r="C8" s="3"/>
      <c r="D8" s="3"/>
      <c r="E8" s="2"/>
      <c r="F8" s="2"/>
      <c r="H8" s="2"/>
      <c r="I8" s="495" t="s">
        <v>681</v>
      </c>
      <c r="J8" s="10">
        <f>'DETAILS (sorted)'!DC87</f>
        <v>19724.826257202381</v>
      </c>
    </row>
    <row r="9" spans="1:10" x14ac:dyDescent="0.35">
      <c r="A9" s="2">
        <v>4</v>
      </c>
      <c r="B9" s="294"/>
      <c r="C9" s="3"/>
      <c r="D9" s="3"/>
      <c r="E9" s="2"/>
      <c r="F9" s="2"/>
      <c r="H9" s="2"/>
      <c r="I9" s="495" t="s">
        <v>696</v>
      </c>
      <c r="J9" s="10">
        <f>'DETAILS (sorted)'!DD87</f>
        <v>13355.580829443606</v>
      </c>
    </row>
    <row r="10" spans="1:10" x14ac:dyDescent="0.35">
      <c r="A10" s="2">
        <v>5</v>
      </c>
      <c r="B10" s="294"/>
      <c r="C10" s="3"/>
      <c r="D10" s="3"/>
      <c r="E10" s="2"/>
      <c r="F10" s="2"/>
      <c r="H10" s="2"/>
      <c r="I10" s="495" t="s">
        <v>887</v>
      </c>
      <c r="J10" s="10">
        <f>'DETAILS (sorted)'!DF87</f>
        <v>9384.2999376641128</v>
      </c>
    </row>
    <row r="11" spans="1:10" x14ac:dyDescent="0.35">
      <c r="A11" s="2">
        <v>6</v>
      </c>
      <c r="B11" s="294"/>
      <c r="C11" s="3"/>
      <c r="D11" s="3"/>
      <c r="E11" s="2"/>
      <c r="F11" s="2"/>
      <c r="H11" s="2"/>
      <c r="I11" s="495" t="s">
        <v>889</v>
      </c>
      <c r="J11" s="10">
        <f>'DETAILS (sorted)'!DG87</f>
        <v>31334.105487924138</v>
      </c>
    </row>
    <row r="12" spans="1:10" x14ac:dyDescent="0.35">
      <c r="A12" s="2">
        <v>7</v>
      </c>
      <c r="B12" s="294"/>
      <c r="C12" s="3"/>
      <c r="D12" s="3"/>
      <c r="E12" s="2"/>
      <c r="F12" s="2"/>
      <c r="H12" s="2"/>
      <c r="I12" s="495" t="s">
        <v>891</v>
      </c>
      <c r="J12" s="10">
        <f>'DETAILS (sorted)'!DL87</f>
        <v>13081.300504773772</v>
      </c>
    </row>
    <row r="13" spans="1:10" x14ac:dyDescent="0.35">
      <c r="A13" s="2">
        <v>8</v>
      </c>
      <c r="B13" s="294"/>
      <c r="C13" s="3"/>
      <c r="D13" s="3"/>
      <c r="E13" s="2"/>
      <c r="F13" s="2"/>
      <c r="H13" s="2"/>
      <c r="I13" s="495" t="s">
        <v>894</v>
      </c>
      <c r="J13" s="10">
        <f>'DETAILS (sorted)'!DM87</f>
        <v>0</v>
      </c>
    </row>
    <row r="14" spans="1:10" x14ac:dyDescent="0.35">
      <c r="A14" s="2">
        <v>9</v>
      </c>
      <c r="B14" s="294"/>
      <c r="C14" s="3"/>
      <c r="D14" s="3"/>
      <c r="E14" s="2"/>
      <c r="F14" s="2"/>
      <c r="H14" s="2"/>
      <c r="I14" s="495" t="s">
        <v>893</v>
      </c>
      <c r="J14" s="10">
        <f>'DETAILS (sorted)'!DN87</f>
        <v>0</v>
      </c>
    </row>
    <row r="15" spans="1:10" x14ac:dyDescent="0.35">
      <c r="A15" s="2">
        <v>10</v>
      </c>
      <c r="B15" s="295"/>
      <c r="C15" s="205"/>
      <c r="D15" s="3"/>
      <c r="E15" s="2"/>
      <c r="F15" s="2"/>
      <c r="H15" s="2"/>
      <c r="I15" s="495" t="s">
        <v>895</v>
      </c>
      <c r="J15" s="10">
        <f>'DETAILS (sorted)'!DO87</f>
        <v>0</v>
      </c>
    </row>
    <row r="16" spans="1:10" x14ac:dyDescent="0.35">
      <c r="A16" s="2">
        <v>11</v>
      </c>
      <c r="B16" s="294"/>
      <c r="C16" s="3"/>
      <c r="D16" s="3"/>
      <c r="E16" s="2"/>
      <c r="F16" s="2"/>
      <c r="H16" s="2"/>
      <c r="I16" s="495" t="s">
        <v>897</v>
      </c>
      <c r="J16" s="10">
        <f>'DETAILS (sorted)'!DQ87</f>
        <v>0</v>
      </c>
    </row>
    <row r="17" spans="1:10" x14ac:dyDescent="0.35">
      <c r="A17" s="2"/>
      <c r="B17" s="2"/>
      <c r="C17" s="3"/>
      <c r="D17" s="3"/>
      <c r="E17" s="2"/>
      <c r="F17" s="2"/>
      <c r="H17" s="2"/>
      <c r="I17" s="495" t="s">
        <v>898</v>
      </c>
      <c r="J17" s="10">
        <f>'DETAILS (sorted)'!DR87</f>
        <v>0</v>
      </c>
    </row>
    <row r="18" spans="1:10" x14ac:dyDescent="0.35">
      <c r="A18" s="2"/>
      <c r="B18" s="2"/>
      <c r="C18" s="3"/>
      <c r="D18" s="3"/>
      <c r="E18" s="2"/>
      <c r="F18" s="2"/>
      <c r="H18" s="2"/>
      <c r="I18" s="477"/>
      <c r="J18" s="10"/>
    </row>
    <row r="19" spans="1:10" x14ac:dyDescent="0.35">
      <c r="A19" s="2"/>
      <c r="B19" s="2"/>
      <c r="C19" s="3"/>
      <c r="D19" s="3"/>
      <c r="E19" s="2"/>
      <c r="F19" s="2"/>
      <c r="H19" s="2"/>
      <c r="I19" s="477"/>
      <c r="J19" s="10"/>
    </row>
    <row r="20" spans="1:10" x14ac:dyDescent="0.35">
      <c r="A20" s="2"/>
      <c r="B20" s="2"/>
      <c r="C20" s="3"/>
      <c r="D20" s="3"/>
      <c r="E20" s="2"/>
      <c r="F20" s="2"/>
      <c r="H20" s="2"/>
      <c r="I20" s="477"/>
      <c r="J20" s="10"/>
    </row>
    <row r="21" spans="1:10" x14ac:dyDescent="0.35">
      <c r="A21" s="2"/>
      <c r="B21" s="2"/>
      <c r="C21" s="3"/>
      <c r="D21" s="3"/>
      <c r="E21" s="2"/>
      <c r="F21" s="2"/>
      <c r="H21" s="2"/>
      <c r="I21" s="477"/>
      <c r="J21" s="10"/>
    </row>
    <row r="22" spans="1:10" x14ac:dyDescent="0.35">
      <c r="A22" s="2"/>
      <c r="B22" s="2"/>
      <c r="C22" s="3"/>
      <c r="D22" s="3"/>
      <c r="E22" s="2"/>
      <c r="F22" s="2"/>
      <c r="H22" s="2"/>
      <c r="I22" s="477"/>
      <c r="J22" s="10"/>
    </row>
    <row r="23" spans="1:10" x14ac:dyDescent="0.35">
      <c r="A23" s="2"/>
      <c r="B23" s="2"/>
      <c r="C23" s="3"/>
      <c r="D23" s="3"/>
      <c r="E23" s="2"/>
      <c r="F23" s="2"/>
      <c r="H23" s="2"/>
      <c r="I23" s="477"/>
      <c r="J23" s="10"/>
    </row>
    <row r="24" spans="1:10" x14ac:dyDescent="0.35">
      <c r="A24" s="2"/>
      <c r="B24" s="2"/>
      <c r="C24" s="3"/>
      <c r="D24" s="3"/>
      <c r="E24" s="2"/>
      <c r="F24" s="2"/>
      <c r="H24" s="2"/>
      <c r="I24" s="477"/>
      <c r="J24" s="10"/>
    </row>
    <row r="25" spans="1:10" x14ac:dyDescent="0.35">
      <c r="A25" s="2"/>
      <c r="B25" s="2"/>
      <c r="C25" s="3">
        <f>SUM(C6:C24)</f>
        <v>3500000</v>
      </c>
      <c r="D25" s="3">
        <f>C25+J25</f>
        <v>3586880.1130170082</v>
      </c>
      <c r="E25" s="3">
        <f>'DETAILS (sorted)'!DS87</f>
        <v>4633842.7795032235</v>
      </c>
      <c r="F25" s="2">
        <f>D25-E25</f>
        <v>-1046962.6664862153</v>
      </c>
      <c r="G25" t="b">
        <f>D25=E25</f>
        <v>0</v>
      </c>
      <c r="H25" s="2"/>
      <c r="I25" s="477"/>
      <c r="J25" s="10">
        <f>SUM(J6:J24)</f>
        <v>86880.113017008014</v>
      </c>
    </row>
    <row r="27" spans="1:10" x14ac:dyDescent="0.35">
      <c r="C27" s="3" t="s">
        <v>644</v>
      </c>
      <c r="D27" s="3">
        <f>C25+J25</f>
        <v>3586880.1130170082</v>
      </c>
      <c r="E27" s="122">
        <f>D27/D28</f>
        <v>0.3586880113017008</v>
      </c>
      <c r="F27" s="2" t="s">
        <v>652</v>
      </c>
    </row>
    <row r="28" spans="1:10" x14ac:dyDescent="0.35">
      <c r="C28" s="3" t="s">
        <v>650</v>
      </c>
      <c r="D28" s="3">
        <v>10000000</v>
      </c>
      <c r="E28" s="122">
        <f>D28/D28</f>
        <v>1</v>
      </c>
      <c r="F28" s="2" t="s">
        <v>654</v>
      </c>
    </row>
    <row r="29" spans="1:10" x14ac:dyDescent="0.35">
      <c r="C29" s="3"/>
      <c r="D29" s="3">
        <f>D27-D28</f>
        <v>-6413119.8869829923</v>
      </c>
      <c r="E29" s="122">
        <f>D29/D28</f>
        <v>-0.6413119886982992</v>
      </c>
      <c r="F29" s="2" t="s">
        <v>653</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3E41-388E-4775-AB0D-D69CE8398FAB}">
  <dimension ref="A2:J29"/>
  <sheetViews>
    <sheetView topLeftCell="A4" workbookViewId="0">
      <selection activeCell="J23" sqref="J23"/>
    </sheetView>
  </sheetViews>
  <sheetFormatPr defaultRowHeight="14.5" x14ac:dyDescent="0.35"/>
  <cols>
    <col min="2" max="2" width="12" bestFit="1" customWidth="1"/>
    <col min="3" max="3" width="20.26953125" style="1" customWidth="1"/>
    <col min="4" max="4" width="15.54296875" style="1" customWidth="1"/>
    <col min="5" max="5" width="13.08984375" bestFit="1" customWidth="1"/>
    <col min="6" max="6" width="8.1796875" bestFit="1" customWidth="1"/>
    <col min="7" max="7" width="11.1796875" bestFit="1" customWidth="1"/>
    <col min="9" max="9" width="26.36328125" customWidth="1"/>
    <col min="10" max="10" width="10.1796875" bestFit="1" customWidth="1"/>
  </cols>
  <sheetData>
    <row r="2" spans="1:10" s="5" customFormat="1" x14ac:dyDescent="0.35">
      <c r="B2" s="74" t="s">
        <v>190</v>
      </c>
      <c r="C2" s="191" t="s">
        <v>0</v>
      </c>
      <c r="D2" s="191"/>
      <c r="E2" s="74" t="s">
        <v>1</v>
      </c>
      <c r="F2" s="75" t="s">
        <v>2</v>
      </c>
      <c r="G2" s="63" t="s">
        <v>3</v>
      </c>
    </row>
    <row r="3" spans="1:10" x14ac:dyDescent="0.35">
      <c r="B3" s="311" t="s">
        <v>621</v>
      </c>
      <c r="C3" s="7" t="s">
        <v>623</v>
      </c>
      <c r="D3" s="7"/>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46157</v>
      </c>
      <c r="C6" s="7">
        <v>3200000</v>
      </c>
      <c r="D6" s="3">
        <f>C6</f>
        <v>3200000</v>
      </c>
      <c r="E6" s="2" t="s">
        <v>30</v>
      </c>
      <c r="F6" s="2">
        <v>2</v>
      </c>
      <c r="H6" s="2"/>
      <c r="I6" s="408" t="s">
        <v>537</v>
      </c>
      <c r="J6" s="10"/>
    </row>
    <row r="7" spans="1:10" x14ac:dyDescent="0.35">
      <c r="A7" s="2">
        <v>2</v>
      </c>
      <c r="B7" s="71">
        <v>46184</v>
      </c>
      <c r="C7" s="3">
        <v>1000000</v>
      </c>
      <c r="D7" s="3">
        <f>D6+C7</f>
        <v>4200000</v>
      </c>
      <c r="E7" s="2" t="s">
        <v>30</v>
      </c>
      <c r="F7" s="2">
        <v>2</v>
      </c>
      <c r="H7" s="2"/>
      <c r="I7" s="408" t="s">
        <v>543</v>
      </c>
      <c r="J7" s="10"/>
    </row>
    <row r="8" spans="1:10" ht="29" x14ac:dyDescent="0.35">
      <c r="A8" s="2">
        <v>3</v>
      </c>
      <c r="B8" s="294"/>
      <c r="C8" s="3"/>
      <c r="D8" s="3"/>
      <c r="E8" s="2"/>
      <c r="F8" s="2"/>
      <c r="H8" s="2"/>
      <c r="I8" s="225" t="s">
        <v>681</v>
      </c>
      <c r="J8" s="10">
        <f>'DETAILS (sorted)'!DC88</f>
        <v>18034.126863727892</v>
      </c>
    </row>
    <row r="9" spans="1:10" x14ac:dyDescent="0.35">
      <c r="A9" s="2">
        <v>4</v>
      </c>
      <c r="B9" s="294"/>
      <c r="C9" s="3"/>
      <c r="D9" s="3"/>
      <c r="E9" s="2"/>
      <c r="F9" s="2"/>
      <c r="H9" s="2"/>
      <c r="I9" s="225" t="s">
        <v>696</v>
      </c>
      <c r="J9" s="10">
        <f>'DETAILS (sorted)'!DD88</f>
        <v>12210.816758348439</v>
      </c>
    </row>
    <row r="10" spans="1:10" x14ac:dyDescent="0.35">
      <c r="A10" s="2">
        <v>5</v>
      </c>
      <c r="B10" s="294"/>
      <c r="C10" s="3"/>
      <c r="D10" s="3"/>
      <c r="E10" s="2"/>
      <c r="F10" s="2"/>
      <c r="H10" s="2"/>
      <c r="I10" s="408" t="s">
        <v>887</v>
      </c>
      <c r="J10" s="10">
        <f>'DETAILS (sorted)'!DF88</f>
        <v>11261.159925196935</v>
      </c>
    </row>
    <row r="11" spans="1:10" x14ac:dyDescent="0.35">
      <c r="A11" s="2">
        <v>6</v>
      </c>
      <c r="B11" s="294"/>
      <c r="C11" s="3"/>
      <c r="D11" s="3"/>
      <c r="E11" s="2"/>
      <c r="F11" s="2"/>
      <c r="H11" s="2"/>
      <c r="I11" s="408" t="s">
        <v>889</v>
      </c>
      <c r="J11" s="10">
        <f>'DETAILS (sorted)'!DG88</f>
        <v>37600.926585508969</v>
      </c>
    </row>
    <row r="12" spans="1:10" x14ac:dyDescent="0.35">
      <c r="A12" s="2">
        <v>7</v>
      </c>
      <c r="B12" s="294"/>
      <c r="C12" s="3"/>
      <c r="D12" s="3"/>
      <c r="E12" s="2"/>
      <c r="F12" s="2"/>
      <c r="H12" s="2"/>
      <c r="I12" s="408" t="s">
        <v>891</v>
      </c>
      <c r="J12" s="10">
        <f>'DETAILS (sorted)'!DL88</f>
        <v>12238.466807968553</v>
      </c>
    </row>
    <row r="13" spans="1:10" x14ac:dyDescent="0.35">
      <c r="A13" s="2">
        <v>8</v>
      </c>
      <c r="B13" s="294"/>
      <c r="C13" s="3"/>
      <c r="D13" s="3"/>
      <c r="E13" s="2"/>
      <c r="F13" s="2"/>
      <c r="H13" s="2"/>
      <c r="I13" s="408" t="s">
        <v>894</v>
      </c>
      <c r="J13" s="10">
        <f>'DETAILS (sorted)'!DM88</f>
        <v>0</v>
      </c>
    </row>
    <row r="14" spans="1:10" x14ac:dyDescent="0.35">
      <c r="A14" s="2">
        <v>9</v>
      </c>
      <c r="B14" s="294"/>
      <c r="C14" s="3"/>
      <c r="D14" s="3"/>
      <c r="E14" s="2"/>
      <c r="F14" s="2"/>
      <c r="H14" s="2"/>
      <c r="I14" s="408" t="s">
        <v>893</v>
      </c>
      <c r="J14" s="10">
        <f>'DETAILS (sorted)'!DN88</f>
        <v>0</v>
      </c>
    </row>
    <row r="15" spans="1:10" x14ac:dyDescent="0.35">
      <c r="A15" s="2">
        <v>10</v>
      </c>
      <c r="B15" s="295"/>
      <c r="C15" s="205"/>
      <c r="D15" s="3"/>
      <c r="E15" s="2"/>
      <c r="F15" s="2"/>
      <c r="H15" s="2"/>
      <c r="I15" s="408" t="s">
        <v>895</v>
      </c>
      <c r="J15" s="10">
        <f>'DETAILS (sorted)'!DO88</f>
        <v>0</v>
      </c>
    </row>
    <row r="16" spans="1:10" x14ac:dyDescent="0.35">
      <c r="A16" s="2">
        <v>11</v>
      </c>
      <c r="B16" s="294"/>
      <c r="C16" s="3"/>
      <c r="D16" s="3"/>
      <c r="E16" s="2"/>
      <c r="F16" s="2"/>
      <c r="H16" s="2"/>
      <c r="I16" s="408" t="s">
        <v>897</v>
      </c>
      <c r="J16" s="10">
        <f>'DETAILS (sorted)'!DQ88</f>
        <v>0</v>
      </c>
    </row>
    <row r="17" spans="1:10" x14ac:dyDescent="0.35">
      <c r="A17" s="2"/>
      <c r="B17" s="2"/>
      <c r="C17" s="3"/>
      <c r="D17" s="3"/>
      <c r="E17" s="2"/>
      <c r="F17" s="2"/>
      <c r="H17" s="2"/>
      <c r="I17" s="408" t="s">
        <v>898</v>
      </c>
      <c r="J17" s="10">
        <f>'DETAILS (sorted)'!DR88</f>
        <v>0</v>
      </c>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4200000</v>
      </c>
      <c r="D25" s="3">
        <f>C25+J25</f>
        <v>4291345.4969407506</v>
      </c>
      <c r="E25" s="414">
        <f>'DETAILS (sorted)'!DS88</f>
        <v>4335282.3390609594</v>
      </c>
      <c r="F25" s="97">
        <f>D25-E25</f>
        <v>-43936.842120208777</v>
      </c>
      <c r="G25" t="b">
        <f>D25=E25</f>
        <v>0</v>
      </c>
      <c r="H25" s="2"/>
      <c r="I25" s="2"/>
      <c r="J25" s="10">
        <f>SUM(J6:J24)</f>
        <v>91345.496940750789</v>
      </c>
    </row>
    <row r="27" spans="1:10" x14ac:dyDescent="0.35">
      <c r="C27" s="3" t="s">
        <v>644</v>
      </c>
      <c r="D27" s="3">
        <f>C25+J25</f>
        <v>4291345.4969407506</v>
      </c>
      <c r="E27" s="122">
        <f>D27/D28</f>
        <v>0.42913454969407505</v>
      </c>
      <c r="F27" s="2" t="s">
        <v>652</v>
      </c>
    </row>
    <row r="28" spans="1:10" x14ac:dyDescent="0.35">
      <c r="C28" s="3" t="s">
        <v>650</v>
      </c>
      <c r="D28" s="3">
        <v>10000000</v>
      </c>
      <c r="E28" s="122">
        <f>D28/D28</f>
        <v>1</v>
      </c>
      <c r="F28" s="2" t="s">
        <v>654</v>
      </c>
    </row>
    <row r="29" spans="1:10" x14ac:dyDescent="0.35">
      <c r="C29" s="3"/>
      <c r="D29" s="3">
        <f>D27-D28</f>
        <v>-5708654.5030592494</v>
      </c>
      <c r="E29" s="122">
        <f>D29/D28</f>
        <v>-0.57086545030592495</v>
      </c>
      <c r="F29" s="2" t="s">
        <v>653</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BB87E-D206-4E97-8A30-DD804E67A325}">
  <dimension ref="A2:J30"/>
  <sheetViews>
    <sheetView topLeftCell="A3" workbookViewId="0">
      <selection activeCell="J23" sqref="J23"/>
    </sheetView>
  </sheetViews>
  <sheetFormatPr defaultRowHeight="14.5" x14ac:dyDescent="0.35"/>
  <cols>
    <col min="1" max="1" width="8" customWidth="1"/>
    <col min="2" max="2" width="14.26953125" bestFit="1" customWidth="1"/>
    <col min="3" max="3" width="12.81640625" style="1" customWidth="1"/>
    <col min="4" max="4" width="14.453125" style="1" bestFit="1" customWidth="1"/>
    <col min="5" max="5" width="11.26953125" bestFit="1" customWidth="1"/>
    <col min="6" max="6" width="10" bestFit="1" customWidth="1"/>
    <col min="7" max="7" width="5.08984375" bestFit="1" customWidth="1"/>
    <col min="8" max="8" width="4.7265625" hidden="1" customWidth="1"/>
    <col min="9" max="9" width="29.54296875" customWidth="1"/>
    <col min="10" max="10" width="10.1796875" bestFit="1" customWidth="1"/>
  </cols>
  <sheetData>
    <row r="2" spans="1:10" s="5" customFormat="1" x14ac:dyDescent="0.35">
      <c r="A2" s="74" t="s">
        <v>190</v>
      </c>
      <c r="B2" s="191" t="s">
        <v>0</v>
      </c>
      <c r="C2" s="191"/>
      <c r="D2" s="74" t="s">
        <v>1</v>
      </c>
      <c r="E2" s="75" t="s">
        <v>2</v>
      </c>
      <c r="F2" s="63" t="s">
        <v>3</v>
      </c>
    </row>
    <row r="3" spans="1:10" ht="28" x14ac:dyDescent="0.35">
      <c r="A3" s="311" t="s">
        <v>628</v>
      </c>
      <c r="B3" s="764" t="s">
        <v>629</v>
      </c>
      <c r="C3" s="765"/>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46162</v>
      </c>
      <c r="C6" s="7">
        <v>1200000</v>
      </c>
      <c r="D6" s="3">
        <f>C6</f>
        <v>1200000</v>
      </c>
      <c r="E6" s="2" t="s">
        <v>30</v>
      </c>
      <c r="F6" s="2">
        <v>2</v>
      </c>
      <c r="H6" s="2"/>
      <c r="I6" s="495" t="s">
        <v>537</v>
      </c>
      <c r="J6" s="10"/>
    </row>
    <row r="7" spans="1:10" x14ac:dyDescent="0.35">
      <c r="A7" s="2">
        <v>2</v>
      </c>
      <c r="B7" s="71">
        <v>46164</v>
      </c>
      <c r="C7" s="3">
        <v>700000</v>
      </c>
      <c r="D7" s="3">
        <f>D6+C7</f>
        <v>1900000</v>
      </c>
      <c r="E7" s="2" t="s">
        <v>30</v>
      </c>
      <c r="F7" s="2">
        <v>2</v>
      </c>
      <c r="H7" s="2"/>
      <c r="I7" s="495" t="s">
        <v>543</v>
      </c>
      <c r="J7" s="10"/>
    </row>
    <row r="8" spans="1:10" x14ac:dyDescent="0.35">
      <c r="A8" s="2">
        <v>3</v>
      </c>
      <c r="B8" s="71">
        <v>46166</v>
      </c>
      <c r="C8" s="3">
        <v>500000</v>
      </c>
      <c r="D8" s="3">
        <f t="shared" ref="D8:D12" si="0">D7+C8</f>
        <v>2400000</v>
      </c>
      <c r="E8" s="2" t="s">
        <v>30</v>
      </c>
      <c r="F8" s="2">
        <v>2</v>
      </c>
      <c r="H8" s="2"/>
      <c r="I8" s="462" t="s">
        <v>681</v>
      </c>
      <c r="J8" s="10">
        <f>'DETAILS (sorted)'!DC89</f>
        <v>22542.658579659867</v>
      </c>
    </row>
    <row r="9" spans="1:10" x14ac:dyDescent="0.35">
      <c r="A9" s="2">
        <v>4</v>
      </c>
      <c r="B9" s="71">
        <v>46166</v>
      </c>
      <c r="C9" s="3">
        <v>1000000</v>
      </c>
      <c r="D9" s="3">
        <f t="shared" si="0"/>
        <v>3400000</v>
      </c>
      <c r="E9" s="2" t="s">
        <v>30</v>
      </c>
      <c r="F9" s="2">
        <v>2</v>
      </c>
      <c r="H9" s="2"/>
      <c r="I9" s="462" t="s">
        <v>696</v>
      </c>
      <c r="J9" s="10">
        <f>'DETAILS (sorted)'!DD89</f>
        <v>15263.520947935551</v>
      </c>
    </row>
    <row r="10" spans="1:10" x14ac:dyDescent="0.35">
      <c r="A10" s="2">
        <v>5</v>
      </c>
      <c r="B10" s="71">
        <v>46171</v>
      </c>
      <c r="C10" s="3">
        <v>600000</v>
      </c>
      <c r="D10" s="3">
        <f t="shared" si="0"/>
        <v>4000000</v>
      </c>
      <c r="E10" s="2" t="s">
        <v>30</v>
      </c>
      <c r="F10" s="2">
        <v>2</v>
      </c>
      <c r="H10" s="2"/>
      <c r="I10" s="408" t="s">
        <v>887</v>
      </c>
      <c r="J10" s="10">
        <f>'DETAILS (sorted)'!DF89</f>
        <v>55501.43105989918</v>
      </c>
    </row>
    <row r="11" spans="1:10" x14ac:dyDescent="0.35">
      <c r="A11" s="2">
        <v>6</v>
      </c>
      <c r="B11" s="71">
        <v>46183</v>
      </c>
      <c r="C11" s="3">
        <v>500000</v>
      </c>
      <c r="D11" s="3">
        <f t="shared" si="0"/>
        <v>4500000</v>
      </c>
      <c r="E11" s="2" t="s">
        <v>30</v>
      </c>
      <c r="F11" s="2">
        <v>2</v>
      </c>
      <c r="H11" s="2"/>
      <c r="I11" s="408" t="s">
        <v>889</v>
      </c>
      <c r="J11" s="10">
        <f>'DETAILS (sorted)'!DG89</f>
        <v>185318.85245715131</v>
      </c>
    </row>
    <row r="12" spans="1:10" x14ac:dyDescent="0.35">
      <c r="A12" s="2">
        <v>7</v>
      </c>
      <c r="B12" s="71">
        <v>46188</v>
      </c>
      <c r="C12" s="3">
        <v>2500000</v>
      </c>
      <c r="D12" s="3">
        <f t="shared" si="0"/>
        <v>7000000</v>
      </c>
      <c r="E12" s="2" t="s">
        <v>30</v>
      </c>
      <c r="F12" s="2">
        <v>2</v>
      </c>
      <c r="H12" s="2"/>
      <c r="I12" s="408" t="s">
        <v>891</v>
      </c>
      <c r="J12" s="10">
        <f>'DETAILS (sorted)'!DL89</f>
        <v>59999.953690519324</v>
      </c>
    </row>
    <row r="13" spans="1:10" x14ac:dyDescent="0.35">
      <c r="A13" s="2">
        <v>8</v>
      </c>
      <c r="B13" s="71">
        <v>46193</v>
      </c>
      <c r="C13" s="3">
        <v>500000</v>
      </c>
      <c r="D13" s="3">
        <f t="shared" ref="D13" si="1">D12+C13</f>
        <v>7500000</v>
      </c>
      <c r="E13" s="2" t="s">
        <v>30</v>
      </c>
      <c r="F13" s="2">
        <v>2</v>
      </c>
      <c r="H13" s="2"/>
      <c r="I13" s="408" t="s">
        <v>894</v>
      </c>
      <c r="J13" s="10">
        <f>'DETAILS (sorted)'!DM89</f>
        <v>0</v>
      </c>
    </row>
    <row r="14" spans="1:10" x14ac:dyDescent="0.35">
      <c r="A14" s="2">
        <v>9</v>
      </c>
      <c r="B14" s="71">
        <v>46196</v>
      </c>
      <c r="C14" s="3">
        <v>1000000</v>
      </c>
      <c r="D14" s="3">
        <f t="shared" ref="D14" si="2">D13+C14</f>
        <v>8500000</v>
      </c>
      <c r="E14" s="2" t="s">
        <v>30</v>
      </c>
      <c r="F14" s="2">
        <v>2</v>
      </c>
      <c r="H14" s="2"/>
      <c r="I14" s="408" t="s">
        <v>893</v>
      </c>
      <c r="J14" s="10">
        <f>'DETAILS (sorted)'!DN89</f>
        <v>0</v>
      </c>
    </row>
    <row r="15" spans="1:10" x14ac:dyDescent="0.35">
      <c r="A15" s="2">
        <v>10</v>
      </c>
      <c r="B15" s="71">
        <v>46197</v>
      </c>
      <c r="C15" s="205">
        <v>1500000</v>
      </c>
      <c r="D15" s="3">
        <f t="shared" ref="D15" si="3">D14+C15</f>
        <v>10000000</v>
      </c>
      <c r="E15" s="2" t="s">
        <v>30</v>
      </c>
      <c r="F15" s="2">
        <v>2</v>
      </c>
      <c r="H15" s="2"/>
      <c r="I15" s="408" t="s">
        <v>895</v>
      </c>
      <c r="J15" s="10">
        <f>'DETAILS (sorted)'!DO89</f>
        <v>0</v>
      </c>
    </row>
    <row r="16" spans="1:10" x14ac:dyDescent="0.35">
      <c r="A16" s="2">
        <v>11</v>
      </c>
      <c r="B16" s="71">
        <v>46198</v>
      </c>
      <c r="C16" s="205">
        <v>1000000</v>
      </c>
      <c r="D16" s="3">
        <f t="shared" ref="D16" si="4">D15+C16</f>
        <v>11000000</v>
      </c>
      <c r="E16" s="2" t="s">
        <v>30</v>
      </c>
      <c r="F16" s="2">
        <v>2</v>
      </c>
      <c r="H16" s="2"/>
      <c r="I16" s="408" t="s">
        <v>897</v>
      </c>
      <c r="J16" s="10">
        <f>'DETAILS (sorted)'!DQ89</f>
        <v>0</v>
      </c>
    </row>
    <row r="17" spans="1:10" x14ac:dyDescent="0.35">
      <c r="A17" s="2">
        <v>12</v>
      </c>
      <c r="B17" s="71">
        <v>46199</v>
      </c>
      <c r="C17" s="205">
        <v>1500000</v>
      </c>
      <c r="D17" s="3">
        <f t="shared" ref="D17:D18" si="5">D16+C17</f>
        <v>12500000</v>
      </c>
      <c r="E17" s="2" t="s">
        <v>30</v>
      </c>
      <c r="F17" s="2">
        <v>2</v>
      </c>
      <c r="H17" s="2"/>
      <c r="I17" s="408" t="s">
        <v>898</v>
      </c>
      <c r="J17" s="10">
        <f>'DETAILS (sorted)'!DR89</f>
        <v>0</v>
      </c>
    </row>
    <row r="18" spans="1:10" x14ac:dyDescent="0.35">
      <c r="A18" s="2">
        <v>13</v>
      </c>
      <c r="B18" s="505">
        <v>46199</v>
      </c>
      <c r="C18" s="205">
        <v>1200000</v>
      </c>
      <c r="D18" s="3">
        <f t="shared" si="5"/>
        <v>13700000</v>
      </c>
      <c r="E18" s="2" t="s">
        <v>30</v>
      </c>
      <c r="F18" s="2">
        <v>2</v>
      </c>
      <c r="H18" s="2"/>
      <c r="I18" s="2"/>
      <c r="J18" s="10"/>
    </row>
    <row r="19" spans="1:10" x14ac:dyDescent="0.35">
      <c r="A19" s="2">
        <v>15</v>
      </c>
      <c r="B19" s="505">
        <v>46203</v>
      </c>
      <c r="C19" s="205">
        <v>7000000</v>
      </c>
      <c r="D19" s="3">
        <f t="shared" ref="D19" si="6">D18+C19</f>
        <v>20700000</v>
      </c>
      <c r="E19" s="2" t="s">
        <v>30</v>
      </c>
      <c r="F19" s="2">
        <v>2</v>
      </c>
      <c r="H19" s="2"/>
      <c r="I19" s="2"/>
      <c r="J19" s="10"/>
    </row>
    <row r="20" spans="1:10" x14ac:dyDescent="0.35">
      <c r="A20" s="2"/>
      <c r="B20" s="2"/>
      <c r="C20" s="3"/>
      <c r="D20" s="3"/>
      <c r="E20" s="2"/>
      <c r="F20" s="2"/>
      <c r="H20" s="2"/>
      <c r="I20" s="2"/>
      <c r="J20" s="10"/>
    </row>
    <row r="21" spans="1:10" hidden="1" x14ac:dyDescent="0.35">
      <c r="A21" s="2"/>
      <c r="B21" s="2"/>
      <c r="C21" s="3"/>
      <c r="D21" s="3"/>
      <c r="E21" s="2"/>
      <c r="F21" s="2"/>
      <c r="H21" s="2"/>
      <c r="I21" s="2"/>
      <c r="J21" s="10"/>
    </row>
    <row r="22" spans="1:10" hidden="1" x14ac:dyDescent="0.35">
      <c r="A22" s="2"/>
      <c r="B22" s="2"/>
      <c r="C22" s="3"/>
      <c r="D22" s="3"/>
      <c r="E22" s="2"/>
      <c r="F22" s="2"/>
      <c r="H22" s="2"/>
      <c r="I22" s="2"/>
      <c r="J22" s="10"/>
    </row>
    <row r="23" spans="1:10" hidden="1" x14ac:dyDescent="0.35">
      <c r="A23" s="2"/>
      <c r="B23" s="2"/>
      <c r="C23" s="3"/>
      <c r="D23" s="3"/>
      <c r="E23" s="2"/>
      <c r="F23" s="2"/>
      <c r="H23" s="2"/>
      <c r="I23" s="2"/>
      <c r="J23" s="10"/>
    </row>
    <row r="24" spans="1:10" hidden="1" x14ac:dyDescent="0.35">
      <c r="A24" s="2"/>
      <c r="B24" s="2"/>
      <c r="C24" s="3"/>
      <c r="D24" s="3"/>
      <c r="E24" s="2"/>
      <c r="F24" s="2"/>
      <c r="H24" s="2"/>
      <c r="I24" s="2"/>
      <c r="J24" s="10"/>
    </row>
    <row r="25" spans="1:10" hidden="1" x14ac:dyDescent="0.35">
      <c r="A25" s="2"/>
      <c r="B25" s="2"/>
      <c r="C25" s="3"/>
      <c r="D25" s="3"/>
      <c r="E25" s="2"/>
      <c r="F25" s="2"/>
      <c r="H25" s="2"/>
      <c r="I25" s="2"/>
      <c r="J25" s="10"/>
    </row>
    <row r="26" spans="1:10" x14ac:dyDescent="0.35">
      <c r="A26" s="2"/>
      <c r="B26" s="2"/>
      <c r="C26" s="191">
        <f>SUM(C6:C25)</f>
        <v>20700000</v>
      </c>
      <c r="D26" s="191">
        <f>C26+J26</f>
        <v>21038626.416735165</v>
      </c>
      <c r="E26" s="191">
        <f>'DETAILS (sorted)'!DS89</f>
        <v>21254029.909172934</v>
      </c>
      <c r="F26" s="3">
        <f>D26-E26</f>
        <v>-215403.49243776873</v>
      </c>
      <c r="G26" t="b">
        <f>D26=E26</f>
        <v>0</v>
      </c>
      <c r="H26" s="2"/>
      <c r="I26" s="2"/>
      <c r="J26" s="63">
        <f>SUM(J6:J25)</f>
        <v>338626.41673516523</v>
      </c>
    </row>
    <row r="28" spans="1:10" x14ac:dyDescent="0.35">
      <c r="C28" s="191" t="s">
        <v>644</v>
      </c>
      <c r="D28" s="3">
        <f>C26+J26</f>
        <v>21038626.416735165</v>
      </c>
      <c r="E28" s="122">
        <f>D28/D29</f>
        <v>0.70128754722450548</v>
      </c>
      <c r="F28" s="2" t="s">
        <v>652</v>
      </c>
    </row>
    <row r="29" spans="1:10" x14ac:dyDescent="0.35">
      <c r="C29" s="191"/>
      <c r="D29" s="3">
        <v>30000000</v>
      </c>
      <c r="E29" s="122">
        <f>D29/D29</f>
        <v>1</v>
      </c>
      <c r="F29" s="2" t="s">
        <v>654</v>
      </c>
    </row>
    <row r="30" spans="1:10" x14ac:dyDescent="0.35">
      <c r="C30" s="3"/>
      <c r="D30" s="3">
        <f>D28-D29</f>
        <v>-8961373.5832648352</v>
      </c>
      <c r="E30" s="122">
        <f>D30/D29</f>
        <v>-0.29871245277549452</v>
      </c>
      <c r="F30" s="2" t="s">
        <v>653</v>
      </c>
    </row>
  </sheetData>
  <mergeCells count="1">
    <mergeCell ref="B3:C3"/>
  </mergeCells>
  <pageMargins left="0.7" right="0.7" top="0.75" bottom="0.75" header="0.3" footer="0.3"/>
  <pageSetup orientation="portrait" verticalDpi="0"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16DA-574F-4F74-89B5-F885C5B5FFE9}">
  <dimension ref="A2:J29"/>
  <sheetViews>
    <sheetView topLeftCell="A8"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3.08984375" bestFit="1" customWidth="1"/>
    <col min="6" max="6" width="9.26953125" bestFit="1" customWidth="1"/>
    <col min="7" max="7" width="11.1796875" bestFit="1" customWidth="1"/>
    <col min="9" max="9" width="29.81640625" customWidth="1"/>
    <col min="10" max="10" width="10.1796875" bestFit="1" customWidth="1"/>
  </cols>
  <sheetData>
    <row r="2" spans="1:10" s="5" customFormat="1" x14ac:dyDescent="0.35">
      <c r="B2" s="74" t="s">
        <v>190</v>
      </c>
      <c r="C2" s="191" t="s">
        <v>0</v>
      </c>
      <c r="D2" s="191"/>
      <c r="E2" s="74" t="s">
        <v>1</v>
      </c>
      <c r="F2" s="75" t="s">
        <v>2</v>
      </c>
      <c r="G2" s="63" t="s">
        <v>3</v>
      </c>
    </row>
    <row r="3" spans="1:10" ht="28" x14ac:dyDescent="0.35">
      <c r="A3" s="311" t="s">
        <v>630</v>
      </c>
      <c r="B3" s="7" t="s">
        <v>631</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2"/>
      <c r="J5" s="10"/>
    </row>
    <row r="6" spans="1:10" x14ac:dyDescent="0.35">
      <c r="A6" s="2">
        <v>1</v>
      </c>
      <c r="B6" s="71">
        <v>46164</v>
      </c>
      <c r="C6" s="3">
        <v>5000000</v>
      </c>
      <c r="D6" s="3">
        <f>C6</f>
        <v>5000000</v>
      </c>
      <c r="E6" s="2" t="s">
        <v>30</v>
      </c>
      <c r="F6" s="2">
        <v>2</v>
      </c>
      <c r="H6" s="2"/>
      <c r="I6" s="408" t="s">
        <v>537</v>
      </c>
      <c r="J6" s="10"/>
    </row>
    <row r="7" spans="1:10" x14ac:dyDescent="0.35">
      <c r="A7" s="2">
        <v>2</v>
      </c>
      <c r="B7" s="294"/>
      <c r="C7" s="3"/>
      <c r="D7" s="3"/>
      <c r="E7" s="2"/>
      <c r="F7" s="2"/>
      <c r="H7" s="2"/>
      <c r="I7" s="408" t="s">
        <v>543</v>
      </c>
      <c r="J7" s="10"/>
    </row>
    <row r="8" spans="1:10" x14ac:dyDescent="0.35">
      <c r="A8" s="2">
        <v>3</v>
      </c>
      <c r="B8" s="294"/>
      <c r="C8" s="3"/>
      <c r="D8" s="3"/>
      <c r="E8" s="2"/>
      <c r="F8" s="2"/>
      <c r="H8" s="2"/>
      <c r="I8" s="408" t="s">
        <v>681</v>
      </c>
      <c r="J8" s="10">
        <f>'DETAILS (sorted)'!DC90</f>
        <v>28178.323224574837</v>
      </c>
    </row>
    <row r="9" spans="1:10" x14ac:dyDescent="0.35">
      <c r="A9" s="2">
        <v>4</v>
      </c>
      <c r="B9" s="294"/>
      <c r="C9" s="3"/>
      <c r="D9" s="3"/>
      <c r="E9" s="2"/>
      <c r="F9" s="2"/>
      <c r="H9" s="2"/>
      <c r="I9" s="408" t="s">
        <v>696</v>
      </c>
      <c r="J9" s="10">
        <f>'DETAILS (sorted)'!DD90</f>
        <v>19079.401184919439</v>
      </c>
    </row>
    <row r="10" spans="1:10" x14ac:dyDescent="0.35">
      <c r="A10" s="2">
        <v>5</v>
      </c>
      <c r="B10" s="294"/>
      <c r="C10" s="3"/>
      <c r="D10" s="3"/>
      <c r="E10" s="2"/>
      <c r="F10" s="2"/>
      <c r="H10" s="2"/>
      <c r="I10" s="408" t="s">
        <v>887</v>
      </c>
      <c r="J10" s="10">
        <f>'DETAILS (sorted)'!DF90</f>
        <v>13406.142768091588</v>
      </c>
    </row>
    <row r="11" spans="1:10" x14ac:dyDescent="0.35">
      <c r="A11" s="2">
        <v>6</v>
      </c>
      <c r="B11" s="294"/>
      <c r="C11" s="3"/>
      <c r="D11" s="3"/>
      <c r="E11" s="2"/>
      <c r="F11" s="2"/>
      <c r="H11" s="2"/>
      <c r="I11" s="408" t="s">
        <v>889</v>
      </c>
      <c r="J11" s="10">
        <f>'DETAILS (sorted)'!DG90</f>
        <v>44763.007839891623</v>
      </c>
    </row>
    <row r="12" spans="1:10" x14ac:dyDescent="0.35">
      <c r="A12" s="2">
        <v>7</v>
      </c>
      <c r="B12" s="294"/>
      <c r="C12" s="3"/>
      <c r="D12" s="3"/>
      <c r="E12" s="2"/>
      <c r="F12" s="2"/>
      <c r="H12" s="2"/>
      <c r="I12" s="408" t="s">
        <v>891</v>
      </c>
      <c r="J12" s="10">
        <f>'DETAILS (sorted)'!DL90</f>
        <v>28902.042066103008</v>
      </c>
    </row>
    <row r="13" spans="1:10" x14ac:dyDescent="0.35">
      <c r="A13" s="2">
        <v>8</v>
      </c>
      <c r="B13" s="294"/>
      <c r="C13" s="3"/>
      <c r="D13" s="3"/>
      <c r="E13" s="2"/>
      <c r="F13" s="2"/>
      <c r="H13" s="2"/>
      <c r="I13" s="408" t="s">
        <v>894</v>
      </c>
      <c r="J13" s="10">
        <f>'DETAILS (sorted)'!DM90</f>
        <v>0</v>
      </c>
    </row>
    <row r="14" spans="1:10" x14ac:dyDescent="0.35">
      <c r="A14" s="2">
        <v>9</v>
      </c>
      <c r="B14" s="294"/>
      <c r="C14" s="3"/>
      <c r="D14" s="3"/>
      <c r="E14" s="2"/>
      <c r="F14" s="2"/>
      <c r="H14" s="2"/>
      <c r="I14" s="408" t="s">
        <v>893</v>
      </c>
      <c r="J14" s="10">
        <f>'DETAILS (sorted)'!DN90</f>
        <v>0</v>
      </c>
    </row>
    <row r="15" spans="1:10" x14ac:dyDescent="0.35">
      <c r="A15" s="2">
        <v>10</v>
      </c>
      <c r="B15" s="295"/>
      <c r="C15" s="205"/>
      <c r="D15" s="3"/>
      <c r="E15" s="2"/>
      <c r="F15" s="2"/>
      <c r="H15" s="2"/>
      <c r="I15" s="408" t="s">
        <v>895</v>
      </c>
      <c r="J15" s="10">
        <f>'DETAILS (sorted)'!DO90</f>
        <v>0</v>
      </c>
    </row>
    <row r="16" spans="1:10" x14ac:dyDescent="0.35">
      <c r="A16" s="2">
        <v>11</v>
      </c>
      <c r="B16" s="294"/>
      <c r="C16" s="3"/>
      <c r="D16" s="3"/>
      <c r="E16" s="2"/>
      <c r="F16" s="2"/>
      <c r="H16" s="2"/>
      <c r="I16" s="408" t="s">
        <v>897</v>
      </c>
      <c r="J16" s="10">
        <f>'DETAILS (sorted)'!DQ90</f>
        <v>0</v>
      </c>
    </row>
    <row r="17" spans="1:10" x14ac:dyDescent="0.35">
      <c r="A17" s="2"/>
      <c r="B17" s="2"/>
      <c r="C17" s="3"/>
      <c r="D17" s="3"/>
      <c r="E17" s="2"/>
      <c r="F17" s="2"/>
      <c r="H17" s="2"/>
      <c r="I17" s="408" t="s">
        <v>898</v>
      </c>
      <c r="J17" s="10">
        <f>'DETAILS (sorted)'!DR90</f>
        <v>0</v>
      </c>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5000000</v>
      </c>
      <c r="D25" s="3">
        <f>C25+J25</f>
        <v>5134328.91708358</v>
      </c>
      <c r="E25" s="97">
        <f>'DETAILS (sorted)'!DS90</f>
        <v>10238089.010495214</v>
      </c>
      <c r="F25" s="2">
        <f>D25-E25</f>
        <v>-5103760.0934116337</v>
      </c>
      <c r="G25" t="b">
        <f>D25=E25</f>
        <v>0</v>
      </c>
      <c r="H25" s="2"/>
      <c r="I25" s="2"/>
      <c r="J25" s="10">
        <f>SUM(J6:J24)</f>
        <v>134328.91708358051</v>
      </c>
    </row>
    <row r="27" spans="1:10" x14ac:dyDescent="0.35">
      <c r="C27" s="3" t="s">
        <v>644</v>
      </c>
      <c r="D27" s="3">
        <f>C25+J25</f>
        <v>5134328.91708358</v>
      </c>
      <c r="E27" s="122">
        <f>D27/D28</f>
        <v>0.34228859447223869</v>
      </c>
      <c r="F27" s="2" t="s">
        <v>652</v>
      </c>
    </row>
    <row r="28" spans="1:10" x14ac:dyDescent="0.35">
      <c r="C28" s="3" t="s">
        <v>650</v>
      </c>
      <c r="D28" s="3">
        <v>15000000</v>
      </c>
      <c r="E28" s="122">
        <f>D28/D28</f>
        <v>1</v>
      </c>
      <c r="F28" s="2" t="s">
        <v>654</v>
      </c>
    </row>
    <row r="29" spans="1:10" x14ac:dyDescent="0.35">
      <c r="C29" s="3"/>
      <c r="D29" s="3">
        <f>D27-D28</f>
        <v>-9865671.08291642</v>
      </c>
      <c r="E29" s="122">
        <f>D29/D28</f>
        <v>-0.65771140552776131</v>
      </c>
      <c r="F29" s="2" t="s">
        <v>653</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27DF4-0D39-47FC-BA76-75B7B354126D}">
  <dimension ref="A1:J29"/>
  <sheetViews>
    <sheetView topLeftCell="A2" workbookViewId="0">
      <selection activeCell="J23" sqref="J23"/>
    </sheetView>
  </sheetViews>
  <sheetFormatPr defaultRowHeight="14.5" x14ac:dyDescent="0.35"/>
  <cols>
    <col min="1" max="1" width="8.26953125" bestFit="1" customWidth="1"/>
    <col min="2" max="2" width="13.08984375" bestFit="1" customWidth="1"/>
    <col min="3" max="3" width="10.08984375" style="1" bestFit="1" customWidth="1"/>
    <col min="4" max="4" width="13.1796875" style="1" bestFit="1" customWidth="1"/>
    <col min="5" max="5" width="10.26953125" bestFit="1" customWidth="1"/>
    <col min="6" max="6" width="8.453125" bestFit="1" customWidth="1"/>
    <col min="7" max="7" width="4.7265625" bestFit="1" customWidth="1"/>
    <col min="8" max="8" width="4.36328125" bestFit="1" customWidth="1"/>
    <col min="9" max="9" width="23.26953125" style="526" customWidth="1"/>
    <col min="10" max="10" width="9.54296875" bestFit="1" customWidth="1"/>
  </cols>
  <sheetData>
    <row r="1" spans="1:10" ht="15" thickBot="1" x14ac:dyDescent="0.4"/>
    <row r="2" spans="1:10" s="5" customFormat="1" ht="28" customHeight="1" x14ac:dyDescent="0.35">
      <c r="A2" s="527" t="s">
        <v>190</v>
      </c>
      <c r="B2" s="768" t="s">
        <v>0</v>
      </c>
      <c r="C2" s="769"/>
      <c r="D2" s="528" t="s">
        <v>1</v>
      </c>
      <c r="E2" s="529"/>
      <c r="F2" s="530" t="s">
        <v>2</v>
      </c>
      <c r="G2" s="531"/>
      <c r="H2" s="456"/>
      <c r="I2" s="456"/>
      <c r="J2" s="456"/>
    </row>
    <row r="3" spans="1:10" ht="23.5" thickBot="1" x14ac:dyDescent="0.4">
      <c r="A3" s="542" t="s">
        <v>661</v>
      </c>
      <c r="B3" s="766" t="s">
        <v>660</v>
      </c>
      <c r="C3" s="767"/>
      <c r="D3" s="532"/>
      <c r="E3" s="533"/>
      <c r="F3" s="534"/>
      <c r="G3" s="535"/>
      <c r="H3" s="479"/>
      <c r="I3" s="479"/>
      <c r="J3" s="479"/>
    </row>
    <row r="4" spans="1:10" x14ac:dyDescent="0.35">
      <c r="A4" s="479"/>
      <c r="B4" s="479"/>
      <c r="C4" s="536"/>
      <c r="D4" s="536"/>
      <c r="E4" s="479"/>
      <c r="F4" s="479"/>
      <c r="G4" s="479"/>
      <c r="H4" s="477" t="s">
        <v>643</v>
      </c>
      <c r="I4" s="477" t="s">
        <v>445</v>
      </c>
      <c r="J4" s="537" t="s">
        <v>568</v>
      </c>
    </row>
    <row r="5" spans="1:10" x14ac:dyDescent="0.35">
      <c r="A5" s="453" t="s">
        <v>487</v>
      </c>
      <c r="B5" s="453" t="s">
        <v>2</v>
      </c>
      <c r="C5" s="454" t="s">
        <v>124</v>
      </c>
      <c r="D5" s="454" t="s">
        <v>488</v>
      </c>
      <c r="E5" s="453" t="s">
        <v>489</v>
      </c>
      <c r="F5" s="453" t="s">
        <v>490</v>
      </c>
      <c r="G5" s="479"/>
      <c r="H5" s="477"/>
      <c r="I5" s="477"/>
      <c r="J5" s="537"/>
    </row>
    <row r="6" spans="1:10" x14ac:dyDescent="0.35">
      <c r="A6" s="477">
        <v>1</v>
      </c>
      <c r="B6" s="373">
        <v>46170</v>
      </c>
      <c r="C6" s="538">
        <v>3300000</v>
      </c>
      <c r="D6" s="224">
        <f>C6</f>
        <v>3300000</v>
      </c>
      <c r="E6" s="477" t="s">
        <v>30</v>
      </c>
      <c r="F6" s="477">
        <v>2</v>
      </c>
      <c r="G6" s="479"/>
      <c r="H6" s="477"/>
      <c r="I6" s="504" t="s">
        <v>681</v>
      </c>
      <c r="J6" s="537">
        <f>'DETAILS (sorted)'!DC91</f>
        <v>18597.69332821939</v>
      </c>
    </row>
    <row r="7" spans="1:10" x14ac:dyDescent="0.35">
      <c r="A7" s="477">
        <v>2</v>
      </c>
      <c r="B7" s="373">
        <v>46204</v>
      </c>
      <c r="C7" s="224">
        <v>2000000</v>
      </c>
      <c r="D7" s="224">
        <f>C7</f>
        <v>2000000</v>
      </c>
      <c r="E7" s="477" t="s">
        <v>30</v>
      </c>
      <c r="F7" s="477">
        <v>2</v>
      </c>
      <c r="G7" s="479"/>
      <c r="H7" s="477"/>
      <c r="I7" s="504" t="s">
        <v>696</v>
      </c>
      <c r="J7" s="537">
        <f>'DETAILS (sorted)'!DD91</f>
        <v>12592.404782046828</v>
      </c>
    </row>
    <row r="8" spans="1:10" x14ac:dyDescent="0.35">
      <c r="A8" s="477">
        <v>3</v>
      </c>
      <c r="B8" s="373"/>
      <c r="C8" s="224"/>
      <c r="D8" s="224"/>
      <c r="E8" s="477"/>
      <c r="F8" s="477"/>
      <c r="G8" s="479"/>
      <c r="H8" s="477"/>
      <c r="I8" s="408" t="s">
        <v>887</v>
      </c>
      <c r="J8" s="10">
        <f>'DETAILS (sorted)'!DF91</f>
        <v>8848.0542269404486</v>
      </c>
    </row>
    <row r="9" spans="1:10" x14ac:dyDescent="0.35">
      <c r="A9" s="477">
        <v>4</v>
      </c>
      <c r="B9" s="373"/>
      <c r="C9" s="224"/>
      <c r="D9" s="224"/>
      <c r="E9" s="477"/>
      <c r="F9" s="477"/>
      <c r="G9" s="479"/>
      <c r="H9" s="477"/>
      <c r="I9" s="408" t="s">
        <v>889</v>
      </c>
      <c r="J9" s="10">
        <f>'DETAILS (sorted)'!DG91</f>
        <v>29543.585174328473</v>
      </c>
    </row>
    <row r="10" spans="1:10" x14ac:dyDescent="0.35">
      <c r="A10" s="477">
        <v>5</v>
      </c>
      <c r="B10" s="539"/>
      <c r="C10" s="224"/>
      <c r="D10" s="224"/>
      <c r="E10" s="477"/>
      <c r="F10" s="477"/>
      <c r="G10" s="479"/>
      <c r="H10" s="477"/>
      <c r="I10" s="408" t="s">
        <v>891</v>
      </c>
      <c r="J10" s="10">
        <f>'DETAILS (sorted)'!DL91</f>
        <v>15357.280714048849</v>
      </c>
    </row>
    <row r="11" spans="1:10" x14ac:dyDescent="0.35">
      <c r="A11" s="477">
        <v>6</v>
      </c>
      <c r="B11" s="539"/>
      <c r="C11" s="224"/>
      <c r="D11" s="224"/>
      <c r="E11" s="477"/>
      <c r="F11" s="477"/>
      <c r="G11" s="479"/>
      <c r="H11" s="477"/>
      <c r="I11" s="408" t="s">
        <v>894</v>
      </c>
      <c r="J11" s="10">
        <f>'DETAILS (sorted)'!DM91</f>
        <v>0</v>
      </c>
    </row>
    <row r="12" spans="1:10" x14ac:dyDescent="0.35">
      <c r="A12" s="477">
        <v>7</v>
      </c>
      <c r="B12" s="539"/>
      <c r="C12" s="224"/>
      <c r="D12" s="224"/>
      <c r="E12" s="477"/>
      <c r="F12" s="477"/>
      <c r="G12" s="479"/>
      <c r="H12" s="477"/>
      <c r="I12" s="408" t="s">
        <v>893</v>
      </c>
      <c r="J12" s="10">
        <f>'DETAILS (sorted)'!DN91</f>
        <v>0</v>
      </c>
    </row>
    <row r="13" spans="1:10" x14ac:dyDescent="0.35">
      <c r="A13" s="477">
        <v>8</v>
      </c>
      <c r="B13" s="539"/>
      <c r="C13" s="224"/>
      <c r="D13" s="224"/>
      <c r="E13" s="477"/>
      <c r="F13" s="477"/>
      <c r="G13" s="479"/>
      <c r="H13" s="477"/>
      <c r="I13" s="408" t="s">
        <v>895</v>
      </c>
      <c r="J13" s="10">
        <f>'DETAILS (sorted)'!DO91</f>
        <v>0</v>
      </c>
    </row>
    <row r="14" spans="1:10" x14ac:dyDescent="0.35">
      <c r="A14" s="477">
        <v>9</v>
      </c>
      <c r="B14" s="539"/>
      <c r="C14" s="224"/>
      <c r="D14" s="224"/>
      <c r="E14" s="477"/>
      <c r="F14" s="477"/>
      <c r="G14" s="479"/>
      <c r="H14" s="477"/>
      <c r="I14" s="408" t="s">
        <v>897</v>
      </c>
      <c r="J14" s="10">
        <f>'DETAILS (sorted)'!DQ91</f>
        <v>0</v>
      </c>
    </row>
    <row r="15" spans="1:10" x14ac:dyDescent="0.35">
      <c r="A15" s="477">
        <v>10</v>
      </c>
      <c r="B15" s="540"/>
      <c r="C15" s="224"/>
      <c r="D15" s="224"/>
      <c r="E15" s="477"/>
      <c r="F15" s="477"/>
      <c r="G15" s="479"/>
      <c r="H15" s="477"/>
      <c r="I15" s="408" t="s">
        <v>898</v>
      </c>
      <c r="J15" s="10">
        <f>'DETAILS (sorted)'!DR91</f>
        <v>0</v>
      </c>
    </row>
    <row r="16" spans="1:10" x14ac:dyDescent="0.35">
      <c r="A16" s="477">
        <v>11</v>
      </c>
      <c r="B16" s="539"/>
      <c r="C16" s="224"/>
      <c r="D16" s="224"/>
      <c r="E16" s="477"/>
      <c r="F16" s="477"/>
      <c r="G16" s="479"/>
      <c r="H16" s="477"/>
      <c r="I16" s="477"/>
      <c r="J16" s="537"/>
    </row>
    <row r="17" spans="1:10" x14ac:dyDescent="0.35">
      <c r="A17" s="477"/>
      <c r="B17" s="477"/>
      <c r="C17" s="224"/>
      <c r="D17" s="224"/>
      <c r="E17" s="477"/>
      <c r="F17" s="477"/>
      <c r="G17" s="479"/>
      <c r="H17" s="477"/>
      <c r="I17" s="477"/>
      <c r="J17" s="537"/>
    </row>
    <row r="18" spans="1:10" x14ac:dyDescent="0.35">
      <c r="A18" s="477"/>
      <c r="B18" s="477"/>
      <c r="C18" s="224"/>
      <c r="D18" s="224"/>
      <c r="E18" s="477"/>
      <c r="F18" s="477"/>
      <c r="G18" s="479"/>
      <c r="H18" s="477"/>
      <c r="I18" s="477"/>
      <c r="J18" s="537"/>
    </row>
    <row r="19" spans="1:10" x14ac:dyDescent="0.35">
      <c r="A19" s="477"/>
      <c r="B19" s="477"/>
      <c r="C19" s="224"/>
      <c r="D19" s="224"/>
      <c r="E19" s="477"/>
      <c r="F19" s="477"/>
      <c r="G19" s="479"/>
      <c r="H19" s="477"/>
      <c r="I19" s="477"/>
      <c r="J19" s="537"/>
    </row>
    <row r="20" spans="1:10" x14ac:dyDescent="0.35">
      <c r="A20" s="477"/>
      <c r="B20" s="477"/>
      <c r="C20" s="224"/>
      <c r="D20" s="224"/>
      <c r="E20" s="477"/>
      <c r="F20" s="477"/>
      <c r="G20" s="479"/>
      <c r="H20" s="477"/>
      <c r="I20" s="477"/>
      <c r="J20" s="537"/>
    </row>
    <row r="21" spans="1:10" x14ac:dyDescent="0.35">
      <c r="A21" s="477"/>
      <c r="B21" s="477"/>
      <c r="C21" s="224"/>
      <c r="D21" s="224"/>
      <c r="E21" s="477"/>
      <c r="F21" s="477"/>
      <c r="G21" s="479"/>
      <c r="H21" s="477"/>
      <c r="I21" s="477"/>
      <c r="J21" s="537"/>
    </row>
    <row r="22" spans="1:10" x14ac:dyDescent="0.35">
      <c r="A22" s="477"/>
      <c r="B22" s="477"/>
      <c r="C22" s="224"/>
      <c r="D22" s="224"/>
      <c r="E22" s="477"/>
      <c r="F22" s="477"/>
      <c r="G22" s="479"/>
      <c r="H22" s="477"/>
      <c r="I22" s="477"/>
      <c r="J22" s="537"/>
    </row>
    <row r="23" spans="1:10" x14ac:dyDescent="0.35">
      <c r="A23" s="477"/>
      <c r="B23" s="477"/>
      <c r="C23" s="224"/>
      <c r="D23" s="224"/>
      <c r="E23" s="477"/>
      <c r="F23" s="477"/>
      <c r="G23" s="479"/>
      <c r="H23" s="477"/>
      <c r="I23" s="477"/>
      <c r="J23" s="537"/>
    </row>
    <row r="24" spans="1:10" x14ac:dyDescent="0.35">
      <c r="A24" s="477"/>
      <c r="B24" s="477"/>
      <c r="C24" s="224"/>
      <c r="D24" s="224"/>
      <c r="E24" s="477"/>
      <c r="F24" s="477"/>
      <c r="G24" s="479"/>
      <c r="H24" s="477"/>
      <c r="I24" s="477"/>
      <c r="J24" s="537"/>
    </row>
    <row r="25" spans="1:10" x14ac:dyDescent="0.35">
      <c r="A25" s="477"/>
      <c r="B25" s="477"/>
      <c r="C25" s="224">
        <f>SUM(C6:C24)</f>
        <v>5300000</v>
      </c>
      <c r="D25" s="224">
        <f>C25+J25</f>
        <v>5384939.0182255842</v>
      </c>
      <c r="E25" s="224">
        <f>'DETAILS (sorted)'!DS91</f>
        <v>5440072.5924482588</v>
      </c>
      <c r="F25" s="224">
        <f>D25-E25</f>
        <v>-55133.574222674593</v>
      </c>
      <c r="G25" s="479" t="b">
        <f>D25=E25</f>
        <v>0</v>
      </c>
      <c r="H25" s="477"/>
      <c r="I25" s="477"/>
      <c r="J25" s="537">
        <f>SUM(J5:J24)</f>
        <v>84939.01822558399</v>
      </c>
    </row>
    <row r="26" spans="1:10" x14ac:dyDescent="0.35">
      <c r="A26" s="479"/>
      <c r="B26" s="479"/>
      <c r="C26" s="536"/>
      <c r="D26" s="536"/>
      <c r="E26" s="479"/>
      <c r="F26" s="479"/>
      <c r="G26" s="479"/>
      <c r="H26" s="479"/>
      <c r="I26" s="479"/>
      <c r="J26" s="479"/>
    </row>
    <row r="27" spans="1:10" x14ac:dyDescent="0.35">
      <c r="A27" s="479"/>
      <c r="B27" s="479"/>
      <c r="C27" s="224" t="s">
        <v>644</v>
      </c>
      <c r="D27" s="224">
        <f>C25+J25</f>
        <v>5384939.0182255842</v>
      </c>
      <c r="E27" s="541">
        <f>D27/D28</f>
        <v>0.35899593454837225</v>
      </c>
      <c r="F27" s="477" t="s">
        <v>652</v>
      </c>
      <c r="G27" s="479"/>
      <c r="H27" s="479"/>
      <c r="I27" s="479"/>
      <c r="J27" s="479"/>
    </row>
    <row r="28" spans="1:10" x14ac:dyDescent="0.35">
      <c r="A28" s="479"/>
      <c r="B28" s="479"/>
      <c r="C28" s="224" t="s">
        <v>650</v>
      </c>
      <c r="D28" s="224">
        <v>15000000</v>
      </c>
      <c r="E28" s="541">
        <f>D28/D28</f>
        <v>1</v>
      </c>
      <c r="F28" s="477" t="s">
        <v>654</v>
      </c>
      <c r="G28" s="479"/>
      <c r="H28" s="479"/>
      <c r="I28" s="479"/>
      <c r="J28" s="479"/>
    </row>
    <row r="29" spans="1:10" x14ac:dyDescent="0.35">
      <c r="A29" s="479"/>
      <c r="B29" s="479"/>
      <c r="C29" s="224"/>
      <c r="D29" s="224">
        <f>D27-D28</f>
        <v>-9615060.9817744158</v>
      </c>
      <c r="E29" s="541">
        <f>D29/D28</f>
        <v>-0.64100406545162769</v>
      </c>
      <c r="F29" s="477" t="s">
        <v>653</v>
      </c>
      <c r="G29" s="479"/>
      <c r="H29" s="479"/>
      <c r="I29" s="479"/>
      <c r="J29" s="479"/>
    </row>
  </sheetData>
  <mergeCells count="2">
    <mergeCell ref="B3:C3"/>
    <mergeCell ref="B2:C2"/>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A02D-FDB8-4F07-A33E-61D8A1EDECF3}">
  <dimension ref="A2:J29"/>
  <sheetViews>
    <sheetView topLeftCell="A3" workbookViewId="0">
      <selection activeCell="J23" sqref="J23"/>
    </sheetView>
  </sheetViews>
  <sheetFormatPr defaultRowHeight="14.5" x14ac:dyDescent="0.35"/>
  <cols>
    <col min="2" max="2" width="12" bestFit="1" customWidth="1"/>
    <col min="3" max="3" width="15.54296875" style="1" bestFit="1" customWidth="1"/>
    <col min="4" max="4" width="15" style="1" bestFit="1" customWidth="1"/>
    <col min="5" max="5" width="11.7265625" bestFit="1" customWidth="1"/>
    <col min="6" max="6" width="9.453125" customWidth="1"/>
    <col min="7" max="7" width="5.1796875" bestFit="1" customWidth="1"/>
    <col min="8" max="8" width="7.54296875" hidden="1" customWidth="1"/>
    <col min="9" max="9" width="25.453125" style="526" customWidth="1"/>
    <col min="10" max="10" width="10.1796875" bestFit="1" customWidth="1"/>
  </cols>
  <sheetData>
    <row r="2" spans="1:10" s="5" customFormat="1" x14ac:dyDescent="0.35">
      <c r="A2" s="74" t="s">
        <v>190</v>
      </c>
      <c r="B2" s="191" t="s">
        <v>0</v>
      </c>
      <c r="C2" s="191"/>
      <c r="D2" s="74" t="s">
        <v>1</v>
      </c>
      <c r="E2" s="75" t="s">
        <v>2</v>
      </c>
      <c r="F2" s="63" t="s">
        <v>3</v>
      </c>
      <c r="I2" s="525"/>
    </row>
    <row r="3" spans="1:10" ht="28" x14ac:dyDescent="0.35">
      <c r="A3" s="311" t="s">
        <v>662</v>
      </c>
      <c r="B3" s="7" t="s">
        <v>664</v>
      </c>
      <c r="C3" s="7"/>
      <c r="D3" s="71"/>
      <c r="E3" s="11"/>
      <c r="F3" s="11"/>
      <c r="G3" s="11"/>
    </row>
    <row r="4" spans="1:10" x14ac:dyDescent="0.35">
      <c r="H4" s="2" t="s">
        <v>643</v>
      </c>
      <c r="I4" s="484" t="s">
        <v>445</v>
      </c>
      <c r="J4" s="10" t="s">
        <v>568</v>
      </c>
    </row>
    <row r="5" spans="1:10" x14ac:dyDescent="0.35">
      <c r="A5" s="74" t="s">
        <v>487</v>
      </c>
      <c r="B5" s="74" t="s">
        <v>2</v>
      </c>
      <c r="C5" s="191" t="s">
        <v>124</v>
      </c>
      <c r="D5" s="191" t="s">
        <v>488</v>
      </c>
      <c r="E5" s="74" t="s">
        <v>489</v>
      </c>
      <c r="F5" s="74" t="s">
        <v>490</v>
      </c>
      <c r="H5" s="2"/>
      <c r="I5" s="484"/>
      <c r="J5" s="10"/>
    </row>
    <row r="6" spans="1:10" x14ac:dyDescent="0.35">
      <c r="A6" s="2">
        <v>1</v>
      </c>
      <c r="B6" s="71">
        <v>46170</v>
      </c>
      <c r="C6" s="7">
        <v>3800000</v>
      </c>
      <c r="D6" s="3">
        <f>C6</f>
        <v>3800000</v>
      </c>
      <c r="E6" s="2" t="s">
        <v>30</v>
      </c>
      <c r="F6" s="2">
        <v>2</v>
      </c>
      <c r="H6" s="2"/>
      <c r="I6" s="504" t="s">
        <v>681</v>
      </c>
      <c r="J6" s="10">
        <f>'DETAILS (sorted)'!DC92</f>
        <v>21415.525650676875</v>
      </c>
    </row>
    <row r="7" spans="1:10" x14ac:dyDescent="0.35">
      <c r="A7" s="2">
        <v>2</v>
      </c>
      <c r="B7" s="71">
        <v>46178</v>
      </c>
      <c r="C7" s="3">
        <v>200000</v>
      </c>
      <c r="D7" s="3">
        <f>C7</f>
        <v>200000</v>
      </c>
      <c r="E7" s="2" t="s">
        <v>30</v>
      </c>
      <c r="F7" s="2">
        <v>2</v>
      </c>
      <c r="H7" s="2"/>
      <c r="I7" s="504" t="s">
        <v>696</v>
      </c>
      <c r="J7" s="10">
        <f>'DETAILS (sorted)'!DD92</f>
        <v>14500.344900538772</v>
      </c>
    </row>
    <row r="8" spans="1:10" x14ac:dyDescent="0.35">
      <c r="A8" s="2">
        <v>3</v>
      </c>
      <c r="B8" s="71"/>
      <c r="C8" s="3"/>
      <c r="D8" s="3">
        <f>C8</f>
        <v>0</v>
      </c>
      <c r="E8" s="2" t="s">
        <v>30</v>
      </c>
      <c r="F8" s="2"/>
      <c r="H8" s="2"/>
      <c r="I8" s="408" t="s">
        <v>887</v>
      </c>
      <c r="J8" s="10">
        <f>'DETAILS (sorted)'!DF92</f>
        <v>10724.91421447327</v>
      </c>
    </row>
    <row r="9" spans="1:10" x14ac:dyDescent="0.35">
      <c r="A9" s="2">
        <v>4</v>
      </c>
      <c r="B9" s="71"/>
      <c r="C9" s="3"/>
      <c r="D9" s="3"/>
      <c r="E9" s="2"/>
      <c r="F9" s="2"/>
      <c r="H9" s="2"/>
      <c r="I9" s="408" t="s">
        <v>889</v>
      </c>
      <c r="J9" s="10">
        <f>'DETAILS (sorted)'!DG92</f>
        <v>35810.4062719133</v>
      </c>
    </row>
    <row r="10" spans="1:10" x14ac:dyDescent="0.35">
      <c r="A10" s="2">
        <v>5</v>
      </c>
      <c r="B10" s="294"/>
      <c r="C10" s="3"/>
      <c r="D10" s="3"/>
      <c r="E10" s="2"/>
      <c r="F10" s="2"/>
      <c r="H10" s="2"/>
      <c r="I10" s="408" t="s">
        <v>891</v>
      </c>
      <c r="J10" s="10">
        <f>'DETAILS (sorted)'!DL92</f>
        <v>12820.041595956651</v>
      </c>
    </row>
    <row r="11" spans="1:10" x14ac:dyDescent="0.35">
      <c r="A11" s="2">
        <v>6</v>
      </c>
      <c r="B11" s="294"/>
      <c r="C11" s="3"/>
      <c r="D11" s="3"/>
      <c r="E11" s="2"/>
      <c r="F11" s="2"/>
      <c r="H11" s="2"/>
      <c r="I11" s="408" t="s">
        <v>894</v>
      </c>
      <c r="J11" s="10">
        <f>'DETAILS (sorted)'!DM92</f>
        <v>0</v>
      </c>
    </row>
    <row r="12" spans="1:10" x14ac:dyDescent="0.35">
      <c r="A12" s="2">
        <v>7</v>
      </c>
      <c r="B12" s="294"/>
      <c r="C12" s="3"/>
      <c r="D12" s="3"/>
      <c r="E12" s="2"/>
      <c r="F12" s="2"/>
      <c r="H12" s="2"/>
      <c r="I12" s="408" t="s">
        <v>893</v>
      </c>
      <c r="J12" s="10">
        <f>'DETAILS (sorted)'!DN92</f>
        <v>0</v>
      </c>
    </row>
    <row r="13" spans="1:10" x14ac:dyDescent="0.35">
      <c r="A13" s="2">
        <v>8</v>
      </c>
      <c r="B13" s="294"/>
      <c r="C13" s="3"/>
      <c r="D13" s="3"/>
      <c r="E13" s="2"/>
      <c r="F13" s="2"/>
      <c r="H13" s="2"/>
      <c r="I13" s="408" t="s">
        <v>895</v>
      </c>
      <c r="J13" s="10">
        <f>'DETAILS (sorted)'!DO92</f>
        <v>0</v>
      </c>
    </row>
    <row r="14" spans="1:10" x14ac:dyDescent="0.35">
      <c r="A14" s="2">
        <v>9</v>
      </c>
      <c r="B14" s="294"/>
      <c r="C14" s="3"/>
      <c r="D14" s="3"/>
      <c r="E14" s="2"/>
      <c r="F14" s="2"/>
      <c r="H14" s="2"/>
      <c r="I14" s="408" t="s">
        <v>897</v>
      </c>
      <c r="J14" s="10">
        <f>'DETAILS (sorted)'!DQ92</f>
        <v>0</v>
      </c>
    </row>
    <row r="15" spans="1:10" x14ac:dyDescent="0.35">
      <c r="A15" s="2">
        <v>10</v>
      </c>
      <c r="B15" s="295"/>
      <c r="C15" s="205"/>
      <c r="D15" s="3"/>
      <c r="E15" s="2"/>
      <c r="F15" s="2"/>
      <c r="H15" s="2"/>
      <c r="I15" s="408" t="s">
        <v>898</v>
      </c>
      <c r="J15" s="10">
        <f>'DETAILS (sorted)'!DR92</f>
        <v>0</v>
      </c>
    </row>
    <row r="16" spans="1:10" x14ac:dyDescent="0.35">
      <c r="A16" s="2">
        <v>11</v>
      </c>
      <c r="B16" s="294"/>
      <c r="C16" s="3"/>
      <c r="D16" s="3"/>
      <c r="E16" s="2"/>
      <c r="F16" s="2"/>
      <c r="H16" s="2"/>
      <c r="I16" s="484"/>
      <c r="J16" s="10"/>
    </row>
    <row r="17" spans="1:10" x14ac:dyDescent="0.35">
      <c r="A17" s="2"/>
      <c r="B17" s="2"/>
      <c r="C17" s="3"/>
      <c r="D17" s="3"/>
      <c r="E17" s="2"/>
      <c r="F17" s="2"/>
      <c r="H17" s="2"/>
      <c r="I17" s="484"/>
      <c r="J17" s="10"/>
    </row>
    <row r="18" spans="1:10" x14ac:dyDescent="0.35">
      <c r="A18" s="2"/>
      <c r="B18" s="2"/>
      <c r="C18" s="3"/>
      <c r="D18" s="3"/>
      <c r="E18" s="2"/>
      <c r="F18" s="2"/>
      <c r="H18" s="2"/>
      <c r="I18" s="484"/>
      <c r="J18" s="10"/>
    </row>
    <row r="19" spans="1:10" x14ac:dyDescent="0.35">
      <c r="A19" s="2"/>
      <c r="B19" s="2"/>
      <c r="C19" s="3"/>
      <c r="D19" s="3"/>
      <c r="E19" s="2"/>
      <c r="F19" s="2"/>
      <c r="H19" s="2"/>
      <c r="I19" s="484"/>
      <c r="J19" s="10"/>
    </row>
    <row r="20" spans="1:10" x14ac:dyDescent="0.35">
      <c r="A20" s="2"/>
      <c r="B20" s="2"/>
      <c r="C20" s="3"/>
      <c r="D20" s="3"/>
      <c r="E20" s="2"/>
      <c r="F20" s="2"/>
      <c r="H20" s="2"/>
      <c r="I20" s="484"/>
      <c r="J20" s="10"/>
    </row>
    <row r="21" spans="1:10" x14ac:dyDescent="0.35">
      <c r="A21" s="2"/>
      <c r="B21" s="2"/>
      <c r="C21" s="3"/>
      <c r="D21" s="3"/>
      <c r="E21" s="2"/>
      <c r="F21" s="2"/>
      <c r="H21" s="2"/>
      <c r="I21" s="484"/>
      <c r="J21" s="10"/>
    </row>
    <row r="22" spans="1:10" x14ac:dyDescent="0.35">
      <c r="A22" s="2"/>
      <c r="B22" s="2"/>
      <c r="C22" s="3"/>
      <c r="D22" s="3"/>
      <c r="E22" s="2"/>
      <c r="F22" s="2"/>
      <c r="H22" s="2"/>
      <c r="I22" s="484"/>
      <c r="J22" s="10"/>
    </row>
    <row r="23" spans="1:10" x14ac:dyDescent="0.35">
      <c r="A23" s="2"/>
      <c r="B23" s="2"/>
      <c r="C23" s="3"/>
      <c r="D23" s="3"/>
      <c r="E23" s="2"/>
      <c r="F23" s="2"/>
      <c r="H23" s="2"/>
      <c r="I23" s="484"/>
      <c r="J23" s="10"/>
    </row>
    <row r="24" spans="1:10" x14ac:dyDescent="0.35">
      <c r="A24" s="2"/>
      <c r="B24" s="2"/>
      <c r="C24" s="3"/>
      <c r="D24" s="3"/>
      <c r="E24" s="2"/>
      <c r="F24" s="2"/>
      <c r="H24" s="2"/>
      <c r="I24" s="484"/>
      <c r="J24" s="10"/>
    </row>
    <row r="25" spans="1:10" x14ac:dyDescent="0.35">
      <c r="A25" s="2"/>
      <c r="B25" s="2"/>
      <c r="C25" s="3">
        <f>SUM(C6:C24)</f>
        <v>4000000</v>
      </c>
      <c r="D25" s="3">
        <f>C25+J25</f>
        <v>4095271.232633559</v>
      </c>
      <c r="E25" s="3">
        <f>'DETAILS (sorted)'!DS92</f>
        <v>4541295.963706024</v>
      </c>
      <c r="F25" s="3">
        <f>D25-E25</f>
        <v>-446024.73107246496</v>
      </c>
      <c r="G25" t="b">
        <f>D25=E25</f>
        <v>0</v>
      </c>
      <c r="H25" s="2"/>
      <c r="I25" s="484"/>
      <c r="J25" s="10">
        <f>SUM(J6:J24)</f>
        <v>95271.232633558859</v>
      </c>
    </row>
    <row r="27" spans="1:10" x14ac:dyDescent="0.35">
      <c r="C27" s="3" t="s">
        <v>644</v>
      </c>
      <c r="D27" s="3">
        <f>C25+J25</f>
        <v>4095271.232633559</v>
      </c>
      <c r="E27" s="122">
        <f>D27/D28</f>
        <v>0.27301808217557061</v>
      </c>
      <c r="F27" s="2" t="s">
        <v>652</v>
      </c>
    </row>
    <row r="28" spans="1:10" x14ac:dyDescent="0.35">
      <c r="C28" s="3" t="s">
        <v>650</v>
      </c>
      <c r="D28" s="3">
        <v>15000000</v>
      </c>
      <c r="E28" s="122">
        <f>D28/D28</f>
        <v>1</v>
      </c>
      <c r="F28" s="2" t="s">
        <v>654</v>
      </c>
    </row>
    <row r="29" spans="1:10" x14ac:dyDescent="0.35">
      <c r="C29" s="3"/>
      <c r="D29" s="3">
        <f>D27-D28</f>
        <v>-10904728.767366441</v>
      </c>
      <c r="E29" s="122">
        <f>D29/D28</f>
        <v>-0.72698191782442945</v>
      </c>
      <c r="F29" s="2" t="s">
        <v>653</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ED70F-C612-42C6-9AAC-EAF79EEDB200}">
  <dimension ref="A2:J29"/>
  <sheetViews>
    <sheetView topLeftCell="A8"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1.6328125" customWidth="1"/>
    <col min="10" max="10" width="10.1796875" bestFit="1" customWidth="1"/>
  </cols>
  <sheetData>
    <row r="2" spans="1:10" s="5" customFormat="1" ht="28" customHeight="1" x14ac:dyDescent="0.35">
      <c r="B2" s="74" t="s">
        <v>190</v>
      </c>
      <c r="C2" s="191" t="s">
        <v>0</v>
      </c>
      <c r="D2" s="191"/>
      <c r="E2" s="74" t="s">
        <v>1</v>
      </c>
      <c r="F2" s="75" t="s">
        <v>2</v>
      </c>
      <c r="G2" s="63" t="s">
        <v>3</v>
      </c>
    </row>
    <row r="3" spans="1:10" ht="28" x14ac:dyDescent="0.35">
      <c r="A3" s="311" t="s">
        <v>699</v>
      </c>
      <c r="B3" s="286" t="s">
        <v>700</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(sorted)'!DF93</f>
        <v>20109.214152137381</v>
      </c>
    </row>
    <row r="6" spans="1:10" x14ac:dyDescent="0.35">
      <c r="A6" s="2">
        <v>1</v>
      </c>
      <c r="B6" s="71">
        <v>46182</v>
      </c>
      <c r="C6" s="7">
        <v>3500000</v>
      </c>
      <c r="D6" s="3">
        <f>C6</f>
        <v>3500000</v>
      </c>
      <c r="E6" s="2" t="s">
        <v>30</v>
      </c>
      <c r="F6" s="2">
        <v>2</v>
      </c>
      <c r="H6" s="2"/>
      <c r="I6" s="408" t="s">
        <v>889</v>
      </c>
      <c r="J6" s="10">
        <f>'DETAILS (sorted)'!DG93</f>
        <v>67144.511759837435</v>
      </c>
    </row>
    <row r="7" spans="1:10" x14ac:dyDescent="0.35">
      <c r="A7" s="2">
        <v>2</v>
      </c>
      <c r="B7" s="71">
        <v>46182</v>
      </c>
      <c r="C7" s="7">
        <v>4000000</v>
      </c>
      <c r="D7" s="3">
        <f>C7</f>
        <v>4000000</v>
      </c>
      <c r="E7" s="2" t="s">
        <v>30</v>
      </c>
      <c r="F7" s="2">
        <v>2</v>
      </c>
      <c r="H7" s="2"/>
      <c r="I7" s="408" t="s">
        <v>891</v>
      </c>
      <c r="J7" s="10">
        <f>'DETAILS (sorted)'!DL93</f>
        <v>21699.936980853701</v>
      </c>
    </row>
    <row r="8" spans="1:10" x14ac:dyDescent="0.35">
      <c r="A8" s="2">
        <v>3</v>
      </c>
      <c r="B8" s="71"/>
      <c r="C8" s="3"/>
      <c r="D8" s="3"/>
      <c r="E8" s="2"/>
      <c r="F8" s="2"/>
      <c r="H8" s="2"/>
      <c r="I8" s="408" t="s">
        <v>894</v>
      </c>
      <c r="J8" s="10">
        <f>'DETAILS (sorted)'!DM93</f>
        <v>0</v>
      </c>
    </row>
    <row r="9" spans="1:10" x14ac:dyDescent="0.35">
      <c r="A9" s="2">
        <v>4</v>
      </c>
      <c r="B9" s="71"/>
      <c r="C9" s="3"/>
      <c r="D9" s="3"/>
      <c r="E9" s="2"/>
      <c r="F9" s="2"/>
      <c r="H9" s="2"/>
      <c r="I9" s="408" t="s">
        <v>893</v>
      </c>
      <c r="J9" s="10">
        <f>'DETAILS (sorted)'!DN93</f>
        <v>0</v>
      </c>
    </row>
    <row r="10" spans="1:10" x14ac:dyDescent="0.35">
      <c r="A10" s="2">
        <v>5</v>
      </c>
      <c r="B10" s="294"/>
      <c r="C10" s="3"/>
      <c r="D10" s="3"/>
      <c r="E10" s="2"/>
      <c r="F10" s="2"/>
      <c r="H10" s="2"/>
      <c r="I10" s="408" t="s">
        <v>895</v>
      </c>
      <c r="J10" s="10">
        <f>'DETAILS (sorted)'!DO93</f>
        <v>0</v>
      </c>
    </row>
    <row r="11" spans="1:10" x14ac:dyDescent="0.35">
      <c r="A11" s="2">
        <v>6</v>
      </c>
      <c r="B11" s="294"/>
      <c r="C11" s="3"/>
      <c r="D11" s="3"/>
      <c r="E11" s="2"/>
      <c r="F11" s="2"/>
      <c r="H11" s="2"/>
      <c r="I11" s="408" t="s">
        <v>897</v>
      </c>
      <c r="J11" s="10">
        <f>'DETAILS (sorted)'!DQ93</f>
        <v>0</v>
      </c>
    </row>
    <row r="12" spans="1:10" x14ac:dyDescent="0.35">
      <c r="A12" s="2">
        <v>7</v>
      </c>
      <c r="B12" s="294"/>
      <c r="C12" s="3"/>
      <c r="D12" s="3"/>
      <c r="E12" s="2"/>
      <c r="F12" s="2"/>
      <c r="H12" s="2"/>
      <c r="I12" s="408" t="s">
        <v>898</v>
      </c>
      <c r="J12" s="10">
        <f>'DETAILS (sorted)'!DR93</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7500000</v>
      </c>
      <c r="D25" s="3">
        <f>C25+J25</f>
        <v>7608953.6628928287</v>
      </c>
      <c r="E25" s="3">
        <f>'DETAILS (sorted)'!DS93</f>
        <v>7686857.7598770559</v>
      </c>
      <c r="F25" s="3">
        <f>D25-E25</f>
        <v>-77904.096984227188</v>
      </c>
      <c r="G25" t="b">
        <f>D25=E25</f>
        <v>0</v>
      </c>
      <c r="H25" s="2"/>
      <c r="I25" s="2"/>
      <c r="J25" s="10">
        <f>SUM(J5:J24)</f>
        <v>108953.66289282852</v>
      </c>
    </row>
    <row r="27" spans="1:10" x14ac:dyDescent="0.35">
      <c r="C27" s="3" t="s">
        <v>644</v>
      </c>
      <c r="D27" s="3">
        <f>C25+J25</f>
        <v>7608953.6628928287</v>
      </c>
      <c r="E27" s="122">
        <f>D27/D28</f>
        <v>0.38044768314464145</v>
      </c>
      <c r="F27" s="2" t="s">
        <v>652</v>
      </c>
    </row>
    <row r="28" spans="1:10" x14ac:dyDescent="0.35">
      <c r="C28" s="3" t="s">
        <v>650</v>
      </c>
      <c r="D28" s="3">
        <v>20000000</v>
      </c>
      <c r="E28" s="122">
        <f>D28/D28</f>
        <v>1</v>
      </c>
      <c r="F28" s="2" t="s">
        <v>654</v>
      </c>
    </row>
    <row r="29" spans="1:10" x14ac:dyDescent="0.35">
      <c r="C29" s="3"/>
      <c r="D29" s="3">
        <f>D27-D28</f>
        <v>-12391046.33710717</v>
      </c>
      <c r="E29" s="122">
        <f>D29/D28</f>
        <v>-0.6195523168553585</v>
      </c>
      <c r="F29" s="2" t="s">
        <v>653</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8B6ED-E2A0-47E6-9C73-F4B290BC34E8}">
  <dimension ref="A2:J29"/>
  <sheetViews>
    <sheetView topLeftCell="A3"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4.6328125" customWidth="1"/>
    <col min="10" max="10" width="10.1796875" bestFit="1" customWidth="1"/>
  </cols>
  <sheetData>
    <row r="2" spans="1:10" s="5" customFormat="1" ht="28" customHeight="1" x14ac:dyDescent="0.35">
      <c r="B2" s="74" t="s">
        <v>190</v>
      </c>
      <c r="C2" s="191" t="s">
        <v>0</v>
      </c>
      <c r="D2" s="191"/>
      <c r="E2" s="74" t="s">
        <v>1</v>
      </c>
      <c r="F2" s="75" t="s">
        <v>2</v>
      </c>
      <c r="G2" s="63" t="s">
        <v>3</v>
      </c>
    </row>
    <row r="3" spans="1:10" ht="28" x14ac:dyDescent="0.35">
      <c r="A3" s="311" t="s">
        <v>710</v>
      </c>
      <c r="B3" s="286" t="s">
        <v>743</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(sorted)'!DF94</f>
        <v>9116.1770823022798</v>
      </c>
    </row>
    <row r="6" spans="1:10" x14ac:dyDescent="0.35">
      <c r="A6" s="2">
        <v>1</v>
      </c>
      <c r="B6" s="71">
        <v>46185</v>
      </c>
      <c r="C6" s="7">
        <v>1200000</v>
      </c>
      <c r="D6" s="3">
        <f>C6</f>
        <v>1200000</v>
      </c>
      <c r="E6" s="2" t="s">
        <v>30</v>
      </c>
      <c r="F6" s="2">
        <v>2</v>
      </c>
      <c r="H6" s="2"/>
      <c r="I6" s="408" t="s">
        <v>889</v>
      </c>
      <c r="J6" s="10">
        <f>'DETAILS (sorted)'!DG94</f>
        <v>30438.845331126304</v>
      </c>
    </row>
    <row r="7" spans="1:10" x14ac:dyDescent="0.35">
      <c r="A7" s="2">
        <v>2</v>
      </c>
      <c r="B7" s="71">
        <v>46191</v>
      </c>
      <c r="C7" s="7">
        <v>1300000</v>
      </c>
      <c r="D7" s="3">
        <f>C7</f>
        <v>1300000</v>
      </c>
      <c r="E7" s="2" t="s">
        <v>30</v>
      </c>
      <c r="F7" s="2">
        <v>2</v>
      </c>
      <c r="H7" s="2"/>
      <c r="I7" s="408" t="s">
        <v>891</v>
      </c>
      <c r="J7" s="10">
        <f>'DETAILS (sorted)'!DL94</f>
        <v>11553.335710613279</v>
      </c>
    </row>
    <row r="8" spans="1:10" x14ac:dyDescent="0.35">
      <c r="A8" s="2">
        <v>3</v>
      </c>
      <c r="B8" s="71">
        <v>46196</v>
      </c>
      <c r="C8" s="3">
        <v>900000</v>
      </c>
      <c r="D8" s="3">
        <f>C8</f>
        <v>900000</v>
      </c>
      <c r="E8" s="2" t="s">
        <v>30</v>
      </c>
      <c r="F8" s="2">
        <v>2</v>
      </c>
      <c r="H8" s="2"/>
      <c r="I8" s="408" t="s">
        <v>894</v>
      </c>
      <c r="J8" s="10">
        <f>'DETAILS (sorted)'!DM94</f>
        <v>0</v>
      </c>
    </row>
    <row r="9" spans="1:10" x14ac:dyDescent="0.35">
      <c r="A9" s="2">
        <v>4</v>
      </c>
      <c r="B9" s="71"/>
      <c r="C9" s="3"/>
      <c r="D9" s="3"/>
      <c r="E9" s="2"/>
      <c r="F9" s="2">
        <v>2</v>
      </c>
      <c r="H9" s="2"/>
      <c r="I9" s="408" t="s">
        <v>893</v>
      </c>
      <c r="J9" s="10">
        <f>'DETAILS (sorted)'!DN94</f>
        <v>0</v>
      </c>
    </row>
    <row r="10" spans="1:10" x14ac:dyDescent="0.35">
      <c r="A10" s="2">
        <v>5</v>
      </c>
      <c r="B10" s="71"/>
      <c r="C10" s="3"/>
      <c r="D10" s="3"/>
      <c r="E10" s="2"/>
      <c r="F10" s="2">
        <v>2</v>
      </c>
      <c r="H10" s="2"/>
      <c r="I10" s="408" t="s">
        <v>895</v>
      </c>
      <c r="J10" s="10">
        <f>'DETAILS (sorted)'!DO94</f>
        <v>0</v>
      </c>
    </row>
    <row r="11" spans="1:10" x14ac:dyDescent="0.35">
      <c r="A11" s="2">
        <v>6</v>
      </c>
      <c r="B11" s="71"/>
      <c r="C11" s="3"/>
      <c r="D11" s="3"/>
      <c r="E11" s="2"/>
      <c r="F11" s="2">
        <v>2</v>
      </c>
      <c r="H11" s="2"/>
      <c r="I11" s="408" t="s">
        <v>897</v>
      </c>
      <c r="J11" s="10">
        <f>'DETAILS (sorted)'!DQ94</f>
        <v>0</v>
      </c>
    </row>
    <row r="12" spans="1:10" x14ac:dyDescent="0.35">
      <c r="A12" s="2">
        <v>7</v>
      </c>
      <c r="B12" s="71"/>
      <c r="C12" s="3"/>
      <c r="D12" s="3"/>
      <c r="E12" s="2"/>
      <c r="F12" s="2">
        <v>2</v>
      </c>
      <c r="H12" s="2"/>
      <c r="I12" s="408" t="s">
        <v>898</v>
      </c>
      <c r="J12" s="10">
        <f>'DETAILS (sorted)'!DR94</f>
        <v>0</v>
      </c>
    </row>
    <row r="13" spans="1:10" x14ac:dyDescent="0.35">
      <c r="A13" s="2">
        <v>8</v>
      </c>
      <c r="B13" s="71"/>
      <c r="C13" s="3"/>
      <c r="D13" s="3"/>
      <c r="E13" s="2"/>
      <c r="F13" s="2">
        <v>2</v>
      </c>
      <c r="H13" s="2"/>
      <c r="I13" s="2"/>
      <c r="J13" s="10"/>
    </row>
    <row r="14" spans="1:10" x14ac:dyDescent="0.35">
      <c r="A14" s="2">
        <v>9</v>
      </c>
      <c r="B14" s="71"/>
      <c r="C14" s="3"/>
      <c r="D14" s="3"/>
      <c r="E14" s="2"/>
      <c r="F14" s="2">
        <v>2</v>
      </c>
      <c r="H14" s="2"/>
      <c r="I14" s="2"/>
      <c r="J14" s="10"/>
    </row>
    <row r="15" spans="1:10" x14ac:dyDescent="0.35">
      <c r="A15" s="2">
        <v>10</v>
      </c>
      <c r="B15" s="71"/>
      <c r="C15" s="205"/>
      <c r="D15" s="3"/>
      <c r="E15" s="2"/>
      <c r="F15" s="2">
        <v>2</v>
      </c>
      <c r="H15" s="2"/>
      <c r="I15" s="2"/>
      <c r="J15" s="10"/>
    </row>
    <row r="16" spans="1:10" x14ac:dyDescent="0.35">
      <c r="A16" s="2">
        <v>11</v>
      </c>
      <c r="B16" s="71"/>
      <c r="C16" s="3"/>
      <c r="D16" s="3"/>
      <c r="E16" s="2"/>
      <c r="F16" s="2">
        <v>2</v>
      </c>
      <c r="H16" s="2"/>
      <c r="I16" s="2"/>
      <c r="J16" s="10"/>
    </row>
    <row r="17" spans="1:10" x14ac:dyDescent="0.35">
      <c r="A17" s="2"/>
      <c r="B17" s="71"/>
      <c r="C17" s="3"/>
      <c r="D17" s="3"/>
      <c r="E17" s="2"/>
      <c r="F17" s="2">
        <v>2</v>
      </c>
      <c r="H17" s="2"/>
      <c r="I17" s="2"/>
      <c r="J17" s="10"/>
    </row>
    <row r="18" spans="1:10" x14ac:dyDescent="0.35">
      <c r="A18" s="2"/>
      <c r="B18" s="71"/>
      <c r="C18" s="3"/>
      <c r="D18" s="3"/>
      <c r="E18" s="2"/>
      <c r="F18" s="2">
        <v>2</v>
      </c>
      <c r="H18" s="2"/>
      <c r="I18" s="2"/>
      <c r="J18" s="10"/>
    </row>
    <row r="19" spans="1:10" x14ac:dyDescent="0.35">
      <c r="A19" s="2"/>
      <c r="B19" s="71"/>
      <c r="C19" s="3"/>
      <c r="D19" s="3"/>
      <c r="E19" s="2"/>
      <c r="F19" s="2">
        <v>2</v>
      </c>
      <c r="H19" s="2"/>
      <c r="I19" s="2"/>
      <c r="J19" s="10"/>
    </row>
    <row r="20" spans="1:10" x14ac:dyDescent="0.35">
      <c r="A20" s="2"/>
      <c r="B20" s="71"/>
      <c r="C20" s="3"/>
      <c r="D20" s="3"/>
      <c r="E20" s="2"/>
      <c r="F20" s="2">
        <v>2</v>
      </c>
      <c r="H20" s="2"/>
      <c r="I20" s="2"/>
      <c r="J20" s="10"/>
    </row>
    <row r="21" spans="1:10" x14ac:dyDescent="0.35">
      <c r="A21" s="2"/>
      <c r="B21" s="71"/>
      <c r="C21" s="3"/>
      <c r="D21" s="3"/>
      <c r="E21" s="2"/>
      <c r="F21" s="2">
        <v>2</v>
      </c>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3400000</v>
      </c>
      <c r="D25" s="3">
        <f>C25+J25</f>
        <v>3451108.3581240419</v>
      </c>
      <c r="E25" s="3">
        <f>'DETAILS (sorted)'!DS94</f>
        <v>4092585.5378266871</v>
      </c>
      <c r="F25" s="3">
        <f>D25-E25</f>
        <v>-641477.17970264517</v>
      </c>
      <c r="G25" t="b">
        <f>D25=E25</f>
        <v>0</v>
      </c>
      <c r="H25" s="2"/>
      <c r="I25" s="2"/>
      <c r="J25" s="10">
        <f>SUM(J5:J24)</f>
        <v>51108.358124041857</v>
      </c>
    </row>
    <row r="27" spans="1:10" x14ac:dyDescent="0.35">
      <c r="C27" s="3" t="s">
        <v>644</v>
      </c>
      <c r="D27" s="3">
        <f>C25+J25</f>
        <v>3451108.3581240419</v>
      </c>
      <c r="E27" s="122">
        <f>D27/D28</f>
        <v>0.3451108358124042</v>
      </c>
      <c r="F27" s="2" t="s">
        <v>652</v>
      </c>
    </row>
    <row r="28" spans="1:10" x14ac:dyDescent="0.35">
      <c r="C28" s="3" t="s">
        <v>650</v>
      </c>
      <c r="D28" s="3">
        <v>10000000</v>
      </c>
      <c r="E28" s="122">
        <f>D28/D28</f>
        <v>1</v>
      </c>
      <c r="F28" s="2" t="s">
        <v>654</v>
      </c>
    </row>
    <row r="29" spans="1:10" x14ac:dyDescent="0.35">
      <c r="C29" s="3"/>
      <c r="D29" s="3">
        <f>D27-D28</f>
        <v>-6548891.6418759581</v>
      </c>
      <c r="E29" s="122">
        <f>D29/D28</f>
        <v>-0.6548891641875958</v>
      </c>
      <c r="F29" s="2" t="s">
        <v>653</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2D05-E02D-4C88-88E0-BE98B4E9022E}">
  <dimension ref="A2:J29"/>
  <sheetViews>
    <sheetView topLeftCell="A8"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5" customWidth="1"/>
    <col min="10" max="10" width="10.1796875" bestFit="1" customWidth="1"/>
  </cols>
  <sheetData>
    <row r="2" spans="1:10" s="5" customFormat="1" ht="28" customHeight="1" x14ac:dyDescent="0.35">
      <c r="A2" s="74" t="s">
        <v>190</v>
      </c>
      <c r="B2" s="191" t="s">
        <v>0</v>
      </c>
      <c r="C2" s="191"/>
      <c r="D2" s="74" t="s">
        <v>1</v>
      </c>
      <c r="E2" s="458"/>
      <c r="F2" s="75"/>
      <c r="G2" s="63"/>
    </row>
    <row r="3" spans="1:10" ht="28" x14ac:dyDescent="0.35">
      <c r="A3" s="311" t="s">
        <v>714</v>
      </c>
      <c r="B3" s="286" t="s">
        <v>715</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(sorted)'!DF95</f>
        <v>12065.52849128243</v>
      </c>
    </row>
    <row r="6" spans="1:10" x14ac:dyDescent="0.35">
      <c r="A6" s="2">
        <v>1</v>
      </c>
      <c r="B6" s="71">
        <v>46186</v>
      </c>
      <c r="C6" s="7">
        <v>3500000</v>
      </c>
      <c r="D6" s="3">
        <f>C6</f>
        <v>3500000</v>
      </c>
      <c r="E6" s="2" t="s">
        <v>30</v>
      </c>
      <c r="F6" s="2">
        <v>2</v>
      </c>
      <c r="H6" s="2"/>
      <c r="I6" s="408" t="s">
        <v>889</v>
      </c>
      <c r="J6" s="10">
        <f>'DETAILS (sorted)'!DG95</f>
        <v>40286.707055902458</v>
      </c>
    </row>
    <row r="7" spans="1:10" x14ac:dyDescent="0.35">
      <c r="A7" s="2">
        <v>2</v>
      </c>
      <c r="B7" s="71">
        <v>46198</v>
      </c>
      <c r="C7" s="7">
        <v>1000000</v>
      </c>
      <c r="D7" s="3">
        <f>D6+C7</f>
        <v>4500000</v>
      </c>
      <c r="E7" s="2" t="s">
        <v>30</v>
      </c>
      <c r="F7" s="2">
        <v>2</v>
      </c>
      <c r="H7" s="2"/>
      <c r="I7" s="408" t="s">
        <v>891</v>
      </c>
      <c r="J7" s="10">
        <f>'DETAILS (sorted)'!DL95</f>
        <v>13019.962188512221</v>
      </c>
    </row>
    <row r="8" spans="1:10" x14ac:dyDescent="0.35">
      <c r="A8" s="2">
        <v>3</v>
      </c>
      <c r="B8" s="71"/>
      <c r="C8" s="3"/>
      <c r="D8" s="3"/>
      <c r="E8" s="2"/>
      <c r="F8" s="2"/>
      <c r="H8" s="2"/>
      <c r="I8" s="408" t="s">
        <v>894</v>
      </c>
      <c r="J8" s="10">
        <f>'DETAILS (sorted)'!DM95</f>
        <v>0</v>
      </c>
    </row>
    <row r="9" spans="1:10" x14ac:dyDescent="0.35">
      <c r="A9" s="2">
        <v>4</v>
      </c>
      <c r="B9" s="71"/>
      <c r="C9" s="3"/>
      <c r="D9" s="3"/>
      <c r="E9" s="2"/>
      <c r="F9" s="2"/>
      <c r="H9" s="2"/>
      <c r="I9" s="408" t="s">
        <v>893</v>
      </c>
      <c r="J9" s="10">
        <f>'DETAILS (sorted)'!DN95</f>
        <v>0</v>
      </c>
    </row>
    <row r="10" spans="1:10" x14ac:dyDescent="0.35">
      <c r="A10" s="2">
        <v>5</v>
      </c>
      <c r="B10" s="294"/>
      <c r="C10" s="3"/>
      <c r="D10" s="3"/>
      <c r="E10" s="2"/>
      <c r="F10" s="2"/>
      <c r="H10" s="2"/>
      <c r="I10" s="408" t="s">
        <v>895</v>
      </c>
      <c r="J10" s="10">
        <f>'DETAILS (sorted)'!DO95</f>
        <v>0</v>
      </c>
    </row>
    <row r="11" spans="1:10" x14ac:dyDescent="0.35">
      <c r="A11" s="2">
        <v>6</v>
      </c>
      <c r="B11" s="294"/>
      <c r="C11" s="3"/>
      <c r="D11" s="3"/>
      <c r="E11" s="2"/>
      <c r="F11" s="2"/>
      <c r="H11" s="2"/>
      <c r="I11" s="408" t="s">
        <v>897</v>
      </c>
      <c r="J11" s="10">
        <f>'DETAILS (sorted)'!DQ95</f>
        <v>0</v>
      </c>
    </row>
    <row r="12" spans="1:10" x14ac:dyDescent="0.35">
      <c r="A12" s="2">
        <v>7</v>
      </c>
      <c r="B12" s="294"/>
      <c r="C12" s="3"/>
      <c r="D12" s="3"/>
      <c r="E12" s="2"/>
      <c r="F12" s="2"/>
      <c r="H12" s="2"/>
      <c r="I12" s="408" t="s">
        <v>898</v>
      </c>
      <c r="J12" s="10">
        <f>'DETAILS (sorted)'!DR95</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4500000</v>
      </c>
      <c r="D25" s="3">
        <f>C25+J25</f>
        <v>4565372.197735697</v>
      </c>
      <c r="E25" s="3">
        <f>'DETAILS (sorted)'!DS95</f>
        <v>4612114.6559262332</v>
      </c>
      <c r="F25" s="3">
        <f>D25-E25</f>
        <v>-46742.458190536126</v>
      </c>
      <c r="G25" t="b">
        <f>D25=E25</f>
        <v>0</v>
      </c>
      <c r="H25" s="2"/>
      <c r="I25" s="2"/>
      <c r="J25" s="10">
        <f>SUM(J5:J24)</f>
        <v>65372.197735697104</v>
      </c>
    </row>
    <row r="27" spans="1:10" x14ac:dyDescent="0.35">
      <c r="C27" s="3" t="s">
        <v>644</v>
      </c>
      <c r="D27" s="3">
        <f>C25+J25</f>
        <v>4565372.197735697</v>
      </c>
      <c r="E27" s="122">
        <f>D27/D28</f>
        <v>0.30435814651571313</v>
      </c>
      <c r="F27" s="2" t="s">
        <v>652</v>
      </c>
    </row>
    <row r="28" spans="1:10" x14ac:dyDescent="0.35">
      <c r="C28" s="3" t="s">
        <v>650</v>
      </c>
      <c r="D28" s="3">
        <v>15000000</v>
      </c>
      <c r="E28" s="122">
        <f>D28/D28</f>
        <v>1</v>
      </c>
      <c r="F28" s="2" t="s">
        <v>654</v>
      </c>
    </row>
    <row r="29" spans="1:10" x14ac:dyDescent="0.35">
      <c r="C29" s="3"/>
      <c r="D29" s="3">
        <f>D27-D28</f>
        <v>-10434627.802264303</v>
      </c>
      <c r="E29" s="122">
        <f>D29/D28</f>
        <v>-0.69564185348428687</v>
      </c>
      <c r="F29" s="2" t="s">
        <v>653</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B5BF3-2C42-4C82-98F3-E59288E7B25D}">
  <dimension ref="A2:J29"/>
  <sheetViews>
    <sheetView topLeftCell="A8"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3.7265625" customWidth="1"/>
    <col min="10" max="10" width="10.1796875" bestFit="1" customWidth="1"/>
  </cols>
  <sheetData>
    <row r="2" spans="1:10" s="5" customFormat="1" ht="28" customHeight="1" x14ac:dyDescent="0.35">
      <c r="A2" s="74" t="s">
        <v>190</v>
      </c>
      <c r="B2" s="191" t="s">
        <v>0</v>
      </c>
      <c r="C2" s="346"/>
      <c r="D2" s="74" t="s">
        <v>1</v>
      </c>
      <c r="F2" s="75"/>
      <c r="G2" s="63"/>
    </row>
    <row r="3" spans="1:10" ht="28" x14ac:dyDescent="0.35">
      <c r="A3" s="311" t="s">
        <v>716</v>
      </c>
      <c r="B3" s="286" t="s">
        <v>919</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(sorted)'!DF96</f>
        <v>9116.1770823022798</v>
      </c>
    </row>
    <row r="6" spans="1:10" x14ac:dyDescent="0.35">
      <c r="A6" s="2">
        <v>1</v>
      </c>
      <c r="B6" s="71">
        <v>46186</v>
      </c>
      <c r="C6" s="7">
        <v>3400000</v>
      </c>
      <c r="D6" s="3">
        <f>C6</f>
        <v>3400000</v>
      </c>
      <c r="E6" s="2" t="s">
        <v>30</v>
      </c>
      <c r="F6" s="2">
        <v>2</v>
      </c>
      <c r="H6" s="2"/>
      <c r="I6" s="408" t="s">
        <v>889</v>
      </c>
      <c r="J6" s="10">
        <f>'DETAILS (sorted)'!DG96</f>
        <v>30438.845331126304</v>
      </c>
    </row>
    <row r="7" spans="1:10" x14ac:dyDescent="0.35">
      <c r="A7" s="2">
        <v>2</v>
      </c>
      <c r="B7" s="71"/>
      <c r="C7" s="7"/>
      <c r="D7" s="3">
        <f>C7</f>
        <v>0</v>
      </c>
      <c r="E7" s="2" t="s">
        <v>30</v>
      </c>
      <c r="F7" s="2">
        <v>2</v>
      </c>
      <c r="H7" s="2"/>
      <c r="I7" s="408" t="s">
        <v>891</v>
      </c>
      <c r="J7" s="10">
        <f>'DETAILS (sorted)'!DL96</f>
        <v>10123.309922313611</v>
      </c>
    </row>
    <row r="8" spans="1:10" x14ac:dyDescent="0.35">
      <c r="A8" s="2">
        <v>3</v>
      </c>
      <c r="B8" s="71"/>
      <c r="C8" s="3"/>
      <c r="D8" s="3"/>
      <c r="E8" s="2"/>
      <c r="F8" s="2"/>
      <c r="H8" s="2"/>
      <c r="I8" s="408" t="s">
        <v>894</v>
      </c>
      <c r="J8" s="10">
        <f>'DETAILS (sorted)'!DM96</f>
        <v>0</v>
      </c>
    </row>
    <row r="9" spans="1:10" x14ac:dyDescent="0.35">
      <c r="A9" s="2">
        <v>4</v>
      </c>
      <c r="B9" s="71"/>
      <c r="C9" s="3"/>
      <c r="D9" s="3"/>
      <c r="E9" s="2"/>
      <c r="F9" s="2"/>
      <c r="H9" s="2"/>
      <c r="I9" s="408" t="s">
        <v>893</v>
      </c>
      <c r="J9" s="10">
        <f>'DETAILS (sorted)'!DN96</f>
        <v>0</v>
      </c>
    </row>
    <row r="10" spans="1:10" x14ac:dyDescent="0.35">
      <c r="A10" s="2">
        <v>5</v>
      </c>
      <c r="B10" s="294"/>
      <c r="C10" s="3"/>
      <c r="D10" s="3"/>
      <c r="E10" s="2"/>
      <c r="F10" s="2"/>
      <c r="H10" s="2"/>
      <c r="I10" s="408" t="s">
        <v>895</v>
      </c>
      <c r="J10" s="10">
        <f>'DETAILS (sorted)'!DO96</f>
        <v>0</v>
      </c>
    </row>
    <row r="11" spans="1:10" x14ac:dyDescent="0.35">
      <c r="A11" s="2">
        <v>6</v>
      </c>
      <c r="B11" s="294"/>
      <c r="C11" s="3"/>
      <c r="D11" s="3"/>
      <c r="E11" s="2"/>
      <c r="F11" s="2"/>
      <c r="H11" s="2"/>
      <c r="I11" s="408" t="s">
        <v>897</v>
      </c>
      <c r="J11" s="10">
        <f>'DETAILS (sorted)'!DQ96</f>
        <v>0</v>
      </c>
    </row>
    <row r="12" spans="1:10" x14ac:dyDescent="0.35">
      <c r="A12" s="2">
        <v>7</v>
      </c>
      <c r="B12" s="294"/>
      <c r="C12" s="3"/>
      <c r="D12" s="3"/>
      <c r="E12" s="2"/>
      <c r="F12" s="2"/>
      <c r="H12" s="2"/>
      <c r="I12" s="408" t="s">
        <v>898</v>
      </c>
      <c r="J12" s="10">
        <f>'DETAILS (sorted)'!DR96</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3400000</v>
      </c>
      <c r="D25" s="3">
        <f>C25+J25</f>
        <v>3449678.3323357422</v>
      </c>
      <c r="E25" s="3">
        <f>'DETAILS (sorted)'!DS96</f>
        <v>3586021.6322580026</v>
      </c>
      <c r="F25" s="3">
        <f>D25-E25</f>
        <v>-136343.29992226046</v>
      </c>
      <c r="G25" t="b">
        <f>D25=E25</f>
        <v>0</v>
      </c>
      <c r="H25" s="2"/>
      <c r="I25" s="2"/>
      <c r="J25" s="10">
        <f>SUM(J5:J24)</f>
        <v>49678.33233574219</v>
      </c>
    </row>
    <row r="27" spans="1:10" x14ac:dyDescent="0.35">
      <c r="C27" s="3" t="s">
        <v>644</v>
      </c>
      <c r="D27" s="3">
        <f>C25+J25</f>
        <v>3449678.3323357422</v>
      </c>
      <c r="E27" s="122">
        <f>D27/D28</f>
        <v>0.22997855548904947</v>
      </c>
      <c r="F27" s="2" t="s">
        <v>652</v>
      </c>
    </row>
    <row r="28" spans="1:10" x14ac:dyDescent="0.35">
      <c r="C28" s="3" t="s">
        <v>650</v>
      </c>
      <c r="D28" s="3">
        <v>15000000</v>
      </c>
      <c r="E28" s="122">
        <f>D28/D28</f>
        <v>1</v>
      </c>
      <c r="F28" s="2" t="s">
        <v>654</v>
      </c>
    </row>
    <row r="29" spans="1:10" x14ac:dyDescent="0.35">
      <c r="C29" s="3"/>
      <c r="D29" s="3">
        <f>D27-D28</f>
        <v>-11550321.667664258</v>
      </c>
      <c r="E29" s="122">
        <f>D29/D28</f>
        <v>-0.77002144451095056</v>
      </c>
      <c r="F29" s="2" t="s">
        <v>653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113E6-2B91-4168-84B5-C6B5F35C81C7}">
  <dimension ref="A2:J29"/>
  <sheetViews>
    <sheetView workbookViewId="0">
      <selection activeCell="N16" sqref="N16"/>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9.7265625" customWidth="1"/>
    <col min="10" max="10" width="10.1796875" bestFit="1" customWidth="1"/>
  </cols>
  <sheetData>
    <row r="2" spans="1:10" s="5" customFormat="1" x14ac:dyDescent="0.35">
      <c r="A2" s="74" t="s">
        <v>190</v>
      </c>
      <c r="B2" s="191" t="s">
        <v>0</v>
      </c>
      <c r="C2" s="346"/>
      <c r="D2" s="74" t="s">
        <v>1</v>
      </c>
      <c r="F2" s="75"/>
      <c r="G2" s="63"/>
    </row>
    <row r="3" spans="1:10" ht="28" x14ac:dyDescent="0.35">
      <c r="A3" s="311" t="s">
        <v>717</v>
      </c>
      <c r="B3" s="286" t="s">
        <v>718</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(sorted)'!DF97</f>
        <v>8848.0542269404486</v>
      </c>
    </row>
    <row r="6" spans="1:10" x14ac:dyDescent="0.35">
      <c r="A6" s="2">
        <v>1</v>
      </c>
      <c r="B6" s="71">
        <v>46187</v>
      </c>
      <c r="C6" s="7">
        <v>3300000</v>
      </c>
      <c r="D6" s="3">
        <f>C6</f>
        <v>3300000</v>
      </c>
      <c r="E6" s="2" t="s">
        <v>30</v>
      </c>
      <c r="F6" s="2">
        <v>2</v>
      </c>
      <c r="H6" s="2"/>
      <c r="I6" s="408" t="s">
        <v>889</v>
      </c>
      <c r="J6" s="10">
        <f>'DETAILS (sorted)'!DG97</f>
        <v>29543.585174328473</v>
      </c>
    </row>
    <row r="7" spans="1:10" x14ac:dyDescent="0.35">
      <c r="A7" s="2">
        <v>2</v>
      </c>
      <c r="B7" s="71">
        <v>46206</v>
      </c>
      <c r="C7" s="7">
        <v>1000000</v>
      </c>
      <c r="D7" s="3">
        <f>C7</f>
        <v>1000000</v>
      </c>
      <c r="E7" s="2" t="s">
        <v>30</v>
      </c>
      <c r="F7" s="2">
        <v>2</v>
      </c>
      <c r="H7" s="2"/>
      <c r="I7" s="408" t="s">
        <v>891</v>
      </c>
      <c r="J7" s="10">
        <f>'DETAILS (sorted)'!DL97</f>
        <v>23848.230154572291</v>
      </c>
    </row>
    <row r="8" spans="1:10" x14ac:dyDescent="0.35">
      <c r="A8" s="2">
        <v>3</v>
      </c>
      <c r="B8" s="71">
        <v>46212</v>
      </c>
      <c r="C8" s="3">
        <v>1000000</v>
      </c>
      <c r="D8" s="3">
        <f>C8</f>
        <v>1000000</v>
      </c>
      <c r="E8" s="2" t="s">
        <v>30</v>
      </c>
      <c r="F8" s="2">
        <v>2</v>
      </c>
      <c r="H8" s="2"/>
      <c r="I8" s="408" t="s">
        <v>894</v>
      </c>
      <c r="J8" s="10">
        <f>'DETAILS (sorted)'!DM97</f>
        <v>0</v>
      </c>
    </row>
    <row r="9" spans="1:10" x14ac:dyDescent="0.35">
      <c r="A9" s="2">
        <v>4</v>
      </c>
      <c r="B9" s="71"/>
      <c r="C9" s="3"/>
      <c r="D9" s="3"/>
      <c r="E9" s="2"/>
      <c r="F9" s="2"/>
      <c r="H9" s="2"/>
      <c r="I9" s="408" t="s">
        <v>893</v>
      </c>
      <c r="J9" s="10">
        <f>'DETAILS (sorted)'!DN97</f>
        <v>0</v>
      </c>
    </row>
    <row r="10" spans="1:10" x14ac:dyDescent="0.35">
      <c r="A10" s="2">
        <v>5</v>
      </c>
      <c r="B10" s="294"/>
      <c r="C10" s="3"/>
      <c r="D10" s="3"/>
      <c r="E10" s="2"/>
      <c r="F10" s="2"/>
      <c r="H10" s="2"/>
      <c r="I10" s="408" t="s">
        <v>895</v>
      </c>
      <c r="J10" s="10">
        <f>'DETAILS (sorted)'!DO97</f>
        <v>0</v>
      </c>
    </row>
    <row r="11" spans="1:10" x14ac:dyDescent="0.35">
      <c r="A11" s="2">
        <v>6</v>
      </c>
      <c r="B11" s="294"/>
      <c r="C11" s="3"/>
      <c r="D11" s="3"/>
      <c r="E11" s="2"/>
      <c r="F11" s="2"/>
      <c r="H11" s="2"/>
      <c r="I11" s="408" t="s">
        <v>897</v>
      </c>
      <c r="J11" s="10">
        <f>'DETAILS (sorted)'!DQ97</f>
        <v>0</v>
      </c>
    </row>
    <row r="12" spans="1:10" x14ac:dyDescent="0.35">
      <c r="A12" s="2">
        <v>7</v>
      </c>
      <c r="B12" s="294"/>
      <c r="C12" s="3"/>
      <c r="D12" s="3"/>
      <c r="E12" s="2"/>
      <c r="F12" s="2"/>
      <c r="H12" s="2"/>
      <c r="I12" s="408" t="s">
        <v>898</v>
      </c>
      <c r="J12" s="10">
        <f>'DETAILS (sorted)'!DR97</f>
        <v>0</v>
      </c>
    </row>
    <row r="13" spans="1:10" hidden="1" x14ac:dyDescent="0.35">
      <c r="A13" s="2">
        <v>8</v>
      </c>
      <c r="B13" s="294"/>
      <c r="C13" s="3"/>
      <c r="D13" s="3"/>
      <c r="E13" s="2"/>
      <c r="F13" s="2"/>
      <c r="H13" s="2"/>
      <c r="I13" s="2"/>
      <c r="J13" s="10"/>
    </row>
    <row r="14" spans="1:10" hidden="1" x14ac:dyDescent="0.35">
      <c r="A14" s="2">
        <v>9</v>
      </c>
      <c r="B14" s="294"/>
      <c r="C14" s="3"/>
      <c r="D14" s="3"/>
      <c r="E14" s="2"/>
      <c r="F14" s="2"/>
      <c r="H14" s="2"/>
      <c r="I14" s="2"/>
      <c r="J14" s="10"/>
    </row>
    <row r="15" spans="1:10" hidden="1" x14ac:dyDescent="0.35">
      <c r="A15" s="2">
        <v>10</v>
      </c>
      <c r="B15" s="295"/>
      <c r="C15" s="205"/>
      <c r="D15" s="3"/>
      <c r="E15" s="2"/>
      <c r="F15" s="2"/>
      <c r="H15" s="2"/>
      <c r="I15" s="2"/>
      <c r="J15" s="10"/>
    </row>
    <row r="16" spans="1:10" hidden="1" x14ac:dyDescent="0.35">
      <c r="A16" s="2">
        <v>11</v>
      </c>
      <c r="B16" s="294"/>
      <c r="C16" s="3"/>
      <c r="D16" s="3"/>
      <c r="E16" s="2"/>
      <c r="F16" s="2"/>
      <c r="H16" s="2"/>
      <c r="I16" s="2"/>
      <c r="J16" s="10"/>
    </row>
    <row r="17" spans="1:10" hidden="1" x14ac:dyDescent="0.35">
      <c r="A17" s="2"/>
      <c r="B17" s="2"/>
      <c r="C17" s="3"/>
      <c r="D17" s="3"/>
      <c r="E17" s="2"/>
      <c r="F17" s="2"/>
      <c r="H17" s="2"/>
      <c r="I17" s="2"/>
      <c r="J17" s="10"/>
    </row>
    <row r="18" spans="1:10" hidden="1" x14ac:dyDescent="0.35">
      <c r="A18" s="2"/>
      <c r="B18" s="2"/>
      <c r="C18" s="3"/>
      <c r="D18" s="3"/>
      <c r="E18" s="2"/>
      <c r="F18" s="2"/>
      <c r="H18" s="2"/>
      <c r="I18" s="2"/>
      <c r="J18" s="10"/>
    </row>
    <row r="19" spans="1:10" hidden="1" x14ac:dyDescent="0.35">
      <c r="A19" s="2"/>
      <c r="B19" s="2"/>
      <c r="C19" s="3"/>
      <c r="D19" s="3"/>
      <c r="E19" s="2"/>
      <c r="F19" s="2"/>
      <c r="H19" s="2"/>
      <c r="I19" s="2"/>
      <c r="J19" s="10"/>
    </row>
    <row r="20" spans="1:10" hidden="1" x14ac:dyDescent="0.35">
      <c r="A20" s="2"/>
      <c r="B20" s="2"/>
      <c r="C20" s="3"/>
      <c r="D20" s="3"/>
      <c r="E20" s="2"/>
      <c r="F20" s="2"/>
      <c r="H20" s="2"/>
      <c r="I20" s="2"/>
      <c r="J20" s="10"/>
    </row>
    <row r="21" spans="1:10" hidden="1" x14ac:dyDescent="0.35">
      <c r="A21" s="2"/>
      <c r="B21" s="2"/>
      <c r="C21" s="3"/>
      <c r="D21" s="3"/>
      <c r="E21" s="2"/>
      <c r="F21" s="2"/>
      <c r="H21" s="2"/>
      <c r="I21" s="2"/>
      <c r="J21" s="10"/>
    </row>
    <row r="22" spans="1:10" hidden="1" x14ac:dyDescent="0.35">
      <c r="A22" s="2"/>
      <c r="B22" s="2"/>
      <c r="C22" s="3"/>
      <c r="D22" s="3"/>
      <c r="E22" s="2"/>
      <c r="F22" s="2"/>
      <c r="H22" s="2"/>
      <c r="I22" s="2"/>
      <c r="J22" s="10"/>
    </row>
    <row r="23" spans="1:10" hidden="1"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5300000</v>
      </c>
      <c r="D25" s="3">
        <f>C25+J25</f>
        <v>5362239.8695558412</v>
      </c>
      <c r="E25" s="3">
        <f>'DETAILS (sorted)'!DS97</f>
        <v>8447856.4700327553</v>
      </c>
      <c r="F25" s="3">
        <f>D25-E25</f>
        <v>-3085616.6004769141</v>
      </c>
      <c r="G25" t="b">
        <f>D25=E25</f>
        <v>0</v>
      </c>
      <c r="H25" s="2"/>
      <c r="I25" s="2"/>
      <c r="J25" s="10">
        <f>SUM(J5:J24)</f>
        <v>62239.869555841215</v>
      </c>
    </row>
    <row r="27" spans="1:10" x14ac:dyDescent="0.35">
      <c r="C27" s="3" t="s">
        <v>644</v>
      </c>
      <c r="D27" s="3">
        <f>C25+J25</f>
        <v>5362239.8695558412</v>
      </c>
      <c r="E27" s="122">
        <f>D27/D28</f>
        <v>0.35748265797038942</v>
      </c>
      <c r="F27" s="2" t="s">
        <v>652</v>
      </c>
    </row>
    <row r="28" spans="1:10" x14ac:dyDescent="0.35">
      <c r="C28" s="3" t="s">
        <v>650</v>
      </c>
      <c r="D28" s="3">
        <v>15000000</v>
      </c>
      <c r="E28" s="122">
        <f>D28/D28</f>
        <v>1</v>
      </c>
      <c r="F28" s="2" t="s">
        <v>654</v>
      </c>
    </row>
    <row r="29" spans="1:10" x14ac:dyDescent="0.35">
      <c r="C29" s="3"/>
      <c r="D29" s="3">
        <f>D27-D28</f>
        <v>-9637760.1304441579</v>
      </c>
      <c r="E29" s="122">
        <f>D29/D28</f>
        <v>-0.64251734202961053</v>
      </c>
      <c r="F29" s="2" t="s">
        <v>653</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53C4A-7018-45BC-A681-AC3034B007F1}">
  <dimension ref="A2:J29"/>
  <sheetViews>
    <sheetView topLeftCell="A8"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6.54296875" customWidth="1"/>
    <col min="10" max="10" width="10.1796875" bestFit="1" customWidth="1"/>
  </cols>
  <sheetData>
    <row r="2" spans="1:10" s="5" customFormat="1" ht="28" customHeight="1" x14ac:dyDescent="0.35">
      <c r="A2" s="74" t="s">
        <v>190</v>
      </c>
      <c r="B2" s="191" t="s">
        <v>0</v>
      </c>
      <c r="C2" s="346"/>
      <c r="D2" s="74" t="s">
        <v>1</v>
      </c>
      <c r="F2" s="75"/>
      <c r="G2" s="63"/>
    </row>
    <row r="3" spans="1:10" ht="28" x14ac:dyDescent="0.35">
      <c r="A3" s="311" t="s">
        <v>719</v>
      </c>
      <c r="B3" s="286" t="s">
        <v>720</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(sorted)'!DF98</f>
        <v>8848.0542269404486</v>
      </c>
    </row>
    <row r="6" spans="1:10" x14ac:dyDescent="0.35">
      <c r="A6" s="2">
        <v>1</v>
      </c>
      <c r="B6" s="71">
        <v>46187</v>
      </c>
      <c r="C6" s="7">
        <v>3300000</v>
      </c>
      <c r="D6" s="3">
        <f>C6</f>
        <v>3300000</v>
      </c>
      <c r="E6" s="2" t="s">
        <v>30</v>
      </c>
      <c r="F6" s="2">
        <v>2</v>
      </c>
      <c r="H6" s="2"/>
      <c r="I6" s="408" t="s">
        <v>889</v>
      </c>
      <c r="J6" s="10">
        <f>'DETAILS (sorted)'!DG98</f>
        <v>29543.585174328473</v>
      </c>
    </row>
    <row r="7" spans="1:10" x14ac:dyDescent="0.35">
      <c r="A7" s="2">
        <v>2</v>
      </c>
      <c r="B7" s="71"/>
      <c r="C7" s="7"/>
      <c r="D7" s="3">
        <f>C7</f>
        <v>0</v>
      </c>
      <c r="E7" s="2" t="s">
        <v>30</v>
      </c>
      <c r="F7" s="2">
        <v>2</v>
      </c>
      <c r="H7" s="2"/>
      <c r="I7" s="408" t="s">
        <v>891</v>
      </c>
      <c r="J7" s="10">
        <f>'DETAILS (sorted)'!DL98</f>
        <v>19558.152789673295</v>
      </c>
    </row>
    <row r="8" spans="1:10" x14ac:dyDescent="0.35">
      <c r="A8" s="2">
        <v>3</v>
      </c>
      <c r="B8" s="71"/>
      <c r="C8" s="3"/>
      <c r="D8" s="3"/>
      <c r="E8" s="2"/>
      <c r="F8" s="2"/>
      <c r="H8" s="2"/>
      <c r="I8" s="408" t="s">
        <v>894</v>
      </c>
      <c r="J8" s="10">
        <f>'DETAILS (sorted)'!DM98</f>
        <v>0</v>
      </c>
    </row>
    <row r="9" spans="1:10" x14ac:dyDescent="0.35">
      <c r="A9" s="2">
        <v>4</v>
      </c>
      <c r="B9" s="71"/>
      <c r="C9" s="3"/>
      <c r="D9" s="3"/>
      <c r="E9" s="2"/>
      <c r="F9" s="2"/>
      <c r="H9" s="2"/>
      <c r="I9" s="408" t="s">
        <v>893</v>
      </c>
      <c r="J9" s="10">
        <f>'DETAILS (sorted)'!DN98</f>
        <v>0</v>
      </c>
    </row>
    <row r="10" spans="1:10" x14ac:dyDescent="0.35">
      <c r="A10" s="2">
        <v>5</v>
      </c>
      <c r="B10" s="294"/>
      <c r="C10" s="3"/>
      <c r="D10" s="3"/>
      <c r="E10" s="2"/>
      <c r="F10" s="2"/>
      <c r="H10" s="2"/>
      <c r="I10" s="408" t="s">
        <v>895</v>
      </c>
      <c r="J10" s="10">
        <f>'DETAILS (sorted)'!DO98</f>
        <v>0</v>
      </c>
    </row>
    <row r="11" spans="1:10" x14ac:dyDescent="0.35">
      <c r="A11" s="2">
        <v>6</v>
      </c>
      <c r="B11" s="294"/>
      <c r="C11" s="3"/>
      <c r="D11" s="3"/>
      <c r="E11" s="2"/>
      <c r="F11" s="2"/>
      <c r="H11" s="2"/>
      <c r="I11" s="408" t="s">
        <v>897</v>
      </c>
      <c r="J11" s="10">
        <f>'DETAILS (sorted)'!DQ98</f>
        <v>0</v>
      </c>
    </row>
    <row r="12" spans="1:10" x14ac:dyDescent="0.35">
      <c r="A12" s="2">
        <v>7</v>
      </c>
      <c r="B12" s="294"/>
      <c r="C12" s="3"/>
      <c r="D12" s="3"/>
      <c r="E12" s="2"/>
      <c r="F12" s="2"/>
      <c r="H12" s="2"/>
      <c r="I12" s="408" t="s">
        <v>898</v>
      </c>
      <c r="J12" s="10">
        <f>'DETAILS (sorted)'!DR98</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3300000</v>
      </c>
      <c r="D25" s="3">
        <f>C25+J25</f>
        <v>3357949.792190942</v>
      </c>
      <c r="E25" s="3">
        <f>'DETAILS (sorted)'!DS98</f>
        <v>6928164.7533267001</v>
      </c>
      <c r="F25" s="3">
        <f>D25-E25</f>
        <v>-3570214.9611357581</v>
      </c>
      <c r="G25" t="b">
        <f>D25=E25</f>
        <v>0</v>
      </c>
      <c r="H25" s="2"/>
      <c r="I25" s="2"/>
      <c r="J25" s="10">
        <f>SUM(J5:J24)</f>
        <v>57949.792190942215</v>
      </c>
    </row>
    <row r="27" spans="1:10" x14ac:dyDescent="0.35">
      <c r="C27" s="3" t="s">
        <v>644</v>
      </c>
      <c r="D27" s="3">
        <f>C25+J25</f>
        <v>3357949.792190942</v>
      </c>
      <c r="E27" s="122">
        <f>D27/D28</f>
        <v>0.22386331947939614</v>
      </c>
      <c r="F27" s="2" t="s">
        <v>652</v>
      </c>
    </row>
    <row r="28" spans="1:10" x14ac:dyDescent="0.35">
      <c r="C28" s="3" t="s">
        <v>650</v>
      </c>
      <c r="D28" s="3">
        <v>15000000</v>
      </c>
      <c r="E28" s="122">
        <f>D28/D28</f>
        <v>1</v>
      </c>
      <c r="F28" s="2" t="s">
        <v>654</v>
      </c>
    </row>
    <row r="29" spans="1:10" x14ac:dyDescent="0.35">
      <c r="C29" s="3"/>
      <c r="D29" s="3">
        <f>D27-D28</f>
        <v>-11642050.207809057</v>
      </c>
      <c r="E29" s="122">
        <f>D29/D28</f>
        <v>-0.77613668052060381</v>
      </c>
      <c r="F29" s="2" t="s">
        <v>653</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6ED83-E6E4-4402-B771-0C79EDF13077}">
  <dimension ref="A2:J29"/>
  <sheetViews>
    <sheetView topLeftCell="A8"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4.08984375" customWidth="1"/>
    <col min="10" max="10" width="10.1796875" bestFit="1" customWidth="1"/>
  </cols>
  <sheetData>
    <row r="2" spans="1:10" s="5" customFormat="1" ht="28" customHeight="1" x14ac:dyDescent="0.35">
      <c r="A2" s="74" t="s">
        <v>190</v>
      </c>
      <c r="B2" s="191" t="s">
        <v>0</v>
      </c>
      <c r="C2" s="346"/>
      <c r="D2" s="74" t="s">
        <v>1</v>
      </c>
      <c r="F2" s="75"/>
      <c r="G2" s="63"/>
    </row>
    <row r="3" spans="1:10" ht="28" x14ac:dyDescent="0.35">
      <c r="A3" s="311" t="s">
        <v>721</v>
      </c>
      <c r="B3" s="286" t="s">
        <v>722</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(sorted)'!DF99</f>
        <v>9518.3613653450284</v>
      </c>
    </row>
    <row r="6" spans="1:10" x14ac:dyDescent="0.35">
      <c r="A6" s="2">
        <v>1</v>
      </c>
      <c r="B6" s="71">
        <v>46187</v>
      </c>
      <c r="C6" s="7">
        <v>1800000</v>
      </c>
      <c r="D6" s="3">
        <f>C6</f>
        <v>1800000</v>
      </c>
      <c r="E6" s="2" t="s">
        <v>30</v>
      </c>
      <c r="F6" s="2">
        <v>2</v>
      </c>
      <c r="H6" s="2"/>
      <c r="I6" s="408" t="s">
        <v>889</v>
      </c>
      <c r="J6" s="10">
        <f>'DETAILS (sorted)'!DG99</f>
        <v>31781.735566323052</v>
      </c>
    </row>
    <row r="7" spans="1:10" x14ac:dyDescent="0.35">
      <c r="A7" s="2">
        <v>2</v>
      </c>
      <c r="B7" s="71">
        <v>46192</v>
      </c>
      <c r="C7" s="7">
        <v>1500000</v>
      </c>
      <c r="D7" s="3">
        <f>C7</f>
        <v>1500000</v>
      </c>
      <c r="E7" s="2" t="s">
        <v>30</v>
      </c>
      <c r="F7" s="2">
        <v>2</v>
      </c>
      <c r="H7" s="2"/>
      <c r="I7" s="408" t="s">
        <v>891</v>
      </c>
      <c r="J7" s="10">
        <f>'DETAILS (sorted)'!DL99</f>
        <v>12130.337029060318</v>
      </c>
    </row>
    <row r="8" spans="1:10" x14ac:dyDescent="0.35">
      <c r="A8" s="2">
        <v>3</v>
      </c>
      <c r="B8" s="71">
        <v>46202</v>
      </c>
      <c r="C8" s="3">
        <v>250000</v>
      </c>
      <c r="D8" s="3">
        <f>C8</f>
        <v>250000</v>
      </c>
      <c r="E8" s="2" t="s">
        <v>30</v>
      </c>
      <c r="F8" s="2">
        <v>2</v>
      </c>
      <c r="H8" s="2"/>
      <c r="I8" s="408" t="s">
        <v>894</v>
      </c>
      <c r="J8" s="10">
        <f>'DETAILS (sorted)'!DM99</f>
        <v>0</v>
      </c>
    </row>
    <row r="9" spans="1:10" x14ac:dyDescent="0.35">
      <c r="A9" s="2">
        <v>4</v>
      </c>
      <c r="B9" s="71"/>
      <c r="C9" s="3"/>
      <c r="D9" s="3"/>
      <c r="E9" s="2"/>
      <c r="F9" s="2"/>
      <c r="H9" s="2"/>
      <c r="I9" s="408" t="s">
        <v>893</v>
      </c>
      <c r="J9" s="10">
        <f>'DETAILS (sorted)'!DN99</f>
        <v>0</v>
      </c>
    </row>
    <row r="10" spans="1:10" x14ac:dyDescent="0.35">
      <c r="A10" s="2">
        <v>5</v>
      </c>
      <c r="B10" s="294"/>
      <c r="C10" s="3"/>
      <c r="D10" s="3"/>
      <c r="E10" s="2"/>
      <c r="F10" s="2"/>
      <c r="H10" s="2"/>
      <c r="I10" s="408" t="s">
        <v>895</v>
      </c>
      <c r="J10" s="10">
        <f>'DETAILS (sorted)'!DO99</f>
        <v>0</v>
      </c>
    </row>
    <row r="11" spans="1:10" x14ac:dyDescent="0.35">
      <c r="A11" s="2">
        <v>6</v>
      </c>
      <c r="B11" s="294"/>
      <c r="C11" s="3"/>
      <c r="D11" s="3"/>
      <c r="E11" s="2"/>
      <c r="F11" s="2"/>
      <c r="H11" s="2"/>
      <c r="I11" s="408" t="s">
        <v>897</v>
      </c>
      <c r="J11" s="10">
        <f>'DETAILS (sorted)'!DQ99</f>
        <v>0</v>
      </c>
    </row>
    <row r="12" spans="1:10" x14ac:dyDescent="0.35">
      <c r="A12" s="2">
        <v>7</v>
      </c>
      <c r="B12" s="294"/>
      <c r="C12" s="3"/>
      <c r="D12" s="3"/>
      <c r="E12" s="2"/>
      <c r="F12" s="2"/>
      <c r="H12" s="2"/>
      <c r="I12" s="408" t="s">
        <v>898</v>
      </c>
      <c r="J12" s="10">
        <f>'DETAILS (sorted)'!DR99</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3550000</v>
      </c>
      <c r="D25" s="3">
        <f>C25+J25</f>
        <v>3603430.4339607283</v>
      </c>
      <c r="E25" s="3">
        <f>'DETAILS (sorted)'!DS99</f>
        <v>4296979.0835810974</v>
      </c>
      <c r="F25" s="3">
        <f>D25-E25</f>
        <v>-693548.64962036908</v>
      </c>
      <c r="G25" t="b">
        <f>D25=E25</f>
        <v>0</v>
      </c>
      <c r="H25" s="2"/>
      <c r="I25" s="2"/>
      <c r="J25" s="10">
        <f>SUM(J5:J24)</f>
        <v>53430.433960728398</v>
      </c>
    </row>
    <row r="27" spans="1:10" x14ac:dyDescent="0.35">
      <c r="C27" s="3" t="s">
        <v>644</v>
      </c>
      <c r="D27" s="3">
        <f>C25+J25</f>
        <v>3603430.4339607283</v>
      </c>
      <c r="E27" s="122">
        <f>D27/D28</f>
        <v>0.36034304339607282</v>
      </c>
      <c r="F27" s="2" t="s">
        <v>652</v>
      </c>
    </row>
    <row r="28" spans="1:10" x14ac:dyDescent="0.35">
      <c r="C28" s="3" t="s">
        <v>650</v>
      </c>
      <c r="D28" s="3">
        <v>10000000</v>
      </c>
      <c r="E28" s="122">
        <f>D28/D28</f>
        <v>1</v>
      </c>
      <c r="F28" s="2" t="s">
        <v>654</v>
      </c>
    </row>
    <row r="29" spans="1:10" x14ac:dyDescent="0.35">
      <c r="C29" s="3"/>
      <c r="D29" s="3">
        <f>D27-D28</f>
        <v>-6396569.5660392717</v>
      </c>
      <c r="E29" s="122">
        <f>D29/D28</f>
        <v>-0.63965695660392718</v>
      </c>
      <c r="F29" s="2" t="s">
        <v>653</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F09A0-5CF9-4ED2-BBA9-4451BF085E09}">
  <dimension ref="A2:J29"/>
  <sheetViews>
    <sheetView topLeftCell="A8"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3.08984375" customWidth="1"/>
    <col min="10" max="10" width="10.1796875" bestFit="1" customWidth="1"/>
  </cols>
  <sheetData>
    <row r="2" spans="1:10" s="5" customFormat="1" ht="28" customHeight="1" x14ac:dyDescent="0.35">
      <c r="A2" s="74" t="s">
        <v>190</v>
      </c>
      <c r="B2" s="191" t="s">
        <v>0</v>
      </c>
      <c r="C2" s="346"/>
      <c r="D2" s="74" t="s">
        <v>1</v>
      </c>
      <c r="F2" s="75"/>
      <c r="G2" s="63"/>
    </row>
    <row r="3" spans="1:10" ht="28" x14ac:dyDescent="0.35">
      <c r="A3" s="311" t="s">
        <v>723</v>
      </c>
      <c r="B3" s="286" t="s">
        <v>729</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(sorted)'!DF100</f>
        <v>9384.2999376641128</v>
      </c>
    </row>
    <row r="6" spans="1:10" x14ac:dyDescent="0.35">
      <c r="A6" s="2">
        <v>1</v>
      </c>
      <c r="B6" s="71">
        <v>46187</v>
      </c>
      <c r="C6" s="7">
        <v>3500000</v>
      </c>
      <c r="D6" s="3">
        <f>C6</f>
        <v>3500000</v>
      </c>
      <c r="E6" s="2" t="s">
        <v>30</v>
      </c>
      <c r="F6" s="2">
        <v>2</v>
      </c>
      <c r="H6" s="2"/>
      <c r="I6" s="408" t="s">
        <v>889</v>
      </c>
      <c r="J6" s="10">
        <f>'DETAILS (sorted)'!DG100</f>
        <v>31334.105487924138</v>
      </c>
    </row>
    <row r="7" spans="1:10" x14ac:dyDescent="0.35">
      <c r="A7" s="2">
        <v>2</v>
      </c>
      <c r="B7" s="71">
        <v>46204</v>
      </c>
      <c r="C7" s="7">
        <v>200000</v>
      </c>
      <c r="D7" s="3">
        <f>C7</f>
        <v>200000</v>
      </c>
      <c r="E7" s="2" t="s">
        <v>30</v>
      </c>
      <c r="F7" s="2">
        <v>2</v>
      </c>
      <c r="H7" s="2"/>
      <c r="I7" s="408" t="s">
        <v>891</v>
      </c>
      <c r="J7" s="10">
        <f>'DETAILS (sorted)'!DL100</f>
        <v>10698.647573051592</v>
      </c>
    </row>
    <row r="8" spans="1:10" x14ac:dyDescent="0.35">
      <c r="A8" s="2">
        <v>3</v>
      </c>
      <c r="B8" s="71"/>
      <c r="C8" s="3"/>
      <c r="D8" s="3"/>
      <c r="E8" s="2"/>
      <c r="F8" s="2"/>
      <c r="H8" s="2"/>
      <c r="I8" s="408" t="s">
        <v>894</v>
      </c>
      <c r="J8" s="10">
        <f>'DETAILS (sorted)'!DM100</f>
        <v>0</v>
      </c>
    </row>
    <row r="9" spans="1:10" x14ac:dyDescent="0.35">
      <c r="A9" s="2">
        <v>4</v>
      </c>
      <c r="B9" s="71"/>
      <c r="C9" s="3"/>
      <c r="D9" s="3"/>
      <c r="E9" s="2"/>
      <c r="F9" s="2"/>
      <c r="H9" s="2"/>
      <c r="I9" s="408" t="s">
        <v>893</v>
      </c>
      <c r="J9" s="10">
        <f>'DETAILS (sorted)'!DN100</f>
        <v>0</v>
      </c>
    </row>
    <row r="10" spans="1:10" x14ac:dyDescent="0.35">
      <c r="A10" s="2">
        <v>5</v>
      </c>
      <c r="B10" s="294"/>
      <c r="C10" s="3"/>
      <c r="D10" s="3"/>
      <c r="E10" s="2"/>
      <c r="F10" s="2"/>
      <c r="H10" s="2"/>
      <c r="I10" s="408" t="s">
        <v>895</v>
      </c>
      <c r="J10" s="10">
        <f>'DETAILS (sorted)'!DO100</f>
        <v>0</v>
      </c>
    </row>
    <row r="11" spans="1:10" x14ac:dyDescent="0.35">
      <c r="A11" s="2">
        <v>6</v>
      </c>
      <c r="B11" s="294"/>
      <c r="C11" s="3"/>
      <c r="D11" s="3"/>
      <c r="E11" s="2"/>
      <c r="F11" s="2"/>
      <c r="H11" s="2"/>
      <c r="I11" s="408" t="s">
        <v>897</v>
      </c>
      <c r="J11" s="10">
        <f>'DETAILS (sorted)'!DQ100</f>
        <v>0</v>
      </c>
    </row>
    <row r="12" spans="1:10" x14ac:dyDescent="0.35">
      <c r="A12" s="2">
        <v>7</v>
      </c>
      <c r="B12" s="294"/>
      <c r="C12" s="3"/>
      <c r="D12" s="3"/>
      <c r="E12" s="2"/>
      <c r="F12" s="2"/>
      <c r="H12" s="2"/>
      <c r="I12" s="408" t="s">
        <v>898</v>
      </c>
      <c r="J12" s="10">
        <f>'DETAILS (sorted)'!DR100</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3700000</v>
      </c>
      <c r="D25" s="3">
        <f>C25+J25</f>
        <v>3751417.0529986396</v>
      </c>
      <c r="E25" s="3">
        <f>'DETAILS (sorted)'!DS100</f>
        <v>3789825.8501701001</v>
      </c>
      <c r="F25" s="3">
        <f>D25-E25</f>
        <v>-38408.797171460465</v>
      </c>
      <c r="G25" t="b">
        <f>D25=E25</f>
        <v>0</v>
      </c>
      <c r="H25" s="2"/>
      <c r="I25" s="2"/>
      <c r="J25" s="10">
        <f>SUM(J5:J24)</f>
        <v>51417.052998639847</v>
      </c>
    </row>
    <row r="27" spans="1:10" x14ac:dyDescent="0.35">
      <c r="C27" s="3" t="s">
        <v>644</v>
      </c>
      <c r="D27" s="3">
        <f>C25+J25</f>
        <v>3751417.0529986396</v>
      </c>
      <c r="E27" s="122">
        <f>D27/D28</f>
        <v>0.37514170529986396</v>
      </c>
      <c r="F27" s="2" t="s">
        <v>652</v>
      </c>
    </row>
    <row r="28" spans="1:10" x14ac:dyDescent="0.35">
      <c r="C28" s="3" t="s">
        <v>650</v>
      </c>
      <c r="D28" s="3">
        <v>10000000</v>
      </c>
      <c r="E28" s="122">
        <f>D28/D28</f>
        <v>1</v>
      </c>
      <c r="F28" s="2" t="s">
        <v>654</v>
      </c>
    </row>
    <row r="29" spans="1:10" x14ac:dyDescent="0.35">
      <c r="C29" s="3"/>
      <c r="D29" s="3">
        <f>D27-D28</f>
        <v>-6248582.9470013604</v>
      </c>
      <c r="E29" s="122">
        <f>D29/D28</f>
        <v>-0.62485829470013599</v>
      </c>
      <c r="F29" s="2" t="s">
        <v>653</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643C7-1448-4170-8457-70668E28D1CA}">
  <dimension ref="A2:J29"/>
  <sheetViews>
    <sheetView topLeftCell="A8"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6.1796875" customWidth="1"/>
    <col min="10" max="10" width="10.1796875" bestFit="1" customWidth="1"/>
  </cols>
  <sheetData>
    <row r="2" spans="1:10" s="5" customFormat="1" ht="28" customHeight="1" x14ac:dyDescent="0.35">
      <c r="A2" s="74" t="s">
        <v>190</v>
      </c>
      <c r="B2" s="191" t="s">
        <v>0</v>
      </c>
      <c r="C2" s="74"/>
      <c r="D2" s="74" t="s">
        <v>1</v>
      </c>
      <c r="F2" s="75"/>
      <c r="G2" s="63"/>
    </row>
    <row r="3" spans="1:10" ht="28" x14ac:dyDescent="0.35">
      <c r="A3" s="210" t="s">
        <v>725</v>
      </c>
      <c r="B3" s="286" t="s">
        <v>728</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(sorted)'!DF101</f>
        <v>34855.971197038132</v>
      </c>
    </row>
    <row r="6" spans="1:10" x14ac:dyDescent="0.35">
      <c r="A6" s="2">
        <v>1</v>
      </c>
      <c r="B6" s="71">
        <v>46187</v>
      </c>
      <c r="C6" s="7">
        <v>5000000</v>
      </c>
      <c r="D6" s="3">
        <f>C6</f>
        <v>5000000</v>
      </c>
      <c r="E6" s="2" t="s">
        <v>30</v>
      </c>
      <c r="F6" s="2">
        <v>2</v>
      </c>
      <c r="H6" s="2"/>
      <c r="I6" s="408" t="s">
        <v>889</v>
      </c>
      <c r="J6" s="10">
        <f>'DETAILS (sorted)'!DG101</f>
        <v>116383.82038371822</v>
      </c>
    </row>
    <row r="7" spans="1:10" x14ac:dyDescent="0.35">
      <c r="A7" s="2">
        <v>2</v>
      </c>
      <c r="B7" s="71">
        <v>46202</v>
      </c>
      <c r="C7" s="7">
        <v>8000000</v>
      </c>
      <c r="D7" s="3">
        <f>C7</f>
        <v>8000000</v>
      </c>
      <c r="E7" s="2" t="s">
        <v>30</v>
      </c>
      <c r="F7" s="2">
        <v>2</v>
      </c>
      <c r="H7" s="2"/>
      <c r="I7" s="408" t="s">
        <v>891</v>
      </c>
      <c r="J7" s="10">
        <f>'DETAILS (sorted)'!DL101</f>
        <v>37613.224100146421</v>
      </c>
    </row>
    <row r="8" spans="1:10" x14ac:dyDescent="0.35">
      <c r="A8" s="2">
        <v>3</v>
      </c>
      <c r="B8" s="71"/>
      <c r="C8" s="3"/>
      <c r="D8" s="3"/>
      <c r="E8" s="2"/>
      <c r="F8" s="2"/>
      <c r="H8" s="2"/>
      <c r="I8" s="408" t="s">
        <v>894</v>
      </c>
      <c r="J8" s="10">
        <f>'DETAILS (sorted)'!DM101</f>
        <v>0</v>
      </c>
    </row>
    <row r="9" spans="1:10" x14ac:dyDescent="0.35">
      <c r="A9" s="2">
        <v>4</v>
      </c>
      <c r="B9" s="71"/>
      <c r="C9" s="3"/>
      <c r="D9" s="3"/>
      <c r="E9" s="2"/>
      <c r="F9" s="2"/>
      <c r="H9" s="2"/>
      <c r="I9" s="408" t="s">
        <v>893</v>
      </c>
      <c r="J9" s="10">
        <f>'DETAILS (sorted)'!DN101</f>
        <v>0</v>
      </c>
    </row>
    <row r="10" spans="1:10" x14ac:dyDescent="0.35">
      <c r="A10" s="2">
        <v>5</v>
      </c>
      <c r="B10" s="294"/>
      <c r="C10" s="3"/>
      <c r="D10" s="3"/>
      <c r="E10" s="2"/>
      <c r="F10" s="2"/>
      <c r="H10" s="2"/>
      <c r="I10" s="408" t="s">
        <v>895</v>
      </c>
      <c r="J10" s="10">
        <f>'DETAILS (sorted)'!DO101</f>
        <v>0</v>
      </c>
    </row>
    <row r="11" spans="1:10" x14ac:dyDescent="0.35">
      <c r="A11" s="2">
        <v>6</v>
      </c>
      <c r="B11" s="294"/>
      <c r="C11" s="3"/>
      <c r="D11" s="3"/>
      <c r="E11" s="2"/>
      <c r="F11" s="2"/>
      <c r="H11" s="2"/>
      <c r="I11" s="408" t="s">
        <v>897</v>
      </c>
      <c r="J11" s="10">
        <f>'DETAILS (sorted)'!DQ101</f>
        <v>0</v>
      </c>
    </row>
    <row r="12" spans="1:10" x14ac:dyDescent="0.35">
      <c r="A12" s="2">
        <v>7</v>
      </c>
      <c r="B12" s="294"/>
      <c r="C12" s="3"/>
      <c r="D12" s="3"/>
      <c r="E12" s="2"/>
      <c r="F12" s="2"/>
      <c r="H12" s="2"/>
      <c r="I12" s="408" t="s">
        <v>898</v>
      </c>
      <c r="J12" s="10">
        <f>'DETAILS (sorted)'!DR101</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13000000</v>
      </c>
      <c r="D25" s="3">
        <f>C25+J25</f>
        <v>13188853.015680904</v>
      </c>
      <c r="E25" s="3">
        <f>'DETAILS (sorted)'!DS101</f>
        <v>13323886.783786898</v>
      </c>
      <c r="F25" s="3">
        <f>D25-E25</f>
        <v>-135033.76810599491</v>
      </c>
      <c r="G25" t="b">
        <f>D25=E25</f>
        <v>0</v>
      </c>
      <c r="H25" s="2"/>
      <c r="I25" s="2"/>
      <c r="J25" s="10">
        <f>SUM(J5:J24)</f>
        <v>188853.01568090278</v>
      </c>
    </row>
    <row r="27" spans="1:10" x14ac:dyDescent="0.35">
      <c r="C27" s="3" t="s">
        <v>644</v>
      </c>
      <c r="D27" s="3">
        <f>C25+J25</f>
        <v>13188853.015680904</v>
      </c>
      <c r="E27" s="122">
        <f>D27/D28</f>
        <v>0.65944265078404518</v>
      </c>
      <c r="F27" s="2" t="s">
        <v>652</v>
      </c>
    </row>
    <row r="28" spans="1:10" x14ac:dyDescent="0.35">
      <c r="C28" s="3" t="s">
        <v>650</v>
      </c>
      <c r="D28" s="3">
        <v>20000000</v>
      </c>
      <c r="E28" s="122">
        <f>D28/D28</f>
        <v>1</v>
      </c>
      <c r="F28" s="2" t="s">
        <v>654</v>
      </c>
    </row>
    <row r="29" spans="1:10" x14ac:dyDescent="0.35">
      <c r="C29" s="3"/>
      <c r="D29" s="3">
        <f>D27-D28</f>
        <v>-6811146.9843190964</v>
      </c>
      <c r="E29" s="122">
        <f>D29/D28</f>
        <v>-0.34055734921595482</v>
      </c>
      <c r="F29" s="2" t="s">
        <v>653</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9F3F9-280F-4511-A89F-A8658134D64D}">
  <dimension ref="A2:J29"/>
  <sheetViews>
    <sheetView topLeftCell="A10"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3.26953125" customWidth="1"/>
    <col min="10" max="10" width="10.1796875" bestFit="1" customWidth="1"/>
  </cols>
  <sheetData>
    <row r="2" spans="1:10" s="5" customFormat="1" ht="28" customHeight="1" x14ac:dyDescent="0.35">
      <c r="A2" s="74" t="s">
        <v>190</v>
      </c>
      <c r="B2" s="191" t="s">
        <v>0</v>
      </c>
      <c r="C2" s="74"/>
      <c r="D2" s="74" t="s">
        <v>1</v>
      </c>
      <c r="E2" s="74"/>
      <c r="F2" s="75"/>
      <c r="G2" s="460"/>
    </row>
    <row r="3" spans="1:10" ht="28" x14ac:dyDescent="0.35">
      <c r="A3" s="210" t="s">
        <v>727</v>
      </c>
      <c r="B3" s="286" t="s">
        <v>730</v>
      </c>
      <c r="C3" s="7"/>
      <c r="D3" s="71"/>
      <c r="E3" s="11"/>
      <c r="F3" s="11"/>
      <c r="G3" s="461"/>
    </row>
    <row r="4" spans="1:10" x14ac:dyDescent="0.35">
      <c r="A4" s="2"/>
      <c r="B4" s="2"/>
      <c r="C4" s="3"/>
      <c r="D4" s="3"/>
      <c r="E4" s="2"/>
      <c r="F4" s="2"/>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(sorted)'!DF102</f>
        <v>13406.142768091588</v>
      </c>
    </row>
    <row r="6" spans="1:10" x14ac:dyDescent="0.35">
      <c r="A6" s="2">
        <v>1</v>
      </c>
      <c r="B6" s="71">
        <v>46187</v>
      </c>
      <c r="C6" s="7">
        <v>3300000</v>
      </c>
      <c r="D6" s="3">
        <f>C6</f>
        <v>3300000</v>
      </c>
      <c r="E6" s="2" t="s">
        <v>30</v>
      </c>
      <c r="F6" s="2">
        <v>2</v>
      </c>
      <c r="H6" s="2"/>
      <c r="I6" s="408" t="s">
        <v>889</v>
      </c>
      <c r="J6" s="10">
        <f>'DETAILS (sorted)'!DG102</f>
        <v>44763.007839891623</v>
      </c>
    </row>
    <row r="7" spans="1:10" x14ac:dyDescent="0.35">
      <c r="A7" s="2">
        <v>2</v>
      </c>
      <c r="B7" s="71">
        <v>46202</v>
      </c>
      <c r="C7" s="7">
        <v>1700000</v>
      </c>
      <c r="D7" s="3">
        <f>C7</f>
        <v>1700000</v>
      </c>
      <c r="E7" s="2" t="s">
        <v>30</v>
      </c>
      <c r="F7" s="2">
        <v>2</v>
      </c>
      <c r="H7" s="2"/>
      <c r="I7" s="408" t="s">
        <v>891</v>
      </c>
      <c r="J7" s="10">
        <f>'DETAILS (sorted)'!DL102</f>
        <v>28766.882536899135</v>
      </c>
    </row>
    <row r="8" spans="1:10" x14ac:dyDescent="0.35">
      <c r="A8" s="2">
        <v>3</v>
      </c>
      <c r="B8" s="71"/>
      <c r="C8" s="3"/>
      <c r="D8" s="3"/>
      <c r="E8" s="2"/>
      <c r="F8" s="2"/>
      <c r="H8" s="2"/>
      <c r="I8" s="408" t="s">
        <v>894</v>
      </c>
      <c r="J8" s="10">
        <f>'DETAILS (sorted)'!DM102</f>
        <v>0</v>
      </c>
    </row>
    <row r="9" spans="1:10" x14ac:dyDescent="0.35">
      <c r="A9" s="2">
        <v>4</v>
      </c>
      <c r="B9" s="71"/>
      <c r="C9" s="3"/>
      <c r="D9" s="3"/>
      <c r="E9" s="2"/>
      <c r="F9" s="2"/>
      <c r="H9" s="2"/>
      <c r="I9" s="408" t="s">
        <v>893</v>
      </c>
      <c r="J9" s="10">
        <f>'DETAILS (sorted)'!DN102</f>
        <v>0</v>
      </c>
    </row>
    <row r="10" spans="1:10" x14ac:dyDescent="0.35">
      <c r="A10" s="2">
        <v>5</v>
      </c>
      <c r="B10" s="294"/>
      <c r="C10" s="3"/>
      <c r="D10" s="3"/>
      <c r="E10" s="2"/>
      <c r="F10" s="2"/>
      <c r="H10" s="2"/>
      <c r="I10" s="408" t="s">
        <v>895</v>
      </c>
      <c r="J10" s="10">
        <f>'DETAILS (sorted)'!DO102</f>
        <v>0</v>
      </c>
    </row>
    <row r="11" spans="1:10" x14ac:dyDescent="0.35">
      <c r="A11" s="2">
        <v>6</v>
      </c>
      <c r="B11" s="294"/>
      <c r="C11" s="3"/>
      <c r="D11" s="3"/>
      <c r="E11" s="2"/>
      <c r="F11" s="2"/>
      <c r="H11" s="2"/>
      <c r="I11" s="408" t="s">
        <v>897</v>
      </c>
      <c r="J11" s="10">
        <f>'DETAILS (sorted)'!DQ102</f>
        <v>0</v>
      </c>
    </row>
    <row r="12" spans="1:10" x14ac:dyDescent="0.35">
      <c r="A12" s="2">
        <v>7</v>
      </c>
      <c r="B12" s="294"/>
      <c r="C12" s="3"/>
      <c r="D12" s="3"/>
      <c r="E12" s="2"/>
      <c r="F12" s="2"/>
      <c r="H12" s="2"/>
      <c r="I12" s="408" t="s">
        <v>898</v>
      </c>
      <c r="J12" s="10">
        <f>'DETAILS (sorted)'!DR102</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5000000</v>
      </c>
      <c r="D25" s="3">
        <f>C25+J25</f>
        <v>5086936.0331448819</v>
      </c>
      <c r="E25" s="3">
        <f>'DETAILS (sorted)'!DS102</f>
        <v>10190210.89560489</v>
      </c>
      <c r="F25" s="3">
        <f>D25-E25</f>
        <v>-5103274.8624600079</v>
      </c>
      <c r="G25" t="b">
        <f>D25=E25</f>
        <v>0</v>
      </c>
      <c r="H25" s="2"/>
      <c r="I25" s="2"/>
      <c r="J25" s="10">
        <f>SUM(J5:J24)</f>
        <v>86936.033144882342</v>
      </c>
    </row>
    <row r="27" spans="1:10" x14ac:dyDescent="0.35">
      <c r="C27" s="3" t="s">
        <v>644</v>
      </c>
      <c r="D27" s="3">
        <f>C25+J25</f>
        <v>5086936.0331448819</v>
      </c>
      <c r="E27" s="122">
        <f>D27/D28</f>
        <v>0.33912906887632549</v>
      </c>
      <c r="F27" s="2" t="s">
        <v>652</v>
      </c>
    </row>
    <row r="28" spans="1:10" x14ac:dyDescent="0.35">
      <c r="C28" s="3" t="s">
        <v>650</v>
      </c>
      <c r="D28" s="3">
        <v>15000000</v>
      </c>
      <c r="E28" s="122">
        <f>D28/D28</f>
        <v>1</v>
      </c>
      <c r="F28" s="2" t="s">
        <v>654</v>
      </c>
    </row>
    <row r="29" spans="1:10" x14ac:dyDescent="0.35">
      <c r="C29" s="3"/>
      <c r="D29" s="3">
        <f>D27-D28</f>
        <v>-9913063.9668551181</v>
      </c>
      <c r="E29" s="122">
        <f>D29/D28</f>
        <v>-0.66087093112367457</v>
      </c>
      <c r="F29" s="2" t="s">
        <v>653</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4CAC8-86C3-44CA-A710-27D5EEAD1460}">
  <dimension ref="A2:J29"/>
  <sheetViews>
    <sheetView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6.54296875" customWidth="1"/>
    <col min="10" max="10" width="10.1796875" bestFit="1" customWidth="1"/>
  </cols>
  <sheetData>
    <row r="2" spans="1:10" s="5" customFormat="1" x14ac:dyDescent="0.35">
      <c r="A2" s="74" t="s">
        <v>190</v>
      </c>
      <c r="B2" s="191" t="s">
        <v>0</v>
      </c>
      <c r="C2" s="346"/>
      <c r="D2" s="74" t="s">
        <v>1</v>
      </c>
      <c r="F2" s="75"/>
      <c r="G2" s="63"/>
    </row>
    <row r="3" spans="1:10" ht="28" x14ac:dyDescent="0.35">
      <c r="A3" s="311" t="s">
        <v>739</v>
      </c>
      <c r="B3" s="286" t="s">
        <v>740</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(sorted)'!DF103</f>
        <v>10724.91421447327</v>
      </c>
    </row>
    <row r="6" spans="1:10" x14ac:dyDescent="0.35">
      <c r="A6" s="2">
        <v>1</v>
      </c>
      <c r="B6" s="71">
        <v>46188</v>
      </c>
      <c r="C6" s="7">
        <v>2000000</v>
      </c>
      <c r="D6" s="3">
        <f>C6</f>
        <v>2000000</v>
      </c>
      <c r="E6" s="2" t="s">
        <v>30</v>
      </c>
      <c r="F6" s="2">
        <v>2</v>
      </c>
      <c r="H6" s="2"/>
      <c r="I6" s="408" t="s">
        <v>889</v>
      </c>
      <c r="J6" s="10">
        <f>'DETAILS (sorted)'!DG103</f>
        <v>35810.4062719133</v>
      </c>
    </row>
    <row r="7" spans="1:10" x14ac:dyDescent="0.35">
      <c r="A7" s="2">
        <v>2</v>
      </c>
      <c r="B7" s="71">
        <v>46188</v>
      </c>
      <c r="C7" s="7">
        <v>2000000</v>
      </c>
      <c r="D7" s="3">
        <f>D6+C7</f>
        <v>4000000</v>
      </c>
      <c r="E7" s="2" t="s">
        <v>30</v>
      </c>
      <c r="F7" s="2">
        <v>2</v>
      </c>
      <c r="H7" s="2"/>
      <c r="I7" s="408" t="s">
        <v>891</v>
      </c>
      <c r="J7" s="10">
        <f>'DETAILS (sorted)'!DL103</f>
        <v>17293.402876320637</v>
      </c>
    </row>
    <row r="8" spans="1:10" x14ac:dyDescent="0.35">
      <c r="A8" s="2">
        <v>3</v>
      </c>
      <c r="B8" s="71"/>
      <c r="C8" s="7"/>
      <c r="D8" s="3"/>
      <c r="E8" s="2"/>
      <c r="F8" s="2"/>
      <c r="H8" s="2"/>
      <c r="I8" s="408" t="s">
        <v>894</v>
      </c>
      <c r="J8" s="10">
        <f>'DETAILS (sorted)'!DM103</f>
        <v>0</v>
      </c>
    </row>
    <row r="9" spans="1:10" x14ac:dyDescent="0.35">
      <c r="A9" s="2">
        <v>4</v>
      </c>
      <c r="B9" s="71"/>
      <c r="C9" s="3"/>
      <c r="D9" s="3"/>
      <c r="E9" s="2"/>
      <c r="F9" s="2"/>
      <c r="H9" s="2"/>
      <c r="I9" s="408" t="s">
        <v>893</v>
      </c>
      <c r="J9" s="10">
        <f>'DETAILS (sorted)'!DN103</f>
        <v>0</v>
      </c>
    </row>
    <row r="10" spans="1:10" x14ac:dyDescent="0.35">
      <c r="A10" s="2">
        <v>5</v>
      </c>
      <c r="B10" s="294"/>
      <c r="C10" s="3"/>
      <c r="D10" s="3"/>
      <c r="E10" s="2"/>
      <c r="F10" s="2"/>
      <c r="H10" s="2"/>
      <c r="I10" s="408" t="s">
        <v>895</v>
      </c>
      <c r="J10" s="10">
        <f>'DETAILS (sorted)'!DO103</f>
        <v>0</v>
      </c>
    </row>
    <row r="11" spans="1:10" x14ac:dyDescent="0.35">
      <c r="A11" s="2">
        <v>6</v>
      </c>
      <c r="B11" s="294"/>
      <c r="C11" s="3"/>
      <c r="D11" s="3"/>
      <c r="E11" s="2"/>
      <c r="F11" s="2"/>
      <c r="H11" s="2"/>
      <c r="I11" s="408" t="s">
        <v>897</v>
      </c>
      <c r="J11" s="10">
        <f>'DETAILS (sorted)'!DQ103</f>
        <v>0</v>
      </c>
    </row>
    <row r="12" spans="1:10" x14ac:dyDescent="0.35">
      <c r="A12" s="2">
        <v>7</v>
      </c>
      <c r="B12" s="294"/>
      <c r="C12" s="3"/>
      <c r="D12" s="3"/>
      <c r="E12" s="2"/>
      <c r="F12" s="2"/>
      <c r="H12" s="2"/>
      <c r="I12" s="408" t="s">
        <v>898</v>
      </c>
      <c r="J12" s="10">
        <f>'DETAILS (sorted)'!DR103</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4000000</v>
      </c>
      <c r="D25" s="3">
        <f>C25+J25</f>
        <v>4063828.7233627071</v>
      </c>
      <c r="E25" s="3">
        <f>'DETAILS (sorted)'!DS103</f>
        <v>6125913.09420917</v>
      </c>
      <c r="F25" s="3">
        <f>D25-E25</f>
        <v>-2062084.3708464629</v>
      </c>
      <c r="G25" t="b">
        <f>D25=E25</f>
        <v>0</v>
      </c>
      <c r="H25" s="2"/>
      <c r="I25" s="2"/>
      <c r="J25" s="10">
        <f>SUM(J5:J24)</f>
        <v>63828.723362707206</v>
      </c>
    </row>
    <row r="27" spans="1:10" x14ac:dyDescent="0.35">
      <c r="C27" s="3" t="s">
        <v>644</v>
      </c>
      <c r="D27" s="3">
        <f>C25+J25</f>
        <v>4063828.7233627071</v>
      </c>
      <c r="E27" s="122">
        <f>D27/D28</f>
        <v>0.27092191489084716</v>
      </c>
      <c r="F27" s="2" t="s">
        <v>652</v>
      </c>
    </row>
    <row r="28" spans="1:10" x14ac:dyDescent="0.35">
      <c r="C28" s="3" t="s">
        <v>650</v>
      </c>
      <c r="D28" s="3">
        <v>15000000</v>
      </c>
      <c r="E28" s="122">
        <f>D28/D28</f>
        <v>1</v>
      </c>
      <c r="F28" s="2" t="s">
        <v>654</v>
      </c>
    </row>
    <row r="29" spans="1:10" x14ac:dyDescent="0.35">
      <c r="C29" s="3"/>
      <c r="D29" s="3">
        <f>D27-D28</f>
        <v>-10936171.276637293</v>
      </c>
      <c r="E29" s="122">
        <f>D29/D28</f>
        <v>-0.72907808510915284</v>
      </c>
      <c r="F29" s="2" t="s">
        <v>653</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9D855-B7F5-4F09-AAD3-0DEEF71E89D1}">
  <dimension ref="A2:J29"/>
  <sheetViews>
    <sheetView topLeftCell="A8"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4" customWidth="1"/>
    <col min="10" max="10" width="10.1796875" bestFit="1" customWidth="1"/>
  </cols>
  <sheetData>
    <row r="2" spans="1:10" s="5" customFormat="1" x14ac:dyDescent="0.35">
      <c r="A2" s="74" t="s">
        <v>190</v>
      </c>
      <c r="B2" s="191" t="s">
        <v>0</v>
      </c>
      <c r="C2" s="346"/>
      <c r="D2" s="74" t="s">
        <v>1</v>
      </c>
      <c r="F2" s="75"/>
      <c r="G2" s="63"/>
    </row>
    <row r="3" spans="1:10" ht="28" x14ac:dyDescent="0.35">
      <c r="A3" s="311" t="s">
        <v>749</v>
      </c>
      <c r="B3" s="286" t="s">
        <v>750</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(sorted)'!DF104</f>
        <v>8848.0542269404486</v>
      </c>
    </row>
    <row r="6" spans="1:10" x14ac:dyDescent="0.35">
      <c r="A6" s="2">
        <v>1</v>
      </c>
      <c r="B6" s="71">
        <v>46192</v>
      </c>
      <c r="C6" s="7">
        <v>3300000</v>
      </c>
      <c r="D6" s="3">
        <f>C6</f>
        <v>3300000</v>
      </c>
      <c r="E6" s="2" t="s">
        <v>30</v>
      </c>
      <c r="F6" s="2">
        <v>2</v>
      </c>
      <c r="H6" s="2"/>
      <c r="I6" s="408" t="s">
        <v>889</v>
      </c>
      <c r="J6" s="10">
        <f>'DETAILS (sorted)'!DG104</f>
        <v>29543.585174328473</v>
      </c>
    </row>
    <row r="7" spans="1:10" x14ac:dyDescent="0.35">
      <c r="A7" s="2">
        <v>2</v>
      </c>
      <c r="B7" s="71"/>
      <c r="C7" s="7"/>
      <c r="D7" s="3"/>
      <c r="E7" s="2"/>
      <c r="F7" s="2">
        <v>2</v>
      </c>
      <c r="H7" s="2"/>
      <c r="I7" s="408" t="s">
        <v>891</v>
      </c>
      <c r="J7" s="10">
        <f>'DETAILS (sorted)'!DL104</f>
        <v>9547.9722715756288</v>
      </c>
    </row>
    <row r="8" spans="1:10" x14ac:dyDescent="0.35">
      <c r="A8" s="2">
        <v>3</v>
      </c>
      <c r="B8" s="71"/>
      <c r="C8" s="7"/>
      <c r="D8" s="3"/>
      <c r="E8" s="2"/>
      <c r="F8" s="2"/>
      <c r="H8" s="2"/>
      <c r="I8" s="408" t="s">
        <v>894</v>
      </c>
      <c r="J8" s="10">
        <f>'DETAILS (sorted)'!DM104</f>
        <v>0</v>
      </c>
    </row>
    <row r="9" spans="1:10" x14ac:dyDescent="0.35">
      <c r="A9" s="2">
        <v>4</v>
      </c>
      <c r="B9" s="71"/>
      <c r="C9" s="3"/>
      <c r="D9" s="3"/>
      <c r="E9" s="2"/>
      <c r="F9" s="2"/>
      <c r="H9" s="2"/>
      <c r="I9" s="408" t="s">
        <v>893</v>
      </c>
      <c r="J9" s="10">
        <f>'DETAILS (sorted)'!DN104</f>
        <v>0</v>
      </c>
    </row>
    <row r="10" spans="1:10" x14ac:dyDescent="0.35">
      <c r="A10" s="2">
        <v>5</v>
      </c>
      <c r="B10" s="294"/>
      <c r="C10" s="3"/>
      <c r="D10" s="3"/>
      <c r="E10" s="2"/>
      <c r="F10" s="2"/>
      <c r="H10" s="2"/>
      <c r="I10" s="408" t="s">
        <v>895</v>
      </c>
      <c r="J10" s="10">
        <f>'DETAILS (sorted)'!DO104</f>
        <v>0</v>
      </c>
    </row>
    <row r="11" spans="1:10" x14ac:dyDescent="0.35">
      <c r="A11" s="2">
        <v>6</v>
      </c>
      <c r="B11" s="294"/>
      <c r="C11" s="3"/>
      <c r="D11" s="3"/>
      <c r="E11" s="2"/>
      <c r="F11" s="2"/>
      <c r="H11" s="2"/>
      <c r="I11" s="408" t="s">
        <v>897</v>
      </c>
      <c r="J11" s="10">
        <f>'DETAILS (sorted)'!DQ104</f>
        <v>0</v>
      </c>
    </row>
    <row r="12" spans="1:10" x14ac:dyDescent="0.35">
      <c r="A12" s="2">
        <v>7</v>
      </c>
      <c r="B12" s="294"/>
      <c r="C12" s="3"/>
      <c r="D12" s="3"/>
      <c r="E12" s="2"/>
      <c r="F12" s="2"/>
      <c r="H12" s="2"/>
      <c r="I12" s="408" t="s">
        <v>898</v>
      </c>
      <c r="J12" s="10">
        <f>'DETAILS (sorted)'!DR104</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3300000</v>
      </c>
      <c r="D25" s="3">
        <f>C25+J25</f>
        <v>3347939.6116728447</v>
      </c>
      <c r="E25" s="3">
        <f>'DETAILS (sorted)'!DS104</f>
        <v>3382217.4143459047</v>
      </c>
      <c r="F25" s="3">
        <f>D25-E25</f>
        <v>-34277.802673059981</v>
      </c>
      <c r="G25" t="b">
        <f>D25=E25</f>
        <v>0</v>
      </c>
      <c r="H25" s="2"/>
      <c r="I25" s="2"/>
      <c r="J25" s="10">
        <f>SUM(J5:J24)</f>
        <v>47939.611672844549</v>
      </c>
    </row>
    <row r="27" spans="1:10" x14ac:dyDescent="0.35">
      <c r="C27" s="3" t="s">
        <v>644</v>
      </c>
      <c r="D27" s="3">
        <f>C25+J25</f>
        <v>3347939.6116728447</v>
      </c>
      <c r="E27" s="122">
        <f>D27/D28</f>
        <v>0.22319597411152298</v>
      </c>
      <c r="F27" s="2" t="s">
        <v>652</v>
      </c>
    </row>
    <row r="28" spans="1:10" x14ac:dyDescent="0.35">
      <c r="C28" s="3" t="s">
        <v>650</v>
      </c>
      <c r="D28" s="3">
        <v>15000000</v>
      </c>
      <c r="E28" s="122">
        <f>D28/D28</f>
        <v>1</v>
      </c>
      <c r="F28" s="2" t="s">
        <v>654</v>
      </c>
    </row>
    <row r="29" spans="1:10" x14ac:dyDescent="0.35">
      <c r="C29" s="3"/>
      <c r="D29" s="3">
        <f>D27-D28</f>
        <v>-11652060.388327155</v>
      </c>
      <c r="E29" s="122">
        <f>D29/D28</f>
        <v>-0.77680402588847697</v>
      </c>
      <c r="F29" s="2" t="s">
        <v>653</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C8D6C-3600-410D-B754-FBACB19005FB}">
  <dimension ref="A2:J29"/>
  <sheetViews>
    <sheetView topLeftCell="C1"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31.7265625" customWidth="1"/>
    <col min="10" max="10" width="10.1796875" bestFit="1" customWidth="1"/>
  </cols>
  <sheetData>
    <row r="2" spans="1:10" s="5" customFormat="1" x14ac:dyDescent="0.35">
      <c r="A2" s="74" t="s">
        <v>190</v>
      </c>
      <c r="B2" s="191" t="s">
        <v>0</v>
      </c>
      <c r="C2" s="346"/>
      <c r="D2" s="74" t="s">
        <v>1</v>
      </c>
      <c r="F2" s="75"/>
      <c r="G2" s="63"/>
    </row>
    <row r="3" spans="1:10" ht="28" x14ac:dyDescent="0.35">
      <c r="A3" s="311" t="s">
        <v>757</v>
      </c>
      <c r="B3" s="286" t="s">
        <v>758</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(sorted)'!DF105</f>
        <v>8848.0542269404486</v>
      </c>
    </row>
    <row r="6" spans="1:10" x14ac:dyDescent="0.35">
      <c r="A6" s="2">
        <v>1</v>
      </c>
      <c r="B6" s="71">
        <v>46193</v>
      </c>
      <c r="C6" s="7">
        <v>3300000</v>
      </c>
      <c r="D6" s="3">
        <f>C6</f>
        <v>3300000</v>
      </c>
      <c r="E6" s="2" t="s">
        <v>30</v>
      </c>
      <c r="F6" s="2">
        <v>2</v>
      </c>
      <c r="H6" s="2"/>
      <c r="I6" s="408" t="s">
        <v>889</v>
      </c>
      <c r="J6" s="10">
        <f>'DETAILS (sorted)'!DG105</f>
        <v>29543.585174328473</v>
      </c>
    </row>
    <row r="7" spans="1:10" x14ac:dyDescent="0.35">
      <c r="A7" s="2">
        <v>2</v>
      </c>
      <c r="B7" s="71">
        <v>46206</v>
      </c>
      <c r="C7" s="7">
        <v>600000</v>
      </c>
      <c r="D7" s="3">
        <f>D6+C7</f>
        <v>3900000</v>
      </c>
      <c r="E7" s="2" t="s">
        <v>30</v>
      </c>
      <c r="F7" s="2">
        <v>2</v>
      </c>
      <c r="H7" s="2"/>
      <c r="I7" s="408" t="s">
        <v>891</v>
      </c>
      <c r="J7" s="10">
        <f>'DETAILS (sorted)'!DL105</f>
        <v>14124.054794134561</v>
      </c>
    </row>
    <row r="8" spans="1:10" x14ac:dyDescent="0.35">
      <c r="A8" s="2">
        <v>3</v>
      </c>
      <c r="B8" s="71"/>
      <c r="C8" s="7"/>
      <c r="D8" s="3"/>
      <c r="E8" s="2"/>
      <c r="F8" s="2"/>
      <c r="H8" s="2"/>
      <c r="I8" s="408" t="s">
        <v>894</v>
      </c>
      <c r="J8" s="10">
        <f>'DETAILS (sorted)'!DM105</f>
        <v>0</v>
      </c>
    </row>
    <row r="9" spans="1:10" x14ac:dyDescent="0.35">
      <c r="A9" s="2">
        <v>4</v>
      </c>
      <c r="B9" s="71"/>
      <c r="C9" s="3"/>
      <c r="D9" s="3"/>
      <c r="E9" s="2"/>
      <c r="F9" s="2"/>
      <c r="H9" s="2"/>
      <c r="I9" s="408" t="s">
        <v>893</v>
      </c>
      <c r="J9" s="10">
        <f>'DETAILS (sorted)'!DN105</f>
        <v>0</v>
      </c>
    </row>
    <row r="10" spans="1:10" x14ac:dyDescent="0.35">
      <c r="A10" s="2">
        <v>5</v>
      </c>
      <c r="B10" s="294"/>
      <c r="C10" s="3"/>
      <c r="D10" s="3"/>
      <c r="E10" s="2"/>
      <c r="F10" s="2"/>
      <c r="H10" s="2"/>
      <c r="I10" s="408" t="s">
        <v>895</v>
      </c>
      <c r="J10" s="10">
        <f>'DETAILS (sorted)'!DO105</f>
        <v>0</v>
      </c>
    </row>
    <row r="11" spans="1:10" x14ac:dyDescent="0.35">
      <c r="A11" s="2">
        <v>6</v>
      </c>
      <c r="B11" s="294"/>
      <c r="C11" s="3"/>
      <c r="D11" s="3"/>
      <c r="E11" s="2"/>
      <c r="F11" s="2"/>
      <c r="H11" s="2"/>
      <c r="I11" s="408" t="s">
        <v>897</v>
      </c>
      <c r="J11" s="10">
        <f>'DETAILS (sorted)'!DQ105</f>
        <v>0</v>
      </c>
    </row>
    <row r="12" spans="1:10" x14ac:dyDescent="0.35">
      <c r="A12" s="2">
        <v>7</v>
      </c>
      <c r="B12" s="294"/>
      <c r="C12" s="3"/>
      <c r="D12" s="3"/>
      <c r="E12" s="2"/>
      <c r="F12" s="2"/>
      <c r="H12" s="2"/>
      <c r="I12" s="408" t="s">
        <v>898</v>
      </c>
      <c r="J12" s="10">
        <f>'DETAILS (sorted)'!DR105</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3900000</v>
      </c>
      <c r="D25" s="3">
        <f>C25+J25</f>
        <v>3952515.6941954037</v>
      </c>
      <c r="E25" s="3">
        <f>'DETAILS (sorted)'!DS105</f>
        <v>5003221.9121656977</v>
      </c>
      <c r="F25" s="3">
        <f>D25-E25</f>
        <v>-1050706.2179702939</v>
      </c>
      <c r="G25" t="b">
        <f>D25=E25</f>
        <v>0</v>
      </c>
      <c r="H25" s="2"/>
      <c r="I25" s="2"/>
      <c r="J25" s="10">
        <f>SUM(J5:J24)</f>
        <v>52515.694195403485</v>
      </c>
    </row>
    <row r="27" spans="1:10" x14ac:dyDescent="0.35">
      <c r="C27" s="3" t="s">
        <v>644</v>
      </c>
      <c r="D27" s="3">
        <f>C25+J25</f>
        <v>3952515.6941954037</v>
      </c>
      <c r="E27" s="122">
        <f>D27/D28</f>
        <v>0.26350104627969356</v>
      </c>
      <c r="F27" s="2" t="s">
        <v>652</v>
      </c>
    </row>
    <row r="28" spans="1:10" x14ac:dyDescent="0.35">
      <c r="C28" s="3" t="s">
        <v>650</v>
      </c>
      <c r="D28" s="3">
        <v>15000000</v>
      </c>
      <c r="E28" s="122">
        <f>D28/D28</f>
        <v>1</v>
      </c>
      <c r="F28" s="2" t="s">
        <v>654</v>
      </c>
    </row>
    <row r="29" spans="1:10" x14ac:dyDescent="0.35">
      <c r="C29" s="3"/>
      <c r="D29" s="3">
        <f>D27-D28</f>
        <v>-11047484.305804595</v>
      </c>
      <c r="E29" s="122">
        <f>D29/D28</f>
        <v>-0.73649895372030638</v>
      </c>
      <c r="F29" s="2" t="s">
        <v>653</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59B6-8D8D-49B0-9F82-42FB297A9AB1}">
  <dimension ref="A2:J29"/>
  <sheetViews>
    <sheetView topLeftCell="A3"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2.54296875" customWidth="1"/>
    <col min="10" max="10" width="10.1796875" bestFit="1" customWidth="1"/>
  </cols>
  <sheetData>
    <row r="2" spans="1:10" s="5" customFormat="1" x14ac:dyDescent="0.35">
      <c r="A2" s="74" t="s">
        <v>190</v>
      </c>
      <c r="B2" s="191" t="s">
        <v>0</v>
      </c>
      <c r="C2" s="346"/>
      <c r="D2" s="74" t="s">
        <v>1</v>
      </c>
      <c r="F2" s="75"/>
      <c r="G2" s="63"/>
    </row>
    <row r="3" spans="1:10" ht="28" x14ac:dyDescent="0.35">
      <c r="A3" s="311" t="s">
        <v>762</v>
      </c>
      <c r="B3" s="286" t="s">
        <v>763</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(sorted)'!DF106</f>
        <v>8848.0542269404486</v>
      </c>
    </row>
    <row r="6" spans="1:10" x14ac:dyDescent="0.35">
      <c r="A6" s="2">
        <v>1</v>
      </c>
      <c r="B6" s="71">
        <v>46193</v>
      </c>
      <c r="C6" s="7">
        <v>3300000</v>
      </c>
      <c r="D6" s="3">
        <f>C6</f>
        <v>3300000</v>
      </c>
      <c r="E6" s="2" t="s">
        <v>30</v>
      </c>
      <c r="F6" s="2">
        <v>2</v>
      </c>
      <c r="H6" s="2"/>
      <c r="I6" s="408" t="s">
        <v>889</v>
      </c>
      <c r="J6" s="10">
        <f>'DETAILS (sorted)'!DG106</f>
        <v>29543.585174328473</v>
      </c>
    </row>
    <row r="7" spans="1:10" x14ac:dyDescent="0.35">
      <c r="A7" s="2">
        <v>2</v>
      </c>
      <c r="B7" s="71">
        <v>46205</v>
      </c>
      <c r="C7" s="7">
        <v>500000</v>
      </c>
      <c r="D7" s="3">
        <f>C7</f>
        <v>500000</v>
      </c>
      <c r="E7" s="2" t="s">
        <v>30</v>
      </c>
      <c r="F7" s="2">
        <v>2</v>
      </c>
      <c r="H7" s="2"/>
      <c r="I7" s="408" t="s">
        <v>891</v>
      </c>
      <c r="J7" s="10">
        <f>'DETAILS (sorted)'!DL106</f>
        <v>39578.513825868613</v>
      </c>
    </row>
    <row r="8" spans="1:10" x14ac:dyDescent="0.35">
      <c r="A8" s="2">
        <v>3</v>
      </c>
      <c r="B8" s="71"/>
      <c r="C8" s="7"/>
      <c r="D8" s="3"/>
      <c r="E8" s="2"/>
      <c r="F8" s="2"/>
      <c r="H8" s="2"/>
      <c r="I8" s="408" t="s">
        <v>894</v>
      </c>
      <c r="J8" s="10">
        <f>'DETAILS (sorted)'!DM106</f>
        <v>0</v>
      </c>
    </row>
    <row r="9" spans="1:10" x14ac:dyDescent="0.35">
      <c r="A9" s="2">
        <v>4</v>
      </c>
      <c r="B9" s="71"/>
      <c r="C9" s="3"/>
      <c r="D9" s="3"/>
      <c r="E9" s="2"/>
      <c r="F9" s="2"/>
      <c r="H9" s="2"/>
      <c r="I9" s="408" t="s">
        <v>893</v>
      </c>
      <c r="J9" s="10">
        <f>'DETAILS (sorted)'!DN106</f>
        <v>0</v>
      </c>
    </row>
    <row r="10" spans="1:10" x14ac:dyDescent="0.35">
      <c r="A10" s="2">
        <v>5</v>
      </c>
      <c r="B10" s="294"/>
      <c r="C10" s="3"/>
      <c r="D10" s="3"/>
      <c r="E10" s="2"/>
      <c r="F10" s="2"/>
      <c r="H10" s="2"/>
      <c r="I10" s="408" t="s">
        <v>895</v>
      </c>
      <c r="J10" s="10">
        <f>'DETAILS (sorted)'!DO106</f>
        <v>0</v>
      </c>
    </row>
    <row r="11" spans="1:10" x14ac:dyDescent="0.35">
      <c r="A11" s="2">
        <v>6</v>
      </c>
      <c r="B11" s="294"/>
      <c r="C11" s="3"/>
      <c r="D11" s="3"/>
      <c r="E11" s="2"/>
      <c r="F11" s="2"/>
      <c r="H11" s="2"/>
      <c r="I11" s="408" t="s">
        <v>897</v>
      </c>
      <c r="J11" s="10">
        <f>'DETAILS (sorted)'!DQ106</f>
        <v>0</v>
      </c>
    </row>
    <row r="12" spans="1:10" x14ac:dyDescent="0.35">
      <c r="A12" s="2">
        <v>7</v>
      </c>
      <c r="B12" s="294"/>
      <c r="C12" s="3"/>
      <c r="D12" s="3"/>
      <c r="E12" s="2"/>
      <c r="F12" s="2"/>
      <c r="H12" s="2"/>
      <c r="I12" s="408" t="s">
        <v>898</v>
      </c>
      <c r="J12" s="10">
        <f>'DETAILS (sorted)'!DR106</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3800000</v>
      </c>
      <c r="D25" s="3">
        <f>C25+J25</f>
        <v>3877970.1532271374</v>
      </c>
      <c r="E25" s="3">
        <f>'DETAILS (sorted)'!DS106</f>
        <v>14020059.431288293</v>
      </c>
      <c r="F25" s="3">
        <f>D25-E25</f>
        <v>-10142089.278061155</v>
      </c>
      <c r="G25" t="b">
        <f>D25=E25</f>
        <v>0</v>
      </c>
      <c r="H25" s="2"/>
      <c r="I25" s="2"/>
      <c r="J25" s="10">
        <f>SUM(J5:J24)</f>
        <v>77970.153227137533</v>
      </c>
    </row>
    <row r="27" spans="1:10" x14ac:dyDescent="0.35">
      <c r="C27" s="3" t="s">
        <v>644</v>
      </c>
      <c r="D27" s="3">
        <f>C25+J25</f>
        <v>3877970.1532271374</v>
      </c>
      <c r="E27" s="122">
        <f>D27/D28</f>
        <v>0.25853134354847584</v>
      </c>
      <c r="F27" s="2" t="s">
        <v>652</v>
      </c>
    </row>
    <row r="28" spans="1:10" x14ac:dyDescent="0.35">
      <c r="C28" s="3" t="s">
        <v>650</v>
      </c>
      <c r="D28" s="3">
        <v>15000000</v>
      </c>
      <c r="E28" s="122">
        <f>D28/D28</f>
        <v>1</v>
      </c>
      <c r="F28" s="2" t="s">
        <v>654</v>
      </c>
    </row>
    <row r="29" spans="1:10" x14ac:dyDescent="0.35">
      <c r="C29" s="3"/>
      <c r="D29" s="3">
        <f>D27-D28</f>
        <v>-11122029.846772863</v>
      </c>
      <c r="E29" s="122">
        <f>D29/D28</f>
        <v>-0.74146865645152416</v>
      </c>
      <c r="F29" s="2" t="s">
        <v>653</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BCF91-E3AF-41DB-BFBB-B3400F903A87}">
  <dimension ref="A2:J29"/>
  <sheetViews>
    <sheetView topLeftCell="A15" workbookViewId="0">
      <selection activeCell="N16" sqref="N16"/>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8.7265625" customWidth="1"/>
    <col min="10" max="10" width="10.1796875" bestFit="1" customWidth="1"/>
  </cols>
  <sheetData>
    <row r="2" spans="1:10" s="5" customFormat="1" x14ac:dyDescent="0.35">
      <c r="A2" s="74" t="s">
        <v>190</v>
      </c>
      <c r="B2" s="191" t="s">
        <v>0</v>
      </c>
      <c r="C2" s="346"/>
      <c r="D2" s="74" t="s">
        <v>1</v>
      </c>
      <c r="F2" s="75"/>
      <c r="G2" s="63"/>
    </row>
    <row r="3" spans="1:10" ht="28" x14ac:dyDescent="0.35">
      <c r="A3" s="311" t="s">
        <v>772</v>
      </c>
      <c r="B3" s="286" t="s">
        <v>773</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(sorted)'!DF108</f>
        <v>9384.2999376641128</v>
      </c>
    </row>
    <row r="6" spans="1:10" x14ac:dyDescent="0.35">
      <c r="A6" s="2">
        <v>1</v>
      </c>
      <c r="B6" s="71">
        <v>46193</v>
      </c>
      <c r="C6" s="7">
        <v>3500000</v>
      </c>
      <c r="D6" s="3">
        <f>C6</f>
        <v>3500000</v>
      </c>
      <c r="E6" s="2" t="s">
        <v>30</v>
      </c>
      <c r="F6" s="2">
        <v>2</v>
      </c>
      <c r="H6" s="2"/>
      <c r="I6" s="408" t="s">
        <v>889</v>
      </c>
      <c r="J6" s="10">
        <f>'DETAILS (sorted)'!DG108</f>
        <v>31334.105487924138</v>
      </c>
    </row>
    <row r="7" spans="1:10" x14ac:dyDescent="0.35">
      <c r="A7" s="2">
        <v>2</v>
      </c>
      <c r="B7" s="71">
        <v>46207</v>
      </c>
      <c r="C7" s="7">
        <v>2500000</v>
      </c>
      <c r="D7" s="3">
        <f>D6+C7</f>
        <v>6000000</v>
      </c>
      <c r="E7" s="2" t="s">
        <v>30</v>
      </c>
      <c r="F7" s="2">
        <v>2</v>
      </c>
      <c r="H7" s="2"/>
      <c r="I7" s="408" t="s">
        <v>891</v>
      </c>
      <c r="J7" s="10">
        <f>'DETAILS (sorted)'!DL108</f>
        <v>25856.920929028056</v>
      </c>
    </row>
    <row r="8" spans="1:10" x14ac:dyDescent="0.35">
      <c r="A8" s="2">
        <v>3</v>
      </c>
      <c r="B8" s="71">
        <v>46214</v>
      </c>
      <c r="C8" s="7">
        <v>1000000</v>
      </c>
      <c r="D8" s="3">
        <f>D7+C8</f>
        <v>7000000</v>
      </c>
      <c r="E8" s="2" t="s">
        <v>30</v>
      </c>
      <c r="F8" s="2">
        <v>2</v>
      </c>
      <c r="H8" s="2"/>
      <c r="I8" s="408" t="s">
        <v>894</v>
      </c>
      <c r="J8" s="10">
        <f>'DETAILS (sorted)'!DM108</f>
        <v>0</v>
      </c>
    </row>
    <row r="9" spans="1:10" x14ac:dyDescent="0.35">
      <c r="A9" s="2">
        <v>4</v>
      </c>
      <c r="B9" s="71"/>
      <c r="C9" s="3"/>
      <c r="D9" s="3"/>
      <c r="E9" s="2"/>
      <c r="F9" s="2"/>
      <c r="H9" s="2"/>
      <c r="I9" s="408" t="s">
        <v>893</v>
      </c>
      <c r="J9" s="10">
        <f>'DETAILS (sorted)'!DN108</f>
        <v>0</v>
      </c>
    </row>
    <row r="10" spans="1:10" x14ac:dyDescent="0.35">
      <c r="A10" s="2">
        <v>5</v>
      </c>
      <c r="B10" s="294"/>
      <c r="C10" s="3"/>
      <c r="D10" s="3"/>
      <c r="E10" s="2"/>
      <c r="F10" s="2"/>
      <c r="H10" s="2"/>
      <c r="I10" s="408" t="s">
        <v>895</v>
      </c>
      <c r="J10" s="10">
        <f>'DETAILS (sorted)'!DO108</f>
        <v>0</v>
      </c>
    </row>
    <row r="11" spans="1:10" x14ac:dyDescent="0.35">
      <c r="A11" s="2">
        <v>6</v>
      </c>
      <c r="B11" s="294"/>
      <c r="C11" s="3"/>
      <c r="D11" s="3"/>
      <c r="E11" s="2"/>
      <c r="F11" s="2"/>
      <c r="H11" s="2"/>
      <c r="I11" s="408" t="s">
        <v>897</v>
      </c>
      <c r="J11" s="10">
        <f>'DETAILS (sorted)'!DQ108</f>
        <v>0</v>
      </c>
    </row>
    <row r="12" spans="1:10" x14ac:dyDescent="0.35">
      <c r="A12" s="2">
        <v>7</v>
      </c>
      <c r="B12" s="294"/>
      <c r="C12" s="3"/>
      <c r="D12" s="3"/>
      <c r="E12" s="2"/>
      <c r="F12" s="2"/>
      <c r="H12" s="2"/>
      <c r="I12" s="408" t="s">
        <v>898</v>
      </c>
      <c r="J12" s="10">
        <f>'DETAILS (sorted)'!DR108</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7000000</v>
      </c>
      <c r="D25" s="3">
        <f>C25+J25</f>
        <v>7066575.3263546163</v>
      </c>
      <c r="E25" s="3">
        <f>'DETAILS (sorted)'!DS108</f>
        <v>9159403.2491981611</v>
      </c>
      <c r="F25" s="3">
        <f>D25-E25</f>
        <v>-2092827.9228435447</v>
      </c>
      <c r="G25" t="b">
        <f>D25=E25</f>
        <v>0</v>
      </c>
      <c r="H25" s="2"/>
      <c r="I25" s="2"/>
      <c r="J25" s="10">
        <f>SUM(J5:J24)</f>
        <v>66575.326354616307</v>
      </c>
    </row>
    <row r="27" spans="1:10" x14ac:dyDescent="0.35">
      <c r="C27" s="3" t="s">
        <v>644</v>
      </c>
      <c r="D27" s="3">
        <f>C25+J25</f>
        <v>7066575.3263546163</v>
      </c>
      <c r="E27" s="122">
        <f>D27/D28</f>
        <v>0.47110502175697444</v>
      </c>
      <c r="F27" s="2" t="s">
        <v>652</v>
      </c>
    </row>
    <row r="28" spans="1:10" x14ac:dyDescent="0.35">
      <c r="C28" s="3" t="s">
        <v>650</v>
      </c>
      <c r="D28" s="3">
        <v>15000000</v>
      </c>
      <c r="E28" s="122">
        <f>D28/D28</f>
        <v>1</v>
      </c>
      <c r="F28" s="2" t="s">
        <v>654</v>
      </c>
    </row>
    <row r="29" spans="1:10" x14ac:dyDescent="0.35">
      <c r="C29" s="3"/>
      <c r="D29" s="3">
        <f>D27-D28</f>
        <v>-7933424.6736453837</v>
      </c>
      <c r="E29" s="122">
        <f>D29/D28</f>
        <v>-0.52889497824302556</v>
      </c>
      <c r="F29" s="2" t="s">
        <v>653</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43633-47E3-4714-AAEB-37D13F2DAB41}">
  <dimension ref="A2:J29"/>
  <sheetViews>
    <sheetView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8" customWidth="1"/>
    <col min="10" max="10" width="10.1796875" bestFit="1" customWidth="1"/>
  </cols>
  <sheetData>
    <row r="2" spans="1:10" s="5" customFormat="1" x14ac:dyDescent="0.35">
      <c r="A2" s="74" t="s">
        <v>190</v>
      </c>
      <c r="B2" s="191" t="s">
        <v>0</v>
      </c>
      <c r="C2" s="346"/>
      <c r="D2" s="74" t="s">
        <v>1</v>
      </c>
      <c r="F2" s="75"/>
      <c r="G2" s="63"/>
    </row>
    <row r="3" spans="1:10" ht="28" x14ac:dyDescent="0.35">
      <c r="A3" s="311" t="s">
        <v>776</v>
      </c>
      <c r="B3" s="286" t="s">
        <v>778</v>
      </c>
      <c r="C3" s="7"/>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(sorted)'!DF109</f>
        <v>8848.0542269404486</v>
      </c>
    </row>
    <row r="6" spans="1:10" x14ac:dyDescent="0.35">
      <c r="A6" s="2">
        <v>1</v>
      </c>
      <c r="B6" s="71">
        <v>46193</v>
      </c>
      <c r="C6" s="7">
        <v>3300000</v>
      </c>
      <c r="D6" s="3">
        <f>C6</f>
        <v>3300000</v>
      </c>
      <c r="E6" s="2" t="s">
        <v>30</v>
      </c>
      <c r="F6" s="2">
        <v>2</v>
      </c>
      <c r="H6" s="2"/>
      <c r="I6" s="408" t="s">
        <v>889</v>
      </c>
      <c r="J6" s="10">
        <f>'DETAILS (sorted)'!DG109</f>
        <v>29543.585174328473</v>
      </c>
    </row>
    <row r="7" spans="1:10" x14ac:dyDescent="0.35">
      <c r="A7" s="2">
        <v>2</v>
      </c>
      <c r="B7" s="71"/>
      <c r="C7" s="7"/>
      <c r="D7" s="3"/>
      <c r="E7" s="2"/>
      <c r="F7" s="2">
        <v>2</v>
      </c>
      <c r="H7" s="2"/>
      <c r="I7" s="408" t="s">
        <v>891</v>
      </c>
      <c r="J7" s="10">
        <f>'DETAILS (sorted)'!DL109</f>
        <v>9547.9722715756288</v>
      </c>
    </row>
    <row r="8" spans="1:10" x14ac:dyDescent="0.35">
      <c r="A8" s="2">
        <v>3</v>
      </c>
      <c r="B8" s="71"/>
      <c r="C8" s="7"/>
      <c r="D8" s="3"/>
      <c r="E8" s="2"/>
      <c r="F8" s="2"/>
      <c r="H8" s="2"/>
      <c r="I8" s="408" t="s">
        <v>894</v>
      </c>
      <c r="J8" s="10">
        <f>'DETAILS (sorted)'!DM109</f>
        <v>0</v>
      </c>
    </row>
    <row r="9" spans="1:10" x14ac:dyDescent="0.35">
      <c r="A9" s="2">
        <v>4</v>
      </c>
      <c r="B9" s="71"/>
      <c r="C9" s="3"/>
      <c r="D9" s="3"/>
      <c r="E9" s="2"/>
      <c r="F9" s="2"/>
      <c r="H9" s="2"/>
      <c r="I9" s="408" t="s">
        <v>893</v>
      </c>
      <c r="J9" s="10">
        <f>'DETAILS (sorted)'!DN109</f>
        <v>0</v>
      </c>
    </row>
    <row r="10" spans="1:10" x14ac:dyDescent="0.35">
      <c r="A10" s="2">
        <v>5</v>
      </c>
      <c r="B10" s="294"/>
      <c r="C10" s="3"/>
      <c r="D10" s="3"/>
      <c r="E10" s="2"/>
      <c r="F10" s="2"/>
      <c r="H10" s="2"/>
      <c r="I10" s="408" t="s">
        <v>895</v>
      </c>
      <c r="J10" s="10">
        <f>'DETAILS (sorted)'!DO109</f>
        <v>0</v>
      </c>
    </row>
    <row r="11" spans="1:10" x14ac:dyDescent="0.35">
      <c r="A11" s="2">
        <v>6</v>
      </c>
      <c r="B11" s="294"/>
      <c r="C11" s="3"/>
      <c r="D11" s="3"/>
      <c r="E11" s="2"/>
      <c r="F11" s="2"/>
      <c r="H11" s="2"/>
      <c r="I11" s="408" t="s">
        <v>897</v>
      </c>
      <c r="J11" s="10">
        <f>'DETAILS (sorted)'!DQ109</f>
        <v>0</v>
      </c>
    </row>
    <row r="12" spans="1:10" x14ac:dyDescent="0.35">
      <c r="A12" s="2">
        <v>7</v>
      </c>
      <c r="B12" s="294"/>
      <c r="C12" s="3"/>
      <c r="D12" s="3"/>
      <c r="E12" s="2"/>
      <c r="F12" s="2"/>
      <c r="H12" s="2"/>
      <c r="I12" s="408" t="s">
        <v>898</v>
      </c>
      <c r="J12" s="10">
        <f>'DETAILS (sorted)'!DR109</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3300000</v>
      </c>
      <c r="D25" s="3">
        <f>C25+J25</f>
        <v>3347939.6116728447</v>
      </c>
      <c r="E25" s="3">
        <f>'DETAILS (sorted)'!DS109</f>
        <v>3382217.4143459047</v>
      </c>
      <c r="F25" s="3">
        <f>D25-E25</f>
        <v>-34277.802673059981</v>
      </c>
      <c r="G25" t="b">
        <f>D25=E25</f>
        <v>0</v>
      </c>
      <c r="H25" s="2"/>
      <c r="I25" s="2"/>
      <c r="J25" s="10">
        <f>SUM(J5:J24)</f>
        <v>47939.611672844549</v>
      </c>
    </row>
    <row r="27" spans="1:10" x14ac:dyDescent="0.35">
      <c r="C27" s="3" t="s">
        <v>644</v>
      </c>
      <c r="D27" s="3">
        <f>C25+J25</f>
        <v>3347939.6116728447</v>
      </c>
      <c r="E27" s="122">
        <f>D27/D28</f>
        <v>0.22319597411152298</v>
      </c>
      <c r="F27" s="2" t="s">
        <v>652</v>
      </c>
    </row>
    <row r="28" spans="1:10" x14ac:dyDescent="0.35">
      <c r="C28" s="3" t="s">
        <v>650</v>
      </c>
      <c r="D28" s="3">
        <v>15000000</v>
      </c>
      <c r="E28" s="122">
        <f>D28/D28</f>
        <v>1</v>
      </c>
      <c r="F28" s="2" t="s">
        <v>654</v>
      </c>
    </row>
    <row r="29" spans="1:10" x14ac:dyDescent="0.35">
      <c r="C29" s="3"/>
      <c r="D29" s="3">
        <f>D27-D28</f>
        <v>-11652060.388327155</v>
      </c>
      <c r="E29" s="122">
        <f>D29/D28</f>
        <v>-0.77680402588847697</v>
      </c>
      <c r="F29" s="2" t="s">
        <v>653</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043DF-9090-41D9-A5BF-BB5351DD33B7}">
  <dimension ref="A2:J29"/>
  <sheetViews>
    <sheetView topLeftCell="A8"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30.6328125" customWidth="1"/>
    <col min="10" max="10" width="10.1796875" bestFit="1" customWidth="1"/>
  </cols>
  <sheetData>
    <row r="2" spans="1:10" s="5" customFormat="1" x14ac:dyDescent="0.35">
      <c r="A2" s="74" t="s">
        <v>190</v>
      </c>
      <c r="B2" s="191" t="s">
        <v>0</v>
      </c>
      <c r="C2" s="74"/>
      <c r="D2" s="74" t="s">
        <v>1</v>
      </c>
      <c r="E2" s="74"/>
      <c r="F2" s="75"/>
      <c r="G2" s="63"/>
    </row>
    <row r="3" spans="1:10" ht="28" x14ac:dyDescent="0.35">
      <c r="A3" s="210" t="s">
        <v>783</v>
      </c>
      <c r="B3" s="286" t="s">
        <v>784</v>
      </c>
      <c r="C3" s="286"/>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(sorted)'!DF110</f>
        <v>11529.282780558766</v>
      </c>
    </row>
    <row r="6" spans="1:10" x14ac:dyDescent="0.35">
      <c r="A6" s="2">
        <v>1</v>
      </c>
      <c r="B6" s="71">
        <v>46194</v>
      </c>
      <c r="C6" s="7">
        <v>3300000</v>
      </c>
      <c r="D6" s="3">
        <f>C6</f>
        <v>3300000</v>
      </c>
      <c r="E6" s="2" t="s">
        <v>30</v>
      </c>
      <c r="F6" s="2">
        <v>2</v>
      </c>
      <c r="H6" s="2"/>
      <c r="I6" s="408" t="s">
        <v>889</v>
      </c>
      <c r="J6" s="10">
        <f>'DETAILS (sorted)'!DG110</f>
        <v>38496.186742306796</v>
      </c>
    </row>
    <row r="7" spans="1:10" x14ac:dyDescent="0.35">
      <c r="A7" s="2">
        <v>2</v>
      </c>
      <c r="B7" s="71">
        <v>46195</v>
      </c>
      <c r="C7" s="7">
        <v>1000000</v>
      </c>
      <c r="D7" s="3">
        <f>D6+C7</f>
        <v>4300000</v>
      </c>
      <c r="E7" s="2" t="s">
        <v>30</v>
      </c>
      <c r="F7" s="2">
        <v>2</v>
      </c>
      <c r="H7" s="2"/>
      <c r="I7" s="408" t="s">
        <v>891</v>
      </c>
      <c r="J7" s="10">
        <f>'DETAILS (sorted)'!DL110</f>
        <v>28858.207755904536</v>
      </c>
    </row>
    <row r="8" spans="1:10" x14ac:dyDescent="0.35">
      <c r="A8" s="2">
        <v>3</v>
      </c>
      <c r="B8" s="71"/>
      <c r="C8" s="7"/>
      <c r="D8" s="3"/>
      <c r="E8" s="2"/>
      <c r="F8" s="2"/>
      <c r="H8" s="2"/>
      <c r="I8" s="408" t="s">
        <v>894</v>
      </c>
      <c r="J8" s="10">
        <f>'DETAILS (sorted)'!DM110</f>
        <v>0</v>
      </c>
    </row>
    <row r="9" spans="1:10" x14ac:dyDescent="0.35">
      <c r="A9" s="2">
        <v>4</v>
      </c>
      <c r="B9" s="71"/>
      <c r="C9" s="3"/>
      <c r="D9" s="3"/>
      <c r="E9" s="2"/>
      <c r="F9" s="2"/>
      <c r="H9" s="2"/>
      <c r="I9" s="408" t="s">
        <v>893</v>
      </c>
      <c r="J9" s="10">
        <f>'DETAILS (sorted)'!DN110</f>
        <v>0</v>
      </c>
    </row>
    <row r="10" spans="1:10" x14ac:dyDescent="0.35">
      <c r="A10" s="2">
        <v>5</v>
      </c>
      <c r="B10" s="294"/>
      <c r="C10" s="3"/>
      <c r="D10" s="3"/>
      <c r="E10" s="2"/>
      <c r="F10" s="2"/>
      <c r="H10" s="2"/>
      <c r="I10" s="408" t="s">
        <v>895</v>
      </c>
      <c r="J10" s="10">
        <f>'DETAILS (sorted)'!DO110</f>
        <v>0</v>
      </c>
    </row>
    <row r="11" spans="1:10" x14ac:dyDescent="0.35">
      <c r="A11" s="2">
        <v>6</v>
      </c>
      <c r="B11" s="294"/>
      <c r="C11" s="3"/>
      <c r="D11" s="3"/>
      <c r="E11" s="2"/>
      <c r="F11" s="2"/>
      <c r="H11" s="2"/>
      <c r="I11" s="408" t="s">
        <v>897</v>
      </c>
      <c r="J11" s="10">
        <f>'DETAILS (sorted)'!DQ110</f>
        <v>0</v>
      </c>
    </row>
    <row r="12" spans="1:10" x14ac:dyDescent="0.35">
      <c r="A12" s="2">
        <v>7</v>
      </c>
      <c r="B12" s="294"/>
      <c r="C12" s="3"/>
      <c r="D12" s="3"/>
      <c r="E12" s="2"/>
      <c r="F12" s="2"/>
      <c r="H12" s="2"/>
      <c r="I12" s="408" t="s">
        <v>898</v>
      </c>
      <c r="J12" s="10">
        <f>'DETAILS (sorted)'!DR110</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4300000</v>
      </c>
      <c r="D25" s="3">
        <f>C25+J25</f>
        <v>4378883.6772787701</v>
      </c>
      <c r="E25" s="3">
        <f>'DETAILS (sorted)'!DS110</f>
        <v>10222561.402843853</v>
      </c>
      <c r="F25" s="3">
        <f>D25-E25</f>
        <v>-5843677.7255650833</v>
      </c>
      <c r="G25" t="b">
        <f>D25=E25</f>
        <v>0</v>
      </c>
      <c r="H25" s="2"/>
      <c r="I25" s="2"/>
      <c r="J25" s="10">
        <f>SUM(J5:J24)</f>
        <v>78883.677278770105</v>
      </c>
    </row>
    <row r="27" spans="1:10" x14ac:dyDescent="0.35">
      <c r="C27" s="3" t="s">
        <v>644</v>
      </c>
      <c r="D27" s="3">
        <f>C25+J25</f>
        <v>4378883.6772787701</v>
      </c>
      <c r="E27" s="122">
        <f>D27/D28</f>
        <v>0.43788836772787704</v>
      </c>
      <c r="F27" s="2" t="s">
        <v>652</v>
      </c>
    </row>
    <row r="28" spans="1:10" x14ac:dyDescent="0.35">
      <c r="C28" s="3" t="s">
        <v>650</v>
      </c>
      <c r="D28" s="3">
        <v>10000000</v>
      </c>
      <c r="E28" s="122">
        <f>D28/D28</f>
        <v>1</v>
      </c>
      <c r="F28" s="2" t="s">
        <v>654</v>
      </c>
    </row>
    <row r="29" spans="1:10" x14ac:dyDescent="0.35">
      <c r="C29" s="3"/>
      <c r="D29" s="3">
        <f>D27-D28</f>
        <v>-5621116.3227212299</v>
      </c>
      <c r="E29" s="122">
        <f>D29/D28</f>
        <v>-0.56211163227212302</v>
      </c>
      <c r="F29" s="2" t="s">
        <v>653</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26561-4E2B-471D-9476-18825DF2835D}">
  <dimension ref="A2:J29"/>
  <sheetViews>
    <sheetView topLeftCell="A3" workbookViewId="0">
      <selection activeCell="F19" sqref="F19"/>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4" customWidth="1"/>
    <col min="10" max="10" width="10.1796875" bestFit="1" customWidth="1"/>
  </cols>
  <sheetData>
    <row r="2" spans="1:10" s="5" customFormat="1" x14ac:dyDescent="0.35">
      <c r="A2" s="74" t="s">
        <v>190</v>
      </c>
      <c r="B2" s="191" t="s">
        <v>0</v>
      </c>
      <c r="C2" s="74"/>
      <c r="D2" s="74" t="s">
        <v>1</v>
      </c>
      <c r="E2" s="74"/>
      <c r="F2" s="75"/>
      <c r="G2" s="63"/>
    </row>
    <row r="3" spans="1:10" ht="28" x14ac:dyDescent="0.35">
      <c r="A3" s="311" t="s">
        <v>850</v>
      </c>
      <c r="B3" s="286" t="s">
        <v>852</v>
      </c>
      <c r="C3" s="286"/>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(sorted)'!DF111</f>
        <v>11529.282780558766</v>
      </c>
    </row>
    <row r="6" spans="1:10" x14ac:dyDescent="0.35">
      <c r="A6" s="2">
        <v>1</v>
      </c>
      <c r="B6" s="71">
        <v>46195</v>
      </c>
      <c r="C6" s="7">
        <v>3300000</v>
      </c>
      <c r="D6" s="3">
        <f>C6</f>
        <v>3300000</v>
      </c>
      <c r="E6" s="2" t="s">
        <v>30</v>
      </c>
      <c r="F6" s="2">
        <v>2</v>
      </c>
      <c r="H6" s="2"/>
      <c r="I6" s="408" t="s">
        <v>889</v>
      </c>
      <c r="J6" s="10">
        <f>'DETAILS (sorted)'!DG111</f>
        <v>38496.186742306796</v>
      </c>
    </row>
    <row r="7" spans="1:10" x14ac:dyDescent="0.35">
      <c r="A7" s="2">
        <v>2</v>
      </c>
      <c r="B7" s="71">
        <v>46202</v>
      </c>
      <c r="C7" s="7">
        <v>1000000</v>
      </c>
      <c r="D7" s="3">
        <f>C7</f>
        <v>1000000</v>
      </c>
      <c r="E7" s="2" t="s">
        <v>30</v>
      </c>
      <c r="F7" s="2">
        <v>2</v>
      </c>
      <c r="H7" s="2"/>
      <c r="I7" s="408" t="s">
        <v>891</v>
      </c>
      <c r="J7" s="10">
        <f>'DETAILS (sorted)'!DL111</f>
        <v>12441.297202356123</v>
      </c>
    </row>
    <row r="8" spans="1:10" x14ac:dyDescent="0.35">
      <c r="A8" s="2">
        <v>3</v>
      </c>
      <c r="B8" s="71"/>
      <c r="C8" s="7"/>
      <c r="D8" s="3"/>
      <c r="E8" s="2"/>
      <c r="F8" s="2"/>
      <c r="H8" s="2"/>
      <c r="I8" s="408" t="s">
        <v>894</v>
      </c>
      <c r="J8" s="10">
        <f>'DETAILS (sorted)'!DM111</f>
        <v>0</v>
      </c>
    </row>
    <row r="9" spans="1:10" x14ac:dyDescent="0.35">
      <c r="A9" s="2">
        <v>4</v>
      </c>
      <c r="B9" s="71"/>
      <c r="C9" s="3"/>
      <c r="D9" s="3"/>
      <c r="E9" s="2"/>
      <c r="F9" s="2"/>
      <c r="H9" s="2"/>
      <c r="I9" s="408" t="s">
        <v>893</v>
      </c>
      <c r="J9" s="10">
        <f>'DETAILS (sorted)'!DN111</f>
        <v>0</v>
      </c>
    </row>
    <row r="10" spans="1:10" x14ac:dyDescent="0.35">
      <c r="A10" s="2">
        <v>5</v>
      </c>
      <c r="B10" s="294"/>
      <c r="C10" s="3"/>
      <c r="D10" s="3"/>
      <c r="E10" s="2"/>
      <c r="F10" s="2"/>
      <c r="H10" s="2"/>
      <c r="I10" s="408" t="s">
        <v>895</v>
      </c>
      <c r="J10" s="10">
        <f>'DETAILS (sorted)'!DO111</f>
        <v>0</v>
      </c>
    </row>
    <row r="11" spans="1:10" x14ac:dyDescent="0.35">
      <c r="A11" s="2">
        <v>6</v>
      </c>
      <c r="B11" s="294"/>
      <c r="C11" s="3"/>
      <c r="D11" s="3"/>
      <c r="E11" s="2"/>
      <c r="F11" s="2"/>
      <c r="H11" s="2"/>
      <c r="I11" s="408" t="s">
        <v>897</v>
      </c>
      <c r="J11" s="10">
        <f>'DETAILS (sorted)'!DQ111</f>
        <v>0</v>
      </c>
    </row>
    <row r="12" spans="1:10" x14ac:dyDescent="0.35">
      <c r="A12" s="2">
        <v>7</v>
      </c>
      <c r="B12" s="294"/>
      <c r="C12" s="3"/>
      <c r="D12" s="3"/>
      <c r="E12" s="2"/>
      <c r="F12" s="2"/>
      <c r="H12" s="2"/>
      <c r="I12" s="408" t="s">
        <v>898</v>
      </c>
      <c r="J12" s="10">
        <f>'DETAILS (sorted)'!DR111</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4300000</v>
      </c>
      <c r="D25" s="3">
        <f>C25+J25</f>
        <v>4362466.7667252216</v>
      </c>
      <c r="E25" s="3">
        <f>'DETAILS (sorted)'!DS111</f>
        <v>4407131.7823295118</v>
      </c>
      <c r="F25" s="3">
        <f>D25-E25</f>
        <v>-44665.01560429018</v>
      </c>
      <c r="G25" t="b">
        <f>D25=E25</f>
        <v>0</v>
      </c>
      <c r="H25" s="2"/>
      <c r="I25" s="2"/>
      <c r="J25" s="10">
        <f>SUM(J5:J24)</f>
        <v>62466.766725221685</v>
      </c>
    </row>
    <row r="27" spans="1:10" x14ac:dyDescent="0.35">
      <c r="C27" s="3" t="s">
        <v>644</v>
      </c>
      <c r="D27" s="3">
        <f>C25+J25</f>
        <v>4362466.7667252216</v>
      </c>
      <c r="E27" s="122">
        <f>D27/D28</f>
        <v>0.43624667667252215</v>
      </c>
      <c r="F27" s="2" t="s">
        <v>652</v>
      </c>
    </row>
    <row r="28" spans="1:10" x14ac:dyDescent="0.35">
      <c r="C28" s="3" t="s">
        <v>650</v>
      </c>
      <c r="D28" s="3">
        <v>10000000</v>
      </c>
      <c r="E28" s="122">
        <f>D28/D28</f>
        <v>1</v>
      </c>
      <c r="F28" s="2" t="s">
        <v>654</v>
      </c>
    </row>
    <row r="29" spans="1:10" x14ac:dyDescent="0.35">
      <c r="C29" s="3"/>
      <c r="D29" s="3">
        <f>D27-D28</f>
        <v>-5637533.2332747784</v>
      </c>
      <c r="E29" s="122">
        <f>D29/D28</f>
        <v>-0.56375332332747785</v>
      </c>
      <c r="F29" s="2" t="s">
        <v>653</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5CCD-DB0B-46DD-B47A-6F544AA0199E}">
  <dimension ref="A2:J29"/>
  <sheetViews>
    <sheetView topLeftCell="A8"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9" max="9" width="25.90625" customWidth="1"/>
    <col min="10" max="10" width="10.1796875" bestFit="1" customWidth="1"/>
  </cols>
  <sheetData>
    <row r="2" spans="1:10" s="5" customFormat="1" ht="28" customHeight="1" x14ac:dyDescent="0.35">
      <c r="A2" s="74" t="s">
        <v>190</v>
      </c>
      <c r="B2" s="191" t="s">
        <v>0</v>
      </c>
      <c r="C2" s="74"/>
      <c r="D2" s="74" t="s">
        <v>1</v>
      </c>
      <c r="E2" s="74"/>
      <c r="F2" s="75"/>
      <c r="G2" s="63"/>
    </row>
    <row r="3" spans="1:10" ht="28" x14ac:dyDescent="0.35">
      <c r="A3" s="311" t="s">
        <v>868</v>
      </c>
      <c r="B3" s="286" t="s">
        <v>870</v>
      </c>
      <c r="C3" s="286"/>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(sorted)'!DF112</f>
        <v>9652.422793025944</v>
      </c>
    </row>
    <row r="6" spans="1:10" x14ac:dyDescent="0.35">
      <c r="A6" s="2">
        <v>1</v>
      </c>
      <c r="B6" s="71">
        <v>46195</v>
      </c>
      <c r="C6" s="7">
        <v>3600000</v>
      </c>
      <c r="D6" s="3">
        <f>C6</f>
        <v>3600000</v>
      </c>
      <c r="E6" s="2" t="s">
        <v>30</v>
      </c>
      <c r="F6" s="2">
        <v>2</v>
      </c>
      <c r="H6" s="2"/>
      <c r="I6" s="408" t="s">
        <v>889</v>
      </c>
      <c r="J6" s="10">
        <f>'DETAILS (sorted)'!DG112</f>
        <v>32229.365644721969</v>
      </c>
    </row>
    <row r="7" spans="1:10" x14ac:dyDescent="0.35">
      <c r="A7" s="2">
        <v>2</v>
      </c>
      <c r="B7" s="71"/>
      <c r="C7" s="7"/>
      <c r="D7" s="3"/>
      <c r="E7" s="2"/>
      <c r="F7" s="2">
        <v>2</v>
      </c>
      <c r="H7" s="2"/>
      <c r="I7" s="408" t="s">
        <v>891</v>
      </c>
      <c r="J7" s="10">
        <f>'DETAILS (sorted)'!DL112</f>
        <v>10415.969750809778</v>
      </c>
    </row>
    <row r="8" spans="1:10" x14ac:dyDescent="0.35">
      <c r="A8" s="2">
        <v>3</v>
      </c>
      <c r="B8" s="71"/>
      <c r="C8" s="7"/>
      <c r="D8" s="3"/>
      <c r="E8" s="2"/>
      <c r="F8" s="2"/>
      <c r="H8" s="2"/>
      <c r="I8" s="408" t="s">
        <v>894</v>
      </c>
      <c r="J8" s="10">
        <f>'DETAILS (sorted)'!DM112</f>
        <v>0</v>
      </c>
    </row>
    <row r="9" spans="1:10" x14ac:dyDescent="0.35">
      <c r="A9" s="2">
        <v>4</v>
      </c>
      <c r="B9" s="71"/>
      <c r="C9" s="3"/>
      <c r="D9" s="3"/>
      <c r="E9" s="2"/>
      <c r="F9" s="2"/>
      <c r="H9" s="2"/>
      <c r="I9" s="408" t="s">
        <v>893</v>
      </c>
      <c r="J9" s="10">
        <f>'DETAILS (sorted)'!DN112</f>
        <v>0</v>
      </c>
    </row>
    <row r="10" spans="1:10" x14ac:dyDescent="0.35">
      <c r="A10" s="2">
        <v>5</v>
      </c>
      <c r="B10" s="294"/>
      <c r="C10" s="3"/>
      <c r="D10" s="3"/>
      <c r="E10" s="2"/>
      <c r="F10" s="2"/>
      <c r="H10" s="2"/>
      <c r="I10" s="408" t="s">
        <v>895</v>
      </c>
      <c r="J10" s="10">
        <f>'DETAILS (sorted)'!DO112</f>
        <v>0</v>
      </c>
    </row>
    <row r="11" spans="1:10" x14ac:dyDescent="0.35">
      <c r="A11" s="2">
        <v>6</v>
      </c>
      <c r="B11" s="294"/>
      <c r="C11" s="3"/>
      <c r="D11" s="3"/>
      <c r="E11" s="2"/>
      <c r="F11" s="2"/>
      <c r="H11" s="2"/>
      <c r="I11" s="408" t="s">
        <v>897</v>
      </c>
      <c r="J11" s="10">
        <f>'DETAILS (sorted)'!DQ112</f>
        <v>0</v>
      </c>
    </row>
    <row r="12" spans="1:10" x14ac:dyDescent="0.35">
      <c r="A12" s="2">
        <v>7</v>
      </c>
      <c r="B12" s="294"/>
      <c r="C12" s="3"/>
      <c r="D12" s="3"/>
      <c r="E12" s="2"/>
      <c r="F12" s="2"/>
      <c r="H12" s="2"/>
      <c r="I12" s="408" t="s">
        <v>898</v>
      </c>
      <c r="J12" s="10">
        <f>'DETAILS (sorted)'!DR112</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3600000</v>
      </c>
      <c r="D25" s="3">
        <f>C25+J25</f>
        <v>3652297.7581885578</v>
      </c>
      <c r="E25" s="3">
        <f>'DETAILS (sorted)'!DS112</f>
        <v>3689691.7247409872</v>
      </c>
      <c r="F25" s="3">
        <f>D25-E25</f>
        <v>-37393.966552429367</v>
      </c>
      <c r="G25" t="b">
        <f>D25=E25</f>
        <v>0</v>
      </c>
      <c r="H25" s="2"/>
      <c r="I25" s="2"/>
      <c r="J25" s="10">
        <f>SUM(J5:J24)</f>
        <v>52297.758188557695</v>
      </c>
    </row>
    <row r="27" spans="1:10" x14ac:dyDescent="0.35">
      <c r="C27" s="3" t="s">
        <v>644</v>
      </c>
      <c r="D27" s="3">
        <f>C25+J25</f>
        <v>3652297.7581885578</v>
      </c>
      <c r="E27" s="122">
        <f>D27/D28</f>
        <v>0.24348651721257053</v>
      </c>
      <c r="F27" s="2" t="s">
        <v>652</v>
      </c>
    </row>
    <row r="28" spans="1:10" x14ac:dyDescent="0.35">
      <c r="C28" s="3" t="s">
        <v>650</v>
      </c>
      <c r="D28" s="3">
        <v>15000000</v>
      </c>
      <c r="E28" s="122">
        <f>D28/D28</f>
        <v>1</v>
      </c>
      <c r="F28" s="2" t="s">
        <v>654</v>
      </c>
    </row>
    <row r="29" spans="1:10" x14ac:dyDescent="0.35">
      <c r="C29" s="3"/>
      <c r="D29" s="3">
        <f>D27-D28</f>
        <v>-11347702.241811443</v>
      </c>
      <c r="E29" s="122">
        <f>D29/D28</f>
        <v>-0.75651348278742958</v>
      </c>
      <c r="F29" s="2" t="s">
        <v>653</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11FD9-E991-4F4A-A020-EF802A96A79A}">
  <dimension ref="A2:J29"/>
  <sheetViews>
    <sheetView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8" max="8" width="0" hidden="1" customWidth="1"/>
    <col min="9" max="9" width="25.54296875" customWidth="1"/>
    <col min="10" max="10" width="10.1796875" bestFit="1" customWidth="1"/>
  </cols>
  <sheetData>
    <row r="2" spans="1:10" s="5" customFormat="1" ht="28" customHeight="1" x14ac:dyDescent="0.35">
      <c r="A2" s="74" t="s">
        <v>190</v>
      </c>
      <c r="B2" s="191" t="s">
        <v>0</v>
      </c>
      <c r="C2" s="74"/>
      <c r="D2" s="74" t="s">
        <v>1</v>
      </c>
      <c r="E2" s="74"/>
      <c r="F2" s="75"/>
      <c r="G2" s="63"/>
    </row>
    <row r="3" spans="1:10" ht="28" x14ac:dyDescent="0.35">
      <c r="A3" s="311" t="s">
        <v>872</v>
      </c>
      <c r="B3" s="286" t="s">
        <v>871</v>
      </c>
      <c r="C3" s="286"/>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(sorted)'!DF113</f>
        <v>8848.0542269404486</v>
      </c>
    </row>
    <row r="6" spans="1:10" x14ac:dyDescent="0.35">
      <c r="A6" s="2">
        <v>1</v>
      </c>
      <c r="B6" s="71">
        <v>46197</v>
      </c>
      <c r="C6" s="7">
        <v>3300000</v>
      </c>
      <c r="D6" s="3">
        <f>C6</f>
        <v>3300000</v>
      </c>
      <c r="E6" s="2" t="s">
        <v>30</v>
      </c>
      <c r="F6" s="2">
        <v>2</v>
      </c>
      <c r="H6" s="2"/>
      <c r="I6" s="408" t="s">
        <v>889</v>
      </c>
      <c r="J6" s="10">
        <f>'DETAILS (sorted)'!DG113</f>
        <v>29543.585174328473</v>
      </c>
    </row>
    <row r="7" spans="1:10" x14ac:dyDescent="0.35">
      <c r="A7" s="2">
        <v>2</v>
      </c>
      <c r="B7" s="71"/>
      <c r="C7" s="7"/>
      <c r="D7" s="3"/>
      <c r="E7" s="2"/>
      <c r="F7" s="2">
        <v>2</v>
      </c>
      <c r="H7" s="2"/>
      <c r="I7" s="408" t="s">
        <v>891</v>
      </c>
      <c r="J7" s="10">
        <f>'DETAILS (sorted)'!DL113</f>
        <v>23848.230154572291</v>
      </c>
    </row>
    <row r="8" spans="1:10" x14ac:dyDescent="0.35">
      <c r="A8" s="2">
        <v>3</v>
      </c>
      <c r="B8" s="71"/>
      <c r="C8" s="7"/>
      <c r="D8" s="3"/>
      <c r="E8" s="2"/>
      <c r="F8" s="2"/>
      <c r="H8" s="2"/>
      <c r="I8" s="408" t="s">
        <v>894</v>
      </c>
      <c r="J8" s="10">
        <f>'DETAILS (sorted)'!DM113</f>
        <v>0</v>
      </c>
    </row>
    <row r="9" spans="1:10" x14ac:dyDescent="0.35">
      <c r="A9" s="2">
        <v>4</v>
      </c>
      <c r="B9" s="71"/>
      <c r="C9" s="3"/>
      <c r="D9" s="3"/>
      <c r="E9" s="2"/>
      <c r="F9" s="2"/>
      <c r="H9" s="2"/>
      <c r="I9" s="408" t="s">
        <v>893</v>
      </c>
      <c r="J9" s="10">
        <f>'DETAILS (sorted)'!DN113</f>
        <v>0</v>
      </c>
    </row>
    <row r="10" spans="1:10" x14ac:dyDescent="0.35">
      <c r="A10" s="2">
        <v>5</v>
      </c>
      <c r="B10" s="294"/>
      <c r="C10" s="3"/>
      <c r="D10" s="3"/>
      <c r="E10" s="2"/>
      <c r="F10" s="2"/>
      <c r="H10" s="2"/>
      <c r="I10" s="408" t="s">
        <v>895</v>
      </c>
      <c r="J10" s="10">
        <f>'DETAILS (sorted)'!DO113</f>
        <v>0</v>
      </c>
    </row>
    <row r="11" spans="1:10" x14ac:dyDescent="0.35">
      <c r="A11" s="2">
        <v>6</v>
      </c>
      <c r="B11" s="294"/>
      <c r="C11" s="3"/>
      <c r="D11" s="3"/>
      <c r="E11" s="2"/>
      <c r="F11" s="2"/>
      <c r="H11" s="2"/>
      <c r="I11" s="408" t="s">
        <v>897</v>
      </c>
      <c r="J11" s="10">
        <f>'DETAILS (sorted)'!DQ113</f>
        <v>0</v>
      </c>
    </row>
    <row r="12" spans="1:10" x14ac:dyDescent="0.35">
      <c r="A12" s="2">
        <v>7</v>
      </c>
      <c r="B12" s="294"/>
      <c r="C12" s="3"/>
      <c r="D12" s="3"/>
      <c r="E12" s="2"/>
      <c r="F12" s="2"/>
      <c r="H12" s="2"/>
      <c r="I12" s="408" t="s">
        <v>898</v>
      </c>
      <c r="J12" s="10">
        <f>'DETAILS (sorted)'!DR113</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3300000</v>
      </c>
      <c r="D25" s="3">
        <f>C25+J25</f>
        <v>3362239.8695558412</v>
      </c>
      <c r="E25" s="3">
        <f>'DETAILS (sorted)'!DS113</f>
        <v>8447856.4700327553</v>
      </c>
      <c r="F25" s="3">
        <f>D25-E25</f>
        <v>-5085616.6004769141</v>
      </c>
      <c r="G25" t="b">
        <f>D25=E25</f>
        <v>0</v>
      </c>
      <c r="H25" s="2"/>
      <c r="I25" s="2"/>
      <c r="J25" s="10">
        <f>SUM(J5:J24)</f>
        <v>62239.869555841215</v>
      </c>
    </row>
    <row r="27" spans="1:10" x14ac:dyDescent="0.35">
      <c r="C27" s="3" t="s">
        <v>644</v>
      </c>
      <c r="D27" s="3">
        <f>C25+J25</f>
        <v>3362239.8695558412</v>
      </c>
      <c r="E27" s="122">
        <f>D27/D28</f>
        <v>0.33622398695558414</v>
      </c>
      <c r="F27" s="2" t="s">
        <v>652</v>
      </c>
    </row>
    <row r="28" spans="1:10" x14ac:dyDescent="0.35">
      <c r="C28" s="3" t="s">
        <v>650</v>
      </c>
      <c r="D28" s="3">
        <v>10000000</v>
      </c>
      <c r="E28" s="122">
        <f>D28/D28</f>
        <v>1</v>
      </c>
      <c r="F28" s="2" t="s">
        <v>654</v>
      </c>
    </row>
    <row r="29" spans="1:10" x14ac:dyDescent="0.35">
      <c r="C29" s="3"/>
      <c r="D29" s="3">
        <f>D27-D28</f>
        <v>-6637760.1304441588</v>
      </c>
      <c r="E29" s="122">
        <f>D29/D28</f>
        <v>-0.66377601304441591</v>
      </c>
      <c r="F29" s="2" t="s">
        <v>653</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B5636-0455-4045-B5D1-DE14C462F22F}">
  <dimension ref="A2:J29"/>
  <sheetViews>
    <sheetView topLeftCell="A15" workbookViewId="0">
      <selection activeCell="N16" sqref="N16"/>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8" max="8" width="0" hidden="1" customWidth="1"/>
    <col min="9" max="9" width="26.26953125" customWidth="1"/>
    <col min="10" max="10" width="10.1796875" bestFit="1" customWidth="1"/>
  </cols>
  <sheetData>
    <row r="2" spans="1:10" s="5" customFormat="1" ht="28" customHeight="1" x14ac:dyDescent="0.35">
      <c r="A2" s="74" t="s">
        <v>190</v>
      </c>
      <c r="B2" s="191" t="s">
        <v>0</v>
      </c>
      <c r="C2" s="74"/>
      <c r="D2" s="74" t="s">
        <v>1</v>
      </c>
      <c r="E2" s="74"/>
      <c r="F2" s="75"/>
      <c r="G2" s="63"/>
    </row>
    <row r="3" spans="1:10" ht="28" x14ac:dyDescent="0.35">
      <c r="A3" s="311" t="s">
        <v>879</v>
      </c>
      <c r="B3" s="7" t="s">
        <v>878</v>
      </c>
      <c r="C3" s="286"/>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(sorted)'!DF114</f>
        <v>8848.0542269404486</v>
      </c>
    </row>
    <row r="6" spans="1:10" x14ac:dyDescent="0.35">
      <c r="A6" s="2">
        <v>1</v>
      </c>
      <c r="B6" s="71">
        <v>46199</v>
      </c>
      <c r="C6" s="7">
        <v>3300000</v>
      </c>
      <c r="D6" s="3">
        <f>C6</f>
        <v>3300000</v>
      </c>
      <c r="E6" s="2" t="s">
        <v>30</v>
      </c>
      <c r="F6" s="2">
        <v>2</v>
      </c>
      <c r="H6" s="2"/>
      <c r="I6" s="408" t="s">
        <v>889</v>
      </c>
      <c r="J6" s="10">
        <f>'DETAILS (sorted)'!DG114</f>
        <v>29543.585174328473</v>
      </c>
    </row>
    <row r="7" spans="1:10" x14ac:dyDescent="0.35">
      <c r="A7" s="2">
        <v>2</v>
      </c>
      <c r="B7" s="71">
        <v>46209</v>
      </c>
      <c r="C7" s="7">
        <v>300000</v>
      </c>
      <c r="D7" s="3">
        <f>D6+C7</f>
        <v>3600000</v>
      </c>
      <c r="E7" s="2"/>
      <c r="F7" s="2">
        <v>2</v>
      </c>
      <c r="H7" s="2"/>
      <c r="I7" s="408" t="s">
        <v>891</v>
      </c>
      <c r="J7" s="10">
        <f>'DETAILS (sorted)'!DL114</f>
        <v>10405.98774455543</v>
      </c>
    </row>
    <row r="8" spans="1:10" x14ac:dyDescent="0.35">
      <c r="A8" s="2">
        <v>3</v>
      </c>
      <c r="B8" s="71"/>
      <c r="C8" s="7"/>
      <c r="D8" s="3"/>
      <c r="E8" s="2"/>
      <c r="F8" s="2"/>
      <c r="H8" s="2"/>
      <c r="I8" s="408" t="s">
        <v>894</v>
      </c>
      <c r="J8" s="10">
        <f>'DETAILS (sorted)'!DM114</f>
        <v>0</v>
      </c>
    </row>
    <row r="9" spans="1:10" x14ac:dyDescent="0.35">
      <c r="A9" s="2">
        <v>4</v>
      </c>
      <c r="B9" s="71"/>
      <c r="C9" s="3"/>
      <c r="D9" s="3"/>
      <c r="E9" s="2"/>
      <c r="F9" s="2"/>
      <c r="H9" s="2"/>
      <c r="I9" s="408" t="s">
        <v>893</v>
      </c>
      <c r="J9" s="10">
        <f>'DETAILS (sorted)'!DN114</f>
        <v>0</v>
      </c>
    </row>
    <row r="10" spans="1:10" x14ac:dyDescent="0.35">
      <c r="A10" s="2">
        <v>5</v>
      </c>
      <c r="B10" s="294"/>
      <c r="C10" s="3"/>
      <c r="D10" s="3"/>
      <c r="E10" s="2"/>
      <c r="F10" s="2"/>
      <c r="H10" s="2"/>
      <c r="I10" s="408" t="s">
        <v>895</v>
      </c>
      <c r="J10" s="10">
        <f>'DETAILS (sorted)'!DO114</f>
        <v>0</v>
      </c>
    </row>
    <row r="11" spans="1:10" x14ac:dyDescent="0.35">
      <c r="A11" s="2">
        <v>6</v>
      </c>
      <c r="B11" s="294"/>
      <c r="C11" s="3"/>
      <c r="D11" s="3"/>
      <c r="E11" s="2"/>
      <c r="F11" s="2"/>
      <c r="H11" s="2"/>
      <c r="I11" s="408" t="s">
        <v>897</v>
      </c>
      <c r="J11" s="10">
        <f>'DETAILS (sorted)'!DQ114</f>
        <v>0</v>
      </c>
    </row>
    <row r="12" spans="1:10" x14ac:dyDescent="0.35">
      <c r="A12" s="2">
        <v>7</v>
      </c>
      <c r="B12" s="294"/>
      <c r="C12" s="3"/>
      <c r="D12" s="3"/>
      <c r="E12" s="2"/>
      <c r="F12" s="2"/>
      <c r="H12" s="2"/>
      <c r="I12" s="408" t="s">
        <v>898</v>
      </c>
      <c r="J12" s="10">
        <f>'DETAILS (sorted)'!DR114</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3600000</v>
      </c>
      <c r="D25" s="3">
        <f>C25+J25</f>
        <v>3648797.6271458245</v>
      </c>
      <c r="E25" s="3">
        <f>'DETAILS (sorted)'!DS114</f>
        <v>3686155.757687116</v>
      </c>
      <c r="F25" s="3">
        <f>D25-E25</f>
        <v>-37358.130541291554</v>
      </c>
      <c r="G25" t="b">
        <f>D25=E25</f>
        <v>0</v>
      </c>
      <c r="H25" s="2"/>
      <c r="I25" s="2"/>
      <c r="J25" s="10">
        <f>SUM(J5:J24)</f>
        <v>48797.62714582435</v>
      </c>
    </row>
    <row r="27" spans="1:10" x14ac:dyDescent="0.35">
      <c r="C27" s="3" t="s">
        <v>644</v>
      </c>
      <c r="D27" s="3">
        <f>C25+J25</f>
        <v>3648797.6271458245</v>
      </c>
      <c r="E27" s="122">
        <f>D27/D28</f>
        <v>0.36487976271458245</v>
      </c>
      <c r="F27" s="2" t="s">
        <v>652</v>
      </c>
    </row>
    <row r="28" spans="1:10" x14ac:dyDescent="0.35">
      <c r="C28" s="3" t="s">
        <v>650</v>
      </c>
      <c r="D28" s="3">
        <v>10000000</v>
      </c>
      <c r="E28" s="122">
        <f>D28/D28</f>
        <v>1</v>
      </c>
      <c r="F28" s="2" t="s">
        <v>654</v>
      </c>
    </row>
    <row r="29" spans="1:10" x14ac:dyDescent="0.35">
      <c r="C29" s="3"/>
      <c r="D29" s="3">
        <f>D27-D28</f>
        <v>-6351202.372854175</v>
      </c>
      <c r="E29" s="122">
        <f>D29/D28</f>
        <v>-0.63512023728541755</v>
      </c>
      <c r="F29" s="2" t="s">
        <v>653</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EB792-BF13-4597-85B2-53407D9B8720}">
  <dimension ref="A2:J29"/>
  <sheetViews>
    <sheetView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8" max="8" width="0" hidden="1" customWidth="1"/>
    <col min="9" max="9" width="26" customWidth="1"/>
    <col min="10" max="10" width="10.1796875" bestFit="1" customWidth="1"/>
  </cols>
  <sheetData>
    <row r="2" spans="1:10" s="5" customFormat="1" ht="28" customHeight="1" x14ac:dyDescent="0.35">
      <c r="A2" s="74" t="s">
        <v>190</v>
      </c>
      <c r="B2" s="191" t="s">
        <v>0</v>
      </c>
      <c r="C2" s="74"/>
      <c r="D2" s="74" t="s">
        <v>1</v>
      </c>
      <c r="E2" s="74"/>
      <c r="F2" s="75"/>
      <c r="G2" s="63"/>
    </row>
    <row r="3" spans="1:10" ht="28" x14ac:dyDescent="0.35">
      <c r="A3" s="311" t="s">
        <v>881</v>
      </c>
      <c r="B3" s="286" t="s">
        <v>880</v>
      </c>
      <c r="C3" s="286"/>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(sorted)'!DF115</f>
        <v>8848.0542269404486</v>
      </c>
    </row>
    <row r="6" spans="1:10" x14ac:dyDescent="0.35">
      <c r="A6" s="2">
        <v>1</v>
      </c>
      <c r="B6" s="71">
        <v>46199</v>
      </c>
      <c r="C6" s="7">
        <v>1500000</v>
      </c>
      <c r="D6" s="3">
        <f>C6</f>
        <v>1500000</v>
      </c>
      <c r="E6" s="2" t="s">
        <v>30</v>
      </c>
      <c r="F6" s="2">
        <v>2</v>
      </c>
      <c r="H6" s="2"/>
      <c r="I6" s="408" t="s">
        <v>889</v>
      </c>
      <c r="J6" s="10">
        <f>'DETAILS (sorted)'!DG115</f>
        <v>29543.585174328473</v>
      </c>
    </row>
    <row r="7" spans="1:10" x14ac:dyDescent="0.35">
      <c r="A7" s="2">
        <v>2</v>
      </c>
      <c r="B7" s="71">
        <v>46203</v>
      </c>
      <c r="C7" s="7">
        <v>1800000</v>
      </c>
      <c r="D7" s="3">
        <f>D6+C7</f>
        <v>3300000</v>
      </c>
      <c r="E7" s="2" t="s">
        <v>30</v>
      </c>
      <c r="F7" s="2">
        <v>2</v>
      </c>
      <c r="H7" s="2"/>
      <c r="I7" s="408" t="s">
        <v>891</v>
      </c>
      <c r="J7" s="10">
        <f>'DETAILS (sorted)'!DL115</f>
        <v>9547.9722715756288</v>
      </c>
    </row>
    <row r="8" spans="1:10" x14ac:dyDescent="0.35">
      <c r="A8" s="2">
        <v>3</v>
      </c>
      <c r="B8" s="71"/>
      <c r="C8" s="7"/>
      <c r="D8" s="3"/>
      <c r="E8" s="2"/>
      <c r="F8" s="2"/>
      <c r="H8" s="2"/>
      <c r="I8" s="408" t="s">
        <v>894</v>
      </c>
      <c r="J8" s="10">
        <f>'DETAILS (sorted)'!DM115</f>
        <v>0</v>
      </c>
    </row>
    <row r="9" spans="1:10" x14ac:dyDescent="0.35">
      <c r="A9" s="2">
        <v>4</v>
      </c>
      <c r="B9" s="71"/>
      <c r="C9" s="3"/>
      <c r="D9" s="3"/>
      <c r="E9" s="2"/>
      <c r="F9" s="2"/>
      <c r="H9" s="2"/>
      <c r="I9" s="408" t="s">
        <v>893</v>
      </c>
      <c r="J9" s="10">
        <f>'DETAILS (sorted)'!DN115</f>
        <v>0</v>
      </c>
    </row>
    <row r="10" spans="1:10" x14ac:dyDescent="0.35">
      <c r="A10" s="2">
        <v>5</v>
      </c>
      <c r="B10" s="294"/>
      <c r="C10" s="3"/>
      <c r="D10" s="3"/>
      <c r="E10" s="2"/>
      <c r="F10" s="2"/>
      <c r="H10" s="2"/>
      <c r="I10" s="408" t="s">
        <v>895</v>
      </c>
      <c r="J10" s="10">
        <f>'DETAILS (sorted)'!DO115</f>
        <v>0</v>
      </c>
    </row>
    <row r="11" spans="1:10" x14ac:dyDescent="0.35">
      <c r="A11" s="2">
        <v>6</v>
      </c>
      <c r="B11" s="294"/>
      <c r="C11" s="3"/>
      <c r="D11" s="3"/>
      <c r="E11" s="2"/>
      <c r="F11" s="2"/>
      <c r="H11" s="2"/>
      <c r="I11" s="408" t="s">
        <v>897</v>
      </c>
      <c r="J11" s="10">
        <f>'DETAILS (sorted)'!DQ115</f>
        <v>0</v>
      </c>
    </row>
    <row r="12" spans="1:10" x14ac:dyDescent="0.35">
      <c r="A12" s="2">
        <v>7</v>
      </c>
      <c r="B12" s="294"/>
      <c r="C12" s="3"/>
      <c r="D12" s="3"/>
      <c r="E12" s="2"/>
      <c r="F12" s="2"/>
      <c r="H12" s="2"/>
      <c r="I12" s="408" t="s">
        <v>898</v>
      </c>
      <c r="J12" s="10">
        <f>'DETAILS (sorted)'!DR115</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3300000</v>
      </c>
      <c r="D25" s="3">
        <f>C25+J25</f>
        <v>3347939.6116728447</v>
      </c>
      <c r="E25" s="3">
        <f>'DETAILS (sorted)'!DS115</f>
        <v>3382217.4143459047</v>
      </c>
      <c r="F25" s="3">
        <f>D25-E25</f>
        <v>-34277.802673059981</v>
      </c>
      <c r="G25" t="b">
        <f>D25=E25</f>
        <v>0</v>
      </c>
      <c r="H25" s="2"/>
      <c r="I25" s="2"/>
      <c r="J25" s="10">
        <f>SUM(J5:J24)</f>
        <v>47939.611672844549</v>
      </c>
    </row>
    <row r="27" spans="1:10" x14ac:dyDescent="0.35">
      <c r="C27" s="3" t="s">
        <v>644</v>
      </c>
      <c r="D27" s="3">
        <f>C25+J25</f>
        <v>3347939.6116728447</v>
      </c>
      <c r="E27" s="122">
        <f>D27/D28</f>
        <v>0.33479396116728449</v>
      </c>
      <c r="F27" s="2" t="s">
        <v>652</v>
      </c>
    </row>
    <row r="28" spans="1:10" x14ac:dyDescent="0.35">
      <c r="C28" s="3" t="s">
        <v>650</v>
      </c>
      <c r="D28" s="3">
        <v>10000000</v>
      </c>
      <c r="E28" s="122">
        <f>D28/D28</f>
        <v>1</v>
      </c>
      <c r="F28" s="2" t="s">
        <v>654</v>
      </c>
    </row>
    <row r="29" spans="1:10" x14ac:dyDescent="0.35">
      <c r="C29" s="3"/>
      <c r="D29" s="3">
        <f>D27-D28</f>
        <v>-6652060.3883271553</v>
      </c>
      <c r="E29" s="122">
        <f>D29/D28</f>
        <v>-0.66520603883271556</v>
      </c>
      <c r="F29" s="2" t="s">
        <v>653</v>
      </c>
    </row>
  </sheetData>
  <pageMargins left="0.7" right="0.7" top="0.75" bottom="0.75" header="0.3" footer="0.3"/>
  <legacy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C22F3-3730-4452-BC2E-7062ED72E75F}">
  <dimension ref="A2:J29"/>
  <sheetViews>
    <sheetView topLeftCell="B1"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8" max="8" width="0" hidden="1" customWidth="1"/>
    <col min="9" max="9" width="25.36328125" customWidth="1"/>
    <col min="10" max="10" width="10.1796875" bestFit="1" customWidth="1"/>
  </cols>
  <sheetData>
    <row r="2" spans="1:10" s="5" customFormat="1" ht="28" customHeight="1" x14ac:dyDescent="0.35">
      <c r="A2" s="74" t="s">
        <v>190</v>
      </c>
      <c r="B2" s="191" t="s">
        <v>0</v>
      </c>
      <c r="C2" s="74"/>
      <c r="D2" s="74" t="s">
        <v>1</v>
      </c>
      <c r="E2" s="74"/>
      <c r="F2" s="75"/>
      <c r="G2" s="63"/>
    </row>
    <row r="3" spans="1:10" ht="28" x14ac:dyDescent="0.35">
      <c r="A3" s="311" t="s">
        <v>882</v>
      </c>
      <c r="B3" s="7" t="s">
        <v>884</v>
      </c>
      <c r="C3" s="286"/>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(sorted)'!DF116</f>
        <v>8848.0542269404486</v>
      </c>
    </row>
    <row r="6" spans="1:10" x14ac:dyDescent="0.35">
      <c r="A6" s="2">
        <v>1</v>
      </c>
      <c r="B6" s="71">
        <v>46199</v>
      </c>
      <c r="C6" s="7">
        <v>3300000</v>
      </c>
      <c r="D6" s="3">
        <f>C6</f>
        <v>3300000</v>
      </c>
      <c r="E6" s="2" t="s">
        <v>30</v>
      </c>
      <c r="F6" s="2">
        <v>2</v>
      </c>
      <c r="H6" s="2"/>
      <c r="I6" s="408" t="s">
        <v>889</v>
      </c>
      <c r="J6" s="10">
        <f>'DETAILS (sorted)'!DG116</f>
        <v>29543.585174328473</v>
      </c>
    </row>
    <row r="7" spans="1:10" x14ac:dyDescent="0.35">
      <c r="A7" s="2">
        <v>2</v>
      </c>
      <c r="B7" s="71"/>
      <c r="C7" s="7"/>
      <c r="D7" s="3"/>
      <c r="E7" s="2"/>
      <c r="F7" s="2">
        <v>2</v>
      </c>
      <c r="H7" s="2"/>
      <c r="I7" s="408" t="s">
        <v>891</v>
      </c>
      <c r="J7" s="10">
        <f>'DETAILS (sorted)'!DL116</f>
        <v>18128.127001373628</v>
      </c>
    </row>
    <row r="8" spans="1:10" x14ac:dyDescent="0.35">
      <c r="A8" s="2">
        <v>3</v>
      </c>
      <c r="B8" s="71"/>
      <c r="C8" s="7"/>
      <c r="D8" s="3"/>
      <c r="E8" s="2"/>
      <c r="F8" s="2"/>
      <c r="H8" s="2"/>
      <c r="I8" s="408" t="s">
        <v>894</v>
      </c>
      <c r="J8" s="10">
        <f>'DETAILS (sorted)'!DM116</f>
        <v>0</v>
      </c>
    </row>
    <row r="9" spans="1:10" x14ac:dyDescent="0.35">
      <c r="A9" s="2">
        <v>4</v>
      </c>
      <c r="B9" s="71"/>
      <c r="C9" s="3"/>
      <c r="D9" s="3"/>
      <c r="E9" s="2"/>
      <c r="F9" s="2"/>
      <c r="H9" s="2"/>
      <c r="I9" s="408" t="s">
        <v>893</v>
      </c>
      <c r="J9" s="10">
        <f>'DETAILS (sorted)'!DN116</f>
        <v>0</v>
      </c>
    </row>
    <row r="10" spans="1:10" x14ac:dyDescent="0.35">
      <c r="A10" s="2">
        <v>5</v>
      </c>
      <c r="B10" s="294"/>
      <c r="C10" s="3"/>
      <c r="D10" s="3"/>
      <c r="E10" s="2"/>
      <c r="F10" s="2"/>
      <c r="H10" s="2"/>
      <c r="I10" s="408" t="s">
        <v>895</v>
      </c>
      <c r="J10" s="10">
        <f>'DETAILS (sorted)'!DO116</f>
        <v>0</v>
      </c>
    </row>
    <row r="11" spans="1:10" x14ac:dyDescent="0.35">
      <c r="A11" s="2">
        <v>6</v>
      </c>
      <c r="B11" s="294"/>
      <c r="C11" s="3"/>
      <c r="D11" s="3"/>
      <c r="E11" s="2"/>
      <c r="F11" s="2"/>
      <c r="H11" s="2"/>
      <c r="I11" s="408" t="s">
        <v>897</v>
      </c>
      <c r="J11" s="10">
        <f>'DETAILS (sorted)'!DQ116</f>
        <v>0</v>
      </c>
    </row>
    <row r="12" spans="1:10" x14ac:dyDescent="0.35">
      <c r="A12" s="2">
        <v>7</v>
      </c>
      <c r="B12" s="294"/>
      <c r="C12" s="3"/>
      <c r="D12" s="3"/>
      <c r="E12" s="2"/>
      <c r="F12" s="2"/>
      <c r="H12" s="2"/>
      <c r="I12" s="408" t="s">
        <v>898</v>
      </c>
      <c r="J12" s="10">
        <f>'DETAILS (sorted)'!DR116</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3300000</v>
      </c>
      <c r="D25" s="3">
        <f>C25+J25</f>
        <v>3356519.7664026427</v>
      </c>
      <c r="E25" s="3">
        <f>'DETAILS (sorted)'!DS116</f>
        <v>6421600.8477580156</v>
      </c>
      <c r="F25" s="3">
        <f>D25-E25</f>
        <v>-3065081.0813553729</v>
      </c>
      <c r="G25" t="b">
        <f>D25=E25</f>
        <v>0</v>
      </c>
      <c r="H25" s="2"/>
      <c r="I25" s="2"/>
      <c r="J25" s="10">
        <f>SUM(J5:J24)</f>
        <v>56519.766402642548</v>
      </c>
    </row>
    <row r="27" spans="1:10" x14ac:dyDescent="0.35">
      <c r="C27" s="3" t="s">
        <v>644</v>
      </c>
      <c r="D27" s="3">
        <f>C25+J25</f>
        <v>3356519.7664026427</v>
      </c>
      <c r="E27" s="122">
        <f>D27/D28</f>
        <v>0.33565197664026425</v>
      </c>
      <c r="F27" s="2" t="s">
        <v>652</v>
      </c>
    </row>
    <row r="28" spans="1:10" x14ac:dyDescent="0.35">
      <c r="C28" s="3" t="s">
        <v>650</v>
      </c>
      <c r="D28" s="3">
        <v>10000000</v>
      </c>
      <c r="E28" s="122">
        <f>D28/D28</f>
        <v>1</v>
      </c>
      <c r="F28" s="2" t="s">
        <v>654</v>
      </c>
    </row>
    <row r="29" spans="1:10" x14ac:dyDescent="0.35">
      <c r="C29" s="3"/>
      <c r="D29" s="3">
        <f>D27-D28</f>
        <v>-6643480.2335973568</v>
      </c>
      <c r="E29" s="122">
        <f>D29/D28</f>
        <v>-0.66434802335973564</v>
      </c>
      <c r="F29" s="2" t="s">
        <v>653</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719F0-E2B0-4F3B-9985-D909275DB893}">
  <dimension ref="A2:J29"/>
  <sheetViews>
    <sheetView topLeftCell="A2" workbookViewId="0">
      <selection activeCell="J23" sqref="J23"/>
    </sheetView>
  </sheetViews>
  <sheetFormatPr defaultRowHeight="14.5" x14ac:dyDescent="0.35"/>
  <cols>
    <col min="2" max="2" width="12" bestFit="1" customWidth="1"/>
    <col min="3" max="3" width="15.54296875" style="1" bestFit="1" customWidth="1"/>
    <col min="4" max="4" width="15.54296875" style="1" customWidth="1"/>
    <col min="5" max="5" width="11.7265625" customWidth="1"/>
    <col min="6" max="6" width="12.453125" bestFit="1" customWidth="1"/>
    <col min="7" max="7" width="11.1796875" bestFit="1" customWidth="1"/>
    <col min="8" max="8" width="0" hidden="1" customWidth="1"/>
    <col min="9" max="9" width="21.26953125" customWidth="1"/>
    <col min="10" max="10" width="10.1796875" bestFit="1" customWidth="1"/>
  </cols>
  <sheetData>
    <row r="2" spans="1:10" s="5" customFormat="1" ht="28" customHeight="1" x14ac:dyDescent="0.35">
      <c r="A2" s="74" t="s">
        <v>190</v>
      </c>
      <c r="B2" s="191" t="s">
        <v>0</v>
      </c>
      <c r="C2" s="74"/>
      <c r="D2" s="74" t="s">
        <v>1</v>
      </c>
      <c r="E2" s="74"/>
      <c r="F2" s="75"/>
      <c r="G2" s="63"/>
    </row>
    <row r="3" spans="1:10" ht="28" x14ac:dyDescent="0.35">
      <c r="A3" s="311" t="s">
        <v>883</v>
      </c>
      <c r="B3" s="7" t="s">
        <v>885</v>
      </c>
      <c r="C3" s="286"/>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(sorted)'!DF117</f>
        <v>8848.0542269404486</v>
      </c>
    </row>
    <row r="6" spans="1:10" x14ac:dyDescent="0.35">
      <c r="A6" s="2">
        <v>1</v>
      </c>
      <c r="B6" s="71">
        <v>46199</v>
      </c>
      <c r="C6" s="7">
        <v>3300000</v>
      </c>
      <c r="D6" s="3">
        <f>C6</f>
        <v>3300000</v>
      </c>
      <c r="E6" s="2" t="s">
        <v>30</v>
      </c>
      <c r="F6" s="2">
        <v>2</v>
      </c>
      <c r="H6" s="2"/>
      <c r="I6" s="408" t="s">
        <v>889</v>
      </c>
      <c r="J6" s="10">
        <f>'DETAILS (sorted)'!DG117</f>
        <v>29543.585174328473</v>
      </c>
    </row>
    <row r="7" spans="1:10" x14ac:dyDescent="0.35">
      <c r="A7" s="2">
        <v>2</v>
      </c>
      <c r="B7" s="71"/>
      <c r="C7" s="7"/>
      <c r="D7" s="3"/>
      <c r="E7" s="2"/>
      <c r="F7" s="2">
        <v>2</v>
      </c>
      <c r="H7" s="2"/>
      <c r="I7" s="408" t="s">
        <v>891</v>
      </c>
      <c r="J7" s="10">
        <f>'DETAILS (sorted)'!DL117</f>
        <v>11264.003217535228</v>
      </c>
    </row>
    <row r="8" spans="1:10" x14ac:dyDescent="0.35">
      <c r="A8" s="2">
        <v>3</v>
      </c>
      <c r="B8" s="71"/>
      <c r="C8" s="7"/>
      <c r="D8" s="3"/>
      <c r="E8" s="2"/>
      <c r="F8" s="2"/>
      <c r="H8" s="2"/>
      <c r="I8" s="408" t="s">
        <v>894</v>
      </c>
      <c r="J8" s="10">
        <f>'DETAILS (sorted)'!DM117</f>
        <v>0</v>
      </c>
    </row>
    <row r="9" spans="1:10" x14ac:dyDescent="0.35">
      <c r="A9" s="2">
        <v>4</v>
      </c>
      <c r="B9" s="71"/>
      <c r="C9" s="3"/>
      <c r="D9" s="3"/>
      <c r="E9" s="2"/>
      <c r="F9" s="2"/>
      <c r="H9" s="2"/>
      <c r="I9" s="408" t="s">
        <v>893</v>
      </c>
      <c r="J9" s="10">
        <f>'DETAILS (sorted)'!DN117</f>
        <v>0</v>
      </c>
    </row>
    <row r="10" spans="1:10" x14ac:dyDescent="0.35">
      <c r="A10" s="2">
        <v>5</v>
      </c>
      <c r="B10" s="294"/>
      <c r="C10" s="3"/>
      <c r="D10" s="3"/>
      <c r="E10" s="2"/>
      <c r="F10" s="2"/>
      <c r="H10" s="2"/>
      <c r="I10" s="408" t="s">
        <v>895</v>
      </c>
      <c r="J10" s="10">
        <f>'DETAILS (sorted)'!DO117</f>
        <v>0</v>
      </c>
    </row>
    <row r="11" spans="1:10" x14ac:dyDescent="0.35">
      <c r="A11" s="2">
        <v>6</v>
      </c>
      <c r="B11" s="294"/>
      <c r="C11" s="3"/>
      <c r="D11" s="3"/>
      <c r="E11" s="2"/>
      <c r="F11" s="2"/>
      <c r="H11" s="2"/>
      <c r="I11" s="408" t="s">
        <v>897</v>
      </c>
      <c r="J11" s="10">
        <f>'DETAILS (sorted)'!DQ117</f>
        <v>0</v>
      </c>
    </row>
    <row r="12" spans="1:10" x14ac:dyDescent="0.35">
      <c r="A12" s="2">
        <v>7</v>
      </c>
      <c r="B12" s="294"/>
      <c r="C12" s="3"/>
      <c r="D12" s="3"/>
      <c r="E12" s="2"/>
      <c r="F12" s="2"/>
      <c r="H12" s="2"/>
      <c r="I12" s="408" t="s">
        <v>898</v>
      </c>
      <c r="J12" s="10">
        <f>'DETAILS (sorted)'!DR117</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3300000</v>
      </c>
      <c r="D25" s="3">
        <f>C25+J25</f>
        <v>3349655.6426188042</v>
      </c>
      <c r="E25" s="3">
        <f>'DETAILS (sorted)'!DS116</f>
        <v>6421600.8477580156</v>
      </c>
      <c r="F25" s="3">
        <f>D25-E25</f>
        <v>-3071945.2051392114</v>
      </c>
      <c r="G25" t="b">
        <f>D25=E25</f>
        <v>0</v>
      </c>
      <c r="H25" s="2"/>
      <c r="I25" s="2"/>
      <c r="J25" s="10">
        <f>SUM(J5:J24)</f>
        <v>49655.642618804151</v>
      </c>
    </row>
    <row r="27" spans="1:10" x14ac:dyDescent="0.35">
      <c r="C27" s="3" t="s">
        <v>644</v>
      </c>
      <c r="D27" s="3">
        <f>C25+J25</f>
        <v>3349655.6426188042</v>
      </c>
      <c r="E27" s="122">
        <f>D27/D28</f>
        <v>0.3349655642618804</v>
      </c>
      <c r="F27" s="2" t="s">
        <v>652</v>
      </c>
    </row>
    <row r="28" spans="1:10" x14ac:dyDescent="0.35">
      <c r="C28" s="3" t="s">
        <v>650</v>
      </c>
      <c r="D28" s="3">
        <v>10000000</v>
      </c>
      <c r="E28" s="122">
        <f>D28/D28</f>
        <v>1</v>
      </c>
      <c r="F28" s="2" t="s">
        <v>654</v>
      </c>
    </row>
    <row r="29" spans="1:10" x14ac:dyDescent="0.35">
      <c r="C29" s="3"/>
      <c r="D29" s="3">
        <f>D27-D28</f>
        <v>-6650344.3573811958</v>
      </c>
      <c r="E29" s="122">
        <f>D29/D28</f>
        <v>-0.6650344357381196</v>
      </c>
      <c r="F29" s="2" t="s">
        <v>653</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8ADE3-4A98-40A1-B64F-18FFD66070BD}">
  <dimension ref="A2:J29"/>
  <sheetViews>
    <sheetView workbookViewId="0">
      <selection activeCell="J23" sqref="J23"/>
    </sheetView>
  </sheetViews>
  <sheetFormatPr defaultRowHeight="14.5" x14ac:dyDescent="0.35"/>
  <cols>
    <col min="1" max="1" width="8.1796875" bestFit="1" customWidth="1"/>
    <col min="2" max="2" width="17.72656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81640625" bestFit="1" customWidth="1"/>
  </cols>
  <sheetData>
    <row r="2" spans="1:10" s="5" customFormat="1" x14ac:dyDescent="0.35">
      <c r="A2" s="74" t="s">
        <v>190</v>
      </c>
      <c r="B2" s="191" t="s">
        <v>0</v>
      </c>
      <c r="C2" s="74"/>
      <c r="D2" s="74" t="s">
        <v>1</v>
      </c>
      <c r="E2" s="74"/>
      <c r="F2" s="75"/>
      <c r="G2" s="63"/>
    </row>
    <row r="3" spans="1:10" ht="28" x14ac:dyDescent="0.35">
      <c r="A3" s="210" t="s">
        <v>901</v>
      </c>
      <c r="B3" s="286" t="s">
        <v>902</v>
      </c>
      <c r="C3" s="286"/>
      <c r="D3" s="71"/>
      <c r="E3" s="11"/>
      <c r="F3" s="11"/>
      <c r="G3" s="11"/>
    </row>
    <row r="4" spans="1:10" x14ac:dyDescent="0.35">
      <c r="H4" s="2" t="s">
        <v>643</v>
      </c>
      <c r="I4" s="2" t="s">
        <v>445</v>
      </c>
      <c r="J4" s="10" t="s">
        <v>568</v>
      </c>
    </row>
    <row r="5" spans="1:10" x14ac:dyDescent="0.35">
      <c r="A5" s="74" t="s">
        <v>487</v>
      </c>
      <c r="B5" s="74" t="s">
        <v>2</v>
      </c>
      <c r="C5" s="191" t="s">
        <v>124</v>
      </c>
      <c r="D5" s="191" t="s">
        <v>488</v>
      </c>
      <c r="E5" s="74" t="s">
        <v>489</v>
      </c>
      <c r="F5" s="74" t="s">
        <v>490</v>
      </c>
      <c r="H5" s="2"/>
      <c r="I5" s="408" t="s">
        <v>887</v>
      </c>
      <c r="J5" s="10">
        <f>'DETAILS (sorted)'!DF118</f>
        <v>13406.142768091588</v>
      </c>
    </row>
    <row r="6" spans="1:10" x14ac:dyDescent="0.35">
      <c r="A6" s="2">
        <v>1</v>
      </c>
      <c r="B6" s="71">
        <v>46200</v>
      </c>
      <c r="C6" s="7">
        <v>5000000</v>
      </c>
      <c r="D6" s="3">
        <f>C6</f>
        <v>5000000</v>
      </c>
      <c r="E6" s="2" t="s">
        <v>30</v>
      </c>
      <c r="F6" s="2">
        <v>2</v>
      </c>
      <c r="H6" s="2"/>
      <c r="I6" s="408" t="s">
        <v>889</v>
      </c>
      <c r="J6" s="10">
        <f>'DETAILS (sorted)'!DG118</f>
        <v>44763.007839891623</v>
      </c>
    </row>
    <row r="7" spans="1:10" x14ac:dyDescent="0.35">
      <c r="A7" s="2">
        <v>2</v>
      </c>
      <c r="B7" s="71"/>
      <c r="C7" s="7"/>
      <c r="D7" s="3"/>
      <c r="E7" s="2"/>
      <c r="F7" s="2">
        <v>2</v>
      </c>
      <c r="H7" s="2"/>
      <c r="I7" s="408" t="s">
        <v>891</v>
      </c>
      <c r="J7" s="10">
        <f>'DETAILS (sorted)'!DL118</f>
        <v>28766.882536899135</v>
      </c>
    </row>
    <row r="8" spans="1:10" x14ac:dyDescent="0.35">
      <c r="A8" s="2">
        <v>3</v>
      </c>
      <c r="B8" s="71"/>
      <c r="C8" s="7"/>
      <c r="D8" s="3"/>
      <c r="E8" s="2"/>
      <c r="F8" s="2"/>
      <c r="H8" s="2"/>
      <c r="I8" s="408" t="s">
        <v>894</v>
      </c>
      <c r="J8" s="10">
        <f>'DETAILS (sorted)'!DM118</f>
        <v>0</v>
      </c>
    </row>
    <row r="9" spans="1:10" x14ac:dyDescent="0.35">
      <c r="A9" s="2">
        <v>4</v>
      </c>
      <c r="B9" s="71"/>
      <c r="C9" s="3"/>
      <c r="D9" s="3"/>
      <c r="E9" s="2"/>
      <c r="F9" s="2"/>
      <c r="H9" s="2"/>
      <c r="I9" s="408" t="s">
        <v>893</v>
      </c>
      <c r="J9" s="10">
        <f>'DETAILS (sorted)'!DN118</f>
        <v>0</v>
      </c>
    </row>
    <row r="10" spans="1:10" x14ac:dyDescent="0.35">
      <c r="A10" s="2">
        <v>5</v>
      </c>
      <c r="B10" s="294"/>
      <c r="C10" s="3"/>
      <c r="D10" s="3"/>
      <c r="E10" s="2"/>
      <c r="F10" s="2"/>
      <c r="H10" s="2"/>
      <c r="I10" s="408" t="s">
        <v>895</v>
      </c>
      <c r="J10" s="10">
        <f>'DETAILS (sorted)'!DO118</f>
        <v>0</v>
      </c>
    </row>
    <row r="11" spans="1:10" x14ac:dyDescent="0.35">
      <c r="A11" s="2">
        <v>6</v>
      </c>
      <c r="B11" s="294"/>
      <c r="C11" s="3"/>
      <c r="D11" s="3"/>
      <c r="E11" s="2"/>
      <c r="F11" s="2"/>
      <c r="H11" s="2"/>
      <c r="I11" s="408" t="s">
        <v>897</v>
      </c>
      <c r="J11" s="10">
        <f>'DETAILS (sorted)'!DQ118</f>
        <v>0</v>
      </c>
    </row>
    <row r="12" spans="1:10" x14ac:dyDescent="0.35">
      <c r="A12" s="2">
        <v>7</v>
      </c>
      <c r="B12" s="294"/>
      <c r="C12" s="3"/>
      <c r="D12" s="3"/>
      <c r="E12" s="2"/>
      <c r="F12" s="2"/>
      <c r="H12" s="2"/>
      <c r="I12" s="408" t="s">
        <v>898</v>
      </c>
      <c r="J12" s="10">
        <f>'DETAILS (sorted)'!DR118</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5000000</v>
      </c>
      <c r="D25" s="3">
        <f>C25+J25</f>
        <v>5086936.0331448819</v>
      </c>
      <c r="E25" s="3">
        <f>'DETAILS (sorted)'!DS118</f>
        <v>10190210.89560489</v>
      </c>
      <c r="F25" s="3">
        <f>D25-E25</f>
        <v>-5103274.8624600079</v>
      </c>
      <c r="G25" t="b">
        <f>D25=E25</f>
        <v>0</v>
      </c>
      <c r="H25" s="2"/>
      <c r="I25" s="2"/>
      <c r="J25" s="10">
        <f>SUM(J5:J24)</f>
        <v>86936.033144882342</v>
      </c>
    </row>
    <row r="27" spans="1:10" x14ac:dyDescent="0.35">
      <c r="C27" s="3" t="s">
        <v>644</v>
      </c>
      <c r="D27" s="3">
        <f>C25+J25</f>
        <v>5086936.0331448819</v>
      </c>
      <c r="E27" s="122">
        <f>D27/D28</f>
        <v>0.2543468016572441</v>
      </c>
      <c r="F27" s="2" t="s">
        <v>652</v>
      </c>
    </row>
    <row r="28" spans="1:10" x14ac:dyDescent="0.35">
      <c r="C28" s="3" t="s">
        <v>650</v>
      </c>
      <c r="D28" s="3">
        <v>20000000</v>
      </c>
      <c r="E28" s="122">
        <f>D28/D28</f>
        <v>1</v>
      </c>
      <c r="F28" s="2" t="s">
        <v>654</v>
      </c>
    </row>
    <row r="29" spans="1:10" x14ac:dyDescent="0.35">
      <c r="C29" s="3"/>
      <c r="D29" s="3">
        <f>D27-D28</f>
        <v>-14913063.966855118</v>
      </c>
      <c r="E29" s="122">
        <f>D29/D28</f>
        <v>-0.7456531983427559</v>
      </c>
      <c r="F29" s="2" t="s">
        <v>653</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30098-3CBF-438E-89BD-6331DAC26E0A}">
  <dimension ref="A2:J29"/>
  <sheetViews>
    <sheetView topLeftCell="A8" workbookViewId="0">
      <selection activeCell="J23" sqref="J23"/>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910</v>
      </c>
      <c r="B3" s="764" t="s">
        <v>911</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(sorted)'!DF119</f>
        <v>13406.142768091588</v>
      </c>
    </row>
    <row r="6" spans="1:10" x14ac:dyDescent="0.35">
      <c r="A6" s="2">
        <v>1</v>
      </c>
      <c r="B6" s="71">
        <v>46200</v>
      </c>
      <c r="C6" s="7">
        <v>5000000</v>
      </c>
      <c r="D6" s="3">
        <f>C6</f>
        <v>5000000</v>
      </c>
      <c r="E6" s="2" t="s">
        <v>30</v>
      </c>
      <c r="F6" s="2">
        <v>2</v>
      </c>
      <c r="H6" s="2"/>
      <c r="I6" s="408" t="s">
        <v>889</v>
      </c>
      <c r="J6" s="10">
        <f>'DETAILS (sorted)'!DG119</f>
        <v>44763.007839891623</v>
      </c>
    </row>
    <row r="7" spans="1:10" x14ac:dyDescent="0.35">
      <c r="A7" s="2">
        <v>2</v>
      </c>
      <c r="B7" s="71"/>
      <c r="C7" s="7"/>
      <c r="D7" s="3"/>
      <c r="E7" s="2"/>
      <c r="F7" s="2">
        <v>2</v>
      </c>
      <c r="H7" s="2"/>
      <c r="I7" s="408" t="s">
        <v>891</v>
      </c>
      <c r="J7" s="10">
        <f>'DETAILS (sorted)'!DL119</f>
        <v>14466.624653902469</v>
      </c>
    </row>
    <row r="8" spans="1:10" x14ac:dyDescent="0.35">
      <c r="A8" s="2">
        <v>3</v>
      </c>
      <c r="B8" s="71"/>
      <c r="C8" s="7"/>
      <c r="D8" s="3"/>
      <c r="E8" s="2"/>
      <c r="F8" s="2"/>
      <c r="H8" s="2"/>
      <c r="I8" s="408" t="s">
        <v>894</v>
      </c>
      <c r="J8" s="10">
        <f>'DETAILS (sorted)'!DM119</f>
        <v>0</v>
      </c>
    </row>
    <row r="9" spans="1:10" x14ac:dyDescent="0.35">
      <c r="A9" s="2">
        <v>4</v>
      </c>
      <c r="B9" s="71"/>
      <c r="C9" s="3"/>
      <c r="D9" s="3"/>
      <c r="E9" s="2"/>
      <c r="F9" s="2"/>
      <c r="H9" s="2"/>
      <c r="I9" s="408" t="s">
        <v>893</v>
      </c>
      <c r="J9" s="10">
        <f>'DETAILS (sorted)'!DN119</f>
        <v>0</v>
      </c>
    </row>
    <row r="10" spans="1:10" x14ac:dyDescent="0.35">
      <c r="A10" s="2">
        <v>5</v>
      </c>
      <c r="B10" s="294"/>
      <c r="C10" s="3"/>
      <c r="D10" s="3"/>
      <c r="E10" s="2"/>
      <c r="F10" s="2"/>
      <c r="H10" s="2"/>
      <c r="I10" s="408" t="s">
        <v>895</v>
      </c>
      <c r="J10" s="10">
        <f>'DETAILS (sorted)'!DO119</f>
        <v>0</v>
      </c>
    </row>
    <row r="11" spans="1:10" x14ac:dyDescent="0.35">
      <c r="A11" s="2">
        <v>6</v>
      </c>
      <c r="B11" s="294"/>
      <c r="C11" s="3"/>
      <c r="D11" s="3"/>
      <c r="E11" s="2"/>
      <c r="F11" s="2"/>
      <c r="H11" s="2"/>
      <c r="I11" s="408" t="s">
        <v>897</v>
      </c>
      <c r="J11" s="10">
        <f>'DETAILS (sorted)'!DQ119</f>
        <v>0</v>
      </c>
    </row>
    <row r="12" spans="1:10" x14ac:dyDescent="0.35">
      <c r="A12" s="2">
        <v>7</v>
      </c>
      <c r="B12" s="294"/>
      <c r="C12" s="3"/>
      <c r="D12" s="3"/>
      <c r="E12" s="2"/>
      <c r="F12" s="2"/>
      <c r="H12" s="2"/>
      <c r="I12" s="408" t="s">
        <v>898</v>
      </c>
      <c r="J12" s="10">
        <f>'DETAILS (sorted)'!DR119</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5000000</v>
      </c>
      <c r="D25" s="3">
        <f>C25+J25</f>
        <v>5072635.7752618855</v>
      </c>
      <c r="E25" s="3">
        <f>'DETAILS (sorted)'!DS118</f>
        <v>10190210.89560489</v>
      </c>
      <c r="F25" s="3">
        <f>D25-E25</f>
        <v>-5117575.1203430044</v>
      </c>
      <c r="G25" t="b">
        <f>D25=E25</f>
        <v>0</v>
      </c>
      <c r="H25" s="2"/>
      <c r="I25" s="2"/>
      <c r="J25" s="10">
        <f>SUM(J5:J24)</f>
        <v>72635.775261885676</v>
      </c>
    </row>
    <row r="27" spans="1:10" x14ac:dyDescent="0.35">
      <c r="C27" s="3" t="s">
        <v>644</v>
      </c>
      <c r="D27" s="3">
        <f>C25+J25</f>
        <v>5072635.7752618855</v>
      </c>
      <c r="E27" s="122">
        <f>D27/D28</f>
        <v>0.33817571835079235</v>
      </c>
      <c r="F27" s="2" t="s">
        <v>652</v>
      </c>
    </row>
    <row r="28" spans="1:10" x14ac:dyDescent="0.35">
      <c r="C28" s="3" t="s">
        <v>650</v>
      </c>
      <c r="D28" s="3">
        <v>15000000</v>
      </c>
      <c r="E28" s="122">
        <f>D28/D28</f>
        <v>1</v>
      </c>
      <c r="F28" s="2" t="s">
        <v>654</v>
      </c>
    </row>
    <row r="29" spans="1:10" x14ac:dyDescent="0.35">
      <c r="C29" s="3"/>
      <c r="D29" s="3">
        <f>D27-D28</f>
        <v>-9927364.2247381136</v>
      </c>
      <c r="E29" s="122">
        <f>D29/D28</f>
        <v>-0.66182428164920759</v>
      </c>
      <c r="F29" s="2" t="s">
        <v>653</v>
      </c>
    </row>
  </sheetData>
  <mergeCells count="1">
    <mergeCell ref="B3:C3"/>
  </mergeCells>
  <pageMargins left="0.7" right="0.7" top="0.75" bottom="0.75" header="0.3" footer="0.3"/>
  <pageSetup orientation="portrait" verticalDpi="0"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7CA63-B51B-4BF3-9186-2382032F09AB}">
  <dimension ref="A2:J29"/>
  <sheetViews>
    <sheetView workbookViewId="0">
      <selection activeCell="J23" sqref="J23"/>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912</v>
      </c>
      <c r="B3" s="764" t="s">
        <v>914</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(sorted)'!DF120</f>
        <v>26812.285536183175</v>
      </c>
    </row>
    <row r="6" spans="1:10" x14ac:dyDescent="0.35">
      <c r="A6" s="2">
        <v>1</v>
      </c>
      <c r="B6" s="71">
        <v>46200</v>
      </c>
      <c r="C6" s="7">
        <v>3300000</v>
      </c>
      <c r="D6" s="3">
        <f>C6</f>
        <v>3300000</v>
      </c>
      <c r="E6" s="2" t="s">
        <v>30</v>
      </c>
      <c r="F6" s="2">
        <v>2</v>
      </c>
      <c r="H6" s="2"/>
      <c r="I6" s="408" t="s">
        <v>889</v>
      </c>
      <c r="J6" s="10">
        <f>'DETAILS (sorted)'!DG120</f>
        <v>89526.015679783246</v>
      </c>
    </row>
    <row r="7" spans="1:10" x14ac:dyDescent="0.35">
      <c r="A7" s="2">
        <v>2</v>
      </c>
      <c r="B7" s="71">
        <v>46202</v>
      </c>
      <c r="C7" s="7">
        <v>1700000</v>
      </c>
      <c r="D7" s="3">
        <f>C7</f>
        <v>1700000</v>
      </c>
      <c r="E7" s="2" t="s">
        <v>30</v>
      </c>
      <c r="F7" s="2">
        <v>2</v>
      </c>
      <c r="H7" s="2"/>
      <c r="I7" s="408" t="s">
        <v>891</v>
      </c>
      <c r="J7" s="10">
        <f>'DETAILS (sorted)'!DL120</f>
        <v>57533.765073798269</v>
      </c>
    </row>
    <row r="8" spans="1:10" x14ac:dyDescent="0.35">
      <c r="A8" s="2">
        <v>3</v>
      </c>
      <c r="B8" s="71">
        <v>46203</v>
      </c>
      <c r="C8" s="7">
        <v>5000000</v>
      </c>
      <c r="D8" s="3">
        <f>C8</f>
        <v>5000000</v>
      </c>
      <c r="E8" s="2" t="s">
        <v>30</v>
      </c>
      <c r="F8" s="2">
        <v>2</v>
      </c>
      <c r="H8" s="2"/>
      <c r="I8" s="408" t="s">
        <v>894</v>
      </c>
      <c r="J8" s="10">
        <f>'DETAILS (sorted)'!DM120</f>
        <v>0</v>
      </c>
    </row>
    <row r="9" spans="1:10" x14ac:dyDescent="0.35">
      <c r="A9" s="2">
        <v>4</v>
      </c>
      <c r="B9" s="71"/>
      <c r="C9" s="3"/>
      <c r="D9" s="3"/>
      <c r="E9" s="2"/>
      <c r="F9" s="2"/>
      <c r="H9" s="2"/>
      <c r="I9" s="408" t="s">
        <v>893</v>
      </c>
      <c r="J9" s="10">
        <f>'DETAILS (sorted)'!DN120</f>
        <v>0</v>
      </c>
    </row>
    <row r="10" spans="1:10" x14ac:dyDescent="0.35">
      <c r="A10" s="2">
        <v>5</v>
      </c>
      <c r="B10" s="294"/>
      <c r="C10" s="3"/>
      <c r="D10" s="3"/>
      <c r="E10" s="2"/>
      <c r="F10" s="2"/>
      <c r="H10" s="2"/>
      <c r="I10" s="408" t="s">
        <v>895</v>
      </c>
      <c r="J10" s="10">
        <f>'DETAILS (sorted)'!DO120</f>
        <v>0</v>
      </c>
    </row>
    <row r="11" spans="1:10" x14ac:dyDescent="0.35">
      <c r="A11" s="2">
        <v>6</v>
      </c>
      <c r="B11" s="294"/>
      <c r="C11" s="3"/>
      <c r="D11" s="3"/>
      <c r="E11" s="2"/>
      <c r="F11" s="2"/>
      <c r="H11" s="2"/>
      <c r="I11" s="408" t="s">
        <v>897</v>
      </c>
      <c r="J11" s="10">
        <f>'DETAILS (sorted)'!DQ120</f>
        <v>0</v>
      </c>
    </row>
    <row r="12" spans="1:10" x14ac:dyDescent="0.35">
      <c r="A12" s="2">
        <v>7</v>
      </c>
      <c r="B12" s="294"/>
      <c r="C12" s="3"/>
      <c r="D12" s="3"/>
      <c r="E12" s="2"/>
      <c r="F12" s="2"/>
      <c r="H12" s="2"/>
      <c r="I12" s="408" t="s">
        <v>898</v>
      </c>
      <c r="J12" s="10">
        <f>'DETAILS (sorted)'!DR120</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hidden="1" x14ac:dyDescent="0.35">
      <c r="A15" s="2">
        <v>10</v>
      </c>
      <c r="B15" s="295"/>
      <c r="C15" s="205"/>
      <c r="D15" s="3"/>
      <c r="E15" s="2"/>
      <c r="F15" s="2"/>
      <c r="H15" s="2"/>
      <c r="I15" s="2"/>
      <c r="J15" s="10"/>
    </row>
    <row r="16" spans="1:10" hidden="1" x14ac:dyDescent="0.35">
      <c r="A16" s="2">
        <v>11</v>
      </c>
      <c r="B16" s="294"/>
      <c r="C16" s="3"/>
      <c r="D16" s="3"/>
      <c r="E16" s="2"/>
      <c r="F16" s="2"/>
      <c r="H16" s="2"/>
      <c r="I16" s="2"/>
      <c r="J16" s="10"/>
    </row>
    <row r="17" spans="1:10" hidden="1" x14ac:dyDescent="0.35">
      <c r="A17" s="2"/>
      <c r="B17" s="2"/>
      <c r="C17" s="3"/>
      <c r="D17" s="3"/>
      <c r="E17" s="2"/>
      <c r="F17" s="2"/>
      <c r="H17" s="2"/>
      <c r="I17" s="2"/>
      <c r="J17" s="10"/>
    </row>
    <row r="18" spans="1:10" hidden="1" x14ac:dyDescent="0.35">
      <c r="A18" s="2"/>
      <c r="B18" s="2"/>
      <c r="C18" s="3"/>
      <c r="D18" s="3"/>
      <c r="E18" s="2"/>
      <c r="F18" s="2"/>
      <c r="H18" s="2"/>
      <c r="I18" s="2"/>
      <c r="J18" s="10"/>
    </row>
    <row r="19" spans="1:10" hidden="1" x14ac:dyDescent="0.35">
      <c r="A19" s="2"/>
      <c r="B19" s="2"/>
      <c r="C19" s="3"/>
      <c r="D19" s="3"/>
      <c r="E19" s="2"/>
      <c r="F19" s="2"/>
      <c r="H19" s="2"/>
      <c r="I19" s="2"/>
      <c r="J19" s="10"/>
    </row>
    <row r="20" spans="1:10" hidden="1" x14ac:dyDescent="0.35">
      <c r="A20" s="2"/>
      <c r="B20" s="2"/>
      <c r="C20" s="3"/>
      <c r="D20" s="3"/>
      <c r="E20" s="2"/>
      <c r="F20" s="2"/>
      <c r="H20" s="2"/>
      <c r="I20" s="2"/>
      <c r="J20" s="10"/>
    </row>
    <row r="21" spans="1:10" hidden="1" x14ac:dyDescent="0.35">
      <c r="A21" s="2"/>
      <c r="B21" s="2"/>
      <c r="C21" s="3"/>
      <c r="D21" s="3"/>
      <c r="E21" s="2"/>
      <c r="F21" s="2"/>
      <c r="H21" s="2"/>
      <c r="I21" s="2"/>
      <c r="J21" s="10"/>
    </row>
    <row r="22" spans="1:10" hidden="1"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10000000</v>
      </c>
      <c r="D25" s="3">
        <f>C25+J25</f>
        <v>10173872.066289764</v>
      </c>
      <c r="E25" s="3">
        <f>'DETAILS (sorted)'!DS120</f>
        <v>20380421.79120978</v>
      </c>
      <c r="F25" s="3">
        <f>D25-E25</f>
        <v>-10206549.724920016</v>
      </c>
      <c r="G25" t="b">
        <f>D25=E25</f>
        <v>0</v>
      </c>
      <c r="H25" s="2"/>
      <c r="I25" s="2"/>
      <c r="J25" s="10">
        <f>SUM(J5:J24)</f>
        <v>173872.06628976468</v>
      </c>
    </row>
    <row r="27" spans="1:10" x14ac:dyDescent="0.35">
      <c r="C27" s="3" t="s">
        <v>644</v>
      </c>
      <c r="D27" s="3">
        <f>C25+J25</f>
        <v>10173872.066289764</v>
      </c>
      <c r="E27" s="122">
        <f>D27/D28</f>
        <v>0.67825813775265098</v>
      </c>
      <c r="F27" s="2" t="s">
        <v>652</v>
      </c>
    </row>
    <row r="28" spans="1:10" x14ac:dyDescent="0.35">
      <c r="C28" s="3" t="s">
        <v>650</v>
      </c>
      <c r="D28" s="3">
        <v>15000000</v>
      </c>
      <c r="E28" s="122">
        <f>D28/D28</f>
        <v>1</v>
      </c>
      <c r="F28" s="2" t="s">
        <v>654</v>
      </c>
    </row>
    <row r="29" spans="1:10" x14ac:dyDescent="0.35">
      <c r="C29" s="3"/>
      <c r="D29" s="3">
        <f>D27-D28</f>
        <v>-4826127.9337102361</v>
      </c>
      <c r="E29" s="122">
        <f>D29/D28</f>
        <v>-0.32174186224734908</v>
      </c>
      <c r="F29" s="2" t="s">
        <v>653</v>
      </c>
    </row>
  </sheetData>
  <mergeCells count="1">
    <mergeCell ref="B3:C3"/>
  </mergeCell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EF5D9-115D-44A0-829F-A09A16AFD1BE}">
  <dimension ref="A2:J29"/>
  <sheetViews>
    <sheetView topLeftCell="A8" workbookViewId="0">
      <selection activeCell="J23" sqref="J23"/>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913</v>
      </c>
      <c r="B3" s="764" t="s">
        <v>915</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(sorted)'!DF121</f>
        <v>9652.422793025944</v>
      </c>
    </row>
    <row r="6" spans="1:10" x14ac:dyDescent="0.35">
      <c r="A6" s="2">
        <v>1</v>
      </c>
      <c r="B6" s="71">
        <v>46200</v>
      </c>
      <c r="C6" s="7">
        <v>1000000</v>
      </c>
      <c r="D6" s="3">
        <f>C6</f>
        <v>1000000</v>
      </c>
      <c r="E6" s="2" t="s">
        <v>30</v>
      </c>
      <c r="F6" s="2">
        <v>2</v>
      </c>
      <c r="H6" s="2"/>
      <c r="I6" s="408" t="s">
        <v>889</v>
      </c>
      <c r="J6" s="10">
        <f>'DETAILS (sorted)'!DG121</f>
        <v>32229.365644721969</v>
      </c>
    </row>
    <row r="7" spans="1:10" x14ac:dyDescent="0.35">
      <c r="A7" s="2">
        <v>2</v>
      </c>
      <c r="B7" s="71">
        <v>46203</v>
      </c>
      <c r="C7" s="7">
        <v>2600000</v>
      </c>
      <c r="D7" s="3">
        <f>D6+C7</f>
        <v>3600000</v>
      </c>
      <c r="E7" s="2" t="s">
        <v>30</v>
      </c>
      <c r="F7" s="2">
        <v>2</v>
      </c>
      <c r="H7" s="2"/>
      <c r="I7" s="408" t="s">
        <v>891</v>
      </c>
      <c r="J7" s="10">
        <f>'DETAILS (sorted)'!DL121</f>
        <v>10421.689853962976</v>
      </c>
    </row>
    <row r="8" spans="1:10" x14ac:dyDescent="0.35">
      <c r="A8" s="2">
        <v>3</v>
      </c>
      <c r="B8" s="71"/>
      <c r="C8" s="7"/>
      <c r="D8" s="3"/>
      <c r="E8" s="2"/>
      <c r="F8" s="2"/>
      <c r="H8" s="2"/>
      <c r="I8" s="408" t="s">
        <v>894</v>
      </c>
      <c r="J8" s="10">
        <f>'DETAILS (sorted)'!DM121</f>
        <v>0</v>
      </c>
    </row>
    <row r="9" spans="1:10" x14ac:dyDescent="0.35">
      <c r="A9" s="2">
        <v>4</v>
      </c>
      <c r="B9" s="71"/>
      <c r="C9" s="3"/>
      <c r="D9" s="3"/>
      <c r="E9" s="2"/>
      <c r="F9" s="2"/>
      <c r="H9" s="2"/>
      <c r="I9" s="408" t="s">
        <v>893</v>
      </c>
      <c r="J9" s="10">
        <f>'DETAILS (sorted)'!DN121</f>
        <v>0</v>
      </c>
    </row>
    <row r="10" spans="1:10" x14ac:dyDescent="0.35">
      <c r="A10" s="2">
        <v>5</v>
      </c>
      <c r="B10" s="294"/>
      <c r="C10" s="3"/>
      <c r="D10" s="3"/>
      <c r="E10" s="2"/>
      <c r="F10" s="2"/>
      <c r="H10" s="2"/>
      <c r="I10" s="408" t="s">
        <v>895</v>
      </c>
      <c r="J10" s="10">
        <f>'DETAILS (sorted)'!DO121</f>
        <v>0</v>
      </c>
    </row>
    <row r="11" spans="1:10" x14ac:dyDescent="0.35">
      <c r="A11" s="2">
        <v>6</v>
      </c>
      <c r="B11" s="294"/>
      <c r="C11" s="3"/>
      <c r="D11" s="3"/>
      <c r="E11" s="2"/>
      <c r="F11" s="2"/>
      <c r="H11" s="2"/>
      <c r="I11" s="408" t="s">
        <v>897</v>
      </c>
      <c r="J11" s="10">
        <f>'DETAILS (sorted)'!DQ121</f>
        <v>0</v>
      </c>
    </row>
    <row r="12" spans="1:10" x14ac:dyDescent="0.35">
      <c r="A12" s="2">
        <v>7</v>
      </c>
      <c r="B12" s="294"/>
      <c r="C12" s="3"/>
      <c r="D12" s="3"/>
      <c r="E12" s="2"/>
      <c r="F12" s="2"/>
      <c r="H12" s="2"/>
      <c r="I12" s="408" t="s">
        <v>898</v>
      </c>
      <c r="J12" s="10">
        <f>'DETAILS (sorted)'!DR121</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3600000</v>
      </c>
      <c r="D25" s="3">
        <f>C25+J25</f>
        <v>3652303.4782917108</v>
      </c>
      <c r="E25" s="3">
        <f>'DETAILS (sorted)'!DS121</f>
        <v>3691717.9803632614</v>
      </c>
      <c r="F25" s="3">
        <f>D25-E25</f>
        <v>-39414.502071550582</v>
      </c>
      <c r="G25" t="b">
        <f>D25=E25</f>
        <v>0</v>
      </c>
      <c r="H25" s="2"/>
      <c r="I25" s="2"/>
      <c r="J25" s="10">
        <f>SUM(J5:J24)</f>
        <v>52303.47829171089</v>
      </c>
    </row>
    <row r="27" spans="1:10" x14ac:dyDescent="0.35">
      <c r="C27" s="3" t="s">
        <v>644</v>
      </c>
      <c r="D27" s="3">
        <f>C25+J25</f>
        <v>3652303.4782917108</v>
      </c>
      <c r="E27" s="122">
        <f>D27/D28</f>
        <v>0.36523034782917108</v>
      </c>
      <c r="F27" s="2" t="s">
        <v>652</v>
      </c>
    </row>
    <row r="28" spans="1:10" x14ac:dyDescent="0.35">
      <c r="C28" s="3" t="s">
        <v>650</v>
      </c>
      <c r="D28" s="3">
        <v>10000000</v>
      </c>
      <c r="E28" s="122">
        <f>D28/D28</f>
        <v>1</v>
      </c>
      <c r="F28" s="2" t="s">
        <v>654</v>
      </c>
    </row>
    <row r="29" spans="1:10" x14ac:dyDescent="0.35">
      <c r="C29" s="3"/>
      <c r="D29" s="3">
        <f>D27-D28</f>
        <v>-6347696.5217082892</v>
      </c>
      <c r="E29" s="122">
        <f>D29/D28</f>
        <v>-0.63476965217082892</v>
      </c>
      <c r="F29" s="2" t="s">
        <v>653</v>
      </c>
    </row>
  </sheetData>
  <mergeCells count="1">
    <mergeCell ref="B3:C3"/>
  </mergeCell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32B82-CED8-4A94-9950-A34076CF7816}">
  <dimension ref="A2:J29"/>
  <sheetViews>
    <sheetView workbookViewId="0">
      <selection activeCell="J13" sqref="J13"/>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916</v>
      </c>
      <c r="B3" s="764" t="s">
        <v>917</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(sorted)'!DF122</f>
        <v>18768.599875328226</v>
      </c>
    </row>
    <row r="6" spans="1:10" x14ac:dyDescent="0.35">
      <c r="A6" s="2">
        <v>1</v>
      </c>
      <c r="B6" s="71">
        <v>46200</v>
      </c>
      <c r="C6" s="7">
        <v>7000000</v>
      </c>
      <c r="D6" s="3">
        <f>C6</f>
        <v>7000000</v>
      </c>
      <c r="E6" s="2" t="s">
        <v>30</v>
      </c>
      <c r="F6" s="2">
        <v>2</v>
      </c>
      <c r="H6" s="2"/>
      <c r="I6" s="408" t="s">
        <v>889</v>
      </c>
      <c r="J6" s="10">
        <f>'DETAILS (sorted)'!DG122</f>
        <v>62668.210975848277</v>
      </c>
    </row>
    <row r="7" spans="1:10" x14ac:dyDescent="0.35">
      <c r="A7" s="2">
        <v>2</v>
      </c>
      <c r="B7" s="71"/>
      <c r="C7" s="7"/>
      <c r="D7" s="3"/>
      <c r="E7" s="2"/>
      <c r="F7" s="2">
        <v>2</v>
      </c>
      <c r="H7" s="2"/>
      <c r="I7" s="408" t="s">
        <v>891</v>
      </c>
      <c r="J7" s="10">
        <f>'DETAILS (sorted)'!DL122</f>
        <v>38271.599448039255</v>
      </c>
    </row>
    <row r="8" spans="1:10" x14ac:dyDescent="0.35">
      <c r="A8" s="2">
        <v>3</v>
      </c>
      <c r="B8" s="71"/>
      <c r="C8" s="7"/>
      <c r="D8" s="3"/>
      <c r="E8" s="2"/>
      <c r="F8" s="2"/>
      <c r="H8" s="2"/>
      <c r="I8" s="408" t="s">
        <v>894</v>
      </c>
      <c r="J8" s="10">
        <f>'DETAILS (sorted)'!DM122</f>
        <v>0</v>
      </c>
    </row>
    <row r="9" spans="1:10" x14ac:dyDescent="0.35">
      <c r="A9" s="2">
        <v>4</v>
      </c>
      <c r="B9" s="71"/>
      <c r="C9" s="3"/>
      <c r="D9" s="3"/>
      <c r="E9" s="2"/>
      <c r="F9" s="2"/>
      <c r="H9" s="2"/>
      <c r="I9" s="408" t="s">
        <v>893</v>
      </c>
      <c r="J9" s="10">
        <f>'DETAILS (sorted)'!DN122</f>
        <v>0</v>
      </c>
    </row>
    <row r="10" spans="1:10" x14ac:dyDescent="0.35">
      <c r="A10" s="2">
        <v>5</v>
      </c>
      <c r="B10" s="294"/>
      <c r="C10" s="3"/>
      <c r="D10" s="3"/>
      <c r="E10" s="2"/>
      <c r="F10" s="2"/>
      <c r="H10" s="2"/>
      <c r="I10" s="408" t="s">
        <v>895</v>
      </c>
      <c r="J10" s="10">
        <f>'DETAILS (sorted)'!DO122</f>
        <v>0</v>
      </c>
    </row>
    <row r="11" spans="1:10" x14ac:dyDescent="0.35">
      <c r="A11" s="2">
        <v>6</v>
      </c>
      <c r="B11" s="294"/>
      <c r="C11" s="3"/>
      <c r="D11" s="3"/>
      <c r="E11" s="2"/>
      <c r="F11" s="2"/>
      <c r="H11" s="2"/>
      <c r="I11" s="408" t="s">
        <v>897</v>
      </c>
      <c r="J11" s="10">
        <f>'DETAILS (sorted)'!DQ122</f>
        <v>0</v>
      </c>
    </row>
    <row r="12" spans="1:10" x14ac:dyDescent="0.35">
      <c r="A12" s="2">
        <v>7</v>
      </c>
      <c r="B12" s="294"/>
      <c r="C12" s="3"/>
      <c r="D12" s="3"/>
      <c r="E12" s="2"/>
      <c r="F12" s="2"/>
      <c r="H12" s="2"/>
      <c r="I12" s="408" t="s">
        <v>898</v>
      </c>
      <c r="J12" s="10">
        <f>'DETAILS (sorted)'!DR122</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7000000</v>
      </c>
      <c r="D25" s="3">
        <f>C25+J25</f>
        <v>7119708.4102992155</v>
      </c>
      <c r="E25" s="3">
        <f>'DETAILS (sorted)'!DS122</f>
        <v>13557105.786050687</v>
      </c>
      <c r="F25" s="3">
        <f>D25-E25</f>
        <v>-6437397.3757514711</v>
      </c>
      <c r="G25" t="b">
        <f>D25=E25</f>
        <v>0</v>
      </c>
      <c r="H25" s="2"/>
      <c r="I25" s="2"/>
      <c r="J25" s="10">
        <f>SUM(J5:J24)</f>
        <v>119708.41029921576</v>
      </c>
    </row>
    <row r="27" spans="1:10" x14ac:dyDescent="0.35">
      <c r="C27" s="3" t="s">
        <v>644</v>
      </c>
      <c r="D27" s="3">
        <f>C25+J25</f>
        <v>7119708.4102992155</v>
      </c>
      <c r="E27" s="122">
        <f>D27/D28</f>
        <v>0.71197084102992159</v>
      </c>
      <c r="F27" s="2" t="s">
        <v>652</v>
      </c>
    </row>
    <row r="28" spans="1:10" x14ac:dyDescent="0.35">
      <c r="C28" s="3" t="s">
        <v>650</v>
      </c>
      <c r="D28" s="3">
        <v>10000000</v>
      </c>
      <c r="E28" s="122">
        <f>D28/D28</f>
        <v>1</v>
      </c>
      <c r="F28" s="2" t="s">
        <v>654</v>
      </c>
    </row>
    <row r="29" spans="1:10" x14ac:dyDescent="0.35">
      <c r="C29" s="3"/>
      <c r="D29" s="3">
        <f>D27-D28</f>
        <v>-2880291.5897007845</v>
      </c>
      <c r="E29" s="122">
        <f>D29/D28</f>
        <v>-0.28802915897007847</v>
      </c>
      <c r="F29" s="2" t="s">
        <v>653</v>
      </c>
    </row>
  </sheetData>
  <mergeCells count="1">
    <mergeCell ref="B3:C3"/>
  </mergeCell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9C8EC-828B-4660-A18A-78546AC335EF}">
  <dimension ref="A2:R29"/>
  <sheetViews>
    <sheetView workbookViewId="0">
      <selection activeCell="N16" sqref="N1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8" s="5" customFormat="1" x14ac:dyDescent="0.35">
      <c r="A2" s="74" t="s">
        <v>190</v>
      </c>
      <c r="B2" s="191" t="s">
        <v>0</v>
      </c>
      <c r="C2" s="74"/>
      <c r="D2" s="74" t="s">
        <v>1</v>
      </c>
      <c r="E2" s="74"/>
      <c r="F2" s="75"/>
      <c r="G2" s="63"/>
    </row>
    <row r="3" spans="1:18" ht="28" x14ac:dyDescent="0.35">
      <c r="A3" s="210" t="s">
        <v>923</v>
      </c>
      <c r="B3" s="764" t="s">
        <v>921</v>
      </c>
      <c r="C3" s="765"/>
      <c r="D3" s="71"/>
      <c r="E3" s="11"/>
      <c r="F3" s="11"/>
      <c r="G3" s="11"/>
    </row>
    <row r="4" spans="1:18" x14ac:dyDescent="0.35">
      <c r="H4" s="2" t="s">
        <v>643</v>
      </c>
      <c r="I4" s="74" t="s">
        <v>445</v>
      </c>
      <c r="J4" s="63" t="s">
        <v>568</v>
      </c>
    </row>
    <row r="5" spans="1:18" x14ac:dyDescent="0.35">
      <c r="A5" s="74" t="s">
        <v>487</v>
      </c>
      <c r="B5" s="74" t="s">
        <v>2</v>
      </c>
      <c r="C5" s="191" t="s">
        <v>124</v>
      </c>
      <c r="D5" s="191" t="s">
        <v>488</v>
      </c>
      <c r="E5" s="74" t="s">
        <v>489</v>
      </c>
      <c r="F5" s="74" t="s">
        <v>490</v>
      </c>
      <c r="H5" s="2"/>
      <c r="I5" s="408" t="s">
        <v>887</v>
      </c>
      <c r="J5" s="10">
        <f>'DETAILS (sorted)'!DF123</f>
        <v>9116.1770823022798</v>
      </c>
    </row>
    <row r="6" spans="1:18" x14ac:dyDescent="0.35">
      <c r="A6" s="2">
        <v>1</v>
      </c>
      <c r="B6" s="71">
        <v>46202</v>
      </c>
      <c r="C6" s="7">
        <v>3400000</v>
      </c>
      <c r="D6" s="3">
        <f>C6</f>
        <v>3400000</v>
      </c>
      <c r="E6" s="2" t="s">
        <v>30</v>
      </c>
      <c r="F6" s="2">
        <v>2</v>
      </c>
      <c r="H6" s="2"/>
      <c r="I6" s="408" t="s">
        <v>889</v>
      </c>
      <c r="J6" s="10">
        <f>'DETAILS (sorted)'!DG123</f>
        <v>30438.845331126304</v>
      </c>
    </row>
    <row r="7" spans="1:18" x14ac:dyDescent="0.35">
      <c r="A7" s="2">
        <v>2</v>
      </c>
      <c r="B7" s="71"/>
      <c r="C7" s="7"/>
      <c r="D7" s="3"/>
      <c r="E7" s="2"/>
      <c r="F7" s="2">
        <v>2</v>
      </c>
      <c r="H7" s="2"/>
      <c r="I7" s="408" t="s">
        <v>891</v>
      </c>
      <c r="J7" s="10">
        <f>'DETAILS (sorted)'!DL1226</f>
        <v>0</v>
      </c>
    </row>
    <row r="8" spans="1:18" x14ac:dyDescent="0.35">
      <c r="A8" s="2">
        <v>3</v>
      </c>
      <c r="B8" s="71"/>
      <c r="C8" s="7"/>
      <c r="D8" s="3"/>
      <c r="E8" s="2"/>
      <c r="F8" s="2"/>
      <c r="H8" s="2"/>
      <c r="I8" s="408" t="s">
        <v>894</v>
      </c>
      <c r="J8" s="10">
        <f>'DETAILS (sorted)'!DM123</f>
        <v>0</v>
      </c>
    </row>
    <row r="9" spans="1:18" x14ac:dyDescent="0.35">
      <c r="A9" s="2">
        <v>4</v>
      </c>
      <c r="B9" s="71"/>
      <c r="C9" s="3"/>
      <c r="D9" s="3"/>
      <c r="E9" s="2"/>
      <c r="F9" s="2"/>
      <c r="H9" s="2"/>
      <c r="I9" s="408" t="s">
        <v>893</v>
      </c>
      <c r="J9" s="10">
        <f>'DETAILS (sorted)'!DN123</f>
        <v>0</v>
      </c>
    </row>
    <row r="10" spans="1:18" x14ac:dyDescent="0.35">
      <c r="A10" s="2">
        <v>5</v>
      </c>
      <c r="B10" s="294"/>
      <c r="C10" s="3"/>
      <c r="D10" s="3"/>
      <c r="E10" s="2"/>
      <c r="F10" s="2"/>
      <c r="H10" s="2"/>
      <c r="I10" s="408" t="s">
        <v>895</v>
      </c>
      <c r="J10" s="10">
        <f>'DETAILS (sorted)'!DO123</f>
        <v>0</v>
      </c>
    </row>
    <row r="11" spans="1:18" x14ac:dyDescent="0.35">
      <c r="A11" s="2">
        <v>6</v>
      </c>
      <c r="B11" s="294"/>
      <c r="C11" s="3"/>
      <c r="D11" s="3"/>
      <c r="E11" s="2"/>
      <c r="F11" s="2"/>
      <c r="H11" s="2"/>
      <c r="I11" s="408" t="s">
        <v>897</v>
      </c>
      <c r="J11" s="10">
        <f>'DETAILS (sorted)'!DQ123</f>
        <v>0</v>
      </c>
    </row>
    <row r="12" spans="1:18" x14ac:dyDescent="0.35">
      <c r="A12" s="2">
        <v>7</v>
      </c>
      <c r="B12" s="294"/>
      <c r="C12" s="3"/>
      <c r="D12" s="3"/>
      <c r="E12" s="2"/>
      <c r="F12" s="2"/>
      <c r="H12" s="2"/>
      <c r="I12" s="408" t="s">
        <v>898</v>
      </c>
      <c r="J12" s="10">
        <f>'DETAILS (sorted)'!DR123</f>
        <v>0</v>
      </c>
    </row>
    <row r="13" spans="1:18" x14ac:dyDescent="0.35">
      <c r="A13" s="2">
        <v>8</v>
      </c>
      <c r="B13" s="294"/>
      <c r="C13" s="3"/>
      <c r="D13" s="3"/>
      <c r="E13" s="2"/>
      <c r="F13" s="2"/>
      <c r="H13" s="2"/>
      <c r="I13" s="2"/>
      <c r="J13" s="10"/>
    </row>
    <row r="14" spans="1:18" x14ac:dyDescent="0.35">
      <c r="A14" s="2">
        <v>9</v>
      </c>
      <c r="B14" s="294"/>
      <c r="C14" s="3"/>
      <c r="D14" s="3"/>
      <c r="E14" s="2"/>
      <c r="F14" s="2"/>
      <c r="H14" s="2"/>
      <c r="I14" s="2"/>
      <c r="J14" s="10"/>
      <c r="R14" s="7"/>
    </row>
    <row r="15" spans="1:18" x14ac:dyDescent="0.35">
      <c r="A15" s="2">
        <v>10</v>
      </c>
      <c r="B15" s="295"/>
      <c r="C15" s="205"/>
      <c r="D15" s="3"/>
      <c r="E15" s="2"/>
      <c r="F15" s="2"/>
      <c r="H15" s="2"/>
      <c r="I15" s="2"/>
      <c r="J15" s="10"/>
      <c r="R15" s="7"/>
    </row>
    <row r="16" spans="1:18"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3400000</v>
      </c>
      <c r="D25" s="3">
        <f>C25+J25</f>
        <v>3439555.0224134284</v>
      </c>
      <c r="E25" s="3">
        <f>'DETAILS (sorted)'!DS123</f>
        <v>5510964.4734190051</v>
      </c>
      <c r="F25" s="3">
        <f>D25-E25</f>
        <v>-2071409.4510055766</v>
      </c>
      <c r="G25" t="b">
        <f>D25=E25</f>
        <v>0</v>
      </c>
      <c r="H25" s="2"/>
      <c r="I25" s="2"/>
      <c r="J25" s="10">
        <f>SUM(J5:J24)</f>
        <v>39555.022413428582</v>
      </c>
    </row>
    <row r="27" spans="1:10" x14ac:dyDescent="0.35">
      <c r="C27" s="3" t="s">
        <v>644</v>
      </c>
      <c r="D27" s="3">
        <f>C25+J25</f>
        <v>3439555.0224134284</v>
      </c>
      <c r="E27" s="122">
        <f>D27/D28</f>
        <v>0.34395550224134286</v>
      </c>
      <c r="F27" s="2" t="s">
        <v>652</v>
      </c>
    </row>
    <row r="28" spans="1:10" x14ac:dyDescent="0.35">
      <c r="C28" s="3" t="s">
        <v>650</v>
      </c>
      <c r="D28" s="3">
        <v>10000000</v>
      </c>
      <c r="E28" s="122">
        <f>D28/D28</f>
        <v>1</v>
      </c>
      <c r="F28" s="2" t="s">
        <v>654</v>
      </c>
    </row>
    <row r="29" spans="1:10" x14ac:dyDescent="0.35">
      <c r="C29" s="3"/>
      <c r="D29" s="3">
        <f>D27-D28</f>
        <v>-6560444.9775865711</v>
      </c>
      <c r="E29" s="122">
        <f>D29/D28</f>
        <v>-0.65604449775865714</v>
      </c>
      <c r="F29" s="2" t="s">
        <v>653</v>
      </c>
    </row>
  </sheetData>
  <mergeCells count="1">
    <mergeCell ref="B3:C3"/>
  </mergeCell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BE048-CF40-41B7-A0E6-62CB3A813AB1}">
  <dimension ref="A2:J29"/>
  <sheetViews>
    <sheetView topLeftCell="A3" workbookViewId="0">
      <selection activeCell="N16" sqref="N1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10.1796875" bestFit="1" customWidth="1"/>
  </cols>
  <sheetData>
    <row r="2" spans="1:10" s="5" customFormat="1" x14ac:dyDescent="0.35">
      <c r="A2" s="74" t="s">
        <v>190</v>
      </c>
      <c r="B2" s="191" t="s">
        <v>0</v>
      </c>
      <c r="C2" s="74"/>
      <c r="D2" s="74" t="s">
        <v>1</v>
      </c>
      <c r="E2" s="74"/>
      <c r="F2" s="75"/>
      <c r="G2" s="63"/>
    </row>
    <row r="3" spans="1:10" ht="28" x14ac:dyDescent="0.35">
      <c r="A3" s="210" t="s">
        <v>923</v>
      </c>
      <c r="B3" s="764" t="s">
        <v>924</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(sorted)'!DF124</f>
        <v>8848.0542269404486</v>
      </c>
    </row>
    <row r="6" spans="1:10" x14ac:dyDescent="0.35">
      <c r="A6" s="2">
        <v>1</v>
      </c>
      <c r="B6" s="71">
        <v>46202</v>
      </c>
      <c r="C6" s="7">
        <v>3300000</v>
      </c>
      <c r="D6" s="3">
        <f>C6</f>
        <v>3300000</v>
      </c>
      <c r="E6" s="2" t="s">
        <v>30</v>
      </c>
      <c r="F6" s="2">
        <v>2</v>
      </c>
      <c r="H6" s="2"/>
      <c r="I6" s="408" t="s">
        <v>889</v>
      </c>
      <c r="J6" s="10">
        <f>'DETAILS (sorted)'!DG124</f>
        <v>29543.585174328473</v>
      </c>
    </row>
    <row r="7" spans="1:10" x14ac:dyDescent="0.35">
      <c r="A7" s="2">
        <v>2</v>
      </c>
      <c r="B7" s="71"/>
      <c r="C7" s="7"/>
      <c r="D7" s="3"/>
      <c r="E7" s="2"/>
      <c r="F7" s="2">
        <v>2</v>
      </c>
      <c r="H7" s="2"/>
      <c r="I7" s="408" t="s">
        <v>891</v>
      </c>
      <c r="J7" s="10">
        <f>'DETAILS (sorted)'!DL124</f>
        <v>10977.998059875295</v>
      </c>
    </row>
    <row r="8" spans="1:10" x14ac:dyDescent="0.35">
      <c r="A8" s="2">
        <v>3</v>
      </c>
      <c r="B8" s="71"/>
      <c r="C8" s="7"/>
      <c r="D8" s="3"/>
      <c r="E8" s="2"/>
      <c r="F8" s="2"/>
      <c r="H8" s="2"/>
      <c r="I8" s="408" t="s">
        <v>894</v>
      </c>
      <c r="J8" s="10">
        <f>'DETAILS (sorted)'!DM124</f>
        <v>0</v>
      </c>
    </row>
    <row r="9" spans="1:10" x14ac:dyDescent="0.35">
      <c r="A9" s="2">
        <v>4</v>
      </c>
      <c r="B9" s="71"/>
      <c r="C9" s="3"/>
      <c r="D9" s="3"/>
      <c r="E9" s="2"/>
      <c r="F9" s="2"/>
      <c r="H9" s="2"/>
      <c r="I9" s="408" t="s">
        <v>893</v>
      </c>
      <c r="J9" s="10">
        <f>'DETAILS (sorted)'!DN124</f>
        <v>0</v>
      </c>
    </row>
    <row r="10" spans="1:10" x14ac:dyDescent="0.35">
      <c r="A10" s="2">
        <v>5</v>
      </c>
      <c r="B10" s="294"/>
      <c r="C10" s="3"/>
      <c r="D10" s="3"/>
      <c r="E10" s="2"/>
      <c r="F10" s="2"/>
      <c r="H10" s="2"/>
      <c r="I10" s="408" t="s">
        <v>895</v>
      </c>
      <c r="J10" s="10">
        <f>'DETAILS (sorted)'!DO124</f>
        <v>0</v>
      </c>
    </row>
    <row r="11" spans="1:10" x14ac:dyDescent="0.35">
      <c r="A11" s="2">
        <v>6</v>
      </c>
      <c r="B11" s="294"/>
      <c r="C11" s="3"/>
      <c r="D11" s="3"/>
      <c r="E11" s="2"/>
      <c r="F11" s="2"/>
      <c r="H11" s="2"/>
      <c r="I11" s="408" t="s">
        <v>897</v>
      </c>
      <c r="J11" s="10">
        <f>'DETAILS (sorted)'!DQ124</f>
        <v>0</v>
      </c>
    </row>
    <row r="12" spans="1:10" x14ac:dyDescent="0.35">
      <c r="A12" s="2">
        <v>7</v>
      </c>
      <c r="B12" s="294"/>
      <c r="C12" s="3"/>
      <c r="D12" s="3"/>
      <c r="E12" s="2"/>
      <c r="F12" s="2"/>
      <c r="H12" s="2"/>
      <c r="I12" s="408" t="s">
        <v>898</v>
      </c>
      <c r="J12" s="10">
        <f>'DETAILS (sorted)'!DR124</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3300000</v>
      </c>
      <c r="D25" s="3">
        <f>C25+J25</f>
        <v>3349369.637461144</v>
      </c>
      <c r="E25" s="3">
        <f>'DETAILS (sorted)'!DS124</f>
        <v>3888781.3199145901</v>
      </c>
      <c r="F25" s="3">
        <f>D25-E25</f>
        <v>-539411.68245344609</v>
      </c>
      <c r="G25" t="b">
        <f>D25=E25</f>
        <v>0</v>
      </c>
      <c r="H25" s="2"/>
      <c r="I25" s="2"/>
      <c r="J25" s="10">
        <f>SUM(J5:J24)</f>
        <v>49369.637461144215</v>
      </c>
    </row>
    <row r="27" spans="1:10" x14ac:dyDescent="0.35">
      <c r="C27" s="3" t="s">
        <v>644</v>
      </c>
      <c r="D27" s="3">
        <f>C25+J25</f>
        <v>3349369.637461144</v>
      </c>
      <c r="E27" s="122">
        <f>D27/D28</f>
        <v>0.33493696374611442</v>
      </c>
      <c r="F27" s="2" t="s">
        <v>652</v>
      </c>
    </row>
    <row r="28" spans="1:10" x14ac:dyDescent="0.35">
      <c r="C28" s="3" t="s">
        <v>650</v>
      </c>
      <c r="D28" s="3">
        <v>10000000</v>
      </c>
      <c r="E28" s="122">
        <f>D28/D28</f>
        <v>1</v>
      </c>
      <c r="F28" s="2" t="s">
        <v>654</v>
      </c>
    </row>
    <row r="29" spans="1:10" x14ac:dyDescent="0.35">
      <c r="C29" s="3"/>
      <c r="D29" s="3">
        <f>D27-D28</f>
        <v>-6650630.3625388555</v>
      </c>
      <c r="E29" s="122">
        <f>D29/D28</f>
        <v>-0.66506303625388552</v>
      </c>
      <c r="F29" s="2" t="s">
        <v>653</v>
      </c>
    </row>
  </sheetData>
  <mergeCells count="1">
    <mergeCell ref="B3:C3"/>
  </mergeCell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5BC2C-63E7-4DC9-9B09-486F7318CCFA}">
  <dimension ref="A2:J29"/>
  <sheetViews>
    <sheetView workbookViewId="0">
      <selection activeCell="J13" sqref="J13"/>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10.816406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926</v>
      </c>
      <c r="B3" s="764" t="s">
        <v>929</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(sorted)'!DF125</f>
        <v>9116.1770823022798</v>
      </c>
    </row>
    <row r="6" spans="1:10" x14ac:dyDescent="0.35">
      <c r="A6" s="2">
        <v>1</v>
      </c>
      <c r="B6" s="71">
        <v>46202</v>
      </c>
      <c r="C6" s="7">
        <v>1000000</v>
      </c>
      <c r="D6" s="3">
        <f>C6</f>
        <v>1000000</v>
      </c>
      <c r="E6" s="2" t="s">
        <v>30</v>
      </c>
      <c r="F6" s="2">
        <v>2</v>
      </c>
      <c r="H6" s="2"/>
      <c r="I6" s="408" t="s">
        <v>889</v>
      </c>
      <c r="J6" s="10">
        <f>'DETAILS (sorted)'!DG125</f>
        <v>30438.845331126304</v>
      </c>
    </row>
    <row r="7" spans="1:10" x14ac:dyDescent="0.35">
      <c r="A7" s="2">
        <v>2</v>
      </c>
      <c r="B7" s="71">
        <v>46203</v>
      </c>
      <c r="C7" s="7">
        <v>2400000</v>
      </c>
      <c r="D7" s="3">
        <f>D6+C7</f>
        <v>3400000</v>
      </c>
      <c r="E7" s="2" t="s">
        <v>30</v>
      </c>
      <c r="F7" s="2">
        <v>2</v>
      </c>
      <c r="H7" s="2"/>
      <c r="I7" s="408" t="s">
        <v>891</v>
      </c>
      <c r="J7" s="10">
        <f>'DETAILS (sorted)'!DL125</f>
        <v>9837.3047646536779</v>
      </c>
    </row>
    <row r="8" spans="1:10" x14ac:dyDescent="0.35">
      <c r="A8" s="2">
        <v>3</v>
      </c>
      <c r="B8" s="71"/>
      <c r="C8" s="7"/>
      <c r="D8" s="3"/>
      <c r="E8" s="2"/>
      <c r="F8" s="2"/>
      <c r="H8" s="2"/>
      <c r="I8" s="408" t="s">
        <v>894</v>
      </c>
      <c r="J8" s="10">
        <f>'DETAILS (sorted)'!DM125</f>
        <v>0</v>
      </c>
    </row>
    <row r="9" spans="1:10" x14ac:dyDescent="0.35">
      <c r="A9" s="2">
        <v>4</v>
      </c>
      <c r="B9" s="71"/>
      <c r="C9" s="3"/>
      <c r="D9" s="3"/>
      <c r="E9" s="2"/>
      <c r="F9" s="2"/>
      <c r="H9" s="2"/>
      <c r="I9" s="408" t="s">
        <v>893</v>
      </c>
      <c r="J9" s="10">
        <f>'DETAILS (sorted)'!DN125</f>
        <v>0</v>
      </c>
    </row>
    <row r="10" spans="1:10" x14ac:dyDescent="0.35">
      <c r="A10" s="2">
        <v>5</v>
      </c>
      <c r="B10" s="294"/>
      <c r="C10" s="3"/>
      <c r="D10" s="3"/>
      <c r="E10" s="2"/>
      <c r="F10" s="2"/>
      <c r="H10" s="2"/>
      <c r="I10" s="408" t="s">
        <v>895</v>
      </c>
      <c r="J10" s="10">
        <f>'DETAILS (sorted)'!DO125</f>
        <v>0</v>
      </c>
    </row>
    <row r="11" spans="1:10" x14ac:dyDescent="0.35">
      <c r="A11" s="2">
        <v>6</v>
      </c>
      <c r="B11" s="294"/>
      <c r="C11" s="3"/>
      <c r="D11" s="3"/>
      <c r="E11" s="2"/>
      <c r="F11" s="2"/>
      <c r="H11" s="2"/>
      <c r="I11" s="408" t="s">
        <v>897</v>
      </c>
      <c r="J11" s="10">
        <f>'DETAILS (sorted)'!DQ125</f>
        <v>0</v>
      </c>
    </row>
    <row r="12" spans="1:10" x14ac:dyDescent="0.35">
      <c r="A12" s="2">
        <v>7</v>
      </c>
      <c r="B12" s="294"/>
      <c r="C12" s="3"/>
      <c r="D12" s="3"/>
      <c r="E12" s="2"/>
      <c r="F12" s="2"/>
      <c r="H12" s="2"/>
      <c r="I12" s="408" t="s">
        <v>898</v>
      </c>
      <c r="J12" s="10">
        <f>'DETAILS (sorted)'!DR125</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3400000</v>
      </c>
      <c r="D25" s="3">
        <f>C25+J25</f>
        <v>3449392.3271780824</v>
      </c>
      <c r="E25" s="3">
        <f>'DETAILS (sorted)'!DS125</f>
        <v>3484708.8511442649</v>
      </c>
      <c r="F25" s="3">
        <f>D25-E25</f>
        <v>-35316.523966182489</v>
      </c>
      <c r="G25" t="b">
        <f>D25=E25</f>
        <v>0</v>
      </c>
      <c r="H25" s="2"/>
      <c r="I25" s="2"/>
      <c r="J25" s="10">
        <f>SUM(J5:J24)</f>
        <v>49392.327178082262</v>
      </c>
    </row>
    <row r="27" spans="1:10" x14ac:dyDescent="0.35">
      <c r="C27" s="3" t="s">
        <v>644</v>
      </c>
      <c r="D27" s="3">
        <f>C25+J25</f>
        <v>3449392.3271780824</v>
      </c>
      <c r="E27" s="122">
        <f>D27/D28</f>
        <v>0.34493923271780824</v>
      </c>
      <c r="F27" s="2" t="s">
        <v>652</v>
      </c>
    </row>
    <row r="28" spans="1:10" x14ac:dyDescent="0.35">
      <c r="C28" s="3" t="s">
        <v>650</v>
      </c>
      <c r="D28" s="3">
        <v>10000000</v>
      </c>
      <c r="E28" s="122">
        <f>D28/D28</f>
        <v>1</v>
      </c>
      <c r="F28" s="2" t="s">
        <v>654</v>
      </c>
    </row>
    <row r="29" spans="1:10" x14ac:dyDescent="0.35">
      <c r="C29" s="3"/>
      <c r="D29" s="3">
        <f>D27-D28</f>
        <v>-6550607.6728219176</v>
      </c>
      <c r="E29" s="122">
        <f>D29/D28</f>
        <v>-0.65506076728219176</v>
      </c>
      <c r="F29" s="2" t="s">
        <v>653</v>
      </c>
    </row>
  </sheetData>
  <mergeCells count="1">
    <mergeCell ref="B3:C3"/>
  </mergeCell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1A405-D590-426D-B4B8-C0BBE4F96E59}">
  <dimension ref="A2:J29"/>
  <sheetViews>
    <sheetView topLeftCell="A11" workbookViewId="0">
      <selection activeCell="J13" sqref="J13"/>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927</v>
      </c>
      <c r="B3" s="764" t="s">
        <v>928</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(sorted)'!DF126</f>
        <v>8579.9313715786157</v>
      </c>
    </row>
    <row r="6" spans="1:10" x14ac:dyDescent="0.35">
      <c r="A6" s="2">
        <v>1</v>
      </c>
      <c r="B6" s="71">
        <v>46202</v>
      </c>
      <c r="C6" s="7">
        <v>3200000</v>
      </c>
      <c r="D6" s="3">
        <f>C6</f>
        <v>3200000</v>
      </c>
      <c r="E6" s="2" t="s">
        <v>30</v>
      </c>
      <c r="F6" s="2">
        <v>2</v>
      </c>
      <c r="H6" s="2"/>
      <c r="I6" s="408" t="s">
        <v>889</v>
      </c>
      <c r="J6" s="10">
        <f>'DETAILS (sorted)'!DG126</f>
        <v>28648.325017530638</v>
      </c>
    </row>
    <row r="7" spans="1:10" x14ac:dyDescent="0.35">
      <c r="A7" s="2">
        <v>2</v>
      </c>
      <c r="B7" s="71">
        <v>46205</v>
      </c>
      <c r="C7" s="7">
        <v>200000</v>
      </c>
      <c r="D7" s="3">
        <f>D6+C7</f>
        <v>3400000</v>
      </c>
      <c r="E7" s="2" t="s">
        <v>30</v>
      </c>
      <c r="F7" s="2">
        <v>2</v>
      </c>
      <c r="H7" s="2"/>
      <c r="I7" s="408" t="s">
        <v>891</v>
      </c>
      <c r="J7" s="10">
        <f>'DETAILS (sorted)'!DL126</f>
        <v>9830.6500938174449</v>
      </c>
    </row>
    <row r="8" spans="1:10" x14ac:dyDescent="0.35">
      <c r="A8" s="2">
        <v>3</v>
      </c>
      <c r="B8" s="71"/>
      <c r="C8" s="7"/>
      <c r="D8" s="3"/>
      <c r="E8" s="2"/>
      <c r="F8" s="2"/>
      <c r="H8" s="2"/>
      <c r="I8" s="408" t="s">
        <v>894</v>
      </c>
      <c r="J8" s="10">
        <f>'DETAILS (sorted)'!DM126</f>
        <v>0</v>
      </c>
    </row>
    <row r="9" spans="1:10" x14ac:dyDescent="0.35">
      <c r="A9" s="2">
        <v>4</v>
      </c>
      <c r="B9" s="71"/>
      <c r="C9" s="3"/>
      <c r="D9" s="3"/>
      <c r="E9" s="2"/>
      <c r="F9" s="2"/>
      <c r="H9" s="2"/>
      <c r="I9" s="408" t="s">
        <v>893</v>
      </c>
      <c r="J9" s="10">
        <f>'DETAILS (sorted)'!DN126</f>
        <v>0</v>
      </c>
    </row>
    <row r="10" spans="1:10" x14ac:dyDescent="0.35">
      <c r="A10" s="2">
        <v>5</v>
      </c>
      <c r="B10" s="294"/>
      <c r="C10" s="3"/>
      <c r="D10" s="3"/>
      <c r="E10" s="2"/>
      <c r="F10" s="2"/>
      <c r="H10" s="2"/>
      <c r="I10" s="408" t="s">
        <v>895</v>
      </c>
      <c r="J10" s="10">
        <f>'DETAILS (sorted)'!DO126</f>
        <v>0</v>
      </c>
    </row>
    <row r="11" spans="1:10" x14ac:dyDescent="0.35">
      <c r="A11" s="2">
        <v>6</v>
      </c>
      <c r="B11" s="294"/>
      <c r="C11" s="3"/>
      <c r="D11" s="3"/>
      <c r="E11" s="2"/>
      <c r="F11" s="2"/>
      <c r="H11" s="2"/>
      <c r="I11" s="408" t="s">
        <v>897</v>
      </c>
      <c r="J11" s="10">
        <f>'DETAILS (sorted)'!DQ126</f>
        <v>0</v>
      </c>
    </row>
    <row r="12" spans="1:10" x14ac:dyDescent="0.35">
      <c r="A12" s="2">
        <v>7</v>
      </c>
      <c r="B12" s="294"/>
      <c r="C12" s="3"/>
      <c r="D12" s="3"/>
      <c r="E12" s="2"/>
      <c r="F12" s="2"/>
      <c r="H12" s="2"/>
      <c r="I12" s="408" t="s">
        <v>898</v>
      </c>
      <c r="J12" s="10">
        <f>'DETAILS (sorted)'!DR126</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3400000</v>
      </c>
      <c r="D25" s="3">
        <f>C25+J25</f>
        <v>3447058.9064829266</v>
      </c>
      <c r="E25" s="3">
        <f>'DETAILS (sorted)'!DS126</f>
        <v>3482351.5397750176</v>
      </c>
      <c r="F25" s="3">
        <f>D25-E25</f>
        <v>-35292.633292091079</v>
      </c>
      <c r="G25" t="b">
        <f>D25=E25</f>
        <v>0</v>
      </c>
      <c r="H25" s="2"/>
      <c r="I25" s="2"/>
      <c r="J25" s="10">
        <f>SUM(J5:J24)</f>
        <v>47058.906482926701</v>
      </c>
    </row>
    <row r="27" spans="1:10" x14ac:dyDescent="0.35">
      <c r="C27" s="3" t="s">
        <v>644</v>
      </c>
      <c r="D27" s="3">
        <f>C25+J25</f>
        <v>3447058.9064829266</v>
      </c>
      <c r="E27" s="122">
        <f>D27/D28</f>
        <v>0.34470589064829266</v>
      </c>
      <c r="F27" s="2" t="s">
        <v>652</v>
      </c>
    </row>
    <row r="28" spans="1:10" x14ac:dyDescent="0.35">
      <c r="C28" s="3" t="s">
        <v>650</v>
      </c>
      <c r="D28" s="3">
        <v>10000000</v>
      </c>
      <c r="E28" s="122">
        <f>D28/D28</f>
        <v>1</v>
      </c>
      <c r="F28" s="2" t="s">
        <v>654</v>
      </c>
    </row>
    <row r="29" spans="1:10" x14ac:dyDescent="0.35">
      <c r="C29" s="3"/>
      <c r="D29" s="3">
        <f>D27-D28</f>
        <v>-6552941.0935170734</v>
      </c>
      <c r="E29" s="122">
        <f>D29/D28</f>
        <v>-0.65529410935170729</v>
      </c>
      <c r="F29" s="2" t="s">
        <v>653</v>
      </c>
    </row>
  </sheetData>
  <mergeCells count="1">
    <mergeCell ref="B3:C3"/>
  </mergeCell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CF3D1-D8F7-456E-AFEF-5347B1176A9D}">
  <dimension ref="A2:J29"/>
  <sheetViews>
    <sheetView workbookViewId="0">
      <selection activeCell="N16" sqref="N1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10.1796875" bestFit="1" customWidth="1"/>
  </cols>
  <sheetData>
    <row r="2" spans="1:10" s="5" customFormat="1" x14ac:dyDescent="0.35">
      <c r="A2" s="74" t="s">
        <v>190</v>
      </c>
      <c r="B2" s="191" t="s">
        <v>0</v>
      </c>
      <c r="C2" s="74"/>
      <c r="D2" s="74" t="s">
        <v>1</v>
      </c>
      <c r="E2" s="74"/>
      <c r="F2" s="75"/>
      <c r="G2" s="63"/>
    </row>
    <row r="3" spans="1:10" ht="28" x14ac:dyDescent="0.35">
      <c r="A3" s="210" t="s">
        <v>930</v>
      </c>
      <c r="B3" s="764" t="s">
        <v>931</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(sorted)'!DF127</f>
        <v>13406.142768091588</v>
      </c>
    </row>
    <row r="6" spans="1:10" x14ac:dyDescent="0.35">
      <c r="A6" s="2">
        <v>1</v>
      </c>
      <c r="B6" s="71">
        <v>46202</v>
      </c>
      <c r="C6" s="7">
        <v>5000000</v>
      </c>
      <c r="D6" s="3">
        <f>C6</f>
        <v>5000000</v>
      </c>
      <c r="E6" s="2" t="s">
        <v>30</v>
      </c>
      <c r="F6" s="2">
        <v>2</v>
      </c>
      <c r="H6" s="2"/>
      <c r="I6" s="408" t="s">
        <v>889</v>
      </c>
      <c r="J6" s="10">
        <f>'DETAILS (sorted)'!DG127</f>
        <v>44763.007839891623</v>
      </c>
    </row>
    <row r="7" spans="1:10" x14ac:dyDescent="0.35">
      <c r="A7" s="2">
        <v>2</v>
      </c>
      <c r="B7" s="71"/>
      <c r="C7" s="7"/>
      <c r="D7" s="3"/>
      <c r="E7" s="2"/>
      <c r="F7" s="2">
        <v>2</v>
      </c>
      <c r="H7" s="2"/>
      <c r="I7" s="408" t="s">
        <v>891</v>
      </c>
      <c r="J7" s="10">
        <f>'DETAILS (sorted)'!DL127</f>
        <v>43067.140419895797</v>
      </c>
    </row>
    <row r="8" spans="1:10" x14ac:dyDescent="0.35">
      <c r="A8" s="2">
        <v>3</v>
      </c>
      <c r="B8" s="71"/>
      <c r="C8" s="7"/>
      <c r="D8" s="3"/>
      <c r="E8" s="2"/>
      <c r="F8" s="2"/>
      <c r="H8" s="2"/>
      <c r="I8" s="408" t="s">
        <v>894</v>
      </c>
      <c r="J8" s="10">
        <f>'DETAILS (sorted)'!DM127</f>
        <v>0</v>
      </c>
    </row>
    <row r="9" spans="1:10" x14ac:dyDescent="0.35">
      <c r="A9" s="2">
        <v>4</v>
      </c>
      <c r="B9" s="71"/>
      <c r="C9" s="3"/>
      <c r="D9" s="3"/>
      <c r="E9" s="2"/>
      <c r="F9" s="2"/>
      <c r="H9" s="2"/>
      <c r="I9" s="408" t="s">
        <v>893</v>
      </c>
      <c r="J9" s="10">
        <f>'DETAILS (sorted)'!DN127</f>
        <v>0</v>
      </c>
    </row>
    <row r="10" spans="1:10" x14ac:dyDescent="0.35">
      <c r="A10" s="2">
        <v>5</v>
      </c>
      <c r="B10" s="294"/>
      <c r="C10" s="3"/>
      <c r="D10" s="3"/>
      <c r="E10" s="2"/>
      <c r="F10" s="2"/>
      <c r="H10" s="2"/>
      <c r="I10" s="408" t="s">
        <v>895</v>
      </c>
      <c r="J10" s="10">
        <f>'DETAILS (sorted)'!DO127</f>
        <v>0</v>
      </c>
    </row>
    <row r="11" spans="1:10" x14ac:dyDescent="0.35">
      <c r="A11" s="2">
        <v>6</v>
      </c>
      <c r="B11" s="294"/>
      <c r="C11" s="3"/>
      <c r="D11" s="3"/>
      <c r="E11" s="2"/>
      <c r="F11" s="2"/>
      <c r="H11" s="2"/>
      <c r="I11" s="408" t="s">
        <v>897</v>
      </c>
      <c r="J11" s="10">
        <f>'DETAILS (sorted)'!DQ127</f>
        <v>0</v>
      </c>
    </row>
    <row r="12" spans="1:10" x14ac:dyDescent="0.35">
      <c r="A12" s="2">
        <v>7</v>
      </c>
      <c r="B12" s="294"/>
      <c r="C12" s="3"/>
      <c r="D12" s="3"/>
      <c r="E12" s="2"/>
      <c r="F12" s="2"/>
      <c r="H12" s="2"/>
      <c r="I12" s="408" t="s">
        <v>898</v>
      </c>
      <c r="J12" s="10">
        <f>'DETAILS (sorted)'!DR127</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5000000</v>
      </c>
      <c r="D25" s="3">
        <f>C25+J25</f>
        <v>5101236.2910278793</v>
      </c>
      <c r="E25" s="3">
        <f>'DETAILS (sorted)'!DS127</f>
        <v>15255849.951291742</v>
      </c>
      <c r="F25" s="3">
        <f>D25-E25</f>
        <v>-10154613.660263862</v>
      </c>
      <c r="G25" t="b">
        <f>D25=E25</f>
        <v>0</v>
      </c>
      <c r="H25" s="2"/>
      <c r="I25" s="2"/>
      <c r="J25" s="10">
        <f>SUM(J5:J24)</f>
        <v>101236.29102787901</v>
      </c>
    </row>
    <row r="27" spans="1:10" x14ac:dyDescent="0.35">
      <c r="C27" s="3" t="s">
        <v>644</v>
      </c>
      <c r="D27" s="3">
        <f>C25+J25</f>
        <v>5101236.2910278793</v>
      </c>
      <c r="E27" s="122">
        <f>D27/D28</f>
        <v>0.51012362910278797</v>
      </c>
      <c r="F27" s="2" t="s">
        <v>652</v>
      </c>
    </row>
    <row r="28" spans="1:10" x14ac:dyDescent="0.35">
      <c r="C28" s="3" t="s">
        <v>650</v>
      </c>
      <c r="D28" s="3">
        <v>10000000</v>
      </c>
      <c r="E28" s="122">
        <f>D28/D28</f>
        <v>1</v>
      </c>
      <c r="F28" s="2" t="s">
        <v>654</v>
      </c>
    </row>
    <row r="29" spans="1:10" x14ac:dyDescent="0.35">
      <c r="C29" s="3"/>
      <c r="D29" s="3">
        <f>D27-D28</f>
        <v>-4898763.7089721207</v>
      </c>
      <c r="E29" s="122">
        <f>D29/D28</f>
        <v>-0.48987637089721209</v>
      </c>
      <c r="F29" s="2" t="s">
        <v>653</v>
      </c>
    </row>
  </sheetData>
  <mergeCells count="1">
    <mergeCell ref="B3:C3"/>
  </mergeCell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3127C-EF99-4D2E-B78F-BC5B2F506AA1}">
  <dimension ref="A2:S29"/>
  <sheetViews>
    <sheetView workbookViewId="0">
      <selection activeCell="J13" sqref="J13"/>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933</v>
      </c>
      <c r="B3" s="764" t="s">
        <v>934</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(sorted)'!DF128</f>
        <v>9390.4533571946668</v>
      </c>
    </row>
    <row r="6" spans="1:10" x14ac:dyDescent="0.35">
      <c r="A6" s="2">
        <v>1</v>
      </c>
      <c r="B6" s="71">
        <v>46202</v>
      </c>
      <c r="C6" s="7">
        <v>2612</v>
      </c>
      <c r="D6" s="3">
        <f>C6</f>
        <v>2612</v>
      </c>
      <c r="E6" s="2" t="s">
        <v>30</v>
      </c>
      <c r="F6" s="2">
        <v>2</v>
      </c>
      <c r="H6" s="2"/>
      <c r="I6" s="408" t="s">
        <v>889</v>
      </c>
      <c r="J6" s="10">
        <f>'DETAILS (sorted)'!DG128</f>
        <v>31354.651708522648</v>
      </c>
    </row>
    <row r="7" spans="1:10" x14ac:dyDescent="0.35">
      <c r="A7" s="2">
        <v>2</v>
      </c>
      <c r="B7" s="71">
        <v>46202</v>
      </c>
      <c r="C7" s="7">
        <v>3499683</v>
      </c>
      <c r="D7" s="3">
        <f>D6+C7</f>
        <v>3502295</v>
      </c>
      <c r="E7" s="2" t="s">
        <v>30</v>
      </c>
      <c r="F7" s="2">
        <v>2</v>
      </c>
      <c r="H7" s="2"/>
      <c r="I7" s="408" t="s">
        <v>891</v>
      </c>
      <c r="J7" s="10">
        <f>'DETAILS (sorted)'!DL128</f>
        <v>15853.380591646535</v>
      </c>
    </row>
    <row r="8" spans="1:10" x14ac:dyDescent="0.35">
      <c r="A8" s="2">
        <v>3</v>
      </c>
      <c r="B8" s="71"/>
      <c r="C8" s="7"/>
      <c r="D8" s="3"/>
      <c r="E8" s="2"/>
      <c r="F8" s="2"/>
      <c r="H8" s="2"/>
      <c r="I8" s="408" t="s">
        <v>894</v>
      </c>
      <c r="J8" s="10">
        <f>'DETAILS (sorted)'!DM128</f>
        <v>0</v>
      </c>
    </row>
    <row r="9" spans="1:10" x14ac:dyDescent="0.35">
      <c r="A9" s="2">
        <v>4</v>
      </c>
      <c r="B9" s="71"/>
      <c r="C9" s="3"/>
      <c r="D9" s="3"/>
      <c r="E9" s="2"/>
      <c r="F9" s="2"/>
      <c r="H9" s="2"/>
      <c r="I9" s="408" t="s">
        <v>893</v>
      </c>
      <c r="J9" s="10">
        <f>'DETAILS (sorted)'!DN128</f>
        <v>0</v>
      </c>
    </row>
    <row r="10" spans="1:10" x14ac:dyDescent="0.35">
      <c r="A10" s="2">
        <v>5</v>
      </c>
      <c r="B10" s="294"/>
      <c r="C10" s="3"/>
      <c r="D10" s="3"/>
      <c r="E10" s="2"/>
      <c r="F10" s="2"/>
      <c r="H10" s="2"/>
      <c r="I10" s="408" t="s">
        <v>895</v>
      </c>
      <c r="J10" s="10">
        <f>'DETAILS (sorted)'!DO128</f>
        <v>0</v>
      </c>
    </row>
    <row r="11" spans="1:10" x14ac:dyDescent="0.35">
      <c r="A11" s="2">
        <v>6</v>
      </c>
      <c r="B11" s="294"/>
      <c r="C11" s="3"/>
      <c r="D11" s="3"/>
      <c r="E11" s="2"/>
      <c r="F11" s="2"/>
      <c r="H11" s="2"/>
      <c r="I11" s="408" t="s">
        <v>897</v>
      </c>
      <c r="J11" s="10">
        <f>'DETAILS (sorted)'!DQ128</f>
        <v>0</v>
      </c>
    </row>
    <row r="12" spans="1:10" x14ac:dyDescent="0.35">
      <c r="A12" s="2">
        <v>7</v>
      </c>
      <c r="B12" s="294"/>
      <c r="C12" s="3"/>
      <c r="D12" s="3"/>
      <c r="E12" s="2"/>
      <c r="F12" s="2"/>
      <c r="H12" s="2"/>
      <c r="I12" s="408" t="s">
        <v>898</v>
      </c>
      <c r="J12" s="10">
        <f>'DETAILS (sorted)'!DR128</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t="s">
        <v>934</v>
      </c>
    </row>
    <row r="19" spans="1:19" ht="16" x14ac:dyDescent="0.4">
      <c r="A19" s="2"/>
      <c r="B19" s="2"/>
      <c r="C19" s="3"/>
      <c r="D19" s="3"/>
      <c r="E19" s="2"/>
      <c r="F19" s="2"/>
      <c r="H19" s="2"/>
      <c r="I19" s="2"/>
      <c r="J19" s="10"/>
      <c r="S19" s="134" t="s">
        <v>936</v>
      </c>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3502295</v>
      </c>
      <c r="D25" s="3">
        <f>C25+J25</f>
        <v>3558893.4856573637</v>
      </c>
      <c r="E25" s="3">
        <f>'DETAILS (sorted)'!DS128</f>
        <v>5615808.0886918893</v>
      </c>
      <c r="F25" s="3">
        <f>D25-E25</f>
        <v>-2056914.6030345256</v>
      </c>
      <c r="G25" t="b">
        <f>D25=E25</f>
        <v>0</v>
      </c>
      <c r="H25" s="2"/>
      <c r="I25" s="2"/>
      <c r="J25" s="10">
        <f>SUM(J5:J24)</f>
        <v>56598.485657363854</v>
      </c>
    </row>
    <row r="27" spans="1:19" x14ac:dyDescent="0.35">
      <c r="C27" s="3" t="s">
        <v>644</v>
      </c>
      <c r="D27" s="3">
        <f>C25+J25</f>
        <v>3558893.4856573637</v>
      </c>
      <c r="E27" s="122">
        <f>D27/D28</f>
        <v>0.35588934856573634</v>
      </c>
      <c r="F27" s="2" t="s">
        <v>652</v>
      </c>
    </row>
    <row r="28" spans="1:19" x14ac:dyDescent="0.35">
      <c r="C28" s="3" t="s">
        <v>650</v>
      </c>
      <c r="D28" s="3">
        <v>10000000</v>
      </c>
      <c r="E28" s="122">
        <f>D28/D28</f>
        <v>1</v>
      </c>
      <c r="F28" s="2" t="s">
        <v>654</v>
      </c>
    </row>
    <row r="29" spans="1:19" x14ac:dyDescent="0.35">
      <c r="C29" s="3"/>
      <c r="D29" s="3">
        <f>D27-D28</f>
        <v>-6441106.5143426359</v>
      </c>
      <c r="E29" s="122">
        <f>D29/D28</f>
        <v>-0.6441106514342636</v>
      </c>
      <c r="F29" s="2" t="s">
        <v>653</v>
      </c>
    </row>
  </sheetData>
  <mergeCells count="1">
    <mergeCell ref="B3:C3"/>
  </mergeCell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651B5-E441-49F5-B6A1-0E3600EC352F}">
  <dimension ref="A2:S29"/>
  <sheetViews>
    <sheetView topLeftCell="A2" workbookViewId="0">
      <selection activeCell="J13" sqref="J13"/>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935</v>
      </c>
      <c r="B3" s="764" t="s">
        <v>936</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(sorted)'!DF129</f>
        <v>9116.1770823022798</v>
      </c>
    </row>
    <row r="6" spans="1:10" x14ac:dyDescent="0.35">
      <c r="A6" s="2">
        <v>1</v>
      </c>
      <c r="B6" s="71">
        <v>46202</v>
      </c>
      <c r="C6" s="7">
        <v>3400000</v>
      </c>
      <c r="D6" s="3">
        <f>C6</f>
        <v>3400000</v>
      </c>
      <c r="E6" s="2" t="s">
        <v>30</v>
      </c>
      <c r="F6" s="2">
        <v>2</v>
      </c>
      <c r="H6" s="2"/>
      <c r="I6" s="408" t="s">
        <v>889</v>
      </c>
      <c r="J6" s="10">
        <f>'DETAILS (sorted)'!DG129</f>
        <v>30438.845331126304</v>
      </c>
    </row>
    <row r="7" spans="1:10" x14ac:dyDescent="0.35">
      <c r="A7" s="2">
        <v>2</v>
      </c>
      <c r="B7" s="71"/>
      <c r="C7" s="7"/>
      <c r="D7" s="3"/>
      <c r="E7" s="2"/>
      <c r="F7" s="2">
        <v>2</v>
      </c>
      <c r="H7" s="2"/>
      <c r="I7" s="408" t="s">
        <v>891</v>
      </c>
      <c r="J7" s="10">
        <f>'DETAILS (sorted)'!DL129</f>
        <v>9837.3047646536779</v>
      </c>
    </row>
    <row r="8" spans="1:10" x14ac:dyDescent="0.35">
      <c r="A8" s="2">
        <v>3</v>
      </c>
      <c r="B8" s="71"/>
      <c r="C8" s="7"/>
      <c r="D8" s="3"/>
      <c r="E8" s="2"/>
      <c r="F8" s="2"/>
      <c r="H8" s="2"/>
      <c r="I8" s="408" t="s">
        <v>894</v>
      </c>
      <c r="J8" s="10">
        <f>'DETAILS (sorted)'!DM129</f>
        <v>0</v>
      </c>
    </row>
    <row r="9" spans="1:10" x14ac:dyDescent="0.35">
      <c r="A9" s="2">
        <v>4</v>
      </c>
      <c r="B9" s="71"/>
      <c r="C9" s="3"/>
      <c r="D9" s="3"/>
      <c r="E9" s="2"/>
      <c r="F9" s="2"/>
      <c r="H9" s="2"/>
      <c r="I9" s="408" t="s">
        <v>893</v>
      </c>
      <c r="J9" s="10">
        <f>'DETAILS (sorted)'!DN129</f>
        <v>0</v>
      </c>
    </row>
    <row r="10" spans="1:10" x14ac:dyDescent="0.35">
      <c r="A10" s="2">
        <v>5</v>
      </c>
      <c r="B10" s="294"/>
      <c r="C10" s="3"/>
      <c r="D10" s="3"/>
      <c r="E10" s="2"/>
      <c r="F10" s="2"/>
      <c r="H10" s="2"/>
      <c r="I10" s="408" t="s">
        <v>895</v>
      </c>
      <c r="J10" s="10">
        <f>'DETAILS (sorted)'!DO129</f>
        <v>0</v>
      </c>
    </row>
    <row r="11" spans="1:10" x14ac:dyDescent="0.35">
      <c r="A11" s="2">
        <v>6</v>
      </c>
      <c r="B11" s="294"/>
      <c r="C11" s="3"/>
      <c r="D11" s="3"/>
      <c r="E11" s="2"/>
      <c r="F11" s="2"/>
      <c r="H11" s="2"/>
      <c r="I11" s="408" t="s">
        <v>897</v>
      </c>
      <c r="J11" s="10">
        <f>'DETAILS (sorted)'!DQ129</f>
        <v>0</v>
      </c>
    </row>
    <row r="12" spans="1:10" x14ac:dyDescent="0.35">
      <c r="A12" s="2">
        <v>7</v>
      </c>
      <c r="B12" s="294"/>
      <c r="C12" s="3"/>
      <c r="D12" s="3"/>
      <c r="E12" s="2"/>
      <c r="F12" s="2"/>
      <c r="H12" s="2"/>
      <c r="I12" s="408" t="s">
        <v>898</v>
      </c>
      <c r="J12" s="10">
        <f>'DETAILS (sorted)'!DR129</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row>
    <row r="19" spans="1:19" ht="16" x14ac:dyDescent="0.4">
      <c r="A19" s="2"/>
      <c r="B19" s="2"/>
      <c r="C19" s="3"/>
      <c r="D19" s="3"/>
      <c r="E19" s="2"/>
      <c r="F19" s="2"/>
      <c r="H19" s="2"/>
      <c r="I19" s="2"/>
      <c r="J19" s="10"/>
      <c r="S19" s="134"/>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3400000</v>
      </c>
      <c r="D25" s="3">
        <f>C25+J25</f>
        <v>3449392.3271780824</v>
      </c>
      <c r="E25" s="3">
        <f>'DETAILS (sorted)'!DS129</f>
        <v>3484708.8511442649</v>
      </c>
      <c r="F25" s="3">
        <f>D25-E25</f>
        <v>-35316.523966182489</v>
      </c>
      <c r="G25" t="b">
        <f>D25=E25</f>
        <v>0</v>
      </c>
      <c r="H25" s="2"/>
      <c r="I25" s="2"/>
      <c r="J25" s="10">
        <f>SUM(J5:J24)</f>
        <v>49392.327178082262</v>
      </c>
    </row>
    <row r="27" spans="1:19" x14ac:dyDescent="0.35">
      <c r="C27" s="3" t="s">
        <v>644</v>
      </c>
      <c r="D27" s="3">
        <f>C25+J25</f>
        <v>3449392.3271780824</v>
      </c>
      <c r="E27" s="122">
        <f>D27/D28</f>
        <v>0.34493923271780824</v>
      </c>
      <c r="F27" s="2" t="s">
        <v>652</v>
      </c>
    </row>
    <row r="28" spans="1:19" x14ac:dyDescent="0.35">
      <c r="C28" s="3" t="s">
        <v>650</v>
      </c>
      <c r="D28" s="3">
        <v>10000000</v>
      </c>
      <c r="E28" s="122">
        <f>D28/D28</f>
        <v>1</v>
      </c>
      <c r="F28" s="2" t="s">
        <v>654</v>
      </c>
    </row>
    <row r="29" spans="1:19" x14ac:dyDescent="0.35">
      <c r="C29" s="3"/>
      <c r="D29" s="3">
        <f>D27-D28</f>
        <v>-6550607.6728219176</v>
      </c>
      <c r="E29" s="122">
        <f>D29/D28</f>
        <v>-0.65506076728219176</v>
      </c>
      <c r="F29" s="2" t="s">
        <v>653</v>
      </c>
    </row>
  </sheetData>
  <mergeCells count="1">
    <mergeCell ref="B3:C3"/>
  </mergeCell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D379A-8863-433B-AEFD-460073CD2786}">
  <dimension ref="A2:S29"/>
  <sheetViews>
    <sheetView workbookViewId="0">
      <selection activeCell="J7" sqref="J7"/>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949</v>
      </c>
      <c r="B3" s="764" t="s">
        <v>948</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(sorted)'!DF130</f>
        <v>9384.2999376641128</v>
      </c>
    </row>
    <row r="6" spans="1:10" x14ac:dyDescent="0.35">
      <c r="A6" s="2">
        <v>1</v>
      </c>
      <c r="B6" s="71">
        <v>46203</v>
      </c>
      <c r="C6" s="7">
        <v>3500000</v>
      </c>
      <c r="D6" s="3">
        <f>C6</f>
        <v>3500000</v>
      </c>
      <c r="E6" s="2" t="s">
        <v>30</v>
      </c>
      <c r="F6" s="2">
        <v>2</v>
      </c>
      <c r="H6" s="2"/>
      <c r="I6" s="408" t="s">
        <v>889</v>
      </c>
      <c r="J6" s="10">
        <f>'DETAILS (sorted)'!DG130</f>
        <v>31334.105487924138</v>
      </c>
    </row>
    <row r="7" spans="1:10" x14ac:dyDescent="0.35">
      <c r="A7" s="2">
        <v>2</v>
      </c>
      <c r="B7" s="71"/>
      <c r="C7" s="7"/>
      <c r="D7" s="3"/>
      <c r="E7" s="2"/>
      <c r="F7" s="2">
        <v>2</v>
      </c>
      <c r="H7" s="2"/>
      <c r="I7" s="408" t="s">
        <v>891</v>
      </c>
      <c r="J7" s="10">
        <f>'DETAILS (sorted)'!DL130</f>
        <v>10126.637257731727</v>
      </c>
    </row>
    <row r="8" spans="1:10" x14ac:dyDescent="0.35">
      <c r="A8" s="2">
        <v>3</v>
      </c>
      <c r="B8" s="71"/>
      <c r="C8" s="7"/>
      <c r="D8" s="3"/>
      <c r="E8" s="2"/>
      <c r="F8" s="2"/>
      <c r="H8" s="2"/>
      <c r="I8" s="408" t="s">
        <v>894</v>
      </c>
      <c r="J8" s="10">
        <f>'DETAILS (sorted)'!DM130</f>
        <v>0</v>
      </c>
    </row>
    <row r="9" spans="1:10" x14ac:dyDescent="0.35">
      <c r="A9" s="2">
        <v>4</v>
      </c>
      <c r="B9" s="71"/>
      <c r="C9" s="3"/>
      <c r="D9" s="3"/>
      <c r="E9" s="2"/>
      <c r="F9" s="2"/>
      <c r="H9" s="2"/>
      <c r="I9" s="408" t="s">
        <v>893</v>
      </c>
      <c r="J9" s="10">
        <f>'DETAILS (sorted)'!DN130</f>
        <v>0</v>
      </c>
    </row>
    <row r="10" spans="1:10" x14ac:dyDescent="0.35">
      <c r="A10" s="2">
        <v>5</v>
      </c>
      <c r="B10" s="294"/>
      <c r="C10" s="3"/>
      <c r="D10" s="3"/>
      <c r="E10" s="2"/>
      <c r="F10" s="2"/>
      <c r="H10" s="2"/>
      <c r="I10" s="408" t="s">
        <v>895</v>
      </c>
      <c r="J10" s="10">
        <f>'DETAILS (sorted)'!DO130</f>
        <v>0</v>
      </c>
    </row>
    <row r="11" spans="1:10" x14ac:dyDescent="0.35">
      <c r="A11" s="2">
        <v>6</v>
      </c>
      <c r="B11" s="294"/>
      <c r="C11" s="3"/>
      <c r="D11" s="3"/>
      <c r="E11" s="2"/>
      <c r="F11" s="2"/>
      <c r="H11" s="2"/>
      <c r="I11" s="408" t="s">
        <v>897</v>
      </c>
      <c r="J11" s="10">
        <f>'DETAILS (sorted)'!DQ130</f>
        <v>0</v>
      </c>
    </row>
    <row r="12" spans="1:10" x14ac:dyDescent="0.35">
      <c r="A12" s="2">
        <v>7</v>
      </c>
      <c r="B12" s="294"/>
      <c r="C12" s="3"/>
      <c r="D12" s="3"/>
      <c r="E12" s="2"/>
      <c r="F12" s="2"/>
      <c r="H12" s="2"/>
      <c r="I12" s="408" t="s">
        <v>898</v>
      </c>
      <c r="J12" s="10">
        <f>'DETAILS (sorted)'!DR130</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row>
    <row r="19" spans="1:19" ht="16" x14ac:dyDescent="0.4">
      <c r="A19" s="2"/>
      <c r="B19" s="2"/>
      <c r="C19" s="3"/>
      <c r="D19" s="3"/>
      <c r="E19" s="2"/>
      <c r="F19" s="2"/>
      <c r="H19" s="2"/>
      <c r="I19" s="2"/>
      <c r="J19" s="10"/>
      <c r="S19" s="134"/>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3500000</v>
      </c>
      <c r="D25" s="3">
        <f>C25+J25</f>
        <v>3550845.0426833201</v>
      </c>
      <c r="E25" s="3">
        <f>'DETAILS (sorted)'!DS130</f>
        <v>3587200.287942626</v>
      </c>
      <c r="F25" s="3">
        <f>D25-E25</f>
        <v>-36355.245259305928</v>
      </c>
      <c r="G25" t="b">
        <f>D25=E25</f>
        <v>0</v>
      </c>
      <c r="H25" s="2"/>
      <c r="I25" s="2"/>
      <c r="J25" s="10">
        <f>SUM(J5:J24)</f>
        <v>50845.042683319974</v>
      </c>
    </row>
    <row r="27" spans="1:19" x14ac:dyDescent="0.35">
      <c r="C27" s="3" t="s">
        <v>644</v>
      </c>
      <c r="D27" s="3">
        <f>C25+J25</f>
        <v>3550845.0426833201</v>
      </c>
      <c r="E27" s="122">
        <f>D27/D28</f>
        <v>0.35508450426833199</v>
      </c>
      <c r="F27" s="2" t="s">
        <v>652</v>
      </c>
    </row>
    <row r="28" spans="1:19" x14ac:dyDescent="0.35">
      <c r="C28" s="3" t="s">
        <v>650</v>
      </c>
      <c r="D28" s="3">
        <v>10000000</v>
      </c>
      <c r="E28" s="122">
        <f>D28/D28</f>
        <v>1</v>
      </c>
      <c r="F28" s="2" t="s">
        <v>654</v>
      </c>
    </row>
    <row r="29" spans="1:19" x14ac:dyDescent="0.35">
      <c r="C29" s="3"/>
      <c r="D29" s="3">
        <f>D27-D28</f>
        <v>-6449154.9573166799</v>
      </c>
      <c r="E29" s="122">
        <f>D29/D28</f>
        <v>-0.64491549573166795</v>
      </c>
      <c r="F29" s="2" t="s">
        <v>653</v>
      </c>
    </row>
  </sheetData>
  <mergeCells count="1">
    <mergeCell ref="B3:C3"/>
  </mergeCell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738F-C9EE-44DE-9194-FBE827320A6A}">
  <dimension ref="A2:S29"/>
  <sheetViews>
    <sheetView workbookViewId="0">
      <selection activeCell="J26" sqref="J2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950</v>
      </c>
      <c r="B3" s="764" t="s">
        <v>985</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(sorted)'!DF131</f>
        <v>8848.0542269404486</v>
      </c>
    </row>
    <row r="6" spans="1:10" x14ac:dyDescent="0.35">
      <c r="A6" s="2">
        <v>1</v>
      </c>
      <c r="B6" s="71">
        <v>46203</v>
      </c>
      <c r="C6" s="7">
        <v>3300000</v>
      </c>
      <c r="D6" s="3">
        <f>C6</f>
        <v>3300000</v>
      </c>
      <c r="E6" s="2" t="s">
        <v>30</v>
      </c>
      <c r="F6" s="2">
        <v>2</v>
      </c>
      <c r="H6" s="2"/>
      <c r="I6" s="408" t="s">
        <v>889</v>
      </c>
      <c r="J6" s="10">
        <f>'DETAILS (sorted)'!DG131</f>
        <v>29543.585174328473</v>
      </c>
    </row>
    <row r="7" spans="1:10" x14ac:dyDescent="0.35">
      <c r="A7" s="2">
        <v>2</v>
      </c>
      <c r="B7" s="71">
        <v>46206</v>
      </c>
      <c r="C7" s="7">
        <v>1000000</v>
      </c>
      <c r="D7" s="3">
        <f>D6+C7</f>
        <v>4300000</v>
      </c>
      <c r="E7" s="2" t="s">
        <v>30</v>
      </c>
      <c r="F7" s="2">
        <v>2</v>
      </c>
      <c r="H7" s="2"/>
      <c r="I7" s="408" t="s">
        <v>891</v>
      </c>
      <c r="J7" s="10">
        <f>'DETAILS (sorted)'!DL131</f>
        <v>12408.023848174962</v>
      </c>
    </row>
    <row r="8" spans="1:10" x14ac:dyDescent="0.35">
      <c r="A8" s="2">
        <v>3</v>
      </c>
      <c r="B8" s="71"/>
      <c r="C8" s="7"/>
      <c r="D8" s="3"/>
      <c r="E8" s="2"/>
      <c r="F8" s="2"/>
      <c r="H8" s="2"/>
      <c r="I8" s="408" t="s">
        <v>894</v>
      </c>
      <c r="J8" s="10">
        <f>'DETAILS (sorted)'!DM131</f>
        <v>0</v>
      </c>
    </row>
    <row r="9" spans="1:10" x14ac:dyDescent="0.35">
      <c r="A9" s="2">
        <v>4</v>
      </c>
      <c r="B9" s="71"/>
      <c r="C9" s="3"/>
      <c r="D9" s="3"/>
      <c r="E9" s="2"/>
      <c r="F9" s="2"/>
      <c r="H9" s="2"/>
      <c r="I9" s="408" t="s">
        <v>893</v>
      </c>
      <c r="J9" s="10">
        <f>'DETAILS (sorted)'!DN131</f>
        <v>0</v>
      </c>
    </row>
    <row r="10" spans="1:10" x14ac:dyDescent="0.35">
      <c r="A10" s="2">
        <v>5</v>
      </c>
      <c r="B10" s="294"/>
      <c r="C10" s="3"/>
      <c r="D10" s="3"/>
      <c r="E10" s="2"/>
      <c r="F10" s="2"/>
      <c r="H10" s="2"/>
      <c r="I10" s="408" t="s">
        <v>895</v>
      </c>
      <c r="J10" s="10">
        <f>'DETAILS (sorted)'!DO131</f>
        <v>0</v>
      </c>
    </row>
    <row r="11" spans="1:10" x14ac:dyDescent="0.35">
      <c r="A11" s="2">
        <v>6</v>
      </c>
      <c r="B11" s="294"/>
      <c r="C11" s="3"/>
      <c r="D11" s="3"/>
      <c r="E11" s="2"/>
      <c r="F11" s="2"/>
      <c r="H11" s="2"/>
      <c r="I11" s="408" t="s">
        <v>897</v>
      </c>
      <c r="J11" s="10">
        <f>'DETAILS (sorted)'!DQ131</f>
        <v>0</v>
      </c>
    </row>
    <row r="12" spans="1:10" x14ac:dyDescent="0.35">
      <c r="A12" s="2">
        <v>7</v>
      </c>
      <c r="B12" s="294"/>
      <c r="C12" s="3"/>
      <c r="D12" s="3"/>
      <c r="E12" s="2"/>
      <c r="F12" s="2"/>
      <c r="H12" s="2"/>
      <c r="I12" s="408" t="s">
        <v>898</v>
      </c>
      <c r="J12" s="10">
        <f>'DETAILS (sorted)'!DR131</f>
        <v>0</v>
      </c>
    </row>
    <row r="13" spans="1:10" x14ac:dyDescent="0.35">
      <c r="A13" s="2">
        <v>8</v>
      </c>
      <c r="B13" s="294"/>
      <c r="C13" s="3"/>
      <c r="D13" s="3"/>
      <c r="E13" s="2"/>
      <c r="F13" s="2"/>
      <c r="H13" s="2"/>
      <c r="I13" s="2"/>
      <c r="J13" s="10"/>
    </row>
    <row r="14" spans="1:10" hidden="1" x14ac:dyDescent="0.35">
      <c r="A14" s="2">
        <v>9</v>
      </c>
      <c r="B14" s="294"/>
      <c r="C14" s="3"/>
      <c r="D14" s="3"/>
      <c r="E14" s="2"/>
      <c r="F14" s="2"/>
      <c r="H14" s="2"/>
      <c r="I14" s="2"/>
      <c r="J14" s="10"/>
    </row>
    <row r="15" spans="1:10" hidden="1" x14ac:dyDescent="0.35">
      <c r="A15" s="2">
        <v>10</v>
      </c>
      <c r="B15" s="295"/>
      <c r="C15" s="205"/>
      <c r="D15" s="3"/>
      <c r="E15" s="2"/>
      <c r="F15" s="2"/>
      <c r="H15" s="2"/>
      <c r="I15" s="2"/>
      <c r="J15" s="10"/>
    </row>
    <row r="16" spans="1:10" hidden="1" x14ac:dyDescent="0.35">
      <c r="A16" s="2">
        <v>11</v>
      </c>
      <c r="B16" s="294"/>
      <c r="C16" s="3"/>
      <c r="D16" s="3"/>
      <c r="E16" s="2"/>
      <c r="F16" s="2"/>
      <c r="H16" s="2"/>
      <c r="I16" s="2"/>
      <c r="J16" s="10"/>
    </row>
    <row r="17" spans="1:19" hidden="1" x14ac:dyDescent="0.35">
      <c r="A17" s="2"/>
      <c r="B17" s="2"/>
      <c r="C17" s="3"/>
      <c r="D17" s="3"/>
      <c r="E17" s="2"/>
      <c r="F17" s="2"/>
      <c r="H17" s="2"/>
      <c r="I17" s="2"/>
      <c r="J17" s="10"/>
    </row>
    <row r="18" spans="1:19" ht="16" hidden="1" x14ac:dyDescent="0.4">
      <c r="A18" s="2"/>
      <c r="B18" s="2"/>
      <c r="C18" s="3"/>
      <c r="D18" s="3"/>
      <c r="E18" s="2"/>
      <c r="F18" s="2"/>
      <c r="H18" s="2"/>
      <c r="I18" s="2"/>
      <c r="J18" s="10"/>
      <c r="S18" s="134"/>
    </row>
    <row r="19" spans="1:19" ht="16" hidden="1" x14ac:dyDescent="0.4">
      <c r="A19" s="2"/>
      <c r="B19" s="2"/>
      <c r="C19" s="3"/>
      <c r="D19" s="3"/>
      <c r="E19" s="2"/>
      <c r="F19" s="2"/>
      <c r="H19" s="2"/>
      <c r="I19" s="2"/>
      <c r="J19" s="10"/>
      <c r="S19" s="134"/>
    </row>
    <row r="20" spans="1:19" hidden="1" x14ac:dyDescent="0.35">
      <c r="A20" s="2"/>
      <c r="B20" s="2"/>
      <c r="C20" s="3"/>
      <c r="D20" s="3"/>
      <c r="E20" s="2"/>
      <c r="F20" s="2"/>
      <c r="H20" s="2"/>
      <c r="I20" s="2"/>
      <c r="J20" s="10"/>
    </row>
    <row r="21" spans="1:19" hidden="1" x14ac:dyDescent="0.35">
      <c r="A21" s="2"/>
      <c r="B21" s="2"/>
      <c r="C21" s="3"/>
      <c r="D21" s="3"/>
      <c r="E21" s="2"/>
      <c r="F21" s="2"/>
      <c r="H21" s="2"/>
      <c r="I21" s="2"/>
      <c r="J21" s="10"/>
    </row>
    <row r="22" spans="1:19" hidden="1" x14ac:dyDescent="0.35">
      <c r="A22" s="2"/>
      <c r="B22" s="2"/>
      <c r="C22" s="3"/>
      <c r="D22" s="3"/>
      <c r="E22" s="2"/>
      <c r="F22" s="2"/>
      <c r="H22" s="2"/>
      <c r="I22" s="2"/>
      <c r="J22" s="10"/>
    </row>
    <row r="23" spans="1:19" hidden="1"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4300000</v>
      </c>
      <c r="D25" s="3">
        <f>C25+J25</f>
        <v>4350799.6632494442</v>
      </c>
      <c r="E25" s="3">
        <f>'DETAILS (sorted)'!DS131</f>
        <v>5395345.225483275</v>
      </c>
      <c r="F25" s="3">
        <f>D25-E25</f>
        <v>-1044545.5622338308</v>
      </c>
      <c r="G25" t="b">
        <f>D25=E25</f>
        <v>0</v>
      </c>
      <c r="H25" s="2"/>
      <c r="I25" s="2"/>
      <c r="J25" s="10">
        <f>SUM(J5:J24)</f>
        <v>50799.663249443882</v>
      </c>
    </row>
    <row r="27" spans="1:19" x14ac:dyDescent="0.35">
      <c r="C27" s="3" t="s">
        <v>644</v>
      </c>
      <c r="D27" s="3">
        <f>C25+J25</f>
        <v>4350799.6632494442</v>
      </c>
      <c r="E27" s="122">
        <f>D27/D28</f>
        <v>0.43507996632494444</v>
      </c>
      <c r="F27" s="2" t="s">
        <v>652</v>
      </c>
    </row>
    <row r="28" spans="1:19" x14ac:dyDescent="0.35">
      <c r="C28" s="3" t="s">
        <v>650</v>
      </c>
      <c r="D28" s="3">
        <v>10000000</v>
      </c>
      <c r="E28" s="122">
        <f>D28/D28</f>
        <v>1</v>
      </c>
      <c r="F28" s="2" t="s">
        <v>654</v>
      </c>
    </row>
    <row r="29" spans="1:19" x14ac:dyDescent="0.35">
      <c r="C29" s="3"/>
      <c r="D29" s="3">
        <f>D27-D28</f>
        <v>-5649200.3367505558</v>
      </c>
      <c r="E29" s="122">
        <f>D29/D28</f>
        <v>-0.56492003367505561</v>
      </c>
      <c r="F29" s="2" t="s">
        <v>653</v>
      </c>
    </row>
  </sheetData>
  <mergeCells count="1">
    <mergeCell ref="B3:C3"/>
  </mergeCell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43B48-31C3-4857-9759-8DC0392F7845}">
  <dimension ref="A2:S29"/>
  <sheetViews>
    <sheetView workbookViewId="0">
      <selection activeCell="J26" sqref="J2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952</v>
      </c>
      <c r="B3" s="764" t="s">
        <v>951</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(sorted)'!DF132</f>
        <v>8848.0542269404486</v>
      </c>
    </row>
    <row r="6" spans="1:10" x14ac:dyDescent="0.35">
      <c r="A6" s="2">
        <v>1</v>
      </c>
      <c r="B6" s="71">
        <v>46203</v>
      </c>
      <c r="C6" s="7">
        <v>3300000</v>
      </c>
      <c r="D6" s="3">
        <f>C6</f>
        <v>3300000</v>
      </c>
      <c r="E6" s="2" t="s">
        <v>30</v>
      </c>
      <c r="F6" s="2">
        <v>2</v>
      </c>
      <c r="H6" s="2"/>
      <c r="I6" s="408" t="s">
        <v>889</v>
      </c>
      <c r="J6" s="10">
        <f>'DETAILS (sorted)'!DG132</f>
        <v>29543.585174328473</v>
      </c>
    </row>
    <row r="7" spans="1:10" x14ac:dyDescent="0.35">
      <c r="A7" s="2">
        <v>2</v>
      </c>
      <c r="B7" s="71"/>
      <c r="C7" s="7"/>
      <c r="D7" s="3"/>
      <c r="E7" s="2"/>
      <c r="F7" s="2">
        <v>2</v>
      </c>
      <c r="H7" s="2"/>
      <c r="I7" s="408" t="s">
        <v>891</v>
      </c>
      <c r="J7" s="10">
        <f>'DETAILS (sorted)'!DL132</f>
        <v>9547.9722715756288</v>
      </c>
    </row>
    <row r="8" spans="1:10" x14ac:dyDescent="0.35">
      <c r="A8" s="2">
        <v>3</v>
      </c>
      <c r="B8" s="71"/>
      <c r="C8" s="7"/>
      <c r="D8" s="3"/>
      <c r="E8" s="2"/>
      <c r="F8" s="2"/>
      <c r="H8" s="2"/>
      <c r="I8" s="408" t="s">
        <v>894</v>
      </c>
      <c r="J8" s="10">
        <f>'DETAILS (sorted)'!DM132</f>
        <v>0</v>
      </c>
    </row>
    <row r="9" spans="1:10" x14ac:dyDescent="0.35">
      <c r="A9" s="2">
        <v>4</v>
      </c>
      <c r="B9" s="71"/>
      <c r="C9" s="3"/>
      <c r="D9" s="3"/>
      <c r="E9" s="2"/>
      <c r="F9" s="2"/>
      <c r="H9" s="2"/>
      <c r="I9" s="408" t="s">
        <v>893</v>
      </c>
      <c r="J9" s="10">
        <f>'DETAILS (sorted)'!DN132</f>
        <v>0</v>
      </c>
    </row>
    <row r="10" spans="1:10" x14ac:dyDescent="0.35">
      <c r="A10" s="2">
        <v>5</v>
      </c>
      <c r="B10" s="294"/>
      <c r="C10" s="3"/>
      <c r="D10" s="3"/>
      <c r="E10" s="2"/>
      <c r="F10" s="2"/>
      <c r="H10" s="2"/>
      <c r="I10" s="408" t="s">
        <v>895</v>
      </c>
      <c r="J10" s="10">
        <f>'DETAILS (sorted)'!DO132</f>
        <v>0</v>
      </c>
    </row>
    <row r="11" spans="1:10" x14ac:dyDescent="0.35">
      <c r="A11" s="2">
        <v>6</v>
      </c>
      <c r="B11" s="294"/>
      <c r="C11" s="3"/>
      <c r="D11" s="3"/>
      <c r="E11" s="2"/>
      <c r="F11" s="2"/>
      <c r="H11" s="2"/>
      <c r="I11" s="408" t="s">
        <v>897</v>
      </c>
      <c r="J11" s="10">
        <f>'DETAILS (sorted)'!DQ132</f>
        <v>0</v>
      </c>
    </row>
    <row r="12" spans="1:10" x14ac:dyDescent="0.35">
      <c r="A12" s="2">
        <v>7</v>
      </c>
      <c r="B12" s="294"/>
      <c r="C12" s="3"/>
      <c r="D12" s="3"/>
      <c r="E12" s="2"/>
      <c r="F12" s="2"/>
      <c r="H12" s="2"/>
      <c r="I12" s="408" t="s">
        <v>898</v>
      </c>
      <c r="J12" s="10">
        <f>'DETAILS (sorted)'!DR132</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row>
    <row r="19" spans="1:19" ht="16" x14ac:dyDescent="0.4">
      <c r="A19" s="2"/>
      <c r="B19" s="2"/>
      <c r="C19" s="3"/>
      <c r="D19" s="3"/>
      <c r="E19" s="2"/>
      <c r="F19" s="2"/>
      <c r="H19" s="2"/>
      <c r="I19" s="2"/>
      <c r="J19" s="10"/>
      <c r="S19" s="134"/>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3300000</v>
      </c>
      <c r="D25" s="3">
        <f>C25+J25</f>
        <v>3347939.6116728447</v>
      </c>
      <c r="E25" s="3">
        <f>'DETAILS (sorted)'!DS132</f>
        <v>3382217.4143459047</v>
      </c>
      <c r="F25" s="3">
        <f>D25-E25</f>
        <v>-34277.802673059981</v>
      </c>
      <c r="G25" t="b">
        <f>D25=E25</f>
        <v>0</v>
      </c>
      <c r="H25" s="2"/>
      <c r="I25" s="2"/>
      <c r="J25" s="10">
        <f>SUM(J5:J24)</f>
        <v>47939.611672844549</v>
      </c>
    </row>
    <row r="27" spans="1:19" x14ac:dyDescent="0.35">
      <c r="C27" s="3" t="s">
        <v>644</v>
      </c>
      <c r="D27" s="3">
        <f>C25+J25</f>
        <v>3347939.6116728447</v>
      </c>
      <c r="E27" s="122">
        <f>D27/D28</f>
        <v>0.33479396116728449</v>
      </c>
      <c r="F27" s="2" t="s">
        <v>652</v>
      </c>
    </row>
    <row r="28" spans="1:19" x14ac:dyDescent="0.35">
      <c r="C28" s="3" t="s">
        <v>650</v>
      </c>
      <c r="D28" s="3">
        <v>10000000</v>
      </c>
      <c r="E28" s="122">
        <f>D28/D28</f>
        <v>1</v>
      </c>
      <c r="F28" s="2" t="s">
        <v>654</v>
      </c>
    </row>
    <row r="29" spans="1:19" x14ac:dyDescent="0.35">
      <c r="C29" s="3"/>
      <c r="D29" s="3">
        <f>D27-D28</f>
        <v>-6652060.3883271553</v>
      </c>
      <c r="E29" s="122">
        <f>D29/D28</f>
        <v>-0.66520603883271556</v>
      </c>
      <c r="F29" s="2" t="s">
        <v>653</v>
      </c>
    </row>
  </sheetData>
  <mergeCells count="1">
    <mergeCell ref="B3:C3"/>
  </mergeCell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C50FB-65F1-4E0C-8B2F-232152DC3F3D}">
  <dimension ref="A2:J29"/>
  <sheetViews>
    <sheetView workbookViewId="0">
      <selection activeCell="J26" sqref="J26"/>
    </sheetView>
  </sheetViews>
  <sheetFormatPr defaultRowHeight="14.5" x14ac:dyDescent="0.35"/>
  <cols>
    <col min="1" max="1" width="13.08984375"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3.90625" customWidth="1"/>
    <col min="10" max="10" width="9.7265625" bestFit="1" customWidth="1"/>
  </cols>
  <sheetData>
    <row r="2" spans="1:10" s="5" customFormat="1" x14ac:dyDescent="0.35">
      <c r="A2" s="74" t="s">
        <v>190</v>
      </c>
      <c r="B2" s="191" t="s">
        <v>0</v>
      </c>
      <c r="C2" s="74"/>
      <c r="D2" s="74" t="s">
        <v>1</v>
      </c>
      <c r="E2" s="74"/>
      <c r="F2" s="75"/>
      <c r="G2" s="63"/>
    </row>
    <row r="3" spans="1:10" x14ac:dyDescent="0.35">
      <c r="A3" s="210" t="s">
        <v>953</v>
      </c>
      <c r="B3" s="764" t="s">
        <v>988</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(sorted)'!DF133</f>
        <v>8848.0542269404486</v>
      </c>
    </row>
    <row r="6" spans="1:10" x14ac:dyDescent="0.35">
      <c r="A6" s="2">
        <v>1</v>
      </c>
      <c r="B6" s="71">
        <v>46203</v>
      </c>
      <c r="C6" s="7">
        <v>3300000</v>
      </c>
      <c r="D6" s="3">
        <f>C6</f>
        <v>3300000</v>
      </c>
      <c r="E6" s="2" t="s">
        <v>30</v>
      </c>
      <c r="F6" s="2">
        <v>2</v>
      </c>
      <c r="H6" s="2"/>
      <c r="I6" s="408" t="s">
        <v>889</v>
      </c>
      <c r="J6" s="10">
        <f>'DETAILS (sorted)'!DG133</f>
        <v>29543.585174328473</v>
      </c>
    </row>
    <row r="7" spans="1:10" x14ac:dyDescent="0.35">
      <c r="A7" s="2">
        <v>2</v>
      </c>
      <c r="B7" s="71"/>
      <c r="C7" s="7"/>
      <c r="D7" s="3"/>
      <c r="E7" s="2"/>
      <c r="F7" s="2">
        <v>2</v>
      </c>
      <c r="H7" s="2"/>
      <c r="I7" s="408" t="s">
        <v>891</v>
      </c>
      <c r="J7" s="10">
        <f>'DETAILS (sorted)'!DL133</f>
        <v>12980.034163494829</v>
      </c>
    </row>
    <row r="8" spans="1:10" x14ac:dyDescent="0.35">
      <c r="A8" s="2">
        <v>3</v>
      </c>
      <c r="B8" s="71"/>
      <c r="C8" s="7"/>
      <c r="D8" s="3"/>
      <c r="E8" s="2"/>
      <c r="F8" s="2"/>
      <c r="H8" s="2"/>
      <c r="I8" s="408" t="s">
        <v>894</v>
      </c>
      <c r="J8" s="10">
        <f>'DETAILS (sorted)'!DM133</f>
        <v>0</v>
      </c>
    </row>
    <row r="9" spans="1:10" x14ac:dyDescent="0.35">
      <c r="A9" s="2">
        <v>4</v>
      </c>
      <c r="B9" s="71"/>
      <c r="C9" s="3"/>
      <c r="D9" s="3"/>
      <c r="E9" s="2"/>
      <c r="F9" s="2"/>
      <c r="H9" s="2"/>
      <c r="I9" s="408" t="s">
        <v>893</v>
      </c>
      <c r="J9" s="10">
        <f>'DETAILS (sorted)'!DN133</f>
        <v>0</v>
      </c>
    </row>
    <row r="10" spans="1:10" x14ac:dyDescent="0.35">
      <c r="A10" s="2">
        <v>5</v>
      </c>
      <c r="B10" s="294"/>
      <c r="C10" s="3"/>
      <c r="D10" s="3"/>
      <c r="E10" s="2"/>
      <c r="F10" s="2"/>
      <c r="H10" s="2"/>
      <c r="I10" s="408" t="s">
        <v>895</v>
      </c>
      <c r="J10" s="10">
        <f>'DETAILS (sorted)'!DO133</f>
        <v>0</v>
      </c>
    </row>
    <row r="11" spans="1:10" x14ac:dyDescent="0.35">
      <c r="A11" s="2">
        <v>6</v>
      </c>
      <c r="B11" s="294"/>
      <c r="C11" s="3"/>
      <c r="D11" s="3"/>
      <c r="E11" s="2"/>
      <c r="F11" s="2"/>
      <c r="H11" s="2"/>
      <c r="I11" s="408" t="s">
        <v>897</v>
      </c>
      <c r="J11" s="10">
        <f>'DETAILS (sorted)'!DQ133</f>
        <v>0</v>
      </c>
    </row>
    <row r="12" spans="1:10" x14ac:dyDescent="0.35">
      <c r="A12" s="2">
        <v>7</v>
      </c>
      <c r="B12" s="294"/>
      <c r="C12" s="3"/>
      <c r="D12" s="3"/>
      <c r="E12" s="2"/>
      <c r="F12" s="2"/>
      <c r="H12" s="2"/>
      <c r="I12" s="408" t="s">
        <v>898</v>
      </c>
      <c r="J12" s="10">
        <f>'DETAILS (sorted)'!DR133</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3300000</v>
      </c>
      <c r="D25" s="3">
        <f>C25+J25</f>
        <v>3351371.6735647637</v>
      </c>
      <c r="E25" s="3">
        <f>'DETAILS (sorted)'!DS133</f>
        <v>4597970.7877107486</v>
      </c>
      <c r="F25" s="3">
        <f>D25-E25</f>
        <v>-1246599.1141459849</v>
      </c>
      <c r="G25" t="b">
        <f>D25=E25</f>
        <v>0</v>
      </c>
      <c r="H25" s="2"/>
      <c r="I25" s="2"/>
      <c r="J25" s="10">
        <f>SUM(J5:J24)</f>
        <v>51371.673564763747</v>
      </c>
    </row>
    <row r="27" spans="1:10" x14ac:dyDescent="0.35">
      <c r="C27" s="3" t="s">
        <v>644</v>
      </c>
      <c r="D27" s="3">
        <f>C25+J25</f>
        <v>3351371.6735647637</v>
      </c>
      <c r="E27" s="122">
        <f>D27/D28</f>
        <v>0.33513716735647636</v>
      </c>
      <c r="F27" s="2" t="s">
        <v>652</v>
      </c>
    </row>
    <row r="28" spans="1:10" x14ac:dyDescent="0.35">
      <c r="C28" s="3" t="s">
        <v>650</v>
      </c>
      <c r="D28" s="3">
        <v>10000000</v>
      </c>
      <c r="E28" s="122">
        <f>D28/D28</f>
        <v>1</v>
      </c>
      <c r="F28" s="2" t="s">
        <v>654</v>
      </c>
    </row>
    <row r="29" spans="1:10" x14ac:dyDescent="0.35">
      <c r="C29" s="3"/>
      <c r="D29" s="3">
        <f>D27-D28</f>
        <v>-6648628.3264352363</v>
      </c>
      <c r="E29" s="122">
        <f>D29/D28</f>
        <v>-0.66486283264352364</v>
      </c>
      <c r="F29" s="2" t="s">
        <v>653</v>
      </c>
    </row>
  </sheetData>
  <mergeCells count="1">
    <mergeCell ref="B3:C3"/>
  </mergeCell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52AAA-FDD1-4C4E-AE37-5CB14A522630}">
  <dimension ref="A2:S29"/>
  <sheetViews>
    <sheetView topLeftCell="A11" workbookViewId="0">
      <selection activeCell="N16" sqref="N1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954</v>
      </c>
      <c r="B3" s="764" t="s">
        <v>987</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(sorted)'!DF134</f>
        <v>9384.2999376641128</v>
      </c>
    </row>
    <row r="6" spans="1:10" x14ac:dyDescent="0.35">
      <c r="A6" s="2">
        <v>1</v>
      </c>
      <c r="B6" s="71">
        <v>46203</v>
      </c>
      <c r="C6" s="7">
        <v>3500000</v>
      </c>
      <c r="D6" s="3">
        <f>C6</f>
        <v>3500000</v>
      </c>
      <c r="E6" s="2" t="s">
        <v>30</v>
      </c>
      <c r="F6" s="2">
        <v>2</v>
      </c>
      <c r="H6" s="2"/>
      <c r="I6" s="408" t="s">
        <v>889</v>
      </c>
      <c r="J6" s="10">
        <f>'DETAILS (sorted)'!DG134</f>
        <v>31334.105487924138</v>
      </c>
    </row>
    <row r="7" spans="1:10" x14ac:dyDescent="0.35">
      <c r="A7" s="2">
        <v>2</v>
      </c>
      <c r="B7" s="71"/>
      <c r="C7" s="7"/>
      <c r="D7" s="3"/>
      <c r="E7" s="2"/>
      <c r="F7" s="2">
        <v>2</v>
      </c>
      <c r="H7" s="2"/>
      <c r="I7" s="408" t="s">
        <v>891</v>
      </c>
      <c r="J7" s="10">
        <f>'DETAILS (sorted)'!DL134</f>
        <v>12986.68883433106</v>
      </c>
    </row>
    <row r="8" spans="1:10" x14ac:dyDescent="0.35">
      <c r="A8" s="2">
        <v>3</v>
      </c>
      <c r="B8" s="71"/>
      <c r="C8" s="7"/>
      <c r="D8" s="3"/>
      <c r="E8" s="2"/>
      <c r="F8" s="2"/>
      <c r="H8" s="2"/>
      <c r="I8" s="408" t="s">
        <v>894</v>
      </c>
      <c r="J8" s="10">
        <f>'DETAILS (sorted)'!DM134</f>
        <v>0</v>
      </c>
    </row>
    <row r="9" spans="1:10" x14ac:dyDescent="0.35">
      <c r="A9" s="2">
        <v>4</v>
      </c>
      <c r="B9" s="71"/>
      <c r="C9" s="3"/>
      <c r="D9" s="3"/>
      <c r="E9" s="2"/>
      <c r="F9" s="2"/>
      <c r="H9" s="2"/>
      <c r="I9" s="408" t="s">
        <v>893</v>
      </c>
      <c r="J9" s="10">
        <f>'DETAILS (sorted)'!DN134</f>
        <v>0</v>
      </c>
    </row>
    <row r="10" spans="1:10" x14ac:dyDescent="0.35">
      <c r="A10" s="2">
        <v>5</v>
      </c>
      <c r="B10" s="294"/>
      <c r="C10" s="3"/>
      <c r="D10" s="3"/>
      <c r="E10" s="2"/>
      <c r="F10" s="2"/>
      <c r="H10" s="2"/>
      <c r="I10" s="408" t="s">
        <v>895</v>
      </c>
      <c r="J10" s="10">
        <f>'DETAILS (sorted)'!DO134</f>
        <v>0</v>
      </c>
    </row>
    <row r="11" spans="1:10" x14ac:dyDescent="0.35">
      <c r="A11" s="2">
        <v>6</v>
      </c>
      <c r="B11" s="294"/>
      <c r="C11" s="3"/>
      <c r="D11" s="3"/>
      <c r="E11" s="2"/>
      <c r="F11" s="2"/>
      <c r="H11" s="2"/>
      <c r="I11" s="408" t="s">
        <v>897</v>
      </c>
      <c r="J11" s="10">
        <f>'DETAILS (sorted)'!DQ134</f>
        <v>0</v>
      </c>
    </row>
    <row r="12" spans="1:10" x14ac:dyDescent="0.35">
      <c r="A12" s="2">
        <v>7</v>
      </c>
      <c r="B12" s="294"/>
      <c r="C12" s="3"/>
      <c r="D12" s="3"/>
      <c r="E12" s="2"/>
      <c r="F12" s="2"/>
      <c r="H12" s="2"/>
      <c r="I12" s="408" t="s">
        <v>898</v>
      </c>
      <c r="J12" s="10">
        <f>'DETAILS (sorted)'!DR134</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row>
    <row r="19" spans="1:19" ht="16" x14ac:dyDescent="0.4">
      <c r="A19" s="2"/>
      <c r="B19" s="2"/>
      <c r="C19" s="3"/>
      <c r="D19" s="3"/>
      <c r="E19" s="2"/>
      <c r="F19" s="2"/>
      <c r="H19" s="2"/>
      <c r="I19" s="2"/>
      <c r="J19" s="10"/>
      <c r="S19" s="134"/>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3500000</v>
      </c>
      <c r="D25" s="3">
        <f>C25+J25</f>
        <v>3553705.0942599191</v>
      </c>
      <c r="E25" s="3">
        <f>'DETAILS (sorted)'!DS134</f>
        <v>4600328.0990799963</v>
      </c>
      <c r="F25" s="3">
        <f>D25-E25</f>
        <v>-1046623.0048200772</v>
      </c>
      <c r="G25" t="b">
        <f>D25=E25</f>
        <v>0</v>
      </c>
      <c r="H25" s="2"/>
      <c r="I25" s="2"/>
      <c r="J25" s="10">
        <f>SUM(J5:J24)</f>
        <v>53705.094259919308</v>
      </c>
    </row>
    <row r="27" spans="1:19" x14ac:dyDescent="0.35">
      <c r="C27" s="3" t="s">
        <v>644</v>
      </c>
      <c r="D27" s="3">
        <f>C25+J25</f>
        <v>3553705.0942599191</v>
      </c>
      <c r="E27" s="122">
        <f>D27/D28</f>
        <v>0.35537050942599191</v>
      </c>
      <c r="F27" s="2" t="s">
        <v>652</v>
      </c>
    </row>
    <row r="28" spans="1:19" x14ac:dyDescent="0.35">
      <c r="C28" s="3" t="s">
        <v>650</v>
      </c>
      <c r="D28" s="3">
        <v>10000000</v>
      </c>
      <c r="E28" s="122">
        <f>D28/D28</f>
        <v>1</v>
      </c>
      <c r="F28" s="2" t="s">
        <v>654</v>
      </c>
    </row>
    <row r="29" spans="1:19" x14ac:dyDescent="0.35">
      <c r="C29" s="3"/>
      <c r="D29" s="3">
        <f>D27-D28</f>
        <v>-6446294.9057400804</v>
      </c>
      <c r="E29" s="122">
        <f>D29/D28</f>
        <v>-0.64462949057400809</v>
      </c>
      <c r="F29" s="2" t="s">
        <v>653</v>
      </c>
    </row>
  </sheetData>
  <mergeCells count="1">
    <mergeCell ref="B3:C3"/>
  </mergeCell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C17BE-BE97-490D-9E4E-A1849722962C}">
  <dimension ref="A2:S29"/>
  <sheetViews>
    <sheetView topLeftCell="A3" workbookViewId="0">
      <selection activeCell="J26" sqref="J2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955</v>
      </c>
      <c r="B3" s="764" t="s">
        <v>957</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(sorted)'!DF135</f>
        <v>9652.422793025944</v>
      </c>
    </row>
    <row r="6" spans="1:10" x14ac:dyDescent="0.35">
      <c r="A6" s="2">
        <v>1</v>
      </c>
      <c r="B6" s="71">
        <v>46203</v>
      </c>
      <c r="C6" s="7">
        <v>3600000</v>
      </c>
      <c r="D6" s="3">
        <f>C6</f>
        <v>3600000</v>
      </c>
      <c r="E6" s="2" t="s">
        <v>30</v>
      </c>
      <c r="F6" s="2">
        <v>2</v>
      </c>
      <c r="H6" s="2"/>
      <c r="I6" s="408" t="s">
        <v>889</v>
      </c>
      <c r="J6" s="10">
        <f>'DETAILS (sorted)'!DG135</f>
        <v>32229.365644721969</v>
      </c>
    </row>
    <row r="7" spans="1:10" x14ac:dyDescent="0.35">
      <c r="A7" s="2">
        <v>2</v>
      </c>
      <c r="B7" s="71"/>
      <c r="C7" s="7"/>
      <c r="D7" s="3"/>
      <c r="E7" s="2"/>
      <c r="F7" s="2">
        <v>2</v>
      </c>
      <c r="H7" s="2"/>
      <c r="I7" s="408" t="s">
        <v>891</v>
      </c>
      <c r="J7" s="10">
        <f>'DETAILS (sorted)'!DL135</f>
        <v>10415.969750809778</v>
      </c>
    </row>
    <row r="8" spans="1:10" x14ac:dyDescent="0.35">
      <c r="A8" s="2">
        <v>3</v>
      </c>
      <c r="B8" s="71"/>
      <c r="C8" s="7"/>
      <c r="D8" s="3"/>
      <c r="E8" s="2"/>
      <c r="F8" s="2"/>
      <c r="H8" s="2"/>
      <c r="I8" s="408" t="s">
        <v>894</v>
      </c>
      <c r="J8" s="10">
        <f>'DETAILS (sorted)'!DM135</f>
        <v>0</v>
      </c>
    </row>
    <row r="9" spans="1:10" x14ac:dyDescent="0.35">
      <c r="A9" s="2">
        <v>4</v>
      </c>
      <c r="B9" s="71"/>
      <c r="C9" s="3"/>
      <c r="D9" s="3"/>
      <c r="E9" s="2"/>
      <c r="F9" s="2"/>
      <c r="H9" s="2"/>
      <c r="I9" s="408" t="s">
        <v>893</v>
      </c>
      <c r="J9" s="10">
        <f>'DETAILS (sorted)'!DN135</f>
        <v>0</v>
      </c>
    </row>
    <row r="10" spans="1:10" x14ac:dyDescent="0.35">
      <c r="A10" s="2">
        <v>5</v>
      </c>
      <c r="B10" s="294"/>
      <c r="C10" s="3"/>
      <c r="D10" s="3"/>
      <c r="E10" s="2"/>
      <c r="F10" s="2"/>
      <c r="H10" s="2"/>
      <c r="I10" s="408" t="s">
        <v>895</v>
      </c>
      <c r="J10" s="10">
        <f>'DETAILS (sorted)'!DO135</f>
        <v>0</v>
      </c>
    </row>
    <row r="11" spans="1:10" x14ac:dyDescent="0.35">
      <c r="A11" s="2">
        <v>6</v>
      </c>
      <c r="B11" s="294"/>
      <c r="C11" s="3"/>
      <c r="D11" s="3"/>
      <c r="E11" s="2"/>
      <c r="F11" s="2"/>
      <c r="H11" s="2"/>
      <c r="I11" s="408" t="s">
        <v>897</v>
      </c>
      <c r="J11" s="10">
        <f>'DETAILS (sorted)'!DQ135</f>
        <v>0</v>
      </c>
    </row>
    <row r="12" spans="1:10" x14ac:dyDescent="0.35">
      <c r="A12" s="2">
        <v>7</v>
      </c>
      <c r="B12" s="294"/>
      <c r="C12" s="3"/>
      <c r="D12" s="3"/>
      <c r="E12" s="2"/>
      <c r="F12" s="2"/>
      <c r="H12" s="2"/>
      <c r="I12" s="408" t="s">
        <v>898</v>
      </c>
      <c r="J12" s="10">
        <f>'DETAILS (sorted)'!DR135</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row>
    <row r="19" spans="1:19" ht="16" x14ac:dyDescent="0.4">
      <c r="A19" s="2"/>
      <c r="B19" s="2"/>
      <c r="C19" s="3"/>
      <c r="D19" s="3"/>
      <c r="E19" s="2"/>
      <c r="F19" s="2"/>
      <c r="H19" s="2"/>
      <c r="I19" s="2"/>
      <c r="J19" s="10"/>
      <c r="S19" s="134"/>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3600000</v>
      </c>
      <c r="D25" s="3">
        <f>C25+J25</f>
        <v>3652297.7581885578</v>
      </c>
      <c r="E25" s="3">
        <f>'DETAILS (sorted)'!DS135</f>
        <v>3689691.7247409872</v>
      </c>
      <c r="F25" s="3">
        <f>D25-E25</f>
        <v>-37393.966552429367</v>
      </c>
      <c r="G25" t="b">
        <f>D25=E25</f>
        <v>0</v>
      </c>
      <c r="H25" s="2"/>
      <c r="I25" s="2"/>
      <c r="J25" s="10">
        <f>SUM(J5:J24)</f>
        <v>52297.758188557695</v>
      </c>
    </row>
    <row r="27" spans="1:19" x14ac:dyDescent="0.35">
      <c r="C27" s="3" t="s">
        <v>644</v>
      </c>
      <c r="D27" s="3">
        <f>C25+J25</f>
        <v>3652297.7581885578</v>
      </c>
      <c r="E27" s="122">
        <f>D27/D28</f>
        <v>0.3652297758188558</v>
      </c>
      <c r="F27" s="2" t="s">
        <v>652</v>
      </c>
    </row>
    <row r="28" spans="1:19" x14ac:dyDescent="0.35">
      <c r="C28" s="3" t="s">
        <v>650</v>
      </c>
      <c r="D28" s="3">
        <v>10000000</v>
      </c>
      <c r="E28" s="122">
        <f>D28/D28</f>
        <v>1</v>
      </c>
      <c r="F28" s="2" t="s">
        <v>654</v>
      </c>
    </row>
    <row r="29" spans="1:19" x14ac:dyDescent="0.35">
      <c r="C29" s="3"/>
      <c r="D29" s="3">
        <f>D27-D28</f>
        <v>-6347702.2418114422</v>
      </c>
      <c r="E29" s="122">
        <f>D29/D28</f>
        <v>-0.63477022418114426</v>
      </c>
      <c r="F29" s="2" t="s">
        <v>653</v>
      </c>
    </row>
  </sheetData>
  <mergeCells count="1">
    <mergeCell ref="B3:C3"/>
  </mergeCell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DF19A-669E-4472-B997-B5D814352B69}">
  <dimension ref="A2:S29"/>
  <sheetViews>
    <sheetView workbookViewId="0">
      <selection activeCell="J26" sqref="J2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964</v>
      </c>
      <c r="B3" s="764" t="s">
        <v>968</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(sorted)'!DF136</f>
        <v>8848.0542269404486</v>
      </c>
    </row>
    <row r="6" spans="1:10" x14ac:dyDescent="0.35">
      <c r="A6" s="2">
        <v>1</v>
      </c>
      <c r="B6" s="71">
        <v>46203</v>
      </c>
      <c r="C6" s="7">
        <v>3300000</v>
      </c>
      <c r="D6" s="3">
        <f>C6</f>
        <v>3300000</v>
      </c>
      <c r="E6" s="2" t="s">
        <v>30</v>
      </c>
      <c r="F6" s="2">
        <v>2</v>
      </c>
      <c r="H6" s="2"/>
      <c r="I6" s="408" t="s">
        <v>889</v>
      </c>
      <c r="J6" s="10">
        <f>'DETAILS (sorted)'!DG136</f>
        <v>29543.585174328473</v>
      </c>
    </row>
    <row r="7" spans="1:10" x14ac:dyDescent="0.35">
      <c r="A7" s="2">
        <v>2</v>
      </c>
      <c r="B7" s="71"/>
      <c r="C7" s="7"/>
      <c r="D7" s="3"/>
      <c r="E7" s="2"/>
      <c r="F7" s="2">
        <v>2</v>
      </c>
      <c r="H7" s="2"/>
      <c r="I7" s="408" t="s">
        <v>891</v>
      </c>
      <c r="J7" s="10">
        <f>'DETAILS (sorted)'!DL136</f>
        <v>12408.023848174962</v>
      </c>
    </row>
    <row r="8" spans="1:10" x14ac:dyDescent="0.35">
      <c r="A8" s="2">
        <v>3</v>
      </c>
      <c r="B8" s="71"/>
      <c r="C8" s="7"/>
      <c r="D8" s="3"/>
      <c r="E8" s="2"/>
      <c r="F8" s="2"/>
      <c r="H8" s="2"/>
      <c r="I8" s="408" t="s">
        <v>894</v>
      </c>
      <c r="J8" s="10">
        <f>'DETAILS (sorted)'!DM136</f>
        <v>0</v>
      </c>
    </row>
    <row r="9" spans="1:10" x14ac:dyDescent="0.35">
      <c r="A9" s="2">
        <v>4</v>
      </c>
      <c r="B9" s="71"/>
      <c r="C9" s="3"/>
      <c r="D9" s="3"/>
      <c r="E9" s="2"/>
      <c r="F9" s="2"/>
      <c r="H9" s="2"/>
      <c r="I9" s="408" t="s">
        <v>893</v>
      </c>
      <c r="J9" s="10">
        <f>'DETAILS (sorted)'!DN136</f>
        <v>0</v>
      </c>
    </row>
    <row r="10" spans="1:10" x14ac:dyDescent="0.35">
      <c r="A10" s="2">
        <v>5</v>
      </c>
      <c r="B10" s="294"/>
      <c r="C10" s="3"/>
      <c r="D10" s="3"/>
      <c r="E10" s="2"/>
      <c r="F10" s="2"/>
      <c r="H10" s="2"/>
      <c r="I10" s="408" t="s">
        <v>895</v>
      </c>
      <c r="J10" s="10">
        <f>'DETAILS (sorted)'!DO136</f>
        <v>0</v>
      </c>
    </row>
    <row r="11" spans="1:10" x14ac:dyDescent="0.35">
      <c r="A11" s="2">
        <v>6</v>
      </c>
      <c r="B11" s="294"/>
      <c r="C11" s="3"/>
      <c r="D11" s="3"/>
      <c r="E11" s="2"/>
      <c r="F11" s="2"/>
      <c r="H11" s="2"/>
      <c r="I11" s="408" t="s">
        <v>897</v>
      </c>
      <c r="J11" s="10">
        <f>'DETAILS (sorted)'!DQ136</f>
        <v>0</v>
      </c>
    </row>
    <row r="12" spans="1:10" x14ac:dyDescent="0.35">
      <c r="A12" s="2">
        <v>7</v>
      </c>
      <c r="B12" s="294"/>
      <c r="C12" s="3"/>
      <c r="D12" s="3"/>
      <c r="E12" s="2"/>
      <c r="F12" s="2"/>
      <c r="H12" s="2"/>
      <c r="I12" s="408" t="s">
        <v>898</v>
      </c>
      <c r="J12" s="10">
        <f>'DETAILS (sorted)'!DR136</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row>
    <row r="19" spans="1:19" ht="16" x14ac:dyDescent="0.4">
      <c r="A19" s="2"/>
      <c r="B19" s="2"/>
      <c r="C19" s="3"/>
      <c r="D19" s="3"/>
      <c r="E19" s="2"/>
      <c r="F19" s="2"/>
      <c r="H19" s="2"/>
      <c r="I19" s="2"/>
      <c r="J19" s="10"/>
      <c r="S19" s="134"/>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3300000</v>
      </c>
      <c r="D25" s="3">
        <f>C25+J25</f>
        <v>3350799.6632494438</v>
      </c>
      <c r="E25" s="3">
        <f>'DETAILS (sorted)'!DS136</f>
        <v>4395345.225483275</v>
      </c>
      <c r="F25" s="3">
        <f>D25-E25</f>
        <v>-1044545.5622338313</v>
      </c>
      <c r="G25" t="b">
        <f>D25=E25</f>
        <v>0</v>
      </c>
      <c r="H25" s="2"/>
      <c r="I25" s="2"/>
      <c r="J25" s="10">
        <f>SUM(J5:J24)</f>
        <v>50799.663249443882</v>
      </c>
    </row>
    <row r="27" spans="1:19" x14ac:dyDescent="0.35">
      <c r="C27" s="3" t="s">
        <v>644</v>
      </c>
      <c r="D27" s="3">
        <f>C25+J25</f>
        <v>3350799.6632494438</v>
      </c>
      <c r="E27" s="122">
        <f>D27/D28</f>
        <v>0.33507996632494436</v>
      </c>
      <c r="F27" s="2" t="s">
        <v>652</v>
      </c>
    </row>
    <row r="28" spans="1:19" x14ac:dyDescent="0.35">
      <c r="C28" s="3" t="s">
        <v>650</v>
      </c>
      <c r="D28" s="3">
        <v>10000000</v>
      </c>
      <c r="E28" s="122">
        <f>D28/D28</f>
        <v>1</v>
      </c>
      <c r="F28" s="2" t="s">
        <v>654</v>
      </c>
    </row>
    <row r="29" spans="1:19" x14ac:dyDescent="0.35">
      <c r="C29" s="3"/>
      <c r="D29" s="3">
        <f>D27-D28</f>
        <v>-6649200.3367505558</v>
      </c>
      <c r="E29" s="122">
        <f>D29/D28</f>
        <v>-0.66492003367505559</v>
      </c>
      <c r="F29" s="2" t="s">
        <v>653</v>
      </c>
    </row>
  </sheetData>
  <mergeCells count="1">
    <mergeCell ref="B3:C3"/>
  </mergeCell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E8D38-7781-497D-ABDA-824F43BC4536}">
  <dimension ref="A2:J29"/>
  <sheetViews>
    <sheetView workbookViewId="0">
      <selection activeCell="J26" sqref="J2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965</v>
      </c>
      <c r="B3" s="764" t="s">
        <v>1013</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(sorted)'!DF137</f>
        <v>8848.0542269404486</v>
      </c>
    </row>
    <row r="6" spans="1:10" x14ac:dyDescent="0.35">
      <c r="A6" s="2">
        <v>1</v>
      </c>
      <c r="B6" s="71">
        <v>46203</v>
      </c>
      <c r="C6" s="7">
        <v>3300000</v>
      </c>
      <c r="D6" s="3">
        <f>C6</f>
        <v>3300000</v>
      </c>
      <c r="E6" s="2" t="s">
        <v>30</v>
      </c>
      <c r="F6" s="2">
        <v>2</v>
      </c>
      <c r="H6" s="2"/>
      <c r="I6" s="408" t="s">
        <v>889</v>
      </c>
      <c r="J6" s="10">
        <f>'DETAILS (sorted)'!DG137</f>
        <v>29543.585174328473</v>
      </c>
    </row>
    <row r="7" spans="1:10" x14ac:dyDescent="0.35">
      <c r="A7" s="2">
        <v>2</v>
      </c>
      <c r="B7" s="71"/>
      <c r="C7" s="7"/>
      <c r="D7" s="3"/>
      <c r="E7" s="2"/>
      <c r="F7" s="2">
        <v>2</v>
      </c>
      <c r="H7" s="2"/>
      <c r="I7" s="408" t="s">
        <v>891</v>
      </c>
      <c r="J7" s="10">
        <f>'DETAILS (sorted)'!DL137</f>
        <v>9547.9722715756288</v>
      </c>
    </row>
    <row r="8" spans="1:10" x14ac:dyDescent="0.35">
      <c r="A8" s="2">
        <v>3</v>
      </c>
      <c r="B8" s="71"/>
      <c r="C8" s="7"/>
      <c r="D8" s="3"/>
      <c r="E8" s="2"/>
      <c r="F8" s="2"/>
      <c r="H8" s="2"/>
      <c r="I8" s="408" t="s">
        <v>894</v>
      </c>
      <c r="J8" s="10">
        <f>'DETAILS (sorted)'!DM137</f>
        <v>0</v>
      </c>
    </row>
    <row r="9" spans="1:10" x14ac:dyDescent="0.35">
      <c r="A9" s="2">
        <v>4</v>
      </c>
      <c r="B9" s="71"/>
      <c r="C9" s="3"/>
      <c r="D9" s="3"/>
      <c r="E9" s="2"/>
      <c r="F9" s="2"/>
      <c r="H9" s="2"/>
      <c r="I9" s="408" t="s">
        <v>893</v>
      </c>
      <c r="J9" s="10">
        <f>'DETAILS (sorted)'!DN137</f>
        <v>0</v>
      </c>
    </row>
    <row r="10" spans="1:10" x14ac:dyDescent="0.35">
      <c r="A10" s="2">
        <v>5</v>
      </c>
      <c r="B10" s="294"/>
      <c r="C10" s="3"/>
      <c r="D10" s="3"/>
      <c r="E10" s="2"/>
      <c r="F10" s="2"/>
      <c r="H10" s="2"/>
      <c r="I10" s="408" t="s">
        <v>895</v>
      </c>
      <c r="J10" s="10">
        <f>'DETAILS (sorted)'!DO137</f>
        <v>0</v>
      </c>
    </row>
    <row r="11" spans="1:10" x14ac:dyDescent="0.35">
      <c r="A11" s="2">
        <v>6</v>
      </c>
      <c r="B11" s="294"/>
      <c r="C11" s="3"/>
      <c r="D11" s="3"/>
      <c r="E11" s="2"/>
      <c r="F11" s="2"/>
      <c r="H11" s="2"/>
      <c r="I11" s="408" t="s">
        <v>897</v>
      </c>
      <c r="J11" s="10">
        <f>'DETAILS (sorted)'!DQ137</f>
        <v>0</v>
      </c>
    </row>
    <row r="12" spans="1:10" x14ac:dyDescent="0.35">
      <c r="A12" s="2">
        <v>7</v>
      </c>
      <c r="B12" s="294"/>
      <c r="C12" s="3"/>
      <c r="D12" s="3"/>
      <c r="E12" s="2"/>
      <c r="F12" s="2"/>
      <c r="H12" s="2"/>
      <c r="I12" s="408" t="s">
        <v>898</v>
      </c>
      <c r="J12" s="10">
        <f>'DETAILS (sorted)'!DR137</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3300000</v>
      </c>
      <c r="D25" s="3">
        <f>C25+J25</f>
        <v>3347939.6116728447</v>
      </c>
      <c r="E25" s="3">
        <f>'DETAILS (sorted)'!DS137</f>
        <v>3382217.4143459047</v>
      </c>
      <c r="F25" s="3">
        <f>D25-E25</f>
        <v>-34277.802673059981</v>
      </c>
      <c r="G25" t="b">
        <f>D25=E25</f>
        <v>0</v>
      </c>
      <c r="H25" s="2"/>
      <c r="I25" s="2"/>
      <c r="J25" s="10">
        <f>SUM(J5:J24)</f>
        <v>47939.611672844549</v>
      </c>
    </row>
    <row r="27" spans="1:10" x14ac:dyDescent="0.35">
      <c r="C27" s="3" t="s">
        <v>644</v>
      </c>
      <c r="D27" s="3">
        <f>C25+J25</f>
        <v>3347939.6116728447</v>
      </c>
      <c r="E27" s="122">
        <f>D27/D28</f>
        <v>0.33479396116728449</v>
      </c>
      <c r="F27" s="2" t="s">
        <v>652</v>
      </c>
    </row>
    <row r="28" spans="1:10" x14ac:dyDescent="0.35">
      <c r="C28" s="3" t="s">
        <v>650</v>
      </c>
      <c r="D28" s="3">
        <v>10000000</v>
      </c>
      <c r="E28" s="122">
        <f>D28/D28</f>
        <v>1</v>
      </c>
      <c r="F28" s="2" t="s">
        <v>654</v>
      </c>
    </row>
    <row r="29" spans="1:10" x14ac:dyDescent="0.35">
      <c r="C29" s="3"/>
      <c r="D29" s="3">
        <f>D27-D28</f>
        <v>-6652060.3883271553</v>
      </c>
      <c r="E29" s="122">
        <f>D29/D28</f>
        <v>-0.66520603883271556</v>
      </c>
      <c r="F29" s="2" t="s">
        <v>653</v>
      </c>
    </row>
  </sheetData>
  <mergeCells count="1">
    <mergeCell ref="B3:C3"/>
  </mergeCell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4836-F51E-47B7-A8FE-7D73CBD254C2}">
  <dimension ref="A2:J29"/>
  <sheetViews>
    <sheetView workbookViewId="0">
      <selection activeCell="J26" sqref="J2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966</v>
      </c>
      <c r="B3" s="764" t="s">
        <v>970</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(sorted)'!DF138</f>
        <v>8848.0542269404486</v>
      </c>
    </row>
    <row r="6" spans="1:10" x14ac:dyDescent="0.35">
      <c r="A6" s="2">
        <v>1</v>
      </c>
      <c r="B6" s="71">
        <v>46203</v>
      </c>
      <c r="C6" s="7">
        <v>3300000</v>
      </c>
      <c r="D6" s="3">
        <f>C6</f>
        <v>3300000</v>
      </c>
      <c r="E6" s="2" t="s">
        <v>30</v>
      </c>
      <c r="F6" s="2">
        <v>2</v>
      </c>
      <c r="H6" s="2"/>
      <c r="I6" s="408" t="s">
        <v>889</v>
      </c>
      <c r="J6" s="10">
        <f>'DETAILS (sorted)'!DG138</f>
        <v>29543.585174328473</v>
      </c>
    </row>
    <row r="7" spans="1:10" x14ac:dyDescent="0.35">
      <c r="A7" s="2">
        <v>2</v>
      </c>
      <c r="B7" s="71"/>
      <c r="C7" s="7"/>
      <c r="D7" s="3"/>
      <c r="E7" s="2"/>
      <c r="F7" s="2">
        <v>2</v>
      </c>
      <c r="H7" s="2"/>
      <c r="I7" s="408" t="s">
        <v>891</v>
      </c>
      <c r="J7" s="10">
        <f>'DETAILS (sorted)'!DL138</f>
        <v>11550.008375195162</v>
      </c>
    </row>
    <row r="8" spans="1:10" x14ac:dyDescent="0.35">
      <c r="A8" s="2">
        <v>3</v>
      </c>
      <c r="B8" s="71"/>
      <c r="C8" s="7"/>
      <c r="D8" s="3"/>
      <c r="E8" s="2"/>
      <c r="F8" s="2"/>
      <c r="H8" s="2"/>
      <c r="I8" s="408" t="s">
        <v>894</v>
      </c>
      <c r="J8" s="10">
        <f>'DETAILS (sorted)'!DM138</f>
        <v>0</v>
      </c>
    </row>
    <row r="9" spans="1:10" x14ac:dyDescent="0.35">
      <c r="A9" s="2">
        <v>4</v>
      </c>
      <c r="B9" s="71"/>
      <c r="C9" s="3"/>
      <c r="D9" s="3"/>
      <c r="E9" s="2"/>
      <c r="F9" s="2"/>
      <c r="H9" s="2"/>
      <c r="I9" s="408" t="s">
        <v>893</v>
      </c>
      <c r="J9" s="10">
        <f>'DETAILS (sorted)'!DN138</f>
        <v>0</v>
      </c>
    </row>
    <row r="10" spans="1:10" x14ac:dyDescent="0.35">
      <c r="A10" s="2">
        <v>5</v>
      </c>
      <c r="B10" s="294"/>
      <c r="C10" s="3"/>
      <c r="D10" s="3"/>
      <c r="E10" s="2"/>
      <c r="F10" s="2"/>
      <c r="H10" s="2"/>
      <c r="I10" s="408" t="s">
        <v>895</v>
      </c>
      <c r="J10" s="10">
        <f>'DETAILS (sorted)'!DO138</f>
        <v>0</v>
      </c>
    </row>
    <row r="11" spans="1:10" x14ac:dyDescent="0.35">
      <c r="A11" s="2">
        <v>6</v>
      </c>
      <c r="B11" s="294"/>
      <c r="C11" s="3"/>
      <c r="D11" s="3"/>
      <c r="E11" s="2"/>
      <c r="F11" s="2"/>
      <c r="H11" s="2"/>
      <c r="I11" s="408" t="s">
        <v>897</v>
      </c>
      <c r="J11" s="10">
        <f>'DETAILS (sorted)'!DQ138</f>
        <v>0</v>
      </c>
    </row>
    <row r="12" spans="1:10" x14ac:dyDescent="0.35">
      <c r="A12" s="2">
        <v>7</v>
      </c>
      <c r="B12" s="294"/>
      <c r="C12" s="3"/>
      <c r="D12" s="3"/>
      <c r="E12" s="2"/>
      <c r="F12" s="2"/>
      <c r="H12" s="2"/>
      <c r="I12" s="408" t="s">
        <v>898</v>
      </c>
      <c r="J12" s="10">
        <f>'DETAILS (sorted)'!DR138</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0" x14ac:dyDescent="0.35">
      <c r="A17" s="2"/>
      <c r="B17" s="2"/>
      <c r="C17" s="3"/>
      <c r="D17" s="3"/>
      <c r="E17" s="2"/>
      <c r="F17" s="2"/>
      <c r="H17" s="2"/>
      <c r="I17" s="2"/>
      <c r="J17" s="10"/>
    </row>
    <row r="18" spans="1:10" x14ac:dyDescent="0.35">
      <c r="A18" s="2"/>
      <c r="B18" s="2"/>
      <c r="C18" s="3"/>
      <c r="D18" s="3"/>
      <c r="E18" s="2"/>
      <c r="F18" s="2"/>
      <c r="H18" s="2"/>
      <c r="I18" s="2"/>
      <c r="J18" s="10"/>
    </row>
    <row r="19" spans="1:10" x14ac:dyDescent="0.35">
      <c r="A19" s="2"/>
      <c r="B19" s="2"/>
      <c r="C19" s="3"/>
      <c r="D19" s="3"/>
      <c r="E19" s="2"/>
      <c r="F19" s="2"/>
      <c r="H19" s="2"/>
      <c r="I19" s="2"/>
      <c r="J19" s="10"/>
    </row>
    <row r="20" spans="1:10" x14ac:dyDescent="0.35">
      <c r="A20" s="2"/>
      <c r="B20" s="2"/>
      <c r="C20" s="3"/>
      <c r="D20" s="3"/>
      <c r="E20" s="2"/>
      <c r="F20" s="2"/>
      <c r="H20" s="2"/>
      <c r="I20" s="2"/>
      <c r="J20" s="10"/>
    </row>
    <row r="21" spans="1:10" x14ac:dyDescent="0.35">
      <c r="A21" s="2"/>
      <c r="B21" s="2"/>
      <c r="C21" s="3"/>
      <c r="D21" s="3"/>
      <c r="E21" s="2"/>
      <c r="F21" s="2"/>
      <c r="H21" s="2"/>
      <c r="I21" s="2"/>
      <c r="J21" s="10"/>
    </row>
    <row r="22" spans="1:10" x14ac:dyDescent="0.35">
      <c r="A22" s="2"/>
      <c r="B22" s="2"/>
      <c r="C22" s="3"/>
      <c r="D22" s="3"/>
      <c r="E22" s="2"/>
      <c r="F22" s="2"/>
      <c r="H22" s="2"/>
      <c r="I22" s="2"/>
      <c r="J22" s="10"/>
    </row>
    <row r="23" spans="1:10" x14ac:dyDescent="0.35">
      <c r="A23" s="2"/>
      <c r="B23" s="2"/>
      <c r="C23" s="3"/>
      <c r="D23" s="3"/>
      <c r="E23" s="2"/>
      <c r="F23" s="2"/>
      <c r="H23" s="2"/>
      <c r="I23" s="2"/>
      <c r="J23" s="10"/>
    </row>
    <row r="24" spans="1:10" x14ac:dyDescent="0.35">
      <c r="A24" s="2"/>
      <c r="B24" s="2"/>
      <c r="C24" s="3"/>
      <c r="D24" s="3"/>
      <c r="E24" s="2"/>
      <c r="F24" s="2"/>
      <c r="H24" s="2"/>
      <c r="I24" s="2"/>
      <c r="J24" s="10"/>
    </row>
    <row r="25" spans="1:10" x14ac:dyDescent="0.35">
      <c r="A25" s="2"/>
      <c r="B25" s="2"/>
      <c r="C25" s="3">
        <f>SUM(C6:C24)</f>
        <v>3300000</v>
      </c>
      <c r="D25" s="3">
        <f>C25+J25</f>
        <v>3349941.647776464</v>
      </c>
      <c r="E25" s="3">
        <f>'DETAILS (sorted)'!DS138</f>
        <v>4091406.8821420642</v>
      </c>
      <c r="F25" s="3">
        <f>D25-E25</f>
        <v>-741465.23436560016</v>
      </c>
      <c r="G25" t="b">
        <f>D25=E25</f>
        <v>0</v>
      </c>
      <c r="H25" s="2"/>
      <c r="I25" s="2"/>
      <c r="J25" s="10">
        <f>SUM(J5:J24)</f>
        <v>49941.64777646408</v>
      </c>
    </row>
    <row r="27" spans="1:10" x14ac:dyDescent="0.35">
      <c r="C27" s="3" t="s">
        <v>644</v>
      </c>
      <c r="D27" s="3">
        <f>C25+J25</f>
        <v>3349941.647776464</v>
      </c>
      <c r="E27" s="122">
        <f>D27/D28</f>
        <v>0.33499416477764637</v>
      </c>
      <c r="F27" s="2" t="s">
        <v>652</v>
      </c>
    </row>
    <row r="28" spans="1:10" x14ac:dyDescent="0.35">
      <c r="C28" s="3" t="s">
        <v>650</v>
      </c>
      <c r="D28" s="3">
        <v>10000000</v>
      </c>
      <c r="E28" s="122">
        <f>D28/D28</f>
        <v>1</v>
      </c>
      <c r="F28" s="2" t="s">
        <v>654</v>
      </c>
    </row>
    <row r="29" spans="1:10" x14ac:dyDescent="0.35">
      <c r="C29" s="3"/>
      <c r="D29" s="3">
        <f>D27-D28</f>
        <v>-6650058.352223536</v>
      </c>
      <c r="E29" s="122">
        <f>D29/D28</f>
        <v>-0.66500583522235357</v>
      </c>
      <c r="F29" s="2" t="s">
        <v>653</v>
      </c>
    </row>
  </sheetData>
  <mergeCells count="1">
    <mergeCell ref="B3:C3"/>
  </mergeCell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ABF4-8AE7-4DAF-BB59-1D1FED028375}">
  <dimension ref="A2:S29"/>
  <sheetViews>
    <sheetView workbookViewId="0">
      <selection activeCell="J26" sqref="J2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967</v>
      </c>
      <c r="B3" s="764" t="s">
        <v>971</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(sorted)'!DF139</f>
        <v>9384.2999376641128</v>
      </c>
    </row>
    <row r="6" spans="1:10" x14ac:dyDescent="0.35">
      <c r="A6" s="2">
        <v>1</v>
      </c>
      <c r="B6" s="71">
        <v>46203</v>
      </c>
      <c r="C6" s="7">
        <v>3500000</v>
      </c>
      <c r="D6" s="3">
        <f>C6</f>
        <v>3500000</v>
      </c>
      <c r="E6" s="2" t="s">
        <v>30</v>
      </c>
      <c r="F6" s="2">
        <v>2</v>
      </c>
      <c r="H6" s="2"/>
      <c r="I6" s="408" t="s">
        <v>889</v>
      </c>
      <c r="J6" s="10">
        <f>'DETAILS (sorted)'!DG139</f>
        <v>31334.105487924138</v>
      </c>
    </row>
    <row r="7" spans="1:10" x14ac:dyDescent="0.35">
      <c r="A7" s="2">
        <v>2</v>
      </c>
      <c r="B7" s="71"/>
      <c r="C7" s="7"/>
      <c r="D7" s="3"/>
      <c r="E7" s="2"/>
      <c r="F7" s="2">
        <v>2</v>
      </c>
      <c r="H7" s="2"/>
      <c r="I7" s="408" t="s">
        <v>891</v>
      </c>
      <c r="J7" s="10">
        <f>'DETAILS (sorted)'!DL139</f>
        <v>10126.637257731727</v>
      </c>
    </row>
    <row r="8" spans="1:10" x14ac:dyDescent="0.35">
      <c r="A8" s="2">
        <v>3</v>
      </c>
      <c r="B8" s="71"/>
      <c r="C8" s="7"/>
      <c r="D8" s="3"/>
      <c r="E8" s="2"/>
      <c r="F8" s="2"/>
      <c r="H8" s="2"/>
      <c r="I8" s="408" t="s">
        <v>894</v>
      </c>
      <c r="J8" s="10">
        <f>'DETAILS (sorted)'!DM139</f>
        <v>0</v>
      </c>
    </row>
    <row r="9" spans="1:10" x14ac:dyDescent="0.35">
      <c r="A9" s="2">
        <v>4</v>
      </c>
      <c r="B9" s="71"/>
      <c r="C9" s="3"/>
      <c r="D9" s="3"/>
      <c r="E9" s="2"/>
      <c r="F9" s="2"/>
      <c r="H9" s="2"/>
      <c r="I9" s="408" t="s">
        <v>893</v>
      </c>
      <c r="J9" s="10">
        <f>'DETAILS (sorted)'!DN139</f>
        <v>0</v>
      </c>
    </row>
    <row r="10" spans="1:10" x14ac:dyDescent="0.35">
      <c r="A10" s="2">
        <v>5</v>
      </c>
      <c r="B10" s="294"/>
      <c r="C10" s="3"/>
      <c r="D10" s="3"/>
      <c r="E10" s="2"/>
      <c r="F10" s="2"/>
      <c r="H10" s="2"/>
      <c r="I10" s="408" t="s">
        <v>895</v>
      </c>
      <c r="J10" s="10">
        <f>'DETAILS (sorted)'!DO139</f>
        <v>0</v>
      </c>
    </row>
    <row r="11" spans="1:10" x14ac:dyDescent="0.35">
      <c r="A11" s="2">
        <v>6</v>
      </c>
      <c r="B11" s="294"/>
      <c r="C11" s="3"/>
      <c r="D11" s="3"/>
      <c r="E11" s="2"/>
      <c r="F11" s="2"/>
      <c r="H11" s="2"/>
      <c r="I11" s="408" t="s">
        <v>897</v>
      </c>
      <c r="J11" s="10">
        <f>'DETAILS (sorted)'!DQ139</f>
        <v>0</v>
      </c>
    </row>
    <row r="12" spans="1:10" x14ac:dyDescent="0.35">
      <c r="A12" s="2">
        <v>7</v>
      </c>
      <c r="B12" s="294"/>
      <c r="C12" s="3"/>
      <c r="D12" s="3"/>
      <c r="E12" s="2"/>
      <c r="F12" s="2"/>
      <c r="H12" s="2"/>
      <c r="I12" s="408" t="s">
        <v>898</v>
      </c>
      <c r="J12" s="10">
        <f>'DETAILS (sorted)'!DR139</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row>
    <row r="19" spans="1:19" ht="16" x14ac:dyDescent="0.4">
      <c r="A19" s="2"/>
      <c r="B19" s="2"/>
      <c r="C19" s="3"/>
      <c r="D19" s="3"/>
      <c r="E19" s="2"/>
      <c r="F19" s="2"/>
      <c r="H19" s="2"/>
      <c r="I19" s="2"/>
      <c r="J19" s="10"/>
      <c r="S19" s="134"/>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3500000</v>
      </c>
      <c r="D25" s="3">
        <f>C25+J25</f>
        <v>3550845.0426833201</v>
      </c>
      <c r="E25" s="3">
        <f>'DETAILS (sorted)'!DS139</f>
        <v>3587200.287942626</v>
      </c>
      <c r="F25" s="3">
        <f>D25-E25</f>
        <v>-36355.245259305928</v>
      </c>
      <c r="G25" t="b">
        <f>D25=E25</f>
        <v>0</v>
      </c>
      <c r="H25" s="2"/>
      <c r="I25" s="2"/>
      <c r="J25" s="10">
        <f>SUM(J5:J24)</f>
        <v>50845.042683319974</v>
      </c>
    </row>
    <row r="27" spans="1:19" x14ac:dyDescent="0.35">
      <c r="C27" s="3" t="s">
        <v>644</v>
      </c>
      <c r="D27" s="3">
        <f>C25+J25</f>
        <v>3550845.0426833201</v>
      </c>
      <c r="E27" s="122">
        <f>D27/D28</f>
        <v>0.35508450426833199</v>
      </c>
      <c r="F27" s="2" t="s">
        <v>652</v>
      </c>
    </row>
    <row r="28" spans="1:19" x14ac:dyDescent="0.35">
      <c r="C28" s="3" t="s">
        <v>650</v>
      </c>
      <c r="D28" s="3">
        <v>10000000</v>
      </c>
      <c r="E28" s="122">
        <f>D28/D28</f>
        <v>1</v>
      </c>
      <c r="F28" s="2" t="s">
        <v>654</v>
      </c>
    </row>
    <row r="29" spans="1:19" x14ac:dyDescent="0.35">
      <c r="C29" s="3"/>
      <c r="D29" s="3">
        <f>D27-D28</f>
        <v>-6449154.9573166799</v>
      </c>
      <c r="E29" s="122">
        <f>D29/D28</f>
        <v>-0.64491549573166795</v>
      </c>
      <c r="F29" s="2" t="s">
        <v>653</v>
      </c>
    </row>
  </sheetData>
  <mergeCells count="1">
    <mergeCell ref="B3:C3"/>
  </mergeCell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6D429-0346-4E64-8360-5790ECF2BAF4}">
  <dimension ref="A2:S29"/>
  <sheetViews>
    <sheetView workbookViewId="0">
      <selection activeCell="J26" sqref="J2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972</v>
      </c>
      <c r="B3" s="764" t="s">
        <v>1015</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(sorted)'!DF140</f>
        <v>8848.0542269404486</v>
      </c>
    </row>
    <row r="6" spans="1:10" x14ac:dyDescent="0.35">
      <c r="A6" s="2">
        <v>1</v>
      </c>
      <c r="B6" s="71">
        <v>46203</v>
      </c>
      <c r="C6" s="7">
        <v>3300000</v>
      </c>
      <c r="D6" s="3">
        <f>C6</f>
        <v>3300000</v>
      </c>
      <c r="E6" s="2" t="s">
        <v>30</v>
      </c>
      <c r="F6" s="2">
        <v>2</v>
      </c>
      <c r="H6" s="2"/>
      <c r="I6" s="408" t="s">
        <v>889</v>
      </c>
      <c r="J6" s="10">
        <f>'DETAILS (sorted)'!DG140</f>
        <v>29543.585174328473</v>
      </c>
    </row>
    <row r="7" spans="1:10" x14ac:dyDescent="0.35">
      <c r="A7" s="2">
        <v>2</v>
      </c>
      <c r="B7" s="71"/>
      <c r="C7" s="7"/>
      <c r="D7" s="3"/>
      <c r="E7" s="2"/>
      <c r="F7" s="2">
        <v>2</v>
      </c>
      <c r="H7" s="2"/>
      <c r="I7" s="408" t="s">
        <v>891</v>
      </c>
      <c r="J7" s="10">
        <f>'DETAILS (sorted)'!DL140</f>
        <v>10977.998059875295</v>
      </c>
    </row>
    <row r="8" spans="1:10" x14ac:dyDescent="0.35">
      <c r="A8" s="2">
        <v>3</v>
      </c>
      <c r="B8" s="71"/>
      <c r="C8" s="7"/>
      <c r="D8" s="3"/>
      <c r="E8" s="2"/>
      <c r="F8" s="2"/>
      <c r="H8" s="2"/>
      <c r="I8" s="408" t="s">
        <v>894</v>
      </c>
      <c r="J8" s="10">
        <f>'DETAILS (sorted)'!DM140</f>
        <v>0</v>
      </c>
    </row>
    <row r="9" spans="1:10" x14ac:dyDescent="0.35">
      <c r="A9" s="2">
        <v>4</v>
      </c>
      <c r="B9" s="71"/>
      <c r="C9" s="3"/>
      <c r="D9" s="3"/>
      <c r="E9" s="2"/>
      <c r="F9" s="2"/>
      <c r="H9" s="2"/>
      <c r="I9" s="408" t="s">
        <v>893</v>
      </c>
      <c r="J9" s="10">
        <f>'DETAILS (sorted)'!DN140</f>
        <v>0</v>
      </c>
    </row>
    <row r="10" spans="1:10" x14ac:dyDescent="0.35">
      <c r="A10" s="2">
        <v>5</v>
      </c>
      <c r="B10" s="294"/>
      <c r="C10" s="3"/>
      <c r="D10" s="3"/>
      <c r="E10" s="2"/>
      <c r="F10" s="2"/>
      <c r="H10" s="2"/>
      <c r="I10" s="408" t="s">
        <v>895</v>
      </c>
      <c r="J10" s="10">
        <f>'DETAILS (sorted)'!DO140</f>
        <v>0</v>
      </c>
    </row>
    <row r="11" spans="1:10" x14ac:dyDescent="0.35">
      <c r="A11" s="2">
        <v>6</v>
      </c>
      <c r="B11" s="294"/>
      <c r="C11" s="3"/>
      <c r="D11" s="3"/>
      <c r="E11" s="2"/>
      <c r="F11" s="2"/>
      <c r="H11" s="2"/>
      <c r="I11" s="408" t="s">
        <v>897</v>
      </c>
      <c r="J11" s="10">
        <f>'DETAILS (sorted)'!DQ140</f>
        <v>0</v>
      </c>
    </row>
    <row r="12" spans="1:10" x14ac:dyDescent="0.35">
      <c r="A12" s="2">
        <v>7</v>
      </c>
      <c r="B12" s="294"/>
      <c r="C12" s="3"/>
      <c r="D12" s="3"/>
      <c r="E12" s="2"/>
      <c r="F12" s="2"/>
      <c r="H12" s="2"/>
      <c r="I12" s="408" t="s">
        <v>898</v>
      </c>
      <c r="J12" s="10">
        <f>'DETAILS (sorted)'!DR140</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row>
    <row r="19" spans="1:19" ht="16" x14ac:dyDescent="0.4">
      <c r="A19" s="2"/>
      <c r="B19" s="2"/>
      <c r="C19" s="3"/>
      <c r="D19" s="3"/>
      <c r="E19" s="2"/>
      <c r="F19" s="2"/>
      <c r="H19" s="2"/>
      <c r="I19" s="2"/>
      <c r="J19" s="10"/>
      <c r="S19" s="134"/>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3300000</v>
      </c>
      <c r="D25" s="3">
        <f>C25+J25</f>
        <v>3349369.637461144</v>
      </c>
      <c r="E25" s="3">
        <f>'DETAILS (sorted)'!DS140</f>
        <v>3888781.3199145901</v>
      </c>
      <c r="F25" s="3">
        <f>D25-E25</f>
        <v>-539411.68245344609</v>
      </c>
      <c r="G25" t="b">
        <f>D25=E25</f>
        <v>0</v>
      </c>
      <c r="H25" s="2"/>
      <c r="I25" s="2"/>
      <c r="J25" s="10">
        <f>SUM(J5:J24)</f>
        <v>49369.637461144215</v>
      </c>
    </row>
    <row r="27" spans="1:19" x14ac:dyDescent="0.35">
      <c r="C27" s="3" t="s">
        <v>644</v>
      </c>
      <c r="D27" s="3">
        <f>C25+J25</f>
        <v>3349369.637461144</v>
      </c>
      <c r="E27" s="122">
        <f>D27/D28</f>
        <v>0.33493696374611442</v>
      </c>
      <c r="F27" s="2" t="s">
        <v>652</v>
      </c>
    </row>
    <row r="28" spans="1:19" x14ac:dyDescent="0.35">
      <c r="C28" s="3" t="s">
        <v>650</v>
      </c>
      <c r="D28" s="3">
        <v>10000000</v>
      </c>
      <c r="E28" s="122">
        <f>D28/D28</f>
        <v>1</v>
      </c>
      <c r="F28" s="2" t="s">
        <v>654</v>
      </c>
    </row>
    <row r="29" spans="1:19" x14ac:dyDescent="0.35">
      <c r="C29" s="3"/>
      <c r="D29" s="3">
        <f>D27-D28</f>
        <v>-6650630.3625388555</v>
      </c>
      <c r="E29" s="122">
        <f>D29/D28</f>
        <v>-0.66506303625388552</v>
      </c>
      <c r="F29" s="2" t="s">
        <v>653</v>
      </c>
    </row>
  </sheetData>
  <mergeCells count="1">
    <mergeCell ref="B3:C3"/>
  </mergeCell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254A3-2B7F-4E86-9CE8-5D8FAFB16087}">
  <dimension ref="A2:S29"/>
  <sheetViews>
    <sheetView topLeftCell="A13" workbookViewId="0">
      <selection activeCell="J26" sqref="J2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973</v>
      </c>
      <c r="B3" s="764" t="s">
        <v>983</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(sorted)'!DF141</f>
        <v>8848.0542269404486</v>
      </c>
    </row>
    <row r="6" spans="1:10" x14ac:dyDescent="0.35">
      <c r="A6" s="2">
        <v>1</v>
      </c>
      <c r="B6" s="71">
        <v>46203</v>
      </c>
      <c r="C6" s="7">
        <v>3300000</v>
      </c>
      <c r="D6" s="3">
        <f>C6</f>
        <v>3300000</v>
      </c>
      <c r="E6" s="2" t="s">
        <v>30</v>
      </c>
      <c r="F6" s="2">
        <v>2</v>
      </c>
      <c r="H6" s="2"/>
      <c r="I6" s="408" t="s">
        <v>889</v>
      </c>
      <c r="J6" s="10">
        <f>'DETAILS (sorted)'!DG141</f>
        <v>29543.585174328473</v>
      </c>
    </row>
    <row r="7" spans="1:10" x14ac:dyDescent="0.35">
      <c r="A7" s="2">
        <v>2</v>
      </c>
      <c r="B7" s="71"/>
      <c r="C7" s="7"/>
      <c r="D7" s="3"/>
      <c r="E7" s="2"/>
      <c r="F7" s="2">
        <v>2</v>
      </c>
      <c r="H7" s="2"/>
      <c r="I7" s="408" t="s">
        <v>891</v>
      </c>
      <c r="J7" s="10">
        <f>'DETAILS (sorted)'!DL141</f>
        <v>21989.196629782728</v>
      </c>
    </row>
    <row r="8" spans="1:10" x14ac:dyDescent="0.35">
      <c r="A8" s="2">
        <v>3</v>
      </c>
      <c r="B8" s="71"/>
      <c r="C8" s="7"/>
      <c r="D8" s="3"/>
      <c r="E8" s="2"/>
      <c r="F8" s="2"/>
      <c r="H8" s="2"/>
      <c r="I8" s="408" t="s">
        <v>894</v>
      </c>
      <c r="J8" s="10">
        <f>'DETAILS (sorted)'!DM141</f>
        <v>0</v>
      </c>
    </row>
    <row r="9" spans="1:10" x14ac:dyDescent="0.35">
      <c r="A9" s="2">
        <v>4</v>
      </c>
      <c r="B9" s="71"/>
      <c r="C9" s="3"/>
      <c r="D9" s="3"/>
      <c r="E9" s="2"/>
      <c r="F9" s="2"/>
      <c r="H9" s="2"/>
      <c r="I9" s="408" t="s">
        <v>893</v>
      </c>
      <c r="J9" s="10">
        <f>'DETAILS (sorted)'!DN141</f>
        <v>0</v>
      </c>
    </row>
    <row r="10" spans="1:10" x14ac:dyDescent="0.35">
      <c r="A10" s="2">
        <v>5</v>
      </c>
      <c r="B10" s="294"/>
      <c r="C10" s="3"/>
      <c r="D10" s="3"/>
      <c r="E10" s="2"/>
      <c r="F10" s="2"/>
      <c r="H10" s="2"/>
      <c r="I10" s="408" t="s">
        <v>895</v>
      </c>
      <c r="J10" s="10">
        <f>'DETAILS (sorted)'!DO141</f>
        <v>0</v>
      </c>
    </row>
    <row r="11" spans="1:10" x14ac:dyDescent="0.35">
      <c r="A11" s="2">
        <v>6</v>
      </c>
      <c r="B11" s="294"/>
      <c r="C11" s="3"/>
      <c r="D11" s="3"/>
      <c r="E11" s="2"/>
      <c r="F11" s="2"/>
      <c r="H11" s="2"/>
      <c r="I11" s="408" t="s">
        <v>897</v>
      </c>
      <c r="J11" s="10">
        <f>'DETAILS (sorted)'!DQ141</f>
        <v>0</v>
      </c>
    </row>
    <row r="12" spans="1:10" x14ac:dyDescent="0.35">
      <c r="A12" s="2">
        <v>7</v>
      </c>
      <c r="B12" s="294"/>
      <c r="C12" s="3"/>
      <c r="D12" s="3"/>
      <c r="E12" s="2"/>
      <c r="F12" s="2"/>
      <c r="H12" s="2"/>
      <c r="I12" s="408" t="s">
        <v>898</v>
      </c>
      <c r="J12" s="10">
        <f>'DETAILS (sorted)'!DR141</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row>
    <row r="19" spans="1:19" ht="16" x14ac:dyDescent="0.4">
      <c r="A19" s="2"/>
      <c r="B19" s="2"/>
      <c r="C19" s="3"/>
      <c r="D19" s="3"/>
      <c r="E19" s="2"/>
      <c r="F19" s="2"/>
      <c r="H19" s="2"/>
      <c r="I19" s="2"/>
      <c r="J19" s="10"/>
      <c r="S19" s="134"/>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3300000</v>
      </c>
      <c r="D25" s="3">
        <f>C25+J25</f>
        <v>3360380.8360310518</v>
      </c>
      <c r="E25" s="3">
        <f>'DETAILS (sorted)'!DS141</f>
        <v>7989323.3927934663</v>
      </c>
      <c r="F25" s="3">
        <f>D25-E25</f>
        <v>-4628942.5567624141</v>
      </c>
      <c r="G25" t="b">
        <f>D25=E25</f>
        <v>0</v>
      </c>
      <c r="H25" s="2"/>
      <c r="I25" s="2"/>
      <c r="J25" s="10">
        <f>SUM(J5:J24)</f>
        <v>60380.836031051644</v>
      </c>
    </row>
    <row r="27" spans="1:19" x14ac:dyDescent="0.35">
      <c r="C27" s="3" t="s">
        <v>644</v>
      </c>
      <c r="D27" s="3">
        <f>C25+J25</f>
        <v>3360380.8360310518</v>
      </c>
      <c r="E27" s="122">
        <f>D27/D28</f>
        <v>0.33603808360310516</v>
      </c>
      <c r="F27" s="2" t="s">
        <v>652</v>
      </c>
    </row>
    <row r="28" spans="1:19" x14ac:dyDescent="0.35">
      <c r="C28" s="3" t="s">
        <v>650</v>
      </c>
      <c r="D28" s="3">
        <v>10000000</v>
      </c>
      <c r="E28" s="122">
        <f>D28/D28</f>
        <v>1</v>
      </c>
      <c r="F28" s="2" t="s">
        <v>654</v>
      </c>
    </row>
    <row r="29" spans="1:19" x14ac:dyDescent="0.35">
      <c r="C29" s="3"/>
      <c r="D29" s="3">
        <f>D27-D28</f>
        <v>-6639619.1639689486</v>
      </c>
      <c r="E29" s="122">
        <f>D29/D28</f>
        <v>-0.66396191639689484</v>
      </c>
      <c r="F29" s="2" t="s">
        <v>653</v>
      </c>
    </row>
  </sheetData>
  <mergeCells count="1">
    <mergeCell ref="B3:C3"/>
  </mergeCell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98C9-1160-4333-8EF1-AA83443289A8}">
  <dimension ref="A2:S29"/>
  <sheetViews>
    <sheetView workbookViewId="0">
      <selection activeCell="N16" sqref="N1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977</v>
      </c>
      <c r="B3" s="764" t="s">
        <v>980</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(sorted)'!DF142</f>
        <v>8848.0542269404486</v>
      </c>
    </row>
    <row r="6" spans="1:10" x14ac:dyDescent="0.35">
      <c r="A6" s="2">
        <v>1</v>
      </c>
      <c r="B6" s="71">
        <v>46203</v>
      </c>
      <c r="C6" s="7">
        <v>3300000</v>
      </c>
      <c r="D6" s="3">
        <f>C6</f>
        <v>3300000</v>
      </c>
      <c r="E6" s="2" t="s">
        <v>30</v>
      </c>
      <c r="F6" s="2">
        <v>2</v>
      </c>
      <c r="H6" s="2"/>
      <c r="I6" s="408" t="s">
        <v>889</v>
      </c>
      <c r="J6" s="10">
        <f>'DETAILS (sorted)'!DG142</f>
        <v>29543.585174328473</v>
      </c>
    </row>
    <row r="7" spans="1:10" x14ac:dyDescent="0.35">
      <c r="A7" s="2">
        <v>2</v>
      </c>
      <c r="B7" s="71"/>
      <c r="C7" s="7"/>
      <c r="D7" s="3"/>
      <c r="E7" s="2"/>
      <c r="F7" s="2">
        <v>2</v>
      </c>
      <c r="H7" s="2"/>
      <c r="I7" s="408" t="s">
        <v>891</v>
      </c>
      <c r="J7" s="10">
        <f>'DETAILS (sorted)'!DL142</f>
        <v>15268.075424774295</v>
      </c>
    </row>
    <row r="8" spans="1:10" x14ac:dyDescent="0.35">
      <c r="A8" s="2">
        <v>3</v>
      </c>
      <c r="B8" s="71"/>
      <c r="C8" s="7"/>
      <c r="D8" s="3"/>
      <c r="E8" s="2"/>
      <c r="F8" s="2"/>
      <c r="H8" s="2"/>
      <c r="I8" s="408" t="s">
        <v>894</v>
      </c>
      <c r="J8" s="10">
        <f>'DETAILS (sorted)'!DM142</f>
        <v>0</v>
      </c>
    </row>
    <row r="9" spans="1:10" x14ac:dyDescent="0.35">
      <c r="A9" s="2">
        <v>4</v>
      </c>
      <c r="B9" s="71"/>
      <c r="C9" s="3"/>
      <c r="D9" s="3"/>
      <c r="E9" s="2"/>
      <c r="F9" s="2"/>
      <c r="H9" s="2"/>
      <c r="I9" s="408" t="s">
        <v>893</v>
      </c>
      <c r="J9" s="10">
        <f>'DETAILS (sorted)'!DN142</f>
        <v>0</v>
      </c>
    </row>
    <row r="10" spans="1:10" x14ac:dyDescent="0.35">
      <c r="A10" s="2">
        <v>5</v>
      </c>
      <c r="B10" s="294"/>
      <c r="C10" s="3"/>
      <c r="D10" s="3"/>
      <c r="E10" s="2"/>
      <c r="F10" s="2"/>
      <c r="H10" s="2"/>
      <c r="I10" s="408" t="s">
        <v>895</v>
      </c>
      <c r="J10" s="10">
        <f>'DETAILS (sorted)'!DO142</f>
        <v>0</v>
      </c>
    </row>
    <row r="11" spans="1:10" x14ac:dyDescent="0.35">
      <c r="A11" s="2">
        <v>6</v>
      </c>
      <c r="B11" s="294"/>
      <c r="C11" s="3"/>
      <c r="D11" s="3"/>
      <c r="E11" s="2"/>
      <c r="F11" s="2"/>
      <c r="H11" s="2"/>
      <c r="I11" s="408" t="s">
        <v>897</v>
      </c>
      <c r="J11" s="10">
        <f>'DETAILS (sorted)'!DQ142</f>
        <v>0</v>
      </c>
    </row>
    <row r="12" spans="1:10" x14ac:dyDescent="0.35">
      <c r="A12" s="2">
        <v>7</v>
      </c>
      <c r="B12" s="294"/>
      <c r="C12" s="3"/>
      <c r="D12" s="3"/>
      <c r="E12" s="2"/>
      <c r="F12" s="2"/>
      <c r="H12" s="2"/>
      <c r="I12" s="408" t="s">
        <v>898</v>
      </c>
      <c r="J12" s="10">
        <f>'DETAILS (sorted)'!DR142</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row>
    <row r="19" spans="1:19" ht="16" x14ac:dyDescent="0.4">
      <c r="A19" s="2"/>
      <c r="B19" s="2"/>
      <c r="C19" s="3"/>
      <c r="D19" s="3"/>
      <c r="E19" s="2"/>
      <c r="F19" s="2"/>
      <c r="H19" s="2"/>
      <c r="I19" s="2"/>
      <c r="J19" s="10"/>
      <c r="S19" s="134"/>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3300000</v>
      </c>
      <c r="D25" s="3">
        <f>C25+J25</f>
        <v>3353659.7148260432</v>
      </c>
      <c r="E25" s="3">
        <f>'DETAILS (sorted)'!DS142</f>
        <v>5408473.0366206458</v>
      </c>
      <c r="F25" s="3">
        <f>D25-E25</f>
        <v>-2054813.3217946026</v>
      </c>
      <c r="G25" t="b">
        <f>D25=E25</f>
        <v>0</v>
      </c>
      <c r="H25" s="2"/>
      <c r="I25" s="2"/>
      <c r="J25" s="10">
        <f>SUM(J5:J24)</f>
        <v>53659.714826043215</v>
      </c>
    </row>
    <row r="27" spans="1:19" x14ac:dyDescent="0.35">
      <c r="C27" s="3" t="s">
        <v>644</v>
      </c>
      <c r="D27" s="3">
        <f>C25+J25</f>
        <v>3353659.7148260432</v>
      </c>
      <c r="E27" s="122">
        <f>D27/D28</f>
        <v>0.33536597148260433</v>
      </c>
      <c r="F27" s="2" t="s">
        <v>652</v>
      </c>
    </row>
    <row r="28" spans="1:19" x14ac:dyDescent="0.35">
      <c r="C28" s="3" t="s">
        <v>650</v>
      </c>
      <c r="D28" s="3">
        <v>10000000</v>
      </c>
      <c r="E28" s="122">
        <f>D28/D28</f>
        <v>1</v>
      </c>
      <c r="F28" s="2" t="s">
        <v>654</v>
      </c>
    </row>
    <row r="29" spans="1:19" x14ac:dyDescent="0.35">
      <c r="C29" s="3"/>
      <c r="D29" s="3">
        <f>D27-D28</f>
        <v>-6646340.2851739563</v>
      </c>
      <c r="E29" s="122">
        <f>D29/D28</f>
        <v>-0.66463402851739561</v>
      </c>
      <c r="F29" s="2" t="s">
        <v>653</v>
      </c>
    </row>
  </sheetData>
  <mergeCells count="1">
    <mergeCell ref="B3:C3"/>
  </mergeCell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3FEEB-C069-4E3C-BB82-618A189254A4}">
  <dimension ref="A2:S29"/>
  <sheetViews>
    <sheetView topLeftCell="A8" workbookViewId="0">
      <selection activeCell="J26" sqref="J2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2.08984375"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978</v>
      </c>
      <c r="B3" s="764" t="s">
        <v>989</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(sorted)'!DF143</f>
        <v>8848.0542269404486</v>
      </c>
    </row>
    <row r="6" spans="1:10" x14ac:dyDescent="0.35">
      <c r="A6" s="2">
        <v>1</v>
      </c>
      <c r="B6" s="71">
        <v>46203</v>
      </c>
      <c r="C6" s="7">
        <v>3300000</v>
      </c>
      <c r="D6" s="3">
        <f>C6</f>
        <v>3300000</v>
      </c>
      <c r="E6" s="2" t="s">
        <v>30</v>
      </c>
      <c r="F6" s="2">
        <v>2</v>
      </c>
      <c r="H6" s="2"/>
      <c r="I6" s="408" t="s">
        <v>889</v>
      </c>
      <c r="J6" s="10">
        <f>'DETAILS (sorted)'!DG143</f>
        <v>29543.585174328473</v>
      </c>
    </row>
    <row r="7" spans="1:10" x14ac:dyDescent="0.35">
      <c r="A7" s="2">
        <v>2</v>
      </c>
      <c r="B7" s="71"/>
      <c r="C7" s="7"/>
      <c r="D7" s="3"/>
      <c r="E7" s="2"/>
      <c r="F7" s="2">
        <v>2</v>
      </c>
      <c r="H7" s="2"/>
      <c r="I7" s="408" t="s">
        <v>891</v>
      </c>
      <c r="J7" s="10">
        <f>'DETAILS (sorted)'!DL143</f>
        <v>10977.998059875295</v>
      </c>
    </row>
    <row r="8" spans="1:10" x14ac:dyDescent="0.35">
      <c r="A8" s="2">
        <v>3</v>
      </c>
      <c r="B8" s="71"/>
      <c r="C8" s="7"/>
      <c r="D8" s="3"/>
      <c r="E8" s="2"/>
      <c r="F8" s="2"/>
      <c r="H8" s="2"/>
      <c r="I8" s="408" t="s">
        <v>894</v>
      </c>
      <c r="J8" s="10">
        <f>'DETAILS (sorted)'!DM143</f>
        <v>0</v>
      </c>
    </row>
    <row r="9" spans="1:10" x14ac:dyDescent="0.35">
      <c r="A9" s="2">
        <v>4</v>
      </c>
      <c r="B9" s="71"/>
      <c r="C9" s="3"/>
      <c r="D9" s="3"/>
      <c r="E9" s="2"/>
      <c r="F9" s="2"/>
      <c r="H9" s="2"/>
      <c r="I9" s="408" t="s">
        <v>893</v>
      </c>
      <c r="J9" s="10">
        <f>'DETAILS (sorted)'!DN143</f>
        <v>0</v>
      </c>
    </row>
    <row r="10" spans="1:10" x14ac:dyDescent="0.35">
      <c r="A10" s="2">
        <v>5</v>
      </c>
      <c r="B10" s="294"/>
      <c r="C10" s="3"/>
      <c r="D10" s="3"/>
      <c r="E10" s="2"/>
      <c r="F10" s="2"/>
      <c r="H10" s="2"/>
      <c r="I10" s="408" t="s">
        <v>895</v>
      </c>
      <c r="J10" s="10">
        <f>'DETAILS (sorted)'!DO143</f>
        <v>0</v>
      </c>
    </row>
    <row r="11" spans="1:10" x14ac:dyDescent="0.35">
      <c r="A11" s="2">
        <v>6</v>
      </c>
      <c r="B11" s="294"/>
      <c r="C11" s="3"/>
      <c r="D11" s="3"/>
      <c r="E11" s="2"/>
      <c r="F11" s="2"/>
      <c r="H11" s="2"/>
      <c r="I11" s="408" t="s">
        <v>897</v>
      </c>
      <c r="J11" s="10">
        <f>'DETAILS (sorted)'!DQ143</f>
        <v>0</v>
      </c>
    </row>
    <row r="12" spans="1:10" x14ac:dyDescent="0.35">
      <c r="A12" s="2">
        <v>7</v>
      </c>
      <c r="B12" s="294"/>
      <c r="C12" s="3"/>
      <c r="D12" s="3"/>
      <c r="E12" s="2"/>
      <c r="F12" s="2"/>
      <c r="H12" s="2"/>
      <c r="I12" s="408" t="s">
        <v>898</v>
      </c>
      <c r="J12" s="10">
        <f>'DETAILS (sorted)'!DR143</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row>
    <row r="19" spans="1:19" ht="16" x14ac:dyDescent="0.4">
      <c r="A19" s="2"/>
      <c r="B19" s="2"/>
      <c r="C19" s="3"/>
      <c r="D19" s="3"/>
      <c r="E19" s="2"/>
      <c r="F19" s="2"/>
      <c r="H19" s="2"/>
      <c r="I19" s="2"/>
      <c r="J19" s="10"/>
      <c r="S19" s="134"/>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3300000</v>
      </c>
      <c r="D25" s="3">
        <f>C25+J25</f>
        <v>3349369.637461144</v>
      </c>
      <c r="E25" s="3">
        <f>'DETAILS (sorted)'!DS143</f>
        <v>3888781.3199145901</v>
      </c>
      <c r="F25" s="3">
        <f>D25-E25</f>
        <v>-539411.68245344609</v>
      </c>
      <c r="G25" t="b">
        <f>D25=E25</f>
        <v>0</v>
      </c>
      <c r="H25" s="2"/>
      <c r="I25" s="2"/>
      <c r="J25" s="10">
        <f>SUM(J5:J24)</f>
        <v>49369.637461144215</v>
      </c>
    </row>
    <row r="27" spans="1:19" x14ac:dyDescent="0.35">
      <c r="C27" s="3" t="s">
        <v>644</v>
      </c>
      <c r="D27" s="3">
        <f>C25+J25</f>
        <v>3349369.637461144</v>
      </c>
      <c r="E27" s="122">
        <f>D27/D28</f>
        <v>0.33493696374611442</v>
      </c>
      <c r="F27" s="2" t="s">
        <v>652</v>
      </c>
    </row>
    <row r="28" spans="1:19" x14ac:dyDescent="0.35">
      <c r="C28" s="3" t="s">
        <v>650</v>
      </c>
      <c r="D28" s="3">
        <v>10000000</v>
      </c>
      <c r="E28" s="122">
        <f>D28/D28</f>
        <v>1</v>
      </c>
      <c r="F28" s="2" t="s">
        <v>654</v>
      </c>
    </row>
    <row r="29" spans="1:19" x14ac:dyDescent="0.35">
      <c r="C29" s="3"/>
      <c r="D29" s="3">
        <f>D27-D28</f>
        <v>-6650630.3625388555</v>
      </c>
      <c r="E29" s="122">
        <f>D29/D28</f>
        <v>-0.66506303625388552</v>
      </c>
      <c r="F29" s="2" t="s">
        <v>653</v>
      </c>
    </row>
  </sheetData>
  <mergeCells count="1">
    <mergeCell ref="B3:C3"/>
  </mergeCell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C889C-C3C5-407B-9FD7-B39590F2519B}">
  <dimension ref="A2:O29"/>
  <sheetViews>
    <sheetView topLeftCell="A8" workbookViewId="0">
      <selection activeCell="J23" sqref="J23"/>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979</v>
      </c>
      <c r="B3" s="764" t="s">
        <v>992</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(sorted)'!DF144</f>
        <v>8848.0542269404486</v>
      </c>
    </row>
    <row r="6" spans="1:10" x14ac:dyDescent="0.35">
      <c r="A6" s="2">
        <v>1</v>
      </c>
      <c r="B6" s="71">
        <v>46203</v>
      </c>
      <c r="C6" s="7">
        <v>3300000</v>
      </c>
      <c r="D6" s="3">
        <f>C6</f>
        <v>3300000</v>
      </c>
      <c r="E6" s="2" t="s">
        <v>30</v>
      </c>
      <c r="F6" s="2">
        <v>2</v>
      </c>
      <c r="H6" s="2"/>
      <c r="I6" s="408" t="s">
        <v>889</v>
      </c>
      <c r="J6" s="10">
        <f>'DETAILS (sorted)'!DG144</f>
        <v>29543.585174328473</v>
      </c>
    </row>
    <row r="7" spans="1:10" x14ac:dyDescent="0.35">
      <c r="A7" s="2">
        <v>2</v>
      </c>
      <c r="B7" s="71"/>
      <c r="C7" s="7"/>
      <c r="D7" s="3"/>
      <c r="E7" s="2"/>
      <c r="F7" s="2">
        <v>2</v>
      </c>
      <c r="H7" s="2"/>
      <c r="I7" s="408" t="s">
        <v>891</v>
      </c>
      <c r="J7" s="10">
        <f>'DETAILS (sorted)'!DL144</f>
        <v>14410.059951794494</v>
      </c>
    </row>
    <row r="8" spans="1:10" x14ac:dyDescent="0.35">
      <c r="A8" s="2">
        <v>3</v>
      </c>
      <c r="B8" s="71"/>
      <c r="C8" s="7"/>
      <c r="D8" s="3"/>
      <c r="E8" s="2"/>
      <c r="F8" s="2"/>
      <c r="H8" s="2"/>
      <c r="I8" s="408" t="s">
        <v>894</v>
      </c>
      <c r="J8" s="10">
        <f>'DETAILS (sorted)'!DM144</f>
        <v>0</v>
      </c>
    </row>
    <row r="9" spans="1:10" x14ac:dyDescent="0.35">
      <c r="A9" s="2">
        <v>4</v>
      </c>
      <c r="B9" s="71"/>
      <c r="C9" s="3"/>
      <c r="D9" s="3"/>
      <c r="E9" s="2"/>
      <c r="F9" s="2"/>
      <c r="H9" s="2"/>
      <c r="I9" s="408" t="s">
        <v>893</v>
      </c>
      <c r="J9" s="10">
        <f>'DETAILS (sorted)'!DN144</f>
        <v>0</v>
      </c>
    </row>
    <row r="10" spans="1:10" x14ac:dyDescent="0.35">
      <c r="A10" s="2">
        <v>5</v>
      </c>
      <c r="B10" s="294"/>
      <c r="C10" s="3"/>
      <c r="D10" s="3"/>
      <c r="E10" s="2"/>
      <c r="F10" s="2"/>
      <c r="H10" s="2"/>
      <c r="I10" s="408" t="s">
        <v>895</v>
      </c>
      <c r="J10" s="10">
        <f>'DETAILS (sorted)'!DO144</f>
        <v>0</v>
      </c>
    </row>
    <row r="11" spans="1:10" x14ac:dyDescent="0.35">
      <c r="A11" s="2">
        <v>6</v>
      </c>
      <c r="B11" s="294"/>
      <c r="C11" s="3"/>
      <c r="D11" s="3"/>
      <c r="E11" s="2"/>
      <c r="F11" s="2"/>
      <c r="H11" s="2"/>
      <c r="I11" s="408" t="s">
        <v>897</v>
      </c>
      <c r="J11" s="10">
        <f>'DETAILS (sorted)'!DQ144</f>
        <v>0</v>
      </c>
    </row>
    <row r="12" spans="1:10" x14ac:dyDescent="0.35">
      <c r="A12" s="2">
        <v>7</v>
      </c>
      <c r="B12" s="294"/>
      <c r="C12" s="3"/>
      <c r="D12" s="3"/>
      <c r="E12" s="2"/>
      <c r="F12" s="2"/>
      <c r="H12" s="2"/>
      <c r="I12" s="408" t="s">
        <v>898</v>
      </c>
      <c r="J12" s="10">
        <f>'DETAILS (sorted)'!DR144</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5" x14ac:dyDescent="0.35">
      <c r="A17" s="2"/>
      <c r="B17" s="2"/>
      <c r="C17" s="3"/>
      <c r="D17" s="3"/>
      <c r="E17" s="2"/>
      <c r="F17" s="2"/>
      <c r="H17" s="2"/>
      <c r="I17" s="2"/>
      <c r="J17" s="10"/>
    </row>
    <row r="18" spans="1:15" ht="16" x14ac:dyDescent="0.4">
      <c r="A18" s="2"/>
      <c r="B18" s="2"/>
      <c r="C18" s="3"/>
      <c r="D18" s="3"/>
      <c r="E18" s="2"/>
      <c r="F18" s="2"/>
      <c r="H18" s="2"/>
      <c r="I18" s="2"/>
      <c r="J18" s="10"/>
      <c r="O18" s="134"/>
    </row>
    <row r="19" spans="1:15" ht="16" x14ac:dyDescent="0.4">
      <c r="A19" s="2"/>
      <c r="B19" s="2"/>
      <c r="C19" s="3"/>
      <c r="D19" s="3"/>
      <c r="E19" s="2"/>
      <c r="F19" s="2"/>
      <c r="H19" s="2"/>
      <c r="I19" s="2"/>
      <c r="J19" s="10"/>
      <c r="O19" s="134"/>
    </row>
    <row r="20" spans="1:15" x14ac:dyDescent="0.35">
      <c r="A20" s="2"/>
      <c r="B20" s="2"/>
      <c r="C20" s="3"/>
      <c r="D20" s="3"/>
      <c r="E20" s="2"/>
      <c r="F20" s="2"/>
      <c r="H20" s="2"/>
      <c r="I20" s="2"/>
      <c r="J20" s="10"/>
    </row>
    <row r="21" spans="1:15" x14ac:dyDescent="0.35">
      <c r="A21" s="2"/>
      <c r="B21" s="2"/>
      <c r="C21" s="3"/>
      <c r="D21" s="3"/>
      <c r="E21" s="2"/>
      <c r="F21" s="2"/>
      <c r="H21" s="2"/>
      <c r="I21" s="2"/>
      <c r="J21" s="10"/>
    </row>
    <row r="22" spans="1:15" x14ac:dyDescent="0.35">
      <c r="A22" s="2"/>
      <c r="B22" s="2"/>
      <c r="C22" s="3"/>
      <c r="D22" s="3"/>
      <c r="E22" s="2"/>
      <c r="F22" s="2"/>
      <c r="H22" s="2"/>
      <c r="I22" s="2"/>
      <c r="J22" s="10"/>
    </row>
    <row r="23" spans="1:15" x14ac:dyDescent="0.35">
      <c r="A23" s="2"/>
      <c r="B23" s="2"/>
      <c r="C23" s="3"/>
      <c r="D23" s="3"/>
      <c r="E23" s="2"/>
      <c r="F23" s="2"/>
      <c r="H23" s="2"/>
      <c r="I23" s="2"/>
      <c r="J23" s="10"/>
    </row>
    <row r="24" spans="1:15" x14ac:dyDescent="0.35">
      <c r="A24" s="2"/>
      <c r="B24" s="2"/>
      <c r="C24" s="3"/>
      <c r="D24" s="3"/>
      <c r="E24" s="2"/>
      <c r="F24" s="2"/>
      <c r="H24" s="2"/>
      <c r="I24" s="2"/>
      <c r="J24" s="10"/>
    </row>
    <row r="25" spans="1:15" x14ac:dyDescent="0.35">
      <c r="A25" s="2"/>
      <c r="B25" s="2"/>
      <c r="C25" s="3">
        <f>SUM(C6:C24)</f>
        <v>3300000</v>
      </c>
      <c r="D25" s="3">
        <f>C25+J25</f>
        <v>3352801.6993530635</v>
      </c>
      <c r="E25" s="3">
        <f>'DETAILS (sorted)'!DS144</f>
        <v>5104534.693279434</v>
      </c>
      <c r="F25" s="3">
        <f>D25-E25</f>
        <v>-1751732.9939263705</v>
      </c>
      <c r="G25" t="b">
        <f>D25=E25</f>
        <v>0</v>
      </c>
      <c r="H25" s="2"/>
      <c r="I25" s="2"/>
      <c r="J25" s="10">
        <f>SUM(J5:J24)</f>
        <v>52801.699353063414</v>
      </c>
    </row>
    <row r="27" spans="1:15" x14ac:dyDescent="0.35">
      <c r="C27" s="3" t="s">
        <v>644</v>
      </c>
      <c r="D27" s="3">
        <f>C25+J25</f>
        <v>3352801.6993530635</v>
      </c>
      <c r="E27" s="122">
        <f>D27/D28</f>
        <v>0.33528016993530635</v>
      </c>
      <c r="F27" s="2" t="s">
        <v>652</v>
      </c>
    </row>
    <row r="28" spans="1:15" x14ac:dyDescent="0.35">
      <c r="C28" s="3" t="s">
        <v>650</v>
      </c>
      <c r="D28" s="3">
        <v>10000000</v>
      </c>
      <c r="E28" s="122">
        <f>D28/D28</f>
        <v>1</v>
      </c>
      <c r="F28" s="2" t="s">
        <v>654</v>
      </c>
    </row>
    <row r="29" spans="1:15" x14ac:dyDescent="0.35">
      <c r="C29" s="3"/>
      <c r="D29" s="3">
        <f>D27-D28</f>
        <v>-6647198.3006469365</v>
      </c>
      <c r="E29" s="122">
        <f>D29/D28</f>
        <v>-0.66471983006469371</v>
      </c>
      <c r="F29" s="2" t="s">
        <v>653</v>
      </c>
    </row>
  </sheetData>
  <mergeCells count="1">
    <mergeCell ref="B3:C3"/>
  </mergeCell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B377-B3EF-4D4B-9742-1FEFF13D9A3F}">
  <dimension ref="A2:S29"/>
  <sheetViews>
    <sheetView topLeftCell="A2" workbookViewId="0">
      <selection activeCell="N16" sqref="N1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1.08984375"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995</v>
      </c>
      <c r="B3" s="764" t="s">
        <v>996</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(sorted)'!DF145</f>
        <v>0</v>
      </c>
    </row>
    <row r="6" spans="1:10" x14ac:dyDescent="0.35">
      <c r="A6" s="2">
        <v>1</v>
      </c>
      <c r="B6" s="71">
        <v>46203</v>
      </c>
      <c r="C6" s="7">
        <v>3300000</v>
      </c>
      <c r="D6" s="3">
        <f>C6</f>
        <v>3300000</v>
      </c>
      <c r="E6" s="2" t="s">
        <v>30</v>
      </c>
      <c r="F6" s="2">
        <v>2</v>
      </c>
      <c r="H6" s="2"/>
      <c r="I6" s="408" t="s">
        <v>889</v>
      </c>
      <c r="J6" s="10">
        <f>'DETAILS (sorted)'!DG145</f>
        <v>0</v>
      </c>
    </row>
    <row r="7" spans="1:10" x14ac:dyDescent="0.35">
      <c r="A7" s="2">
        <v>2</v>
      </c>
      <c r="B7" s="71">
        <v>46210</v>
      </c>
      <c r="C7" s="7">
        <v>300000</v>
      </c>
      <c r="D7" s="3">
        <f>D6+C7</f>
        <v>3600000</v>
      </c>
      <c r="E7" s="2"/>
      <c r="F7" s="2">
        <v>2</v>
      </c>
      <c r="H7" s="2"/>
      <c r="I7" s="408" t="s">
        <v>891</v>
      </c>
      <c r="J7" s="10">
        <f>'DETAILS (sorted)'!DL145</f>
        <v>10296.185675757597</v>
      </c>
    </row>
    <row r="8" spans="1:10" x14ac:dyDescent="0.35">
      <c r="A8" s="2">
        <v>3</v>
      </c>
      <c r="B8" s="71"/>
      <c r="C8" s="7"/>
      <c r="D8" s="3"/>
      <c r="E8" s="2"/>
      <c r="F8" s="2"/>
      <c r="H8" s="2"/>
      <c r="I8" s="408" t="s">
        <v>894</v>
      </c>
      <c r="J8" s="10">
        <f>'DETAILS (sorted)'!DM145</f>
        <v>0</v>
      </c>
    </row>
    <row r="9" spans="1:10" x14ac:dyDescent="0.35">
      <c r="A9" s="2">
        <v>4</v>
      </c>
      <c r="B9" s="71"/>
      <c r="C9" s="3"/>
      <c r="D9" s="3"/>
      <c r="E9" s="2"/>
      <c r="F9" s="2"/>
      <c r="H9" s="2"/>
      <c r="I9" s="408" t="s">
        <v>893</v>
      </c>
      <c r="J9" s="10">
        <f>'DETAILS (sorted)'!DN145</f>
        <v>0</v>
      </c>
    </row>
    <row r="10" spans="1:10" x14ac:dyDescent="0.35">
      <c r="A10" s="2">
        <v>5</v>
      </c>
      <c r="B10" s="294"/>
      <c r="C10" s="3"/>
      <c r="D10" s="3"/>
      <c r="E10" s="2"/>
      <c r="F10" s="2"/>
      <c r="H10" s="2"/>
      <c r="I10" s="408" t="s">
        <v>895</v>
      </c>
      <c r="J10" s="10">
        <f>'DETAILS (sorted)'!DO145</f>
        <v>0</v>
      </c>
    </row>
    <row r="11" spans="1:10" x14ac:dyDescent="0.35">
      <c r="A11" s="2">
        <v>6</v>
      </c>
      <c r="B11" s="294"/>
      <c r="C11" s="3"/>
      <c r="D11" s="3"/>
      <c r="E11" s="2"/>
      <c r="F11" s="2"/>
      <c r="H11" s="2"/>
      <c r="I11" s="408" t="s">
        <v>897</v>
      </c>
      <c r="J11" s="10">
        <f>'DETAILS (sorted)'!DQ145</f>
        <v>0</v>
      </c>
    </row>
    <row r="12" spans="1:10" x14ac:dyDescent="0.35">
      <c r="A12" s="2">
        <v>7</v>
      </c>
      <c r="B12" s="294"/>
      <c r="C12" s="3"/>
      <c r="D12" s="3"/>
      <c r="E12" s="2"/>
      <c r="F12" s="2"/>
      <c r="H12" s="2"/>
      <c r="I12" s="408" t="s">
        <v>898</v>
      </c>
      <c r="J12" s="10">
        <f>'DETAILS (sorted)'!DR145</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row>
    <row r="19" spans="1:19" ht="16" x14ac:dyDescent="0.4">
      <c r="A19" s="2"/>
      <c r="B19" s="2"/>
      <c r="C19" s="3"/>
      <c r="D19" s="3"/>
      <c r="E19" s="2"/>
      <c r="F19" s="2"/>
      <c r="H19" s="2"/>
      <c r="I19" s="2"/>
      <c r="J19" s="10"/>
      <c r="S19" s="134"/>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3600000</v>
      </c>
      <c r="D25" s="3">
        <f>C25+J25</f>
        <v>3610296.1856757575</v>
      </c>
      <c r="E25" s="3">
        <f>'DETAILS (sorted)'!DS145</f>
        <v>3647260.1200945326</v>
      </c>
      <c r="F25" s="3">
        <f>D25-E25</f>
        <v>-36963.934418775141</v>
      </c>
      <c r="G25" t="b">
        <f>D25=E25</f>
        <v>0</v>
      </c>
      <c r="H25" s="2"/>
      <c r="I25" s="2"/>
      <c r="J25" s="10">
        <f>SUM(J5:J24)</f>
        <v>10296.185675757597</v>
      </c>
    </row>
    <row r="27" spans="1:19" x14ac:dyDescent="0.35">
      <c r="C27" s="3" t="s">
        <v>644</v>
      </c>
      <c r="D27" s="3">
        <f>C25+J25</f>
        <v>3610296.1856757575</v>
      </c>
      <c r="E27" s="122">
        <f>D27/D28</f>
        <v>0.36102961856757576</v>
      </c>
      <c r="F27" s="2" t="s">
        <v>652</v>
      </c>
    </row>
    <row r="28" spans="1:19" x14ac:dyDescent="0.35">
      <c r="C28" s="3" t="s">
        <v>650</v>
      </c>
      <c r="D28" s="3">
        <v>10000000</v>
      </c>
      <c r="E28" s="122">
        <f>D28/D28</f>
        <v>1</v>
      </c>
      <c r="F28" s="2" t="s">
        <v>654</v>
      </c>
    </row>
    <row r="29" spans="1:19" x14ac:dyDescent="0.35">
      <c r="C29" s="3"/>
      <c r="D29" s="3">
        <f>D27-D28</f>
        <v>-6389703.814324243</v>
      </c>
      <c r="E29" s="122">
        <f>D29/D28</f>
        <v>-0.63897038143242435</v>
      </c>
      <c r="F29" s="2" t="s">
        <v>653</v>
      </c>
    </row>
  </sheetData>
  <mergeCells count="1">
    <mergeCell ref="B3:C3"/>
  </mergeCell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D3879-276E-48B2-BF07-46AC569E5334}">
  <dimension ref="A2:S29"/>
  <sheetViews>
    <sheetView topLeftCell="A9" workbookViewId="0">
      <selection activeCell="J26" sqref="J2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9.26953125" bestFit="1" customWidth="1"/>
    <col min="7" max="7" width="5.08984375" bestFit="1"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1004</v>
      </c>
      <c r="B3" s="764" t="s">
        <v>1005</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(sorted)'!DF146</f>
        <v>0</v>
      </c>
    </row>
    <row r="6" spans="1:10" x14ac:dyDescent="0.35">
      <c r="A6" s="2">
        <v>1</v>
      </c>
      <c r="B6" s="71">
        <v>46203</v>
      </c>
      <c r="C6" s="7">
        <v>3400000</v>
      </c>
      <c r="D6" s="3">
        <f>C6</f>
        <v>3400000</v>
      </c>
      <c r="E6" s="2" t="s">
        <v>30</v>
      </c>
      <c r="F6" s="2">
        <v>2</v>
      </c>
      <c r="H6" s="2"/>
      <c r="I6" s="408" t="s">
        <v>889</v>
      </c>
      <c r="J6" s="10">
        <f>'DETAILS (sorted)'!DG146</f>
        <v>0</v>
      </c>
    </row>
    <row r="7" spans="1:10" x14ac:dyDescent="0.35">
      <c r="A7" s="2">
        <v>2</v>
      </c>
      <c r="B7" s="71"/>
      <c r="C7" s="7"/>
      <c r="D7" s="3"/>
      <c r="E7" s="2"/>
      <c r="F7" s="2">
        <v>2</v>
      </c>
      <c r="H7" s="2"/>
      <c r="I7" s="408" t="s">
        <v>891</v>
      </c>
      <c r="J7" s="10">
        <f>'DETAILS (sorted)'!DL146</f>
        <v>9724.17536043773</v>
      </c>
    </row>
    <row r="8" spans="1:10" x14ac:dyDescent="0.35">
      <c r="A8" s="2">
        <v>3</v>
      </c>
      <c r="B8" s="71"/>
      <c r="C8" s="7"/>
      <c r="D8" s="3"/>
      <c r="E8" s="2"/>
      <c r="F8" s="2"/>
      <c r="H8" s="2"/>
      <c r="I8" s="408" t="s">
        <v>894</v>
      </c>
      <c r="J8" s="10">
        <f>'DETAILS (sorted)'!DM146</f>
        <v>0</v>
      </c>
    </row>
    <row r="9" spans="1:10" x14ac:dyDescent="0.35">
      <c r="A9" s="2">
        <v>4</v>
      </c>
      <c r="B9" s="71"/>
      <c r="C9" s="3"/>
      <c r="D9" s="3"/>
      <c r="E9" s="2"/>
      <c r="F9" s="2"/>
      <c r="H9" s="2"/>
      <c r="I9" s="408" t="s">
        <v>893</v>
      </c>
      <c r="J9" s="10">
        <f>'DETAILS (sorted)'!DN146</f>
        <v>0</v>
      </c>
    </row>
    <row r="10" spans="1:10" x14ac:dyDescent="0.35">
      <c r="A10" s="2">
        <v>5</v>
      </c>
      <c r="B10" s="294"/>
      <c r="C10" s="3"/>
      <c r="D10" s="3"/>
      <c r="E10" s="2"/>
      <c r="F10" s="2"/>
      <c r="H10" s="2"/>
      <c r="I10" s="408" t="s">
        <v>895</v>
      </c>
      <c r="J10" s="10">
        <f>'DETAILS (sorted)'!DO146</f>
        <v>0</v>
      </c>
    </row>
    <row r="11" spans="1:10" x14ac:dyDescent="0.35">
      <c r="A11" s="2">
        <v>6</v>
      </c>
      <c r="B11" s="294"/>
      <c r="C11" s="3"/>
      <c r="D11" s="3"/>
      <c r="E11" s="2"/>
      <c r="F11" s="2"/>
      <c r="H11" s="2"/>
      <c r="I11" s="408" t="s">
        <v>897</v>
      </c>
      <c r="J11" s="10">
        <f>'DETAILS (sorted)'!DQ146</f>
        <v>0</v>
      </c>
    </row>
    <row r="12" spans="1:10" x14ac:dyDescent="0.35">
      <c r="A12" s="2">
        <v>7</v>
      </c>
      <c r="B12" s="294"/>
      <c r="C12" s="3"/>
      <c r="D12" s="3"/>
      <c r="E12" s="2"/>
      <c r="F12" s="2"/>
      <c r="H12" s="2"/>
      <c r="I12" s="408" t="s">
        <v>898</v>
      </c>
      <c r="J12" s="10">
        <f>'DETAILS (sorted)'!DR146</f>
        <v>0</v>
      </c>
    </row>
    <row r="13" spans="1:10" x14ac:dyDescent="0.35">
      <c r="A13" s="2">
        <v>8</v>
      </c>
      <c r="B13" s="294"/>
      <c r="C13" s="3"/>
      <c r="D13" s="3"/>
      <c r="E13" s="2"/>
      <c r="F13" s="2"/>
      <c r="H13" s="2"/>
      <c r="I13" s="2"/>
      <c r="J13" s="10"/>
    </row>
    <row r="14" spans="1:10" x14ac:dyDescent="0.35">
      <c r="A14" s="2">
        <v>9</v>
      </c>
      <c r="B14" s="294"/>
      <c r="C14" s="3"/>
      <c r="D14" s="3"/>
      <c r="E14" s="2"/>
      <c r="F14" s="2"/>
      <c r="H14" s="2"/>
      <c r="I14" s="2"/>
      <c r="J14" s="10"/>
    </row>
    <row r="15" spans="1:10" x14ac:dyDescent="0.35">
      <c r="A15" s="2">
        <v>10</v>
      </c>
      <c r="B15" s="295"/>
      <c r="C15" s="205"/>
      <c r="D15" s="3"/>
      <c r="E15" s="2"/>
      <c r="F15" s="2"/>
      <c r="H15" s="2"/>
      <c r="I15" s="2"/>
      <c r="J15" s="10"/>
    </row>
    <row r="16" spans="1:10" x14ac:dyDescent="0.35">
      <c r="A16" s="2">
        <v>11</v>
      </c>
      <c r="B16" s="294"/>
      <c r="C16" s="3"/>
      <c r="D16" s="3"/>
      <c r="E16" s="2"/>
      <c r="F16" s="2"/>
      <c r="H16" s="2"/>
      <c r="I16" s="2"/>
      <c r="J16" s="10"/>
    </row>
    <row r="17" spans="1:19" x14ac:dyDescent="0.35">
      <c r="A17" s="2"/>
      <c r="B17" s="2"/>
      <c r="C17" s="3"/>
      <c r="D17" s="3"/>
      <c r="E17" s="2"/>
      <c r="F17" s="2"/>
      <c r="H17" s="2"/>
      <c r="I17" s="2"/>
      <c r="J17" s="10"/>
    </row>
    <row r="18" spans="1:19" ht="16" x14ac:dyDescent="0.4">
      <c r="A18" s="2"/>
      <c r="B18" s="2"/>
      <c r="C18" s="3"/>
      <c r="D18" s="3"/>
      <c r="E18" s="2"/>
      <c r="F18" s="2"/>
      <c r="H18" s="2"/>
      <c r="I18" s="2"/>
      <c r="J18" s="10"/>
      <c r="S18" s="134"/>
    </row>
    <row r="19" spans="1:19" ht="16" x14ac:dyDescent="0.4">
      <c r="A19" s="2"/>
      <c r="B19" s="2"/>
      <c r="C19" s="3"/>
      <c r="D19" s="3"/>
      <c r="E19" s="2"/>
      <c r="F19" s="2"/>
      <c r="H19" s="2"/>
      <c r="I19" s="2"/>
      <c r="J19" s="10"/>
      <c r="S19" s="134"/>
    </row>
    <row r="20" spans="1:19"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3400000</v>
      </c>
      <c r="D25" s="3">
        <f>C25+J25</f>
        <v>3409724.1753604379</v>
      </c>
      <c r="E25" s="3">
        <f>'DETAILS (sorted)'!DS146</f>
        <v>3444634.557867059</v>
      </c>
      <c r="F25" s="3">
        <f>D25-E25</f>
        <v>-34910.38250662107</v>
      </c>
      <c r="G25" t="b">
        <f>D25=E25</f>
        <v>0</v>
      </c>
      <c r="H25" s="2"/>
      <c r="I25" s="2"/>
      <c r="J25" s="10">
        <f>SUM(J5:J24)</f>
        <v>9724.17536043773</v>
      </c>
    </row>
    <row r="27" spans="1:19" x14ac:dyDescent="0.35">
      <c r="C27" s="3" t="s">
        <v>644</v>
      </c>
      <c r="D27" s="3">
        <f>C25+J25</f>
        <v>3409724.1753604379</v>
      </c>
      <c r="E27" s="122">
        <f>D27/D28</f>
        <v>0.34097241753604379</v>
      </c>
      <c r="F27" s="2" t="s">
        <v>652</v>
      </c>
    </row>
    <row r="28" spans="1:19" x14ac:dyDescent="0.35">
      <c r="C28" s="3" t="s">
        <v>650</v>
      </c>
      <c r="D28" s="3">
        <v>10000000</v>
      </c>
      <c r="E28" s="122">
        <f>D28/D28</f>
        <v>1</v>
      </c>
      <c r="F28" s="2" t="s">
        <v>654</v>
      </c>
    </row>
    <row r="29" spans="1:19" x14ac:dyDescent="0.35">
      <c r="C29" s="3"/>
      <c r="D29" s="3">
        <f>D27-D28</f>
        <v>-6590275.8246395625</v>
      </c>
      <c r="E29" s="122">
        <f>D29/D28</f>
        <v>-0.65902758246395621</v>
      </c>
      <c r="F29" s="2" t="s">
        <v>653</v>
      </c>
    </row>
  </sheetData>
  <mergeCells count="1">
    <mergeCell ref="B3:C3"/>
  </mergeCell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4169A-7B49-4709-BDF6-F728B003C350}">
  <dimension ref="A2:S29"/>
  <sheetViews>
    <sheetView topLeftCell="A2" workbookViewId="0">
      <selection activeCell="J26" sqref="J2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10.81640625" bestFit="1" customWidth="1"/>
    <col min="7" max="7" width="6.6328125"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1006</v>
      </c>
      <c r="B3" s="764" t="s">
        <v>1007</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(sorted)'!DF147</f>
        <v>0</v>
      </c>
    </row>
    <row r="6" spans="1:10" x14ac:dyDescent="0.35">
      <c r="A6" s="2">
        <v>1</v>
      </c>
      <c r="B6" s="71">
        <v>46205</v>
      </c>
      <c r="C6" s="7">
        <v>3500000</v>
      </c>
      <c r="D6" s="3">
        <f>C6</f>
        <v>3500000</v>
      </c>
      <c r="E6" s="2" t="s">
        <v>30</v>
      </c>
      <c r="F6" s="2">
        <v>2</v>
      </c>
      <c r="H6" s="2"/>
      <c r="I6" s="408" t="s">
        <v>889</v>
      </c>
      <c r="J6" s="10">
        <f>'DETAILS (sorted)'!DG147</f>
        <v>0</v>
      </c>
    </row>
    <row r="7" spans="1:10" x14ac:dyDescent="0.35">
      <c r="A7" s="2">
        <v>2</v>
      </c>
      <c r="B7" s="71">
        <v>46205</v>
      </c>
      <c r="C7" s="7">
        <v>200000</v>
      </c>
      <c r="D7" s="3">
        <f>D6+C7</f>
        <v>3700000</v>
      </c>
      <c r="E7" s="2" t="s">
        <v>30</v>
      </c>
      <c r="F7" s="2">
        <v>2</v>
      </c>
      <c r="H7" s="2"/>
      <c r="I7" s="408" t="s">
        <v>891</v>
      </c>
      <c r="J7" s="10">
        <f>'DETAILS (sorted)'!DL147</f>
        <v>33462.60344621219</v>
      </c>
    </row>
    <row r="8" spans="1:10" x14ac:dyDescent="0.35">
      <c r="A8" s="2">
        <v>3</v>
      </c>
      <c r="B8" s="71"/>
      <c r="C8" s="7"/>
      <c r="D8" s="3"/>
      <c r="E8" s="2"/>
      <c r="F8" s="2"/>
      <c r="H8" s="2"/>
      <c r="I8" s="408" t="s">
        <v>894</v>
      </c>
      <c r="J8" s="10">
        <f>'DETAILS (sorted)'!DM147</f>
        <v>0</v>
      </c>
    </row>
    <row r="9" spans="1:10" x14ac:dyDescent="0.35">
      <c r="A9" s="2">
        <v>4</v>
      </c>
      <c r="B9" s="71"/>
      <c r="C9" s="3"/>
      <c r="D9" s="3"/>
      <c r="E9" s="2"/>
      <c r="F9" s="2"/>
      <c r="H9" s="2"/>
      <c r="I9" s="408" t="s">
        <v>893</v>
      </c>
      <c r="J9" s="10">
        <f>'DETAILS (sorted)'!DN147</f>
        <v>0</v>
      </c>
    </row>
    <row r="10" spans="1:10" x14ac:dyDescent="0.35">
      <c r="A10" s="2">
        <v>5</v>
      </c>
      <c r="B10" s="294"/>
      <c r="C10" s="3"/>
      <c r="D10" s="3"/>
      <c r="E10" s="2"/>
      <c r="F10" s="2"/>
      <c r="H10" s="2"/>
      <c r="I10" s="408" t="s">
        <v>895</v>
      </c>
      <c r="J10" s="10">
        <f>'DETAILS (sorted)'!DO147</f>
        <v>0</v>
      </c>
    </row>
    <row r="11" spans="1:10" x14ac:dyDescent="0.35">
      <c r="A11" s="2">
        <v>6</v>
      </c>
      <c r="B11" s="294"/>
      <c r="C11" s="3"/>
      <c r="D11" s="3"/>
      <c r="E11" s="2"/>
      <c r="F11" s="2"/>
      <c r="H11" s="2"/>
      <c r="I11" s="408" t="s">
        <v>897</v>
      </c>
      <c r="J11" s="10">
        <f>'DETAILS (sorted)'!DQ147</f>
        <v>0</v>
      </c>
    </row>
    <row r="12" spans="1:10" x14ac:dyDescent="0.35">
      <c r="A12" s="2">
        <v>7</v>
      </c>
      <c r="B12" s="294"/>
      <c r="C12" s="3"/>
      <c r="D12" s="3"/>
      <c r="E12" s="2"/>
      <c r="F12" s="2"/>
      <c r="H12" s="2"/>
      <c r="I12" s="408" t="s">
        <v>898</v>
      </c>
      <c r="J12" s="10">
        <f>'DETAILS (sorted)'!DR147</f>
        <v>0</v>
      </c>
    </row>
    <row r="13" spans="1:10" x14ac:dyDescent="0.35">
      <c r="A13" s="2">
        <v>8</v>
      </c>
      <c r="B13" s="294"/>
      <c r="C13" s="3"/>
      <c r="D13" s="3"/>
      <c r="E13" s="2"/>
      <c r="F13" s="2"/>
      <c r="H13" s="2"/>
      <c r="I13" s="2"/>
      <c r="J13" s="10"/>
    </row>
    <row r="14" spans="1:10" hidden="1" x14ac:dyDescent="0.35">
      <c r="A14" s="2">
        <v>9</v>
      </c>
      <c r="B14" s="294"/>
      <c r="C14" s="3"/>
      <c r="D14" s="3"/>
      <c r="E14" s="2"/>
      <c r="F14" s="2"/>
      <c r="H14" s="2"/>
      <c r="I14" s="2"/>
      <c r="J14" s="10"/>
    </row>
    <row r="15" spans="1:10" hidden="1" x14ac:dyDescent="0.35">
      <c r="A15" s="2">
        <v>10</v>
      </c>
      <c r="B15" s="295"/>
      <c r="C15" s="205"/>
      <c r="D15" s="3"/>
      <c r="E15" s="2"/>
      <c r="F15" s="2"/>
      <c r="H15" s="2"/>
      <c r="I15" s="2"/>
      <c r="J15" s="10"/>
    </row>
    <row r="16" spans="1:10" hidden="1" x14ac:dyDescent="0.35">
      <c r="A16" s="2">
        <v>11</v>
      </c>
      <c r="B16" s="294"/>
      <c r="C16" s="3"/>
      <c r="D16" s="3"/>
      <c r="E16" s="2"/>
      <c r="F16" s="2"/>
      <c r="H16" s="2"/>
      <c r="I16" s="2"/>
      <c r="J16" s="10"/>
    </row>
    <row r="17" spans="1:19" hidden="1" x14ac:dyDescent="0.35">
      <c r="A17" s="2"/>
      <c r="B17" s="2"/>
      <c r="C17" s="3"/>
      <c r="D17" s="3"/>
      <c r="E17" s="2"/>
      <c r="F17" s="2"/>
      <c r="H17" s="2"/>
      <c r="I17" s="2"/>
      <c r="J17" s="10"/>
    </row>
    <row r="18" spans="1:19" ht="16" hidden="1" x14ac:dyDescent="0.4">
      <c r="A18" s="2"/>
      <c r="B18" s="2"/>
      <c r="C18" s="3"/>
      <c r="D18" s="3"/>
      <c r="E18" s="2"/>
      <c r="F18" s="2"/>
      <c r="H18" s="2"/>
      <c r="I18" s="2"/>
      <c r="J18" s="10"/>
      <c r="S18" s="134"/>
    </row>
    <row r="19" spans="1:19" ht="16" hidden="1" x14ac:dyDescent="0.4">
      <c r="A19" s="2"/>
      <c r="B19" s="2"/>
      <c r="C19" s="3"/>
      <c r="D19" s="3"/>
      <c r="E19" s="2"/>
      <c r="F19" s="2"/>
      <c r="H19" s="2"/>
      <c r="I19" s="2"/>
      <c r="J19" s="10"/>
      <c r="S19" s="134"/>
    </row>
    <row r="20" spans="1:19" hidden="1"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3700000</v>
      </c>
      <c r="D25" s="3">
        <f>C25+J25</f>
        <v>3733462.6034462121</v>
      </c>
      <c r="E25" s="3">
        <f>'DETAILS (sorted)'!DS147</f>
        <v>11853595.390307231</v>
      </c>
      <c r="F25" s="3">
        <f>D25-E25</f>
        <v>-8120132.7868610192</v>
      </c>
      <c r="G25" t="b">
        <f>D25=E25</f>
        <v>0</v>
      </c>
      <c r="H25" s="2"/>
      <c r="I25" s="2"/>
      <c r="J25" s="10">
        <f>SUM(J5:J24)</f>
        <v>33462.60344621219</v>
      </c>
    </row>
    <row r="27" spans="1:19" x14ac:dyDescent="0.35">
      <c r="C27" s="3" t="s">
        <v>644</v>
      </c>
      <c r="D27" s="3">
        <f>C25+J25</f>
        <v>3733462.6034462121</v>
      </c>
      <c r="E27" s="122">
        <f>D27/D28</f>
        <v>0.24889750689641416</v>
      </c>
      <c r="F27" s="2" t="s">
        <v>652</v>
      </c>
    </row>
    <row r="28" spans="1:19" x14ac:dyDescent="0.35">
      <c r="C28" s="3" t="s">
        <v>650</v>
      </c>
      <c r="D28" s="3">
        <v>15000000</v>
      </c>
      <c r="E28" s="122">
        <f>D28/D28</f>
        <v>1</v>
      </c>
      <c r="F28" s="2" t="s">
        <v>654</v>
      </c>
    </row>
    <row r="29" spans="1:19" x14ac:dyDescent="0.35">
      <c r="C29" s="3"/>
      <c r="D29" s="3">
        <f>D27-D28</f>
        <v>-11266537.396553788</v>
      </c>
      <c r="E29" s="122">
        <f>D29/D28</f>
        <v>-0.7511024931035859</v>
      </c>
      <c r="F29" s="2" t="s">
        <v>653</v>
      </c>
    </row>
  </sheetData>
  <mergeCells count="1">
    <mergeCell ref="B3:C3"/>
  </mergeCell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F2AD7-883D-4143-9E67-88F7D4DFAB16}">
  <dimension ref="A2:S29"/>
  <sheetViews>
    <sheetView topLeftCell="A3" workbookViewId="0">
      <selection activeCell="J26" sqref="J26"/>
    </sheetView>
  </sheetViews>
  <sheetFormatPr defaultRowHeight="14.5" x14ac:dyDescent="0.35"/>
  <cols>
    <col min="1" max="1" width="8.1796875" bestFit="1" customWidth="1"/>
    <col min="2" max="2" width="14.26953125" bestFit="1" customWidth="1"/>
    <col min="3" max="3" width="11.08984375" style="1" bestFit="1" customWidth="1"/>
    <col min="4" max="4" width="14.453125" style="1" bestFit="1" customWidth="1"/>
    <col min="5" max="5" width="11.26953125" bestFit="1" customWidth="1"/>
    <col min="6" max="6" width="10.81640625" bestFit="1" customWidth="1"/>
    <col min="7" max="7" width="6.6328125" customWidth="1"/>
    <col min="8" max="8" width="4.7265625" hidden="1" customWidth="1"/>
    <col min="9" max="9" width="20.36328125" bestFit="1" customWidth="1"/>
    <col min="10" max="10" width="9.7265625" bestFit="1" customWidth="1"/>
  </cols>
  <sheetData>
    <row r="2" spans="1:10" s="5" customFormat="1" x14ac:dyDescent="0.35">
      <c r="A2" s="74" t="s">
        <v>190</v>
      </c>
      <c r="B2" s="191" t="s">
        <v>0</v>
      </c>
      <c r="C2" s="74"/>
      <c r="D2" s="74" t="s">
        <v>1</v>
      </c>
      <c r="E2" s="74"/>
      <c r="F2" s="75"/>
      <c r="G2" s="63"/>
    </row>
    <row r="3" spans="1:10" ht="28" x14ac:dyDescent="0.35">
      <c r="A3" s="210" t="s">
        <v>1019</v>
      </c>
      <c r="B3" s="764" t="s">
        <v>1020</v>
      </c>
      <c r="C3" s="765"/>
      <c r="D3" s="71"/>
      <c r="E3" s="11"/>
      <c r="F3" s="11"/>
      <c r="G3" s="11"/>
    </row>
    <row r="4" spans="1:10" x14ac:dyDescent="0.35">
      <c r="H4" s="2" t="s">
        <v>643</v>
      </c>
      <c r="I4" s="74" t="s">
        <v>445</v>
      </c>
      <c r="J4" s="63" t="s">
        <v>568</v>
      </c>
    </row>
    <row r="5" spans="1:10" x14ac:dyDescent="0.35">
      <c r="A5" s="74" t="s">
        <v>487</v>
      </c>
      <c r="B5" s="74" t="s">
        <v>2</v>
      </c>
      <c r="C5" s="191" t="s">
        <v>124</v>
      </c>
      <c r="D5" s="191" t="s">
        <v>488</v>
      </c>
      <c r="E5" s="74" t="s">
        <v>489</v>
      </c>
      <c r="F5" s="74" t="s">
        <v>490</v>
      </c>
      <c r="H5" s="2"/>
      <c r="I5" s="408" t="s">
        <v>887</v>
      </c>
      <c r="J5" s="10">
        <f>'DETAILS (sorted)'!DF148</f>
        <v>0</v>
      </c>
    </row>
    <row r="6" spans="1:10" x14ac:dyDescent="0.35">
      <c r="A6" s="2">
        <v>1</v>
      </c>
      <c r="B6" s="71">
        <v>46205</v>
      </c>
      <c r="C6" s="7">
        <f>3496500</f>
        <v>3496500</v>
      </c>
      <c r="D6" s="3">
        <f>C6</f>
        <v>3496500</v>
      </c>
      <c r="E6" s="2" t="s">
        <v>30</v>
      </c>
      <c r="F6" s="2">
        <v>2</v>
      </c>
      <c r="H6" s="2"/>
      <c r="I6" s="408" t="s">
        <v>889</v>
      </c>
      <c r="J6" s="10">
        <f>'DETAILS (sorted)'!DG148</f>
        <v>0</v>
      </c>
    </row>
    <row r="7" spans="1:10" x14ac:dyDescent="0.35">
      <c r="A7" s="2">
        <v>2</v>
      </c>
      <c r="B7" s="71">
        <v>46205</v>
      </c>
      <c r="C7" s="7">
        <v>25000</v>
      </c>
      <c r="D7" s="3">
        <f>D6+C7</f>
        <v>3521500</v>
      </c>
      <c r="E7" s="2" t="s">
        <v>30</v>
      </c>
      <c r="F7" s="2">
        <v>2</v>
      </c>
      <c r="H7" s="2"/>
      <c r="I7" s="408" t="s">
        <v>891</v>
      </c>
      <c r="J7" s="10">
        <f>'DETAILS (sorted)'!DL148</f>
        <v>10071.671626994548</v>
      </c>
    </row>
    <row r="8" spans="1:10" x14ac:dyDescent="0.35">
      <c r="A8" s="2">
        <v>3</v>
      </c>
      <c r="B8" s="71"/>
      <c r="C8" s="7"/>
      <c r="D8" s="3"/>
      <c r="E8" s="2"/>
      <c r="F8" s="2"/>
      <c r="H8" s="2"/>
      <c r="I8" s="408" t="s">
        <v>894</v>
      </c>
      <c r="J8" s="10">
        <f>'DETAILS (sorted)'!DM148</f>
        <v>0</v>
      </c>
    </row>
    <row r="9" spans="1:10" x14ac:dyDescent="0.35">
      <c r="A9" s="2">
        <v>4</v>
      </c>
      <c r="B9" s="71"/>
      <c r="C9" s="3"/>
      <c r="D9" s="3"/>
      <c r="E9" s="2"/>
      <c r="F9" s="2"/>
      <c r="H9" s="2"/>
      <c r="I9" s="408" t="s">
        <v>893</v>
      </c>
      <c r="J9" s="10">
        <f>'DETAILS (sorted)'!DN148</f>
        <v>0</v>
      </c>
    </row>
    <row r="10" spans="1:10" x14ac:dyDescent="0.35">
      <c r="A10" s="2">
        <v>5</v>
      </c>
      <c r="B10" s="294"/>
      <c r="C10" s="3"/>
      <c r="D10" s="3"/>
      <c r="E10" s="2"/>
      <c r="F10" s="2"/>
      <c r="H10" s="2"/>
      <c r="I10" s="408" t="s">
        <v>895</v>
      </c>
      <c r="J10" s="10">
        <f>'DETAILS (sorted)'!DO148</f>
        <v>0</v>
      </c>
    </row>
    <row r="11" spans="1:10" x14ac:dyDescent="0.35">
      <c r="A11" s="2">
        <v>6</v>
      </c>
      <c r="B11" s="294"/>
      <c r="C11" s="3"/>
      <c r="D11" s="3"/>
      <c r="E11" s="2"/>
      <c r="F11" s="2"/>
      <c r="H11" s="2"/>
      <c r="I11" s="408" t="s">
        <v>897</v>
      </c>
      <c r="J11" s="10">
        <f>'DETAILS (sorted)'!DQ148</f>
        <v>0</v>
      </c>
    </row>
    <row r="12" spans="1:10" x14ac:dyDescent="0.35">
      <c r="A12" s="2">
        <v>7</v>
      </c>
      <c r="B12" s="294"/>
      <c r="C12" s="3"/>
      <c r="D12" s="3"/>
      <c r="E12" s="2"/>
      <c r="F12" s="2"/>
      <c r="H12" s="2"/>
      <c r="I12" s="408" t="s">
        <v>898</v>
      </c>
      <c r="J12" s="10">
        <f>'DETAILS (sorted)'!DR148</f>
        <v>0</v>
      </c>
    </row>
    <row r="13" spans="1:10" x14ac:dyDescent="0.35">
      <c r="A13" s="2">
        <v>8</v>
      </c>
      <c r="B13" s="294"/>
      <c r="C13" s="3"/>
      <c r="D13" s="3"/>
      <c r="E13" s="2"/>
      <c r="F13" s="2"/>
      <c r="H13" s="2"/>
      <c r="I13" s="2"/>
      <c r="J13" s="10"/>
    </row>
    <row r="14" spans="1:10" hidden="1" x14ac:dyDescent="0.35">
      <c r="A14" s="2">
        <v>9</v>
      </c>
      <c r="B14" s="294"/>
      <c r="C14" s="3"/>
      <c r="D14" s="3"/>
      <c r="E14" s="2"/>
      <c r="F14" s="2"/>
      <c r="H14" s="2"/>
      <c r="I14" s="2"/>
      <c r="J14" s="10"/>
    </row>
    <row r="15" spans="1:10" hidden="1" x14ac:dyDescent="0.35">
      <c r="A15" s="2">
        <v>10</v>
      </c>
      <c r="B15" s="295"/>
      <c r="C15" s="205"/>
      <c r="D15" s="3"/>
      <c r="E15" s="2"/>
      <c r="F15" s="2"/>
      <c r="H15" s="2"/>
      <c r="I15" s="2"/>
      <c r="J15" s="10"/>
    </row>
    <row r="16" spans="1:10" hidden="1" x14ac:dyDescent="0.35">
      <c r="A16" s="2">
        <v>11</v>
      </c>
      <c r="B16" s="294"/>
      <c r="C16" s="3"/>
      <c r="D16" s="3"/>
      <c r="E16" s="2"/>
      <c r="F16" s="2"/>
      <c r="H16" s="2"/>
      <c r="I16" s="2"/>
      <c r="J16" s="10"/>
    </row>
    <row r="17" spans="1:19" hidden="1" x14ac:dyDescent="0.35">
      <c r="A17" s="2"/>
      <c r="B17" s="2"/>
      <c r="C17" s="3"/>
      <c r="D17" s="3"/>
      <c r="E17" s="2"/>
      <c r="F17" s="2"/>
      <c r="H17" s="2"/>
      <c r="I17" s="2"/>
      <c r="J17" s="10"/>
    </row>
    <row r="18" spans="1:19" ht="16" hidden="1" x14ac:dyDescent="0.4">
      <c r="A18" s="2"/>
      <c r="B18" s="2"/>
      <c r="C18" s="3"/>
      <c r="D18" s="3"/>
      <c r="E18" s="2"/>
      <c r="F18" s="2"/>
      <c r="H18" s="2"/>
      <c r="I18" s="2"/>
      <c r="J18" s="10"/>
      <c r="S18" s="134"/>
    </row>
    <row r="19" spans="1:19" ht="16" hidden="1" x14ac:dyDescent="0.4">
      <c r="A19" s="2"/>
      <c r="B19" s="2"/>
      <c r="C19" s="3"/>
      <c r="D19" s="3"/>
      <c r="E19" s="2"/>
      <c r="F19" s="2"/>
      <c r="H19" s="2"/>
      <c r="I19" s="2"/>
      <c r="J19" s="10"/>
      <c r="S19" s="134"/>
    </row>
    <row r="20" spans="1:19" hidden="1" x14ac:dyDescent="0.35">
      <c r="A20" s="2"/>
      <c r="B20" s="2"/>
      <c r="C20" s="3"/>
      <c r="D20" s="3"/>
      <c r="E20" s="2"/>
      <c r="F20" s="2"/>
      <c r="H20" s="2"/>
      <c r="I20" s="2"/>
      <c r="J20" s="10"/>
    </row>
    <row r="21" spans="1:19" x14ac:dyDescent="0.35">
      <c r="A21" s="2"/>
      <c r="B21" s="2"/>
      <c r="C21" s="3"/>
      <c r="D21" s="3"/>
      <c r="E21" s="2"/>
      <c r="F21" s="2"/>
      <c r="H21" s="2"/>
      <c r="I21" s="2"/>
      <c r="J21" s="10"/>
    </row>
    <row r="22" spans="1:19" x14ac:dyDescent="0.35">
      <c r="A22" s="2"/>
      <c r="B22" s="2"/>
      <c r="C22" s="3"/>
      <c r="D22" s="3"/>
      <c r="E22" s="2"/>
      <c r="F22" s="2"/>
      <c r="H22" s="2"/>
      <c r="I22" s="2"/>
      <c r="J22" s="10"/>
    </row>
    <row r="23" spans="1:19" x14ac:dyDescent="0.35">
      <c r="A23" s="2"/>
      <c r="B23" s="2"/>
      <c r="C23" s="3"/>
      <c r="D23" s="3"/>
      <c r="E23" s="2"/>
      <c r="F23" s="2"/>
      <c r="H23" s="2"/>
      <c r="I23" s="2"/>
      <c r="J23" s="10"/>
    </row>
    <row r="24" spans="1:19" x14ac:dyDescent="0.35">
      <c r="A24" s="2"/>
      <c r="B24" s="2"/>
      <c r="C24" s="3"/>
      <c r="D24" s="3"/>
      <c r="E24" s="2"/>
      <c r="F24" s="2"/>
      <c r="H24" s="2"/>
      <c r="I24" s="2"/>
      <c r="J24" s="10"/>
    </row>
    <row r="25" spans="1:19" x14ac:dyDescent="0.35">
      <c r="A25" s="2"/>
      <c r="B25" s="2"/>
      <c r="C25" s="3">
        <f>SUM(C6:C24)</f>
        <v>3521500</v>
      </c>
      <c r="D25" s="3">
        <f>C25+J25</f>
        <v>3531571.6716269944</v>
      </c>
      <c r="E25" s="3">
        <f>'DETAILS (sorted)'!DS148</f>
        <v>3567729.5869202493</v>
      </c>
      <c r="F25" s="3">
        <f>D25-E25</f>
        <v>-36157.91529325489</v>
      </c>
      <c r="G25" t="b">
        <f>D25=E25</f>
        <v>0</v>
      </c>
      <c r="H25" s="2"/>
      <c r="I25" s="2"/>
      <c r="J25" s="10">
        <f>SUM(J5:J24)</f>
        <v>10071.671626994548</v>
      </c>
    </row>
    <row r="27" spans="1:19" x14ac:dyDescent="0.35">
      <c r="C27" s="3" t="s">
        <v>644</v>
      </c>
      <c r="D27" s="3">
        <f>C25+J25</f>
        <v>3531571.6716269944</v>
      </c>
      <c r="E27" s="122">
        <f>D27/D28</f>
        <v>0.23543811144179963</v>
      </c>
      <c r="F27" s="2" t="s">
        <v>652</v>
      </c>
    </row>
    <row r="28" spans="1:19" x14ac:dyDescent="0.35">
      <c r="C28" s="3" t="s">
        <v>650</v>
      </c>
      <c r="D28" s="3">
        <v>15000000</v>
      </c>
      <c r="E28" s="122">
        <f>D28/D28</f>
        <v>1</v>
      </c>
      <c r="F28" s="2" t="s">
        <v>654</v>
      </c>
    </row>
    <row r="29" spans="1:19" x14ac:dyDescent="0.35">
      <c r="C29" s="3"/>
      <c r="D29" s="3">
        <f>D27-D28</f>
        <v>-11468428.328373006</v>
      </c>
      <c r="E29" s="122">
        <f>D29/D28</f>
        <v>-0.7645618885582004</v>
      </c>
      <c r="F29" s="2" t="s">
        <v>653</v>
      </c>
    </row>
  </sheetData>
  <mergeCells count="1">
    <mergeCell ref="B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165</vt:i4>
      </vt:variant>
    </vt:vector>
  </HeadingPairs>
  <TitlesOfParts>
    <vt:vector size="165" baseType="lpstr">
      <vt:lpstr>DETAILS</vt:lpstr>
      <vt:lpstr>Sheet1</vt:lpstr>
      <vt:lpstr>Summary</vt:lpstr>
      <vt:lpstr>Summary (sorted)</vt:lpstr>
      <vt:lpstr>Summary2</vt:lpstr>
      <vt:lpstr>DETAILS (sorted)</vt:lpstr>
      <vt:lpstr>Member position mfumo and excel</vt:lpstr>
      <vt:lpstr>PERFORMANCE TARGET</vt:lpstr>
      <vt:lpstr>Tshirt Size</vt:lpstr>
      <vt:lpstr>Summary2 (sorted)</vt:lpstr>
      <vt:lpstr>AUDIT  DATA 30 June 2026</vt:lpstr>
      <vt:lpstr>OPERATION</vt:lpstr>
      <vt:lpstr>MAGAWIO</vt:lpstr>
      <vt:lpstr>Presentations</vt:lpstr>
      <vt:lpstr>NMB SHARES</vt:lpstr>
      <vt:lpstr>UTT</vt:lpstr>
      <vt:lpstr>1 Bil plan</vt:lpstr>
      <vt:lpstr>MIKOPO</vt:lpstr>
      <vt:lpstr>02Werema</vt:lpstr>
      <vt:lpstr>01 Nsanyiwa</vt:lpstr>
      <vt:lpstr>03Norbert</vt:lpstr>
      <vt:lpstr>04Everest</vt:lpstr>
      <vt:lpstr>05Eliashasaria</vt:lpstr>
      <vt:lpstr>06 Matee</vt:lpstr>
      <vt:lpstr>07Kitali</vt:lpstr>
      <vt:lpstr>08Felix</vt:lpstr>
      <vt:lpstr>09Gideon</vt:lpstr>
      <vt:lpstr>10Makoko</vt:lpstr>
      <vt:lpstr>11JMangu</vt:lpstr>
      <vt:lpstr>12Mlindwa</vt:lpstr>
      <vt:lpstr>13Matechi</vt:lpstr>
      <vt:lpstr>14Kanuti</vt:lpstr>
      <vt:lpstr>15MohamedMohamed</vt:lpstr>
      <vt:lpstr>16Walter Salema</vt:lpstr>
      <vt:lpstr>17Emmanuel Mmari</vt:lpstr>
      <vt:lpstr>18Albani Kimaro</vt:lpstr>
      <vt:lpstr>19Laurian Gidoyi</vt:lpstr>
      <vt:lpstr>20John Massawe</vt:lpstr>
      <vt:lpstr>21Rajabu Masale</vt:lpstr>
      <vt:lpstr>22 Inocent Mosha</vt:lpstr>
      <vt:lpstr>23Amos Nungu</vt:lpstr>
      <vt:lpstr>24Athumani Mwasha</vt:lpstr>
      <vt:lpstr>25 Hassani Matata</vt:lpstr>
      <vt:lpstr>26 Plasduce Mbossa</vt:lpstr>
      <vt:lpstr>27Saidi Ramadhani Mdee</vt:lpstr>
      <vt:lpstr>28Evans Mori</vt:lpstr>
      <vt:lpstr>29 Emmanuel Moshi</vt:lpstr>
      <vt:lpstr>30 Patrick Kiani</vt:lpstr>
      <vt:lpstr>31Stephen Nkurlu</vt:lpstr>
      <vt:lpstr>32Shabani Salimu</vt:lpstr>
      <vt:lpstr>33Fredrick Ndosi</vt:lpstr>
      <vt:lpstr>34Abraham Asenga</vt:lpstr>
      <vt:lpstr>35Best Magoma</vt:lpstr>
      <vt:lpstr>36Bakari Hemedi</vt:lpstr>
      <vt:lpstr>37Elibariki Mkumbo</vt:lpstr>
      <vt:lpstr>38 Charles Jangu</vt:lpstr>
      <vt:lpstr>39 Abdillahi Moshi</vt:lpstr>
      <vt:lpstr>40 Ahmad Yahya</vt:lpstr>
      <vt:lpstr>41 Edgar Shumbusho</vt:lpstr>
      <vt:lpstr>42 Adam Urassa</vt:lpstr>
      <vt:lpstr>43 Innocent Kasigwa</vt:lpstr>
      <vt:lpstr>44 Abduel Kitururu</vt:lpstr>
      <vt:lpstr>45 Ernest Shirima</vt:lpstr>
      <vt:lpstr> 46 Adolph Ndeabura</vt:lpstr>
      <vt:lpstr>47 Emmanuel Msaki</vt:lpstr>
      <vt:lpstr>48 Nickson Matowo</vt:lpstr>
      <vt:lpstr>49 Ligglye Vumilia</vt:lpstr>
      <vt:lpstr>50 Shumbi Mkumbo</vt:lpstr>
      <vt:lpstr>51 Nalogwa Kiula</vt:lpstr>
      <vt:lpstr>52 Omary Mwasema</vt:lpstr>
      <vt:lpstr>53 Robert Masegese</vt:lpstr>
      <vt:lpstr>54 Stanslaus Nyembea</vt:lpstr>
      <vt:lpstr>55 SIFUNI MCHOME</vt:lpstr>
      <vt:lpstr>56 Leo Richard Kilamile</vt:lpstr>
      <vt:lpstr>57 Patiens Rweyemamu</vt:lpstr>
      <vt:lpstr>58 Jacobs Casthom Mwambegele</vt:lpstr>
      <vt:lpstr>59 David Koilla</vt:lpstr>
      <vt:lpstr>60 Beatus Rwegalulira</vt:lpstr>
      <vt:lpstr>61 Emmanuel Metta</vt:lpstr>
      <vt:lpstr>62 Africa Silayo</vt:lpstr>
      <vt:lpstr>63 Ted Silkuluwasha</vt:lpstr>
      <vt:lpstr>64 Deogratius Lashayo</vt:lpstr>
      <vt:lpstr>65 Aminiel Kabura</vt:lpstr>
      <vt:lpstr>66 Gilbert Mrema</vt:lpstr>
      <vt:lpstr>67 Philemon Barabojick</vt:lpstr>
      <vt:lpstr>68 Wasia Mushi</vt:lpstr>
      <vt:lpstr>69 Judica Nassary</vt:lpstr>
      <vt:lpstr>70 Kusirye Ukio</vt:lpstr>
      <vt:lpstr>71 Eliud Massaga</vt:lpstr>
      <vt:lpstr>72 Ludovic Swai</vt:lpstr>
      <vt:lpstr>73 David Mushi</vt:lpstr>
      <vt:lpstr>74 Boniphace Joseph</vt:lpstr>
      <vt:lpstr>75 Paul Mikongoti</vt:lpstr>
      <vt:lpstr>76 Daniel Kisaka</vt:lpstr>
      <vt:lpstr>77 Sililiandumi Naiman</vt:lpstr>
      <vt:lpstr>78 Alcard Mumwi</vt:lpstr>
      <vt:lpstr>79 Emmanuel Massawe</vt:lpstr>
      <vt:lpstr>80 Aisha Babu</vt:lpstr>
      <vt:lpstr>81 Diocles Ishengoma</vt:lpstr>
      <vt:lpstr>82 Edson Rwechungura</vt:lpstr>
      <vt:lpstr>106 Alex Gerald Heruka</vt:lpstr>
      <vt:lpstr>83 Mathew Mndeme</vt:lpstr>
      <vt:lpstr>84 Wariael Ayo</vt:lpstr>
      <vt:lpstr>85 Shukuru Ndosi</vt:lpstr>
      <vt:lpstr>86 Joseph Njuu</vt:lpstr>
      <vt:lpstr>87 Stephano Lolloo</vt:lpstr>
      <vt:lpstr>88 CPA Emmanuel Marero</vt:lpstr>
      <vt:lpstr>89 Emmanuel Mungure</vt:lpstr>
      <vt:lpstr>90 Adam Lyson Mwaipungu</vt:lpstr>
      <vt:lpstr>91 Everest Thadeo Sikilo</vt:lpstr>
      <vt:lpstr>92 Kaanaeli Gabriel Nko</vt:lpstr>
      <vt:lpstr>93 Jonas Mwano</vt:lpstr>
      <vt:lpstr>94 Edwin Mwombeki</vt:lpstr>
      <vt:lpstr>95 Nuhu Ngangaji</vt:lpstr>
      <vt:lpstr>96 Paul Masatu</vt:lpstr>
      <vt:lpstr>97 Jackson N. Mmary</vt:lpstr>
      <vt:lpstr>98 Daniel Mdachi</vt:lpstr>
      <vt:lpstr>99 Salum Miraji Mwegero</vt:lpstr>
      <vt:lpstr>100 Juma Selemani Nantubwi </vt:lpstr>
      <vt:lpstr>101 Is Haka Mkwawa</vt:lpstr>
      <vt:lpstr>102 James Ignas Koola</vt:lpstr>
      <vt:lpstr>103 Fredrick Mjema</vt:lpstr>
      <vt:lpstr>104 Fulgence Thomas Massawe</vt:lpstr>
      <vt:lpstr>105 Baltazar Thomas Mrosso</vt:lpstr>
      <vt:lpstr>107 Francis Mwasilu</vt:lpstr>
      <vt:lpstr>108 David Msechu</vt:lpstr>
      <vt:lpstr>109 Salum Masudi</vt:lpstr>
      <vt:lpstr>110 William Baraka Tigahwa</vt:lpstr>
      <vt:lpstr>111 Joseph Albin Swai</vt:lpstr>
      <vt:lpstr>112 Bruno Sunguya</vt:lpstr>
      <vt:lpstr>113 Nicholaus Abdon</vt:lpstr>
      <vt:lpstr>114 Edwin Francis Kordun</vt:lpstr>
      <vt:lpstr>115 Calvin Francis Masao</vt:lpstr>
      <vt:lpstr>116 Nyirabu Zablon Musira</vt:lpstr>
      <vt:lpstr>117 Kajiru Gad Kilonzo</vt:lpstr>
      <vt:lpstr>118 Vicent Tango</vt:lpstr>
      <vt:lpstr>119 Prosper Nambaya</vt:lpstr>
      <vt:lpstr>120 Goodwil Nambaya</vt:lpstr>
      <vt:lpstr>121 Deodati Donati</vt:lpstr>
      <vt:lpstr>122 Dismas Prosper Batiri</vt:lpstr>
      <vt:lpstr>123 Limbu Malongo Limbu</vt:lpstr>
      <vt:lpstr>124 Hamad Habeed Mansoor</vt:lpstr>
      <vt:lpstr>125 Shabani Juma Ndosi</vt:lpstr>
      <vt:lpstr>126 Peter Anthon Sobe </vt:lpstr>
      <vt:lpstr>127 Ignas Nicodemus Chilewa</vt:lpstr>
      <vt:lpstr>128 Mohamed Abdallah Muanda</vt:lpstr>
      <vt:lpstr>129 Africa Jumanne Bwamkuu</vt:lpstr>
      <vt:lpstr>130 Bavo Emmanuel Mzee</vt:lpstr>
      <vt:lpstr>131 Titus Moses Safari</vt:lpstr>
      <vt:lpstr>132 Afred Kishe</vt:lpstr>
      <vt:lpstr>133 Martin Kitundu</vt:lpstr>
      <vt:lpstr>134 Tumwesige Mujwauzi</vt:lpstr>
      <vt:lpstr>135 Novat Adam Moshi</vt:lpstr>
      <vt:lpstr>136 Fortunatus Mhambe</vt:lpstr>
      <vt:lpstr>137 Marcel John Kisoka</vt:lpstr>
      <vt:lpstr>138 Daniel Mchegere</vt:lpstr>
      <vt:lpstr>139 Cleverfred Mhidze</vt:lpstr>
      <vt:lpstr>140 Mwombeki Florian Fabian</vt:lpstr>
      <vt:lpstr>141 Patrick Mbosa</vt:lpstr>
      <vt:lpstr>142 Selemani Pongolani</vt:lpstr>
      <vt:lpstr>143 Honest Tesha</vt:lpstr>
      <vt:lpstr>144 Steven Chihwallo</vt:lpstr>
      <vt:lpstr>145 Jaha Kamugisha Mvuha</vt:lpstr>
      <vt:lpstr>146 Hussein Shamdas</vt:lpstr>
      <vt:lpstr>147 Julius Chacha Mwita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Norbert Massay</dc:creator>
  <cp:keywords/>
  <dc:description/>
  <cp:lastModifiedBy>Norbert Massay</cp:lastModifiedBy>
  <cp:revision/>
  <dcterms:created xsi:type="dcterms:W3CDTF">2024-03-30T16:03:22Z</dcterms:created>
  <dcterms:modified xsi:type="dcterms:W3CDTF">2026-08-02T10:15:54Z</dcterms:modified>
  <cp:category/>
  <cp:contentStatus/>
</cp:coreProperties>
</file>