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 ACADEMIC NOTES\ABA Foundations\"/>
    </mc:Choice>
  </mc:AlternateContent>
  <xr:revisionPtr revIDLastSave="0" documentId="13_ncr:1_{B45FCCF0-19B0-428F-A2E2-08370E93D307}" xr6:coauthVersionLast="47" xr6:coauthVersionMax="47" xr10:uidLastSave="{00000000-0000-0000-0000-000000000000}"/>
  <bookViews>
    <workbookView xWindow="-120" yWindow="-120" windowWidth="29040" windowHeight="15720" activeTab="2" xr2:uid="{D60C2FEE-66B3-40F0-8D16-499B326CE2B5}"/>
  </bookViews>
  <sheets>
    <sheet name="Optimization Model" sheetId="1" r:id="rId1"/>
    <sheet name="Lower Model" sheetId="3" r:id="rId2"/>
    <sheet name="Higher Model" sheetId="4" r:id="rId3"/>
    <sheet name="Regression" sheetId="2" r:id="rId4"/>
  </sheets>
  <definedNames>
    <definedName name="solver_adj" localSheetId="2" hidden="1">'Higher Model'!$B$7,'Higher Model'!$B$23</definedName>
    <definedName name="solver_adj" localSheetId="1" hidden="1">'Lower Model'!$B$7,'Lower Model'!$B$23</definedName>
    <definedName name="solver_adj" localSheetId="0" hidden="1">'Optimization Model'!$B$7,'Optimization Model'!$B$23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'Higher Model'!$B$23</definedName>
    <definedName name="solver_lhs1" localSheetId="1" hidden="1">'Lower Model'!$B$23</definedName>
    <definedName name="solver_lhs1" localSheetId="0" hidden="1">'Optimization Model'!$B$23</definedName>
    <definedName name="solver_lhs2" localSheetId="2" hidden="1">'Higher Model'!$B$23</definedName>
    <definedName name="solver_lhs2" localSheetId="1" hidden="1">'Lower Model'!$B$23</definedName>
    <definedName name="solver_lhs2" localSheetId="0" hidden="1">'Optimization Model'!$B$23</definedName>
    <definedName name="solver_lhs3" localSheetId="2" hidden="1">'Higher Model'!$B$31</definedName>
    <definedName name="solver_lhs3" localSheetId="1" hidden="1">'Lower Model'!$B$31</definedName>
    <definedName name="solver_lhs3" localSheetId="0" hidden="1">'Optimization Model'!$B$31</definedName>
    <definedName name="solver_lhs4" localSheetId="2" hidden="1">'Higher Model'!$B$7</definedName>
    <definedName name="solver_lhs4" localSheetId="1" hidden="1">'Lower Model'!$B$7</definedName>
    <definedName name="solver_lhs4" localSheetId="0" hidden="1">'Optimization Model'!$B$7</definedName>
    <definedName name="solver_lhs5" localSheetId="2" hidden="1">'Higher Model'!$B$7</definedName>
    <definedName name="solver_lhs5" localSheetId="1" hidden="1">'Lower Model'!$B$7</definedName>
    <definedName name="solver_lhs5" localSheetId="0" hidden="1">'Optimization Model'!$B$7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5</definedName>
    <definedName name="solver_num" localSheetId="1" hidden="1">5</definedName>
    <definedName name="solver_num" localSheetId="0" hidden="1">5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'Higher Model'!$E$27</definedName>
    <definedName name="solver_opt" localSheetId="1" hidden="1">'Lower Model'!$E$27</definedName>
    <definedName name="solver_opt" localSheetId="0" hidden="1">'Optimization Model'!$E$27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4</definedName>
    <definedName name="solver_rel2" localSheetId="1" hidden="1">4</definedName>
    <definedName name="solver_rel2" localSheetId="0" hidden="1">4</definedName>
    <definedName name="solver_rel3" localSheetId="2" hidden="1">1</definedName>
    <definedName name="solver_rel3" localSheetId="1" hidden="1">1</definedName>
    <definedName name="solver_rel3" localSheetId="0" hidden="1">1</definedName>
    <definedName name="solver_rel4" localSheetId="2" hidden="1">1</definedName>
    <definedName name="solver_rel4" localSheetId="1" hidden="1">1</definedName>
    <definedName name="solver_rel4" localSheetId="0" hidden="1">1</definedName>
    <definedName name="solver_rel5" localSheetId="2" hidden="1">3</definedName>
    <definedName name="solver_rel5" localSheetId="1" hidden="1">3</definedName>
    <definedName name="solver_rel5" localSheetId="0" hidden="1">3</definedName>
    <definedName name="solver_rhs1" localSheetId="2" hidden="1">3</definedName>
    <definedName name="solver_rhs1" localSheetId="1" hidden="1">3</definedName>
    <definedName name="solver_rhs1" localSheetId="0" hidden="1">3</definedName>
    <definedName name="solver_rhs2" localSheetId="2" hidden="1">"integer"</definedName>
    <definedName name="solver_rhs2" localSheetId="1" hidden="1">"integer"</definedName>
    <definedName name="solver_rhs2" localSheetId="0" hidden="1">"integer"</definedName>
    <definedName name="solver_rhs3" localSheetId="2" hidden="1">'Higher Model'!$F$18</definedName>
    <definedName name="solver_rhs3" localSheetId="1" hidden="1">'Lower Model'!$F$18</definedName>
    <definedName name="solver_rhs3" localSheetId="0" hidden="1">'Optimization Model'!$F$18</definedName>
    <definedName name="solver_rhs4" localSheetId="2" hidden="1">'Higher Model'!$F$14</definedName>
    <definedName name="solver_rhs4" localSheetId="1" hidden="1">'Lower Model'!$F$14</definedName>
    <definedName name="solver_rhs4" localSheetId="0" hidden="1">'Optimization Model'!$F$14</definedName>
    <definedName name="solver_rhs5" localSheetId="2" hidden="1">'Higher Model'!$F$13</definedName>
    <definedName name="solver_rhs5" localSheetId="1" hidden="1">'Lower Model'!$F$13</definedName>
    <definedName name="solver_rhs5" localSheetId="0" hidden="1">'Optimization Model'!$F$13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1</definedName>
    <definedName name="solver_typ" localSheetId="1" hidden="1">1</definedName>
    <definedName name="solver_typ" localSheetId="0" hidden="1">1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4" l="1"/>
  <c r="B24" i="4"/>
  <c r="B26" i="4" s="1"/>
  <c r="B16" i="4"/>
  <c r="B13" i="4"/>
  <c r="B19" i="4" s="1"/>
  <c r="B8" i="4"/>
  <c r="F7" i="4" s="1"/>
  <c r="B38" i="3"/>
  <c r="B24" i="3"/>
  <c r="B26" i="3" s="1"/>
  <c r="B16" i="3"/>
  <c r="B13" i="3"/>
  <c r="B19" i="3" s="1"/>
  <c r="B18" i="3" s="1"/>
  <c r="B8" i="3"/>
  <c r="F8" i="3" s="1"/>
  <c r="B31" i="1"/>
  <c r="J2" i="1"/>
  <c r="B8" i="1"/>
  <c r="F3" i="1"/>
  <c r="B24" i="1"/>
  <c r="B26" i="1"/>
  <c r="B19" i="1"/>
  <c r="B13" i="1"/>
  <c r="E26" i="1"/>
  <c r="E27" i="1" s="1"/>
  <c r="B17" i="1"/>
  <c r="B29" i="1" s="1"/>
  <c r="B38" i="1"/>
  <c r="E25" i="1"/>
  <c r="B30" i="1"/>
  <c r="B25" i="1"/>
  <c r="B16" i="1"/>
  <c r="F9" i="1"/>
  <c r="F4" i="3" l="1"/>
  <c r="F5" i="3"/>
  <c r="F7" i="3"/>
  <c r="F6" i="3"/>
  <c r="F9" i="3"/>
  <c r="B25" i="3"/>
  <c r="B30" i="3" s="1"/>
  <c r="F10" i="3"/>
  <c r="F3" i="3"/>
  <c r="E25" i="3" s="1"/>
  <c r="B31" i="4"/>
  <c r="B18" i="4"/>
  <c r="B17" i="4"/>
  <c r="B29" i="4" s="1"/>
  <c r="F4" i="4"/>
  <c r="F8" i="4"/>
  <c r="F9" i="4"/>
  <c r="B25" i="4"/>
  <c r="F6" i="4"/>
  <c r="F10" i="4"/>
  <c r="F5" i="4"/>
  <c r="F3" i="4"/>
  <c r="B31" i="3"/>
  <c r="B17" i="3"/>
  <c r="B29" i="3" s="1"/>
  <c r="F10" i="1"/>
  <c r="F6" i="1"/>
  <c r="F5" i="1"/>
  <c r="F7" i="1"/>
  <c r="B18" i="1"/>
  <c r="F4" i="1"/>
  <c r="F8" i="1"/>
  <c r="B30" i="4" l="1"/>
  <c r="E25" i="4"/>
  <c r="J4" i="4"/>
  <c r="J22" i="4"/>
  <c r="J7" i="4"/>
  <c r="J23" i="4"/>
  <c r="J17" i="4"/>
  <c r="J12" i="4"/>
  <c r="J11" i="4"/>
  <c r="J3" i="4"/>
  <c r="J21" i="4"/>
  <c r="J16" i="4"/>
  <c r="J10" i="4"/>
  <c r="J14" i="4"/>
  <c r="J5" i="4"/>
  <c r="J24" i="4"/>
  <c r="J13" i="4"/>
  <c r="J25" i="4"/>
  <c r="J20" i="4"/>
  <c r="J6" i="4"/>
  <c r="J2" i="4"/>
  <c r="J19" i="4"/>
  <c r="J15" i="4"/>
  <c r="J9" i="4"/>
  <c r="J18" i="4"/>
  <c r="J8" i="4"/>
  <c r="J4" i="3"/>
  <c r="J23" i="3"/>
  <c r="J17" i="3"/>
  <c r="J12" i="3"/>
  <c r="J22" i="3"/>
  <c r="J11" i="3"/>
  <c r="J7" i="3"/>
  <c r="J3" i="3"/>
  <c r="J21" i="3"/>
  <c r="J16" i="3"/>
  <c r="J10" i="3"/>
  <c r="J20" i="3"/>
  <c r="J6" i="3"/>
  <c r="J2" i="3"/>
  <c r="J19" i="3"/>
  <c r="J15" i="3"/>
  <c r="J9" i="3"/>
  <c r="J14" i="3"/>
  <c r="J5" i="3"/>
  <c r="J24" i="3"/>
  <c r="J18" i="3"/>
  <c r="J13" i="3"/>
  <c r="J8" i="3"/>
  <c r="J25" i="3"/>
  <c r="J3" i="1"/>
  <c r="J4" i="1"/>
  <c r="J5" i="1"/>
  <c r="J13" i="1"/>
  <c r="J21" i="1"/>
  <c r="J14" i="1"/>
  <c r="J22" i="1"/>
  <c r="J15" i="1"/>
  <c r="J23" i="1"/>
  <c r="J8" i="1"/>
  <c r="J16" i="1"/>
  <c r="J24" i="1"/>
  <c r="J9" i="1"/>
  <c r="J17" i="1"/>
  <c r="J25" i="1"/>
  <c r="J10" i="1"/>
  <c r="J18" i="1"/>
  <c r="J11" i="1"/>
  <c r="J19" i="1"/>
  <c r="J12" i="1"/>
  <c r="J20" i="1"/>
  <c r="J6" i="1"/>
  <c r="J7" i="1"/>
  <c r="E26" i="3" l="1"/>
  <c r="E27" i="3" s="1"/>
  <c r="E26" i="4"/>
  <c r="E27" i="4" s="1"/>
</calcChain>
</file>

<file path=xl/sharedStrings.xml><?xml version="1.0" encoding="utf-8"?>
<sst xmlns="http://schemas.openxmlformats.org/spreadsheetml/2006/main" count="186" uniqueCount="56">
  <si>
    <t>Base Market Penetration</t>
  </si>
  <si>
    <t xml:space="preserve">Base Sales Commission </t>
  </si>
  <si>
    <t>MP increase step per employee</t>
  </si>
  <si>
    <t>MP change factor by commission</t>
  </si>
  <si>
    <t>Commission charge change step</t>
  </si>
  <si>
    <t>Commssion</t>
  </si>
  <si>
    <t>Market Peentraion Factual</t>
  </si>
  <si>
    <t>MARKET PENETRATION</t>
  </si>
  <si>
    <t>OFFICE</t>
  </si>
  <si>
    <t>Office space - base</t>
  </si>
  <si>
    <t>offie space - additional per employee</t>
  </si>
  <si>
    <t>office space factual (required)</t>
  </si>
  <si>
    <t>Avg price per sq foot commercial</t>
  </si>
  <si>
    <t>Rent &amp; Unitilities per sq foot monthly</t>
  </si>
  <si>
    <t>Rent &amp; Utilities - monthly per sq foot</t>
  </si>
  <si>
    <t>Rent &amp; Uitilities Total Yearly</t>
  </si>
  <si>
    <t>Rent &amp; Uitilities Total Quarterly</t>
  </si>
  <si>
    <t>Rent &amp; Uitilities Total Monthly</t>
  </si>
  <si>
    <t>EMPLOYEES</t>
  </si>
  <si>
    <t>Employee Salary Yearly - given</t>
  </si>
  <si>
    <t>Employees</t>
  </si>
  <si>
    <t>Payroll budget yearly</t>
  </si>
  <si>
    <t xml:space="preserve">Payroll budget quarterly </t>
  </si>
  <si>
    <t>Payroll budget monthly</t>
  </si>
  <si>
    <t>FORECAST</t>
  </si>
  <si>
    <t>Quarter</t>
  </si>
  <si>
    <t>Forecast (total sale Forecasted revenues)</t>
  </si>
  <si>
    <t>CONSTRAINTS</t>
  </si>
  <si>
    <t>Commission</t>
  </si>
  <si>
    <t>Operating Bdgt</t>
  </si>
  <si>
    <t>NPV</t>
  </si>
  <si>
    <t xml:space="preserve">IRR Annual </t>
  </si>
  <si>
    <t xml:space="preserve">IRR Quarterly </t>
  </si>
  <si>
    <t>IRR Monthly</t>
  </si>
  <si>
    <t xml:space="preserve">NPV Revenue </t>
  </si>
  <si>
    <t>NPV Costs</t>
  </si>
  <si>
    <t>NPV Profit</t>
  </si>
  <si>
    <t xml:space="preserve">maximize </t>
  </si>
  <si>
    <t>MONTHLY COSTS</t>
  </si>
  <si>
    <t>TOTAL COST (office &amp; payroll)</t>
  </si>
  <si>
    <t>Total Cost Per Year</t>
  </si>
  <si>
    <t>Total Cost Per Quarter</t>
  </si>
  <si>
    <t>Total Cost Per Month</t>
  </si>
  <si>
    <t>Operating budget monthly - given</t>
  </si>
  <si>
    <t>Total Sale Price (Last 5 Years)</t>
  </si>
  <si>
    <t>Average Sale Price per Sq Foot</t>
  </si>
  <si>
    <t>Total Gross Square Feet (Last 5 Years)</t>
  </si>
  <si>
    <t>Avg Sale Price Per Sq Foot</t>
  </si>
  <si>
    <t>fit</t>
  </si>
  <si>
    <t>lwr</t>
  </si>
  <si>
    <t>upr</t>
  </si>
  <si>
    <t>&lt;=</t>
  </si>
  <si>
    <t>&gt;=</t>
  </si>
  <si>
    <t>int</t>
  </si>
  <si>
    <t>integer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</si>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</sst>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US$&quot;#,##0.00;[Red]\-&quot;US$&quot;#,##0.00"/>
    <numFmt numFmtId="44" formatCode="_-&quot;US$&quot;* #,##0.00_-;\-&quot;US$&quot;* #,##0.00_-;_-&quot;US$&quot;* &quot;-&quot;??_-;_-@_-"/>
    <numFmt numFmtId="170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3" borderId="9" xfId="0" applyFill="1" applyBorder="1"/>
    <xf numFmtId="0" fontId="0" fillId="4" borderId="4" xfId="0" applyFill="1" applyBorder="1"/>
    <xf numFmtId="0" fontId="2" fillId="0" borderId="8" xfId="0" applyFont="1" applyBorder="1"/>
    <xf numFmtId="0" fontId="2" fillId="0" borderId="10" xfId="0" applyFont="1" applyBorder="1"/>
    <xf numFmtId="0" fontId="2" fillId="0" borderId="3" xfId="0" applyFont="1" applyBorder="1"/>
    <xf numFmtId="0" fontId="2" fillId="0" borderId="5" xfId="0" applyFont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3" xfId="0" applyFont="1" applyFill="1" applyBorder="1"/>
    <xf numFmtId="0" fontId="2" fillId="0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5" xfId="0" applyFont="1" applyFill="1" applyBorder="1"/>
    <xf numFmtId="10" fontId="0" fillId="4" borderId="4" xfId="0" applyNumberFormat="1" applyFill="1" applyBorder="1"/>
    <xf numFmtId="3" fontId="0" fillId="0" borderId="4" xfId="0" applyNumberFormat="1" applyBorder="1"/>
    <xf numFmtId="170" fontId="0" fillId="4" borderId="4" xfId="0" applyNumberFormat="1" applyFill="1" applyBorder="1"/>
    <xf numFmtId="170" fontId="0" fillId="5" borderId="4" xfId="0" applyNumberFormat="1" applyFill="1" applyBorder="1"/>
    <xf numFmtId="170" fontId="0" fillId="5" borderId="6" xfId="0" applyNumberFormat="1" applyFill="1" applyBorder="1"/>
    <xf numFmtId="170" fontId="0" fillId="5" borderId="4" xfId="1" applyNumberFormat="1" applyFont="1" applyFill="1" applyBorder="1"/>
    <xf numFmtId="170" fontId="0" fillId="5" borderId="6" xfId="1" applyNumberFormat="1" applyFont="1" applyFill="1" applyBorder="1"/>
    <xf numFmtId="170" fontId="0" fillId="0" borderId="6" xfId="0" applyNumberFormat="1" applyFill="1" applyBorder="1"/>
    <xf numFmtId="0" fontId="5" fillId="0" borderId="7" xfId="0" applyFont="1" applyFill="1" applyBorder="1" applyAlignment="1">
      <alignment horizontal="right" vertical="center"/>
    </xf>
    <xf numFmtId="0" fontId="3" fillId="7" borderId="7" xfId="0" applyFont="1" applyFill="1" applyBorder="1"/>
    <xf numFmtId="170" fontId="5" fillId="0" borderId="0" xfId="0" applyNumberFormat="1" applyFont="1" applyFill="1" applyBorder="1" applyAlignment="1">
      <alignment horizontal="right" vertical="center"/>
    </xf>
    <xf numFmtId="170" fontId="5" fillId="0" borderId="17" xfId="0" applyNumberFormat="1" applyFont="1" applyFill="1" applyBorder="1" applyAlignment="1">
      <alignment horizontal="right" vertical="center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9" fontId="0" fillId="5" borderId="11" xfId="0" applyNumberFormat="1" applyFill="1" applyBorder="1"/>
    <xf numFmtId="10" fontId="0" fillId="3" borderId="9" xfId="0" applyNumberFormat="1" applyFill="1" applyBorder="1"/>
    <xf numFmtId="170" fontId="0" fillId="0" borderId="0" xfId="0" applyNumberFormat="1"/>
    <xf numFmtId="9" fontId="0" fillId="0" borderId="4" xfId="0" applyNumberFormat="1" applyBorder="1"/>
    <xf numFmtId="170" fontId="0" fillId="0" borderId="6" xfId="0" applyNumberFormat="1" applyBorder="1"/>
    <xf numFmtId="0" fontId="0" fillId="0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8" fontId="0" fillId="5" borderId="4" xfId="0" applyNumberFormat="1" applyFill="1" applyBorder="1"/>
    <xf numFmtId="170" fontId="0" fillId="0" borderId="7" xfId="0" applyNumberFormat="1" applyBorder="1"/>
    <xf numFmtId="8" fontId="0" fillId="6" borderId="6" xfId="0" applyNumberFormat="1" applyFill="1" applyBorder="1"/>
    <xf numFmtId="0" fontId="2" fillId="0" borderId="3" xfId="0" applyFont="1" applyFill="1" applyBorder="1"/>
    <xf numFmtId="170" fontId="5" fillId="0" borderId="0" xfId="0" applyNumberFormat="1" applyFont="1"/>
    <xf numFmtId="170" fontId="5" fillId="0" borderId="7" xfId="0" applyNumberFormat="1" applyFont="1" applyFill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Regression!$A$1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Regression!$A$2:$A$9</c:f>
              <c:numCache>
                <c:formatCode>General</c:formatCode>
                <c:ptCount val="8"/>
                <c:pt idx="0">
                  <c:v>102065776</c:v>
                </c:pt>
                <c:pt idx="1">
                  <c:v>111286084</c:v>
                </c:pt>
                <c:pt idx="2">
                  <c:v>128839195</c:v>
                </c:pt>
                <c:pt idx="3">
                  <c:v>127901672</c:v>
                </c:pt>
                <c:pt idx="4">
                  <c:v>107069802</c:v>
                </c:pt>
                <c:pt idx="5">
                  <c:v>116290110</c:v>
                </c:pt>
                <c:pt idx="6">
                  <c:v>133843221</c:v>
                </c:pt>
                <c:pt idx="7">
                  <c:v>132905698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D-4329-9D03-3647BF8C6F19}"/>
            </c:ext>
          </c:extLst>
        </c:ser>
        <c:ser>
          <c:idx val="1"/>
          <c:order val="1"/>
          <c:tx>
            <c:strRef>
              <c:f>Regression!$B$1</c:f>
              <c:strCache>
                <c:ptCount val="1"/>
                <c:pt idx="0">
                  <c:v>lwr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Regression!$B$2:$B$9</c:f>
              <c:numCache>
                <c:formatCode>General</c:formatCode>
                <c:ptCount val="8"/>
                <c:pt idx="0">
                  <c:v>88529208</c:v>
                </c:pt>
                <c:pt idx="1">
                  <c:v>97749516</c:v>
                </c:pt>
                <c:pt idx="2">
                  <c:v>115302627</c:v>
                </c:pt>
                <c:pt idx="3">
                  <c:v>114365104</c:v>
                </c:pt>
                <c:pt idx="4">
                  <c:v>92598602</c:v>
                </c:pt>
                <c:pt idx="5">
                  <c:v>101818910</c:v>
                </c:pt>
                <c:pt idx="6">
                  <c:v>119372021</c:v>
                </c:pt>
                <c:pt idx="7">
                  <c:v>118434499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D-4329-9D03-3647BF8C6F19}"/>
            </c:ext>
          </c:extLst>
        </c:ser>
        <c:ser>
          <c:idx val="2"/>
          <c:order val="2"/>
          <c:tx>
            <c:strRef>
              <c:f>Regression!$C$1</c:f>
              <c:strCache>
                <c:ptCount val="1"/>
                <c:pt idx="0">
                  <c:v>upr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Regression!$C$2:$C$9</c:f>
              <c:numCache>
                <c:formatCode>General</c:formatCode>
                <c:ptCount val="8"/>
                <c:pt idx="0">
                  <c:v>115602343</c:v>
                </c:pt>
                <c:pt idx="1">
                  <c:v>124822651</c:v>
                </c:pt>
                <c:pt idx="2">
                  <c:v>142375763</c:v>
                </c:pt>
                <c:pt idx="3">
                  <c:v>141438240</c:v>
                </c:pt>
                <c:pt idx="4">
                  <c:v>121541001</c:v>
                </c:pt>
                <c:pt idx="5">
                  <c:v>130761309</c:v>
                </c:pt>
                <c:pt idx="6">
                  <c:v>148314421</c:v>
                </c:pt>
                <c:pt idx="7">
                  <c:v>147376898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D-4329-9D03-3647BF8C6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968159"/>
        <c:axId val="596968639"/>
      </c:lineChart>
      <c:catAx>
        <c:axId val="5969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68639"/>
        <c:crosses val="autoZero"/>
        <c:auto val="1"/>
        <c:lblAlgn val="ctr"/>
        <c:lblOffset val="100"/>
        <c:noMultiLvlLbl val="0"/>
      </c:catAx>
      <c:valAx>
        <c:axId val="5969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6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119061</xdr:rowOff>
    </xdr:from>
    <xdr:to>
      <xdr:col>6</xdr:col>
      <xdr:colOff>66675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15F9B-8EE3-B823-22CD-733916273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2288-A1DE-47E9-A43D-79865DCD5E7F}">
  <dimension ref="A1:J38"/>
  <sheetViews>
    <sheetView zoomScaleNormal="100" workbookViewId="0">
      <selection activeCell="H23" sqref="H23"/>
    </sheetView>
  </sheetViews>
  <sheetFormatPr defaultRowHeight="15" x14ac:dyDescent="0.25"/>
  <cols>
    <col min="1" max="1" width="33.7109375" customWidth="1"/>
    <col min="2" max="2" width="14.28515625" customWidth="1"/>
    <col min="3" max="3" width="19.140625" customWidth="1"/>
    <col min="4" max="4" width="14.42578125" customWidth="1"/>
    <col min="5" max="5" width="21.28515625" customWidth="1"/>
    <col min="6" max="6" width="16.85546875" customWidth="1"/>
    <col min="10" max="10" width="19.28515625" customWidth="1"/>
  </cols>
  <sheetData>
    <row r="1" spans="1:10" x14ac:dyDescent="0.25">
      <c r="A1" s="16" t="s">
        <v>7</v>
      </c>
      <c r="B1" s="16"/>
      <c r="D1" s="21" t="s">
        <v>24</v>
      </c>
      <c r="E1" s="22"/>
      <c r="F1" s="23"/>
      <c r="I1" s="29" t="s">
        <v>38</v>
      </c>
      <c r="J1" s="29"/>
    </row>
    <row r="2" spans="1:10" x14ac:dyDescent="0.25">
      <c r="A2" s="2" t="s">
        <v>0</v>
      </c>
      <c r="B2" s="31">
        <v>5.5E-2</v>
      </c>
      <c r="D2" s="12" t="s">
        <v>25</v>
      </c>
      <c r="E2" s="25" t="s">
        <v>26</v>
      </c>
      <c r="F2" s="26"/>
      <c r="I2" s="5">
        <v>1</v>
      </c>
      <c r="J2" s="53">
        <f>$B$31</f>
        <v>12531.858333333334</v>
      </c>
    </row>
    <row r="3" spans="1:10" x14ac:dyDescent="0.25">
      <c r="A3" s="2" t="s">
        <v>1</v>
      </c>
      <c r="B3" s="31">
        <v>0.05</v>
      </c>
      <c r="D3" s="43">
        <v>1</v>
      </c>
      <c r="E3" s="41">
        <v>102065776</v>
      </c>
      <c r="F3" s="34">
        <f>E3*$B$7*$B$8</f>
        <v>331713.77200000006</v>
      </c>
      <c r="I3" s="5">
        <v>2</v>
      </c>
      <c r="J3" s="53">
        <f t="shared" ref="J3:J25" si="0">$B$31</f>
        <v>12531.858333333334</v>
      </c>
    </row>
    <row r="4" spans="1:10" x14ac:dyDescent="0.25">
      <c r="A4" s="2" t="s">
        <v>2</v>
      </c>
      <c r="B4" s="31">
        <v>5.0000000000000001E-3</v>
      </c>
      <c r="D4" s="43">
        <v>2</v>
      </c>
      <c r="E4" s="41">
        <v>111286084</v>
      </c>
      <c r="F4" s="34">
        <f t="shared" ref="F4:F10" si="1">E4*$B$7*$B$8</f>
        <v>361679.77300000004</v>
      </c>
      <c r="I4" s="5">
        <v>3</v>
      </c>
      <c r="J4" s="53">
        <f t="shared" si="0"/>
        <v>12531.858333333334</v>
      </c>
    </row>
    <row r="5" spans="1:10" x14ac:dyDescent="0.25">
      <c r="A5" s="2" t="s">
        <v>3</v>
      </c>
      <c r="B5" s="31">
        <v>1.4999999999999999E-2</v>
      </c>
      <c r="D5" s="43">
        <v>3</v>
      </c>
      <c r="E5" s="41">
        <v>128839195</v>
      </c>
      <c r="F5" s="34">
        <f t="shared" si="1"/>
        <v>418727.38375000004</v>
      </c>
      <c r="I5" s="5">
        <v>4</v>
      </c>
      <c r="J5" s="53">
        <f t="shared" si="0"/>
        <v>12531.858333333334</v>
      </c>
    </row>
    <row r="6" spans="1:10" x14ac:dyDescent="0.25">
      <c r="A6" s="2" t="s">
        <v>4</v>
      </c>
      <c r="B6" s="31">
        <v>1E-3</v>
      </c>
      <c r="D6" s="43">
        <v>4</v>
      </c>
      <c r="E6" s="41">
        <v>127901672</v>
      </c>
      <c r="F6" s="34">
        <f t="shared" si="1"/>
        <v>415680.43400000007</v>
      </c>
      <c r="I6" s="5">
        <v>5</v>
      </c>
      <c r="J6" s="53">
        <f t="shared" si="0"/>
        <v>12531.858333333334</v>
      </c>
    </row>
    <row r="7" spans="1:10" x14ac:dyDescent="0.25">
      <c r="A7" s="10" t="s">
        <v>5</v>
      </c>
      <c r="B7" s="46">
        <v>0.05</v>
      </c>
      <c r="D7" s="43">
        <v>5</v>
      </c>
      <c r="E7" s="41">
        <v>107069802</v>
      </c>
      <c r="F7" s="34">
        <f t="shared" si="1"/>
        <v>347976.85650000005</v>
      </c>
      <c r="I7" s="5">
        <v>6</v>
      </c>
      <c r="J7" s="53">
        <f t="shared" si="0"/>
        <v>12531.858333333334</v>
      </c>
    </row>
    <row r="8" spans="1:10" ht="15.75" thickBot="1" x14ac:dyDescent="0.3">
      <c r="A8" s="11" t="s">
        <v>6</v>
      </c>
      <c r="B8" s="45">
        <f>B2+(0.05-B7)*B5+B23*B4</f>
        <v>6.5000000000000002E-2</v>
      </c>
      <c r="D8" s="43">
        <v>6</v>
      </c>
      <c r="E8" s="41">
        <v>116290110</v>
      </c>
      <c r="F8" s="34">
        <f t="shared" si="1"/>
        <v>377942.85750000004</v>
      </c>
      <c r="I8" s="5">
        <v>7</v>
      </c>
      <c r="J8" s="53">
        <f t="shared" si="0"/>
        <v>12531.858333333334</v>
      </c>
    </row>
    <row r="9" spans="1:10" x14ac:dyDescent="0.25">
      <c r="D9" s="43">
        <v>7</v>
      </c>
      <c r="E9" s="41">
        <v>133843221</v>
      </c>
      <c r="F9" s="34">
        <f>E9*$B$7*$B$8</f>
        <v>434990.46825000003</v>
      </c>
      <c r="I9" s="5">
        <v>8</v>
      </c>
      <c r="J9" s="53">
        <f t="shared" si="0"/>
        <v>12531.858333333334</v>
      </c>
    </row>
    <row r="10" spans="1:10" ht="15.75" thickBot="1" x14ac:dyDescent="0.3">
      <c r="A10" s="14" t="s">
        <v>8</v>
      </c>
      <c r="B10" s="15"/>
      <c r="D10" s="44">
        <v>8</v>
      </c>
      <c r="E10" s="42">
        <v>132905698</v>
      </c>
      <c r="F10" s="34">
        <f t="shared" si="1"/>
        <v>431943.51850000006</v>
      </c>
      <c r="I10" s="5">
        <v>9</v>
      </c>
      <c r="J10" s="53">
        <f t="shared" si="0"/>
        <v>12531.858333333334</v>
      </c>
    </row>
    <row r="11" spans="1:10" ht="15.75" thickBot="1" x14ac:dyDescent="0.3">
      <c r="A11" s="2" t="s">
        <v>9</v>
      </c>
      <c r="B11" s="9">
        <v>250</v>
      </c>
      <c r="I11" s="5">
        <v>10</v>
      </c>
      <c r="J11" s="53">
        <f t="shared" si="0"/>
        <v>12531.858333333334</v>
      </c>
    </row>
    <row r="12" spans="1:10" x14ac:dyDescent="0.25">
      <c r="A12" s="2" t="s">
        <v>10</v>
      </c>
      <c r="B12" s="9">
        <v>125</v>
      </c>
      <c r="D12" s="21" t="s">
        <v>27</v>
      </c>
      <c r="E12" s="22"/>
      <c r="F12" s="23"/>
      <c r="I12" s="5">
        <v>11</v>
      </c>
      <c r="J12" s="53">
        <f t="shared" si="0"/>
        <v>12531.858333333334</v>
      </c>
    </row>
    <row r="13" spans="1:10" x14ac:dyDescent="0.25">
      <c r="A13" s="10" t="s">
        <v>11</v>
      </c>
      <c r="B13" s="8">
        <f>B11+B23*B12</f>
        <v>500</v>
      </c>
      <c r="D13" s="2" t="s">
        <v>28</v>
      </c>
      <c r="E13" s="24" t="s">
        <v>52</v>
      </c>
      <c r="F13" s="48">
        <v>0.04</v>
      </c>
      <c r="I13" s="5">
        <v>12</v>
      </c>
      <c r="J13" s="53">
        <f t="shared" si="0"/>
        <v>12531.858333333334</v>
      </c>
    </row>
    <row r="14" spans="1:10" x14ac:dyDescent="0.25">
      <c r="A14" s="2" t="s">
        <v>12</v>
      </c>
      <c r="B14" s="33">
        <v>226.47</v>
      </c>
      <c r="D14" s="2" t="s">
        <v>28</v>
      </c>
      <c r="E14" s="24" t="s">
        <v>51</v>
      </c>
      <c r="F14" s="48">
        <v>0.05</v>
      </c>
      <c r="I14" s="5">
        <v>13</v>
      </c>
      <c r="J14" s="53">
        <f t="shared" si="0"/>
        <v>12531.858333333334</v>
      </c>
    </row>
    <row r="15" spans="1:10" x14ac:dyDescent="0.25">
      <c r="A15" s="2" t="s">
        <v>13</v>
      </c>
      <c r="B15" s="31">
        <v>1.4999999999999999E-2</v>
      </c>
      <c r="D15" s="2" t="s">
        <v>20</v>
      </c>
      <c r="E15" s="24" t="s">
        <v>51</v>
      </c>
      <c r="F15" s="3">
        <v>0</v>
      </c>
      <c r="I15" s="5">
        <v>14</v>
      </c>
      <c r="J15" s="53">
        <f t="shared" si="0"/>
        <v>12531.858333333334</v>
      </c>
    </row>
    <row r="16" spans="1:10" x14ac:dyDescent="0.25">
      <c r="A16" s="2" t="s">
        <v>14</v>
      </c>
      <c r="B16" s="33">
        <f>B14*B15</f>
        <v>3.3970499999999997</v>
      </c>
      <c r="D16" s="2" t="s">
        <v>20</v>
      </c>
      <c r="E16" s="50" t="s">
        <v>51</v>
      </c>
      <c r="F16" s="3">
        <v>3</v>
      </c>
      <c r="I16" s="5">
        <v>15</v>
      </c>
      <c r="J16" s="53">
        <f t="shared" si="0"/>
        <v>12531.858333333334</v>
      </c>
    </row>
    <row r="17" spans="1:10" x14ac:dyDescent="0.25">
      <c r="A17" s="12" t="s">
        <v>15</v>
      </c>
      <c r="B17" s="34">
        <f>B19*12</f>
        <v>20382.3</v>
      </c>
      <c r="D17" s="2" t="s">
        <v>20</v>
      </c>
      <c r="E17" s="24" t="s">
        <v>53</v>
      </c>
      <c r="F17" s="3" t="s">
        <v>54</v>
      </c>
      <c r="I17" s="5">
        <v>16</v>
      </c>
      <c r="J17" s="53">
        <f t="shared" si="0"/>
        <v>12531.858333333334</v>
      </c>
    </row>
    <row r="18" spans="1:10" ht="15.75" thickBot="1" x14ac:dyDescent="0.3">
      <c r="A18" s="12" t="s">
        <v>16</v>
      </c>
      <c r="B18" s="34">
        <f>B19*3</f>
        <v>5095.5749999999998</v>
      </c>
      <c r="D18" s="4" t="s">
        <v>29</v>
      </c>
      <c r="E18" s="51" t="s">
        <v>51</v>
      </c>
      <c r="F18" s="49">
        <v>15000</v>
      </c>
      <c r="I18" s="5">
        <v>17</v>
      </c>
      <c r="J18" s="53">
        <f t="shared" si="0"/>
        <v>12531.858333333334</v>
      </c>
    </row>
    <row r="19" spans="1:10" ht="15.75" thickBot="1" x14ac:dyDescent="0.3">
      <c r="A19" s="13" t="s">
        <v>17</v>
      </c>
      <c r="B19" s="35">
        <f>B13*B16</f>
        <v>1698.5249999999999</v>
      </c>
      <c r="I19" s="5">
        <v>18</v>
      </c>
      <c r="J19" s="53">
        <f t="shared" si="0"/>
        <v>12531.858333333334</v>
      </c>
    </row>
    <row r="20" spans="1:10" ht="15.75" thickBot="1" x14ac:dyDescent="0.3">
      <c r="I20" s="5">
        <v>19</v>
      </c>
      <c r="J20" s="53">
        <f t="shared" si="0"/>
        <v>12531.858333333334</v>
      </c>
    </row>
    <row r="21" spans="1:10" x14ac:dyDescent="0.25">
      <c r="A21" s="17" t="s">
        <v>18</v>
      </c>
      <c r="B21" s="18"/>
      <c r="D21" s="27" t="s">
        <v>30</v>
      </c>
      <c r="E21" s="28"/>
      <c r="I21" s="5">
        <v>20</v>
      </c>
      <c r="J21" s="53">
        <f t="shared" si="0"/>
        <v>12531.858333333334</v>
      </c>
    </row>
    <row r="22" spans="1:10" x14ac:dyDescent="0.25">
      <c r="A22" s="19" t="s">
        <v>19</v>
      </c>
      <c r="B22" s="33">
        <v>65000</v>
      </c>
      <c r="D22" s="2" t="s">
        <v>31</v>
      </c>
      <c r="E22" s="31">
        <v>0.06</v>
      </c>
      <c r="I22" s="5">
        <v>21</v>
      </c>
      <c r="J22" s="53">
        <f t="shared" si="0"/>
        <v>12531.858333333334</v>
      </c>
    </row>
    <row r="23" spans="1:10" x14ac:dyDescent="0.25">
      <c r="A23" s="20" t="s">
        <v>20</v>
      </c>
      <c r="B23" s="8">
        <v>2</v>
      </c>
      <c r="D23" s="2" t="s">
        <v>32</v>
      </c>
      <c r="E23" s="31">
        <v>1.4999999999999999E-2</v>
      </c>
      <c r="I23" s="5">
        <v>22</v>
      </c>
      <c r="J23" s="53">
        <f t="shared" si="0"/>
        <v>12531.858333333334</v>
      </c>
    </row>
    <row r="24" spans="1:10" x14ac:dyDescent="0.25">
      <c r="A24" s="12" t="s">
        <v>21</v>
      </c>
      <c r="B24" s="36">
        <f>B23*B22</f>
        <v>130000</v>
      </c>
      <c r="D24" s="2" t="s">
        <v>33</v>
      </c>
      <c r="E24" s="31">
        <v>4.9800000000000001E-3</v>
      </c>
      <c r="I24" s="5">
        <v>23</v>
      </c>
      <c r="J24" s="53">
        <f t="shared" si="0"/>
        <v>12531.858333333334</v>
      </c>
    </row>
    <row r="25" spans="1:10" x14ac:dyDescent="0.25">
      <c r="A25" s="12" t="s">
        <v>22</v>
      </c>
      <c r="B25" s="36">
        <f>B24/4</f>
        <v>32500</v>
      </c>
      <c r="D25" s="12" t="s">
        <v>34</v>
      </c>
      <c r="E25" s="52">
        <f>NPV(E23,F3:F10)</f>
        <v>2914000.912911572</v>
      </c>
      <c r="I25" s="5">
        <v>24</v>
      </c>
      <c r="J25" s="53">
        <f t="shared" si="0"/>
        <v>12531.858333333334</v>
      </c>
    </row>
    <row r="26" spans="1:10" ht="15.75" thickBot="1" x14ac:dyDescent="0.3">
      <c r="A26" s="13" t="s">
        <v>23</v>
      </c>
      <c r="B26" s="37">
        <f>B24/12</f>
        <v>10833.333333333334</v>
      </c>
      <c r="D26" s="12" t="s">
        <v>35</v>
      </c>
      <c r="E26" s="52">
        <f>NPV(E24,J2:J25)</f>
        <v>282823.64740247134</v>
      </c>
    </row>
    <row r="27" spans="1:10" ht="15.75" thickBot="1" x14ac:dyDescent="0.3">
      <c r="A27" s="55" t="s">
        <v>55</v>
      </c>
      <c r="D27" s="13" t="s">
        <v>36</v>
      </c>
      <c r="E27" s="54">
        <f>E25-E26</f>
        <v>2631177.2655091006</v>
      </c>
      <c r="F27" t="s">
        <v>37</v>
      </c>
    </row>
    <row r="28" spans="1:10" x14ac:dyDescent="0.25">
      <c r="A28" s="17" t="s">
        <v>39</v>
      </c>
      <c r="B28" s="18"/>
    </row>
    <row r="29" spans="1:10" x14ac:dyDescent="0.25">
      <c r="A29" s="19" t="s">
        <v>40</v>
      </c>
      <c r="B29" s="34">
        <f>B17+B24</f>
        <v>150382.29999999999</v>
      </c>
    </row>
    <row r="30" spans="1:10" x14ac:dyDescent="0.25">
      <c r="A30" s="19" t="s">
        <v>41</v>
      </c>
      <c r="B30" s="34">
        <f>B18+B25</f>
        <v>37595.574999999997</v>
      </c>
    </row>
    <row r="31" spans="1:10" x14ac:dyDescent="0.25">
      <c r="A31" s="19" t="s">
        <v>42</v>
      </c>
      <c r="B31" s="34">
        <f>B19+B26</f>
        <v>12531.858333333334</v>
      </c>
    </row>
    <row r="32" spans="1:10" ht="15.75" thickBot="1" x14ac:dyDescent="0.3">
      <c r="A32" s="30" t="s">
        <v>43</v>
      </c>
      <c r="B32" s="38">
        <v>15000</v>
      </c>
      <c r="C32" s="1" t="s">
        <v>51</v>
      </c>
      <c r="D32" s="47">
        <v>15000</v>
      </c>
    </row>
    <row r="34" spans="1:2" ht="15.75" thickBot="1" x14ac:dyDescent="0.3"/>
    <row r="35" spans="1:2" x14ac:dyDescent="0.25">
      <c r="A35" s="17" t="s">
        <v>47</v>
      </c>
      <c r="B35" s="18"/>
    </row>
    <row r="36" spans="1:2" x14ac:dyDescent="0.25">
      <c r="A36" s="2" t="s">
        <v>44</v>
      </c>
      <c r="B36" s="32">
        <v>219550000</v>
      </c>
    </row>
    <row r="37" spans="1:2" x14ac:dyDescent="0.25">
      <c r="A37" s="2" t="s">
        <v>46</v>
      </c>
      <c r="B37" s="32">
        <v>969430</v>
      </c>
    </row>
    <row r="38" spans="1:2" ht="15.75" thickBot="1" x14ac:dyDescent="0.3">
      <c r="A38" s="6" t="s">
        <v>45</v>
      </c>
      <c r="B38" s="7">
        <f>B36/B37</f>
        <v>226.47328842722013</v>
      </c>
    </row>
  </sheetData>
  <mergeCells count="10">
    <mergeCell ref="I1:J1"/>
    <mergeCell ref="A28:B28"/>
    <mergeCell ref="A35:B35"/>
    <mergeCell ref="A1:B1"/>
    <mergeCell ref="A10:B10"/>
    <mergeCell ref="A21:B21"/>
    <mergeCell ref="D1:F1"/>
    <mergeCell ref="E2:F2"/>
    <mergeCell ref="D12:F12"/>
    <mergeCell ref="D21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DAD7-5B99-43D1-8C82-7D83B488B460}">
  <dimension ref="A1:J38"/>
  <sheetViews>
    <sheetView workbookViewId="0">
      <selection activeCell="E27" sqref="E27"/>
    </sheetView>
  </sheetViews>
  <sheetFormatPr defaultRowHeight="15" x14ac:dyDescent="0.25"/>
  <cols>
    <col min="1" max="1" width="33.7109375" customWidth="1"/>
    <col min="2" max="2" width="14.28515625" customWidth="1"/>
    <col min="3" max="3" width="19.140625" customWidth="1"/>
    <col min="4" max="4" width="14.42578125" customWidth="1"/>
    <col min="5" max="5" width="21.28515625" customWidth="1"/>
    <col min="6" max="6" width="16.85546875" customWidth="1"/>
    <col min="10" max="10" width="19.28515625" customWidth="1"/>
  </cols>
  <sheetData>
    <row r="1" spans="1:10" x14ac:dyDescent="0.25">
      <c r="A1" s="16" t="s">
        <v>7</v>
      </c>
      <c r="B1" s="16"/>
      <c r="D1" s="21" t="s">
        <v>24</v>
      </c>
      <c r="E1" s="22"/>
      <c r="F1" s="23"/>
      <c r="I1" s="29" t="s">
        <v>38</v>
      </c>
      <c r="J1" s="29"/>
    </row>
    <row r="2" spans="1:10" x14ac:dyDescent="0.25">
      <c r="A2" s="2" t="s">
        <v>0</v>
      </c>
      <c r="B2" s="31">
        <v>5.5E-2</v>
      </c>
      <c r="D2" s="12" t="s">
        <v>25</v>
      </c>
      <c r="E2" s="25" t="s">
        <v>26</v>
      </c>
      <c r="F2" s="26"/>
      <c r="I2" s="5">
        <v>1</v>
      </c>
      <c r="J2" s="53">
        <f>$B$31</f>
        <v>12531.858333333334</v>
      </c>
    </row>
    <row r="3" spans="1:10" x14ac:dyDescent="0.25">
      <c r="A3" s="2" t="s">
        <v>1</v>
      </c>
      <c r="B3" s="31">
        <v>0.05</v>
      </c>
      <c r="D3" s="43">
        <v>1</v>
      </c>
      <c r="E3" s="56">
        <v>88529208</v>
      </c>
      <c r="F3" s="34">
        <f>E3*$B$7*$B$8</f>
        <v>287719.92600000004</v>
      </c>
      <c r="I3" s="5">
        <v>2</v>
      </c>
      <c r="J3" s="53">
        <f t="shared" ref="J3:J25" si="0">$B$31</f>
        <v>12531.858333333334</v>
      </c>
    </row>
    <row r="4" spans="1:10" x14ac:dyDescent="0.25">
      <c r="A4" s="2" t="s">
        <v>2</v>
      </c>
      <c r="B4" s="31">
        <v>5.0000000000000001E-3</v>
      </c>
      <c r="D4" s="43">
        <v>2</v>
      </c>
      <c r="E4" s="56">
        <v>97749516</v>
      </c>
      <c r="F4" s="34">
        <f t="shared" ref="F4:F10" si="1">E4*$B$7*$B$8</f>
        <v>317685.92700000003</v>
      </c>
      <c r="I4" s="5">
        <v>3</v>
      </c>
      <c r="J4" s="53">
        <f t="shared" si="0"/>
        <v>12531.858333333334</v>
      </c>
    </row>
    <row r="5" spans="1:10" x14ac:dyDescent="0.25">
      <c r="A5" s="2" t="s">
        <v>3</v>
      </c>
      <c r="B5" s="31">
        <v>1.4999999999999999E-2</v>
      </c>
      <c r="D5" s="43">
        <v>3</v>
      </c>
      <c r="E5" s="56">
        <v>115302627</v>
      </c>
      <c r="F5" s="34">
        <f t="shared" si="1"/>
        <v>374733.53775000008</v>
      </c>
      <c r="I5" s="5">
        <v>4</v>
      </c>
      <c r="J5" s="53">
        <f t="shared" si="0"/>
        <v>12531.858333333334</v>
      </c>
    </row>
    <row r="6" spans="1:10" x14ac:dyDescent="0.25">
      <c r="A6" s="2" t="s">
        <v>4</v>
      </c>
      <c r="B6" s="31">
        <v>1E-3</v>
      </c>
      <c r="D6" s="43">
        <v>4</v>
      </c>
      <c r="E6" s="41">
        <v>114365104</v>
      </c>
      <c r="F6" s="34">
        <f t="shared" si="1"/>
        <v>371686.58800000005</v>
      </c>
      <c r="I6" s="5">
        <v>5</v>
      </c>
      <c r="J6" s="53">
        <f t="shared" si="0"/>
        <v>12531.858333333334</v>
      </c>
    </row>
    <row r="7" spans="1:10" x14ac:dyDescent="0.25">
      <c r="A7" s="10" t="s">
        <v>5</v>
      </c>
      <c r="B7" s="46">
        <v>0.05</v>
      </c>
      <c r="D7" s="43">
        <v>5</v>
      </c>
      <c r="E7" s="41">
        <v>92598602</v>
      </c>
      <c r="F7" s="34">
        <f t="shared" si="1"/>
        <v>300945.45650000003</v>
      </c>
      <c r="I7" s="5">
        <v>6</v>
      </c>
      <c r="J7" s="53">
        <f t="shared" si="0"/>
        <v>12531.858333333334</v>
      </c>
    </row>
    <row r="8" spans="1:10" ht="15.75" thickBot="1" x14ac:dyDescent="0.3">
      <c r="A8" s="11" t="s">
        <v>6</v>
      </c>
      <c r="B8" s="45">
        <f>B2+(0.05-B7)*B5+B23*B4</f>
        <v>6.5000000000000002E-2</v>
      </c>
      <c r="D8" s="43">
        <v>6</v>
      </c>
      <c r="E8" s="41">
        <v>101818910</v>
      </c>
      <c r="F8" s="34">
        <f t="shared" si="1"/>
        <v>330911.45750000002</v>
      </c>
      <c r="I8" s="5">
        <v>7</v>
      </c>
      <c r="J8" s="53">
        <f t="shared" si="0"/>
        <v>12531.858333333334</v>
      </c>
    </row>
    <row r="9" spans="1:10" x14ac:dyDescent="0.25">
      <c r="D9" s="43">
        <v>7</v>
      </c>
      <c r="E9" s="41">
        <v>119372021</v>
      </c>
      <c r="F9" s="34">
        <f>E9*$B$7*$B$8</f>
        <v>387959.06825000007</v>
      </c>
      <c r="I9" s="5">
        <v>8</v>
      </c>
      <c r="J9" s="53">
        <f t="shared" si="0"/>
        <v>12531.858333333334</v>
      </c>
    </row>
    <row r="10" spans="1:10" ht="15.75" thickBot="1" x14ac:dyDescent="0.3">
      <c r="A10" s="14" t="s">
        <v>8</v>
      </c>
      <c r="B10" s="15"/>
      <c r="D10" s="44">
        <v>8</v>
      </c>
      <c r="E10" s="42">
        <v>118434499</v>
      </c>
      <c r="F10" s="34">
        <f t="shared" si="1"/>
        <v>384912.12175000005</v>
      </c>
      <c r="I10" s="5">
        <v>9</v>
      </c>
      <c r="J10" s="53">
        <f t="shared" si="0"/>
        <v>12531.858333333334</v>
      </c>
    </row>
    <row r="11" spans="1:10" ht="15.75" thickBot="1" x14ac:dyDescent="0.3">
      <c r="A11" s="2" t="s">
        <v>9</v>
      </c>
      <c r="B11" s="9">
        <v>250</v>
      </c>
      <c r="I11" s="5">
        <v>10</v>
      </c>
      <c r="J11" s="53">
        <f t="shared" si="0"/>
        <v>12531.858333333334</v>
      </c>
    </row>
    <row r="12" spans="1:10" x14ac:dyDescent="0.25">
      <c r="A12" s="2" t="s">
        <v>10</v>
      </c>
      <c r="B12" s="9">
        <v>125</v>
      </c>
      <c r="D12" s="21" t="s">
        <v>27</v>
      </c>
      <c r="E12" s="22"/>
      <c r="F12" s="23"/>
      <c r="I12" s="5">
        <v>11</v>
      </c>
      <c r="J12" s="53">
        <f t="shared" si="0"/>
        <v>12531.858333333334</v>
      </c>
    </row>
    <row r="13" spans="1:10" x14ac:dyDescent="0.25">
      <c r="A13" s="10" t="s">
        <v>11</v>
      </c>
      <c r="B13" s="8">
        <f>B11+B23*B12</f>
        <v>500</v>
      </c>
      <c r="D13" s="2" t="s">
        <v>28</v>
      </c>
      <c r="E13" s="24" t="s">
        <v>52</v>
      </c>
      <c r="F13" s="48">
        <v>0.04</v>
      </c>
      <c r="I13" s="5">
        <v>12</v>
      </c>
      <c r="J13" s="53">
        <f t="shared" si="0"/>
        <v>12531.858333333334</v>
      </c>
    </row>
    <row r="14" spans="1:10" x14ac:dyDescent="0.25">
      <c r="A14" s="2" t="s">
        <v>12</v>
      </c>
      <c r="B14" s="33">
        <v>226.47</v>
      </c>
      <c r="D14" s="2" t="s">
        <v>28</v>
      </c>
      <c r="E14" s="24" t="s">
        <v>51</v>
      </c>
      <c r="F14" s="48">
        <v>0.05</v>
      </c>
      <c r="I14" s="5">
        <v>13</v>
      </c>
      <c r="J14" s="53">
        <f t="shared" si="0"/>
        <v>12531.858333333334</v>
      </c>
    </row>
    <row r="15" spans="1:10" x14ac:dyDescent="0.25">
      <c r="A15" s="2" t="s">
        <v>13</v>
      </c>
      <c r="B15" s="31">
        <v>1.4999999999999999E-2</v>
      </c>
      <c r="D15" s="2" t="s">
        <v>20</v>
      </c>
      <c r="E15" s="24" t="s">
        <v>51</v>
      </c>
      <c r="F15" s="3">
        <v>0</v>
      </c>
      <c r="I15" s="5">
        <v>14</v>
      </c>
      <c r="J15" s="53">
        <f t="shared" si="0"/>
        <v>12531.858333333334</v>
      </c>
    </row>
    <row r="16" spans="1:10" x14ac:dyDescent="0.25">
      <c r="A16" s="2" t="s">
        <v>14</v>
      </c>
      <c r="B16" s="33">
        <f>B14*B15</f>
        <v>3.3970499999999997</v>
      </c>
      <c r="D16" s="2" t="s">
        <v>20</v>
      </c>
      <c r="E16" s="50" t="s">
        <v>51</v>
      </c>
      <c r="F16" s="3">
        <v>3</v>
      </c>
      <c r="I16" s="5">
        <v>15</v>
      </c>
      <c r="J16" s="53">
        <f t="shared" si="0"/>
        <v>12531.858333333334</v>
      </c>
    </row>
    <row r="17" spans="1:10" x14ac:dyDescent="0.25">
      <c r="A17" s="12" t="s">
        <v>15</v>
      </c>
      <c r="B17" s="34">
        <f>B19*12</f>
        <v>20382.3</v>
      </c>
      <c r="D17" s="2" t="s">
        <v>20</v>
      </c>
      <c r="E17" s="24" t="s">
        <v>53</v>
      </c>
      <c r="F17" s="3" t="s">
        <v>54</v>
      </c>
      <c r="I17" s="5">
        <v>16</v>
      </c>
      <c r="J17" s="53">
        <f t="shared" si="0"/>
        <v>12531.858333333334</v>
      </c>
    </row>
    <row r="18" spans="1:10" ht="15.75" thickBot="1" x14ac:dyDescent="0.3">
      <c r="A18" s="12" t="s">
        <v>16</v>
      </c>
      <c r="B18" s="34">
        <f>B19*3</f>
        <v>5095.5749999999998</v>
      </c>
      <c r="D18" s="4" t="s">
        <v>29</v>
      </c>
      <c r="E18" s="51" t="s">
        <v>51</v>
      </c>
      <c r="F18" s="49">
        <v>15000</v>
      </c>
      <c r="I18" s="5">
        <v>17</v>
      </c>
      <c r="J18" s="53">
        <f t="shared" si="0"/>
        <v>12531.858333333334</v>
      </c>
    </row>
    <row r="19" spans="1:10" ht="15.75" thickBot="1" x14ac:dyDescent="0.3">
      <c r="A19" s="13" t="s">
        <v>17</v>
      </c>
      <c r="B19" s="35">
        <f>B13*B16</f>
        <v>1698.5249999999999</v>
      </c>
      <c r="I19" s="5">
        <v>18</v>
      </c>
      <c r="J19" s="53">
        <f t="shared" si="0"/>
        <v>12531.858333333334</v>
      </c>
    </row>
    <row r="20" spans="1:10" ht="15.75" thickBot="1" x14ac:dyDescent="0.3">
      <c r="I20" s="5">
        <v>19</v>
      </c>
      <c r="J20" s="53">
        <f t="shared" si="0"/>
        <v>12531.858333333334</v>
      </c>
    </row>
    <row r="21" spans="1:10" x14ac:dyDescent="0.25">
      <c r="A21" s="17" t="s">
        <v>18</v>
      </c>
      <c r="B21" s="18"/>
      <c r="D21" s="27" t="s">
        <v>30</v>
      </c>
      <c r="E21" s="28"/>
      <c r="I21" s="5">
        <v>20</v>
      </c>
      <c r="J21" s="53">
        <f t="shared" si="0"/>
        <v>12531.858333333334</v>
      </c>
    </row>
    <row r="22" spans="1:10" x14ac:dyDescent="0.25">
      <c r="A22" s="19" t="s">
        <v>19</v>
      </c>
      <c r="B22" s="33">
        <v>65000</v>
      </c>
      <c r="D22" s="2" t="s">
        <v>31</v>
      </c>
      <c r="E22" s="31">
        <v>0.06</v>
      </c>
      <c r="I22" s="5">
        <v>21</v>
      </c>
      <c r="J22" s="53">
        <f t="shared" si="0"/>
        <v>12531.858333333334</v>
      </c>
    </row>
    <row r="23" spans="1:10" x14ac:dyDescent="0.25">
      <c r="A23" s="20" t="s">
        <v>20</v>
      </c>
      <c r="B23" s="8">
        <v>2</v>
      </c>
      <c r="D23" s="2" t="s">
        <v>32</v>
      </c>
      <c r="E23" s="31">
        <v>1.4999999999999999E-2</v>
      </c>
      <c r="I23" s="5">
        <v>22</v>
      </c>
      <c r="J23" s="53">
        <f t="shared" si="0"/>
        <v>12531.858333333334</v>
      </c>
    </row>
    <row r="24" spans="1:10" x14ac:dyDescent="0.25">
      <c r="A24" s="12" t="s">
        <v>21</v>
      </c>
      <c r="B24" s="36">
        <f>B23*B22</f>
        <v>130000</v>
      </c>
      <c r="D24" s="2" t="s">
        <v>33</v>
      </c>
      <c r="E24" s="31">
        <v>4.9800000000000001E-3</v>
      </c>
      <c r="I24" s="5">
        <v>23</v>
      </c>
      <c r="J24" s="53">
        <f t="shared" si="0"/>
        <v>12531.858333333334</v>
      </c>
    </row>
    <row r="25" spans="1:10" x14ac:dyDescent="0.25">
      <c r="A25" s="12" t="s">
        <v>22</v>
      </c>
      <c r="B25" s="36">
        <f>B24/4</f>
        <v>32500</v>
      </c>
      <c r="D25" s="12" t="s">
        <v>34</v>
      </c>
      <c r="E25" s="52">
        <f>NPV(E23,F3:F10)</f>
        <v>2573635.2804959235</v>
      </c>
      <c r="I25" s="5">
        <v>24</v>
      </c>
      <c r="J25" s="53">
        <f t="shared" si="0"/>
        <v>12531.858333333334</v>
      </c>
    </row>
    <row r="26" spans="1:10" ht="15.75" thickBot="1" x14ac:dyDescent="0.3">
      <c r="A26" s="13" t="s">
        <v>23</v>
      </c>
      <c r="B26" s="37">
        <f>B24/12</f>
        <v>10833.333333333334</v>
      </c>
      <c r="D26" s="12" t="s">
        <v>35</v>
      </c>
      <c r="E26" s="52">
        <f>NPV(E24,J2:J25)</f>
        <v>282823.64740247134</v>
      </c>
    </row>
    <row r="27" spans="1:10" ht="15.75" thickBot="1" x14ac:dyDescent="0.3">
      <c r="A27" s="55" t="s">
        <v>55</v>
      </c>
      <c r="D27" s="13" t="s">
        <v>36</v>
      </c>
      <c r="E27" s="54">
        <f>E25-E26</f>
        <v>2290811.6330934521</v>
      </c>
      <c r="F27" t="s">
        <v>37</v>
      </c>
    </row>
    <row r="28" spans="1:10" x14ac:dyDescent="0.25">
      <c r="A28" s="17" t="s">
        <v>39</v>
      </c>
      <c r="B28" s="18"/>
    </row>
    <row r="29" spans="1:10" x14ac:dyDescent="0.25">
      <c r="A29" s="19" t="s">
        <v>40</v>
      </c>
      <c r="B29" s="34">
        <f>B17+B24</f>
        <v>150382.29999999999</v>
      </c>
    </row>
    <row r="30" spans="1:10" x14ac:dyDescent="0.25">
      <c r="A30" s="19" t="s">
        <v>41</v>
      </c>
      <c r="B30" s="34">
        <f>B18+B25</f>
        <v>37595.574999999997</v>
      </c>
    </row>
    <row r="31" spans="1:10" x14ac:dyDescent="0.25">
      <c r="A31" s="19" t="s">
        <v>42</v>
      </c>
      <c r="B31" s="34">
        <f>B19+B26</f>
        <v>12531.858333333334</v>
      </c>
    </row>
    <row r="32" spans="1:10" ht="15.75" thickBot="1" x14ac:dyDescent="0.3">
      <c r="A32" s="30" t="s">
        <v>43</v>
      </c>
      <c r="B32" s="38">
        <v>15000</v>
      </c>
      <c r="C32" s="1" t="s">
        <v>51</v>
      </c>
      <c r="D32" s="47">
        <v>15000</v>
      </c>
    </row>
    <row r="34" spans="1:2" ht="15.75" thickBot="1" x14ac:dyDescent="0.3"/>
    <row r="35" spans="1:2" x14ac:dyDescent="0.25">
      <c r="A35" s="17" t="s">
        <v>47</v>
      </c>
      <c r="B35" s="18"/>
    </row>
    <row r="36" spans="1:2" x14ac:dyDescent="0.25">
      <c r="A36" s="2" t="s">
        <v>44</v>
      </c>
      <c r="B36" s="32">
        <v>219550000</v>
      </c>
    </row>
    <row r="37" spans="1:2" x14ac:dyDescent="0.25">
      <c r="A37" s="2" t="s">
        <v>46</v>
      </c>
      <c r="B37" s="32">
        <v>969430</v>
      </c>
    </row>
    <row r="38" spans="1:2" ht="15.75" thickBot="1" x14ac:dyDescent="0.3">
      <c r="A38" s="6" t="s">
        <v>45</v>
      </c>
      <c r="B38" s="7">
        <f>B36/B37</f>
        <v>226.47328842722013</v>
      </c>
    </row>
  </sheetData>
  <mergeCells count="10">
    <mergeCell ref="A21:B21"/>
    <mergeCell ref="D21:E21"/>
    <mergeCell ref="A28:B28"/>
    <mergeCell ref="A35:B35"/>
    <mergeCell ref="A1:B1"/>
    <mergeCell ref="D1:F1"/>
    <mergeCell ref="I1:J1"/>
    <mergeCell ref="E2:F2"/>
    <mergeCell ref="A10:B10"/>
    <mergeCell ref="D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9421-E287-43AB-BB96-44C668328C08}">
  <dimension ref="A1:J38"/>
  <sheetViews>
    <sheetView tabSelected="1" workbookViewId="0">
      <selection activeCell="E27" sqref="E27"/>
    </sheetView>
  </sheetViews>
  <sheetFormatPr defaultRowHeight="15" x14ac:dyDescent="0.25"/>
  <cols>
    <col min="1" max="1" width="33.7109375" customWidth="1"/>
    <col min="2" max="2" width="14.28515625" customWidth="1"/>
    <col min="3" max="3" width="19.140625" customWidth="1"/>
    <col min="4" max="4" width="14.42578125" customWidth="1"/>
    <col min="5" max="5" width="21.28515625" customWidth="1"/>
    <col min="6" max="6" width="16.85546875" customWidth="1"/>
    <col min="10" max="10" width="19.28515625" customWidth="1"/>
  </cols>
  <sheetData>
    <row r="1" spans="1:10" x14ac:dyDescent="0.25">
      <c r="A1" s="16" t="s">
        <v>7</v>
      </c>
      <c r="B1" s="16"/>
      <c r="D1" s="21" t="s">
        <v>24</v>
      </c>
      <c r="E1" s="22"/>
      <c r="F1" s="23"/>
      <c r="I1" s="29" t="s">
        <v>38</v>
      </c>
      <c r="J1" s="29"/>
    </row>
    <row r="2" spans="1:10" x14ac:dyDescent="0.25">
      <c r="A2" s="2" t="s">
        <v>0</v>
      </c>
      <c r="B2" s="31">
        <v>5.5E-2</v>
      </c>
      <c r="D2" s="12" t="s">
        <v>25</v>
      </c>
      <c r="E2" s="25" t="s">
        <v>26</v>
      </c>
      <c r="F2" s="26"/>
      <c r="I2" s="5">
        <v>1</v>
      </c>
      <c r="J2" s="53">
        <f>$B$31</f>
        <v>12531.858333333334</v>
      </c>
    </row>
    <row r="3" spans="1:10" x14ac:dyDescent="0.25">
      <c r="A3" s="2" t="s">
        <v>1</v>
      </c>
      <c r="B3" s="31">
        <v>0.05</v>
      </c>
      <c r="D3" s="43">
        <v>1</v>
      </c>
      <c r="E3" s="57">
        <v>115602343</v>
      </c>
      <c r="F3" s="34">
        <f>E3*$B$7*$B$8</f>
        <v>375707.61475000007</v>
      </c>
      <c r="I3" s="5">
        <v>2</v>
      </c>
      <c r="J3" s="53">
        <f t="shared" ref="J3:J25" si="0">$B$31</f>
        <v>12531.858333333334</v>
      </c>
    </row>
    <row r="4" spans="1:10" x14ac:dyDescent="0.25">
      <c r="A4" s="2" t="s">
        <v>2</v>
      </c>
      <c r="B4" s="31">
        <v>5.0000000000000001E-3</v>
      </c>
      <c r="D4" s="43">
        <v>2</v>
      </c>
      <c r="E4" s="57">
        <v>124822651</v>
      </c>
      <c r="F4" s="34">
        <f t="shared" ref="F4:F10" si="1">E4*$B$7*$B$8</f>
        <v>405673.61575000006</v>
      </c>
      <c r="I4" s="5">
        <v>3</v>
      </c>
      <c r="J4" s="53">
        <f t="shared" si="0"/>
        <v>12531.858333333334</v>
      </c>
    </row>
    <row r="5" spans="1:10" x14ac:dyDescent="0.25">
      <c r="A5" s="2" t="s">
        <v>3</v>
      </c>
      <c r="B5" s="31">
        <v>1.4999999999999999E-2</v>
      </c>
      <c r="D5" s="43">
        <v>3</v>
      </c>
      <c r="E5" s="57">
        <v>142375763</v>
      </c>
      <c r="F5" s="34">
        <f t="shared" si="1"/>
        <v>462721.22975000006</v>
      </c>
      <c r="I5" s="5">
        <v>4</v>
      </c>
      <c r="J5" s="53">
        <f t="shared" si="0"/>
        <v>12531.858333333334</v>
      </c>
    </row>
    <row r="6" spans="1:10" x14ac:dyDescent="0.25">
      <c r="A6" s="2" t="s">
        <v>4</v>
      </c>
      <c r="B6" s="31">
        <v>1E-3</v>
      </c>
      <c r="D6" s="43">
        <v>4</v>
      </c>
      <c r="E6" s="57">
        <v>141438240</v>
      </c>
      <c r="F6" s="34">
        <f t="shared" si="1"/>
        <v>459674.28</v>
      </c>
      <c r="I6" s="5">
        <v>5</v>
      </c>
      <c r="J6" s="53">
        <f t="shared" si="0"/>
        <v>12531.858333333334</v>
      </c>
    </row>
    <row r="7" spans="1:10" x14ac:dyDescent="0.25">
      <c r="A7" s="10" t="s">
        <v>5</v>
      </c>
      <c r="B7" s="46">
        <v>0.05</v>
      </c>
      <c r="D7" s="43">
        <v>5</v>
      </c>
      <c r="E7" s="57">
        <v>121541001</v>
      </c>
      <c r="F7" s="34">
        <f t="shared" si="1"/>
        <v>395008.25325000007</v>
      </c>
      <c r="I7" s="5">
        <v>6</v>
      </c>
      <c r="J7" s="53">
        <f t="shared" si="0"/>
        <v>12531.858333333334</v>
      </c>
    </row>
    <row r="8" spans="1:10" ht="15.75" thickBot="1" x14ac:dyDescent="0.3">
      <c r="A8" s="11" t="s">
        <v>6</v>
      </c>
      <c r="B8" s="45">
        <f>B2+(0.05-B7)*B5+B23*B4</f>
        <v>6.5000000000000002E-2</v>
      </c>
      <c r="D8" s="43">
        <v>6</v>
      </c>
      <c r="E8" s="57">
        <v>130761309</v>
      </c>
      <c r="F8" s="34">
        <f t="shared" si="1"/>
        <v>424974.25425</v>
      </c>
      <c r="I8" s="5">
        <v>7</v>
      </c>
      <c r="J8" s="53">
        <f t="shared" si="0"/>
        <v>12531.858333333334</v>
      </c>
    </row>
    <row r="9" spans="1:10" x14ac:dyDescent="0.25">
      <c r="D9" s="43">
        <v>7</v>
      </c>
      <c r="E9" s="57">
        <v>148314421</v>
      </c>
      <c r="F9" s="34">
        <f>E9*$B$7*$B$8</f>
        <v>482021.86825000006</v>
      </c>
      <c r="I9" s="5">
        <v>8</v>
      </c>
      <c r="J9" s="53">
        <f t="shared" si="0"/>
        <v>12531.858333333334</v>
      </c>
    </row>
    <row r="10" spans="1:10" ht="15.75" thickBot="1" x14ac:dyDescent="0.3">
      <c r="A10" s="14" t="s">
        <v>8</v>
      </c>
      <c r="B10" s="15"/>
      <c r="D10" s="44">
        <v>8</v>
      </c>
      <c r="E10" s="57">
        <v>147376898</v>
      </c>
      <c r="F10" s="34">
        <f t="shared" si="1"/>
        <v>478974.91850000003</v>
      </c>
      <c r="I10" s="5">
        <v>9</v>
      </c>
      <c r="J10" s="53">
        <f t="shared" si="0"/>
        <v>12531.858333333334</v>
      </c>
    </row>
    <row r="11" spans="1:10" ht="15.75" thickBot="1" x14ac:dyDescent="0.3">
      <c r="A11" s="2" t="s">
        <v>9</v>
      </c>
      <c r="B11" s="9">
        <v>250</v>
      </c>
      <c r="I11" s="5">
        <v>10</v>
      </c>
      <c r="J11" s="53">
        <f t="shared" si="0"/>
        <v>12531.858333333334</v>
      </c>
    </row>
    <row r="12" spans="1:10" x14ac:dyDescent="0.25">
      <c r="A12" s="2" t="s">
        <v>10</v>
      </c>
      <c r="B12" s="9">
        <v>125</v>
      </c>
      <c r="D12" s="21" t="s">
        <v>27</v>
      </c>
      <c r="E12" s="22"/>
      <c r="F12" s="23"/>
      <c r="I12" s="5">
        <v>11</v>
      </c>
      <c r="J12" s="53">
        <f t="shared" si="0"/>
        <v>12531.858333333334</v>
      </c>
    </row>
    <row r="13" spans="1:10" x14ac:dyDescent="0.25">
      <c r="A13" s="10" t="s">
        <v>11</v>
      </c>
      <c r="B13" s="8">
        <f>B11+B23*B12</f>
        <v>500</v>
      </c>
      <c r="D13" s="2" t="s">
        <v>28</v>
      </c>
      <c r="E13" s="24" t="s">
        <v>52</v>
      </c>
      <c r="F13" s="48">
        <v>0.04</v>
      </c>
      <c r="I13" s="5">
        <v>12</v>
      </c>
      <c r="J13" s="53">
        <f t="shared" si="0"/>
        <v>12531.858333333334</v>
      </c>
    </row>
    <row r="14" spans="1:10" x14ac:dyDescent="0.25">
      <c r="A14" s="2" t="s">
        <v>12</v>
      </c>
      <c r="B14" s="33">
        <v>226.47</v>
      </c>
      <c r="D14" s="2" t="s">
        <v>28</v>
      </c>
      <c r="E14" s="24" t="s">
        <v>51</v>
      </c>
      <c r="F14" s="48">
        <v>0.05</v>
      </c>
      <c r="I14" s="5">
        <v>13</v>
      </c>
      <c r="J14" s="53">
        <f t="shared" si="0"/>
        <v>12531.858333333334</v>
      </c>
    </row>
    <row r="15" spans="1:10" x14ac:dyDescent="0.25">
      <c r="A15" s="2" t="s">
        <v>13</v>
      </c>
      <c r="B15" s="31">
        <v>1.4999999999999999E-2</v>
      </c>
      <c r="D15" s="2" t="s">
        <v>20</v>
      </c>
      <c r="E15" s="24" t="s">
        <v>51</v>
      </c>
      <c r="F15" s="3">
        <v>0</v>
      </c>
      <c r="I15" s="5">
        <v>14</v>
      </c>
      <c r="J15" s="53">
        <f t="shared" si="0"/>
        <v>12531.858333333334</v>
      </c>
    </row>
    <row r="16" spans="1:10" x14ac:dyDescent="0.25">
      <c r="A16" s="2" t="s">
        <v>14</v>
      </c>
      <c r="B16" s="33">
        <f>B14*B15</f>
        <v>3.3970499999999997</v>
      </c>
      <c r="D16" s="2" t="s">
        <v>20</v>
      </c>
      <c r="E16" s="50" t="s">
        <v>51</v>
      </c>
      <c r="F16" s="3">
        <v>3</v>
      </c>
      <c r="I16" s="5">
        <v>15</v>
      </c>
      <c r="J16" s="53">
        <f t="shared" si="0"/>
        <v>12531.858333333334</v>
      </c>
    </row>
    <row r="17" spans="1:10" x14ac:dyDescent="0.25">
      <c r="A17" s="12" t="s">
        <v>15</v>
      </c>
      <c r="B17" s="34">
        <f>B19*12</f>
        <v>20382.3</v>
      </c>
      <c r="D17" s="2" t="s">
        <v>20</v>
      </c>
      <c r="E17" s="24" t="s">
        <v>53</v>
      </c>
      <c r="F17" s="3" t="s">
        <v>54</v>
      </c>
      <c r="I17" s="5">
        <v>16</v>
      </c>
      <c r="J17" s="53">
        <f t="shared" si="0"/>
        <v>12531.858333333334</v>
      </c>
    </row>
    <row r="18" spans="1:10" ht="15.75" thickBot="1" x14ac:dyDescent="0.3">
      <c r="A18" s="12" t="s">
        <v>16</v>
      </c>
      <c r="B18" s="34">
        <f>B19*3</f>
        <v>5095.5749999999998</v>
      </c>
      <c r="D18" s="4" t="s">
        <v>29</v>
      </c>
      <c r="E18" s="51" t="s">
        <v>51</v>
      </c>
      <c r="F18" s="49">
        <v>15000</v>
      </c>
      <c r="I18" s="5">
        <v>17</v>
      </c>
      <c r="J18" s="53">
        <f t="shared" si="0"/>
        <v>12531.858333333334</v>
      </c>
    </row>
    <row r="19" spans="1:10" ht="15.75" thickBot="1" x14ac:dyDescent="0.3">
      <c r="A19" s="13" t="s">
        <v>17</v>
      </c>
      <c r="B19" s="35">
        <f>B13*B16</f>
        <v>1698.5249999999999</v>
      </c>
      <c r="I19" s="5">
        <v>18</v>
      </c>
      <c r="J19" s="53">
        <f t="shared" si="0"/>
        <v>12531.858333333334</v>
      </c>
    </row>
    <row r="20" spans="1:10" ht="15.75" thickBot="1" x14ac:dyDescent="0.3">
      <c r="I20" s="5">
        <v>19</v>
      </c>
      <c r="J20" s="53">
        <f t="shared" si="0"/>
        <v>12531.858333333334</v>
      </c>
    </row>
    <row r="21" spans="1:10" x14ac:dyDescent="0.25">
      <c r="A21" s="17" t="s">
        <v>18</v>
      </c>
      <c r="B21" s="18"/>
      <c r="D21" s="27" t="s">
        <v>30</v>
      </c>
      <c r="E21" s="28"/>
      <c r="I21" s="5">
        <v>20</v>
      </c>
      <c r="J21" s="53">
        <f t="shared" si="0"/>
        <v>12531.858333333334</v>
      </c>
    </row>
    <row r="22" spans="1:10" x14ac:dyDescent="0.25">
      <c r="A22" s="19" t="s">
        <v>19</v>
      </c>
      <c r="B22" s="33">
        <v>65000</v>
      </c>
      <c r="D22" s="2" t="s">
        <v>31</v>
      </c>
      <c r="E22" s="31">
        <v>0.06</v>
      </c>
      <c r="I22" s="5">
        <v>21</v>
      </c>
      <c r="J22" s="53">
        <f t="shared" si="0"/>
        <v>12531.858333333334</v>
      </c>
    </row>
    <row r="23" spans="1:10" x14ac:dyDescent="0.25">
      <c r="A23" s="20" t="s">
        <v>20</v>
      </c>
      <c r="B23" s="8">
        <v>2</v>
      </c>
      <c r="D23" s="2" t="s">
        <v>32</v>
      </c>
      <c r="E23" s="31">
        <v>1.4999999999999999E-2</v>
      </c>
      <c r="I23" s="5">
        <v>22</v>
      </c>
      <c r="J23" s="53">
        <f t="shared" si="0"/>
        <v>12531.858333333334</v>
      </c>
    </row>
    <row r="24" spans="1:10" x14ac:dyDescent="0.25">
      <c r="A24" s="12" t="s">
        <v>21</v>
      </c>
      <c r="B24" s="36">
        <f>B23*B22</f>
        <v>130000</v>
      </c>
      <c r="D24" s="2" t="s">
        <v>33</v>
      </c>
      <c r="E24" s="31">
        <v>4.9800000000000001E-3</v>
      </c>
      <c r="I24" s="5">
        <v>23</v>
      </c>
      <c r="J24" s="53">
        <f t="shared" si="0"/>
        <v>12531.858333333334</v>
      </c>
    </row>
    <row r="25" spans="1:10" x14ac:dyDescent="0.25">
      <c r="A25" s="12" t="s">
        <v>22</v>
      </c>
      <c r="B25" s="36">
        <f>B24/4</f>
        <v>32500</v>
      </c>
      <c r="D25" s="12" t="s">
        <v>34</v>
      </c>
      <c r="E25" s="52">
        <f>NPV(E23,F3:F10)</f>
        <v>3254366.5358665525</v>
      </c>
      <c r="I25" s="5">
        <v>24</v>
      </c>
      <c r="J25" s="53">
        <f t="shared" si="0"/>
        <v>12531.858333333334</v>
      </c>
    </row>
    <row r="26" spans="1:10" ht="15.75" thickBot="1" x14ac:dyDescent="0.3">
      <c r="A26" s="13" t="s">
        <v>23</v>
      </c>
      <c r="B26" s="37">
        <f>B24/12</f>
        <v>10833.333333333334</v>
      </c>
      <c r="D26" s="12" t="s">
        <v>35</v>
      </c>
      <c r="E26" s="52">
        <f>NPV(E24,J2:J25)</f>
        <v>282823.64740247134</v>
      </c>
    </row>
    <row r="27" spans="1:10" ht="15.75" thickBot="1" x14ac:dyDescent="0.3">
      <c r="A27" s="55" t="s">
        <v>55</v>
      </c>
      <c r="D27" s="13" t="s">
        <v>36</v>
      </c>
      <c r="E27" s="54">
        <f>E25-E26</f>
        <v>2971542.8884640811</v>
      </c>
      <c r="F27" t="s">
        <v>37</v>
      </c>
    </row>
    <row r="28" spans="1:10" x14ac:dyDescent="0.25">
      <c r="A28" s="17" t="s">
        <v>39</v>
      </c>
      <c r="B28" s="18"/>
    </row>
    <row r="29" spans="1:10" x14ac:dyDescent="0.25">
      <c r="A29" s="19" t="s">
        <v>40</v>
      </c>
      <c r="B29" s="34">
        <f>B17+B24</f>
        <v>150382.29999999999</v>
      </c>
    </row>
    <row r="30" spans="1:10" x14ac:dyDescent="0.25">
      <c r="A30" s="19" t="s">
        <v>41</v>
      </c>
      <c r="B30" s="34">
        <f>B18+B25</f>
        <v>37595.574999999997</v>
      </c>
    </row>
    <row r="31" spans="1:10" x14ac:dyDescent="0.25">
      <c r="A31" s="19" t="s">
        <v>42</v>
      </c>
      <c r="B31" s="34">
        <f>B19+B26</f>
        <v>12531.858333333334</v>
      </c>
    </row>
    <row r="32" spans="1:10" ht="15.75" thickBot="1" x14ac:dyDescent="0.3">
      <c r="A32" s="30" t="s">
        <v>43</v>
      </c>
      <c r="B32" s="38">
        <v>15000</v>
      </c>
      <c r="C32" s="1" t="s">
        <v>51</v>
      </c>
      <c r="D32" s="47">
        <v>15000</v>
      </c>
    </row>
    <row r="34" spans="1:2" ht="15.75" thickBot="1" x14ac:dyDescent="0.3"/>
    <row r="35" spans="1:2" x14ac:dyDescent="0.25">
      <c r="A35" s="17" t="s">
        <v>47</v>
      </c>
      <c r="B35" s="18"/>
    </row>
    <row r="36" spans="1:2" x14ac:dyDescent="0.25">
      <c r="A36" s="2" t="s">
        <v>44</v>
      </c>
      <c r="B36" s="32">
        <v>219550000</v>
      </c>
    </row>
    <row r="37" spans="1:2" x14ac:dyDescent="0.25">
      <c r="A37" s="2" t="s">
        <v>46</v>
      </c>
      <c r="B37" s="32">
        <v>969430</v>
      </c>
    </row>
    <row r="38" spans="1:2" ht="15.75" thickBot="1" x14ac:dyDescent="0.3">
      <c r="A38" s="6" t="s">
        <v>45</v>
      </c>
      <c r="B38" s="7">
        <f>B36/B37</f>
        <v>226.47328842722013</v>
      </c>
    </row>
  </sheetData>
  <mergeCells count="10">
    <mergeCell ref="A21:B21"/>
    <mergeCell ref="D21:E21"/>
    <mergeCell ref="A28:B28"/>
    <mergeCell ref="A35:B35"/>
    <mergeCell ref="A1:B1"/>
    <mergeCell ref="D1:F1"/>
    <mergeCell ref="I1:J1"/>
    <mergeCell ref="E2:F2"/>
    <mergeCell ref="A10:B10"/>
    <mergeCell ref="D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34C64-BD90-4CF5-9414-C59033639284}">
  <dimension ref="A1:C9"/>
  <sheetViews>
    <sheetView workbookViewId="0">
      <selection activeCell="H21" sqref="H21"/>
    </sheetView>
  </sheetViews>
  <sheetFormatPr defaultRowHeight="20.100000000000001" customHeight="1" x14ac:dyDescent="0.25"/>
  <cols>
    <col min="1" max="1" width="18.140625" customWidth="1"/>
    <col min="2" max="2" width="14.140625" customWidth="1"/>
    <col min="3" max="3" width="17.42578125" customWidth="1"/>
  </cols>
  <sheetData>
    <row r="1" spans="1:3" ht="20.100000000000001" customHeight="1" x14ac:dyDescent="0.25">
      <c r="A1" s="40" t="s">
        <v>48</v>
      </c>
      <c r="B1" s="40" t="s">
        <v>49</v>
      </c>
      <c r="C1" s="40" t="s">
        <v>50</v>
      </c>
    </row>
    <row r="2" spans="1:3" ht="20.100000000000001" customHeight="1" x14ac:dyDescent="0.25">
      <c r="A2" s="39">
        <v>102065776</v>
      </c>
      <c r="B2" s="39">
        <v>88529208</v>
      </c>
      <c r="C2" s="39">
        <v>115602343</v>
      </c>
    </row>
    <row r="3" spans="1:3" ht="20.100000000000001" customHeight="1" x14ac:dyDescent="0.25">
      <c r="A3" s="39">
        <v>111286084</v>
      </c>
      <c r="B3" s="39">
        <v>97749516</v>
      </c>
      <c r="C3" s="39">
        <v>124822651</v>
      </c>
    </row>
    <row r="4" spans="1:3" ht="20.100000000000001" customHeight="1" x14ac:dyDescent="0.25">
      <c r="A4" s="39">
        <v>128839195</v>
      </c>
      <c r="B4" s="39">
        <v>115302627</v>
      </c>
      <c r="C4" s="39">
        <v>142375763</v>
      </c>
    </row>
    <row r="5" spans="1:3" ht="20.100000000000001" customHeight="1" x14ac:dyDescent="0.25">
      <c r="A5" s="39">
        <v>127901672</v>
      </c>
      <c r="B5" s="39">
        <v>114365104</v>
      </c>
      <c r="C5" s="39">
        <v>141438240</v>
      </c>
    </row>
    <row r="6" spans="1:3" ht="20.100000000000001" customHeight="1" x14ac:dyDescent="0.25">
      <c r="A6" s="39">
        <v>107069802</v>
      </c>
      <c r="B6" s="39">
        <v>92598602</v>
      </c>
      <c r="C6" s="39">
        <v>121541001</v>
      </c>
    </row>
    <row r="7" spans="1:3" ht="20.100000000000001" customHeight="1" x14ac:dyDescent="0.25">
      <c r="A7" s="39">
        <v>116290110</v>
      </c>
      <c r="B7" s="39">
        <v>101818910</v>
      </c>
      <c r="C7" s="39">
        <v>130761309</v>
      </c>
    </row>
    <row r="8" spans="1:3" ht="20.100000000000001" customHeight="1" x14ac:dyDescent="0.25">
      <c r="A8" s="39">
        <v>133843221</v>
      </c>
      <c r="B8" s="39">
        <v>119372021</v>
      </c>
      <c r="C8" s="39">
        <v>148314421</v>
      </c>
    </row>
    <row r="9" spans="1:3" ht="20.100000000000001" customHeight="1" x14ac:dyDescent="0.25">
      <c r="A9" s="39">
        <v>132905698</v>
      </c>
      <c r="B9" s="39">
        <v>118434499</v>
      </c>
      <c r="C9" s="39">
        <v>147376898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Optimization Model</vt:lpstr>
      <vt:lpstr>Lower Model</vt:lpstr>
      <vt:lpstr>Higher Model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Moiz Deshmukh</dc:creator>
  <cp:lastModifiedBy>Moiz Deshmukh</cp:lastModifiedBy>
  <dcterms:created xsi:type="dcterms:W3CDTF">2024-08-02T14:29:33Z</dcterms:created>
  <dcterms:modified xsi:type="dcterms:W3CDTF">2024-08-03T00:18:55Z</dcterms:modified>
</cp:coreProperties>
</file>