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n21mmf_leeds_ac_uk/Documents/Business analytics and decision scinece-Moji-Surface/Assignment/Question 2/"/>
    </mc:Choice>
  </mc:AlternateContent>
  <xr:revisionPtr revIDLastSave="0" documentId="8_{DDA5553A-C423-4427-8CB7-9554362E4579}" xr6:coauthVersionLast="47" xr6:coauthVersionMax="47" xr10:uidLastSave="{00000000-0000-0000-0000-000000000000}"/>
  <bookViews>
    <workbookView xWindow="-120" yWindow="-120" windowWidth="19440" windowHeight="15150" firstSheet="14" activeTab="17" xr2:uid="{A30F6F5F-CC74-4298-8FF3-9CDFEF04FB44}"/>
  </bookViews>
  <sheets>
    <sheet name="AHP" sheetId="1" r:id="rId1"/>
    <sheet name="AHP (Sensitivity)" sheetId="14" r:id="rId2"/>
    <sheet name="TOPSIS" sheetId="13" r:id="rId3"/>
    <sheet name="TOPSIS (sensitivity)" sheetId="15" r:id="rId4"/>
    <sheet name="Results" sheetId="16" r:id="rId5"/>
    <sheet name="Weights" sheetId="2" r:id="rId6"/>
    <sheet name="C11" sheetId="3" r:id="rId7"/>
    <sheet name="C12" sheetId="4" r:id="rId8"/>
    <sheet name="C2" sheetId="7" r:id="rId9"/>
    <sheet name="C3" sheetId="8" r:id="rId10"/>
    <sheet name="C4" sheetId="9" r:id="rId11"/>
    <sheet name="C5" sheetId="10" r:id="rId12"/>
    <sheet name="EBC-BrewdogNew" sheetId="23" r:id="rId13"/>
    <sheet name="EBC-Pearson" sheetId="24" r:id="rId14"/>
    <sheet name="ABV-BrewdogNew" sheetId="18" r:id="rId15"/>
    <sheet name="ABV-Pearson" sheetId="22" r:id="rId16"/>
    <sheet name="ABV-final result" sheetId="21" r:id="rId17"/>
    <sheet name="ABV-BrewdogNew-csv" sheetId="25" r:id="rId18"/>
  </sheets>
  <definedNames>
    <definedName name="ExternalData_1" localSheetId="14" hidden="1">'ABV-BrewdogNew'!$A$1:$J$197</definedName>
    <definedName name="ExternalData_1" localSheetId="17" hidden="1">'ABV-BrewdogNew-csv'!$A$1:$H$197</definedName>
    <definedName name="ExternalData_1" localSheetId="12" hidden="1">'EBC-BrewdogNew'!$A$1:$K$197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1" l="1"/>
  <c r="E9" i="21"/>
  <c r="F9" i="21"/>
  <c r="G9" i="21"/>
  <c r="H9" i="21"/>
  <c r="I9" i="21"/>
  <c r="J9" i="21"/>
  <c r="K9" i="21"/>
  <c r="L9" i="21"/>
  <c r="C9" i="21"/>
  <c r="C198" i="24"/>
  <c r="D198" i="24"/>
  <c r="E198" i="24"/>
  <c r="F198" i="24"/>
  <c r="G198" i="24"/>
  <c r="H198" i="24"/>
  <c r="I198" i="24"/>
  <c r="J198" i="24"/>
  <c r="K198" i="24"/>
  <c r="L198" i="24"/>
  <c r="M198" i="24"/>
  <c r="N198" i="24"/>
  <c r="B198" i="24"/>
  <c r="G2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G125" i="23"/>
  <c r="G126" i="23"/>
  <c r="G127" i="23"/>
  <c r="G128" i="23"/>
  <c r="G129" i="23"/>
  <c r="G130" i="23"/>
  <c r="G131" i="23"/>
  <c r="G132" i="23"/>
  <c r="G133" i="23"/>
  <c r="G134" i="23"/>
  <c r="G135" i="23"/>
  <c r="G136" i="23"/>
  <c r="G137" i="23"/>
  <c r="G138" i="23"/>
  <c r="G139" i="23"/>
  <c r="G140" i="23"/>
  <c r="G141" i="23"/>
  <c r="G142" i="23"/>
  <c r="G143" i="23"/>
  <c r="G144" i="23"/>
  <c r="G145" i="23"/>
  <c r="G146" i="23"/>
  <c r="G147" i="23"/>
  <c r="G148" i="23"/>
  <c r="G149" i="23"/>
  <c r="G150" i="23"/>
  <c r="G151" i="23"/>
  <c r="G152" i="23"/>
  <c r="G153" i="23"/>
  <c r="G154" i="23"/>
  <c r="G155" i="23"/>
  <c r="G156" i="23"/>
  <c r="G157" i="23"/>
  <c r="G158" i="23"/>
  <c r="G159" i="23"/>
  <c r="G160" i="23"/>
  <c r="G161" i="23"/>
  <c r="G162" i="23"/>
  <c r="G163" i="23"/>
  <c r="G164" i="23"/>
  <c r="G165" i="23"/>
  <c r="G166" i="23"/>
  <c r="G167" i="23"/>
  <c r="G168" i="23"/>
  <c r="G169" i="23"/>
  <c r="G170" i="23"/>
  <c r="G171" i="23"/>
  <c r="G172" i="23"/>
  <c r="G173" i="23"/>
  <c r="G174" i="23"/>
  <c r="G175" i="23"/>
  <c r="G176" i="23"/>
  <c r="G177" i="23"/>
  <c r="G178" i="23"/>
  <c r="G179" i="23"/>
  <c r="G180" i="23"/>
  <c r="G181" i="23"/>
  <c r="G182" i="23"/>
  <c r="G183" i="23"/>
  <c r="G184" i="23"/>
  <c r="G185" i="23"/>
  <c r="G186" i="23"/>
  <c r="G187" i="23"/>
  <c r="G188" i="23"/>
  <c r="G189" i="23"/>
  <c r="G190" i="23"/>
  <c r="G191" i="23"/>
  <c r="G192" i="23"/>
  <c r="G193" i="23"/>
  <c r="G194" i="23"/>
  <c r="G195" i="23"/>
  <c r="G196" i="23"/>
  <c r="G197" i="23"/>
  <c r="W2" i="23"/>
  <c r="W3" i="23"/>
  <c r="W4" i="23"/>
  <c r="W5" i="23"/>
  <c r="W6" i="23"/>
  <c r="W7" i="23"/>
  <c r="W8" i="23"/>
  <c r="W9" i="23"/>
  <c r="W10" i="23"/>
  <c r="W11" i="23"/>
  <c r="W12" i="23"/>
  <c r="W13" i="23"/>
  <c r="W14" i="23"/>
  <c r="W15" i="23"/>
  <c r="W16" i="23"/>
  <c r="W17" i="23"/>
  <c r="W18" i="23"/>
  <c r="W19" i="23"/>
  <c r="W20" i="23"/>
  <c r="W21" i="23"/>
  <c r="W22" i="23"/>
  <c r="W23" i="23"/>
  <c r="W24" i="23"/>
  <c r="W25" i="23"/>
  <c r="W26" i="23"/>
  <c r="W27" i="23"/>
  <c r="W28" i="23"/>
  <c r="W29" i="23"/>
  <c r="W30" i="23"/>
  <c r="W31" i="23"/>
  <c r="W32" i="23"/>
  <c r="W33" i="23"/>
  <c r="W34" i="23"/>
  <c r="W35" i="23"/>
  <c r="W36" i="23"/>
  <c r="W37" i="23"/>
  <c r="W38" i="23"/>
  <c r="W39" i="23"/>
  <c r="W40" i="23"/>
  <c r="W41" i="23"/>
  <c r="W42" i="23"/>
  <c r="W43" i="23"/>
  <c r="W44" i="23"/>
  <c r="W45" i="23"/>
  <c r="W46" i="23"/>
  <c r="W47" i="23"/>
  <c r="W48" i="23"/>
  <c r="W49" i="23"/>
  <c r="W50" i="23"/>
  <c r="W51" i="23"/>
  <c r="W52" i="23"/>
  <c r="W53" i="23"/>
  <c r="W54" i="23"/>
  <c r="W55" i="23"/>
  <c r="W56" i="23"/>
  <c r="W57" i="23"/>
  <c r="W58" i="23"/>
  <c r="W59" i="23"/>
  <c r="W60" i="23"/>
  <c r="W61" i="23"/>
  <c r="W62" i="23"/>
  <c r="W63" i="23"/>
  <c r="W64" i="23"/>
  <c r="W65" i="23"/>
  <c r="W66" i="23"/>
  <c r="W67" i="23"/>
  <c r="W68" i="23"/>
  <c r="W69" i="23"/>
  <c r="W70" i="23"/>
  <c r="W71" i="23"/>
  <c r="W72" i="23"/>
  <c r="W73" i="23"/>
  <c r="W74" i="23"/>
  <c r="W75" i="23"/>
  <c r="W76" i="23"/>
  <c r="W77" i="23"/>
  <c r="W78" i="23"/>
  <c r="W79" i="23"/>
  <c r="W80" i="23"/>
  <c r="W81" i="23"/>
  <c r="W82" i="23"/>
  <c r="W83" i="23"/>
  <c r="W84" i="23"/>
  <c r="W85" i="23"/>
  <c r="W86" i="23"/>
  <c r="W87" i="23"/>
  <c r="W88" i="23"/>
  <c r="W89" i="23"/>
  <c r="W90" i="23"/>
  <c r="W91" i="23"/>
  <c r="W92" i="23"/>
  <c r="W93" i="23"/>
  <c r="W94" i="23"/>
  <c r="W95" i="23"/>
  <c r="W96" i="23"/>
  <c r="W97" i="23"/>
  <c r="W98" i="23"/>
  <c r="W99" i="23"/>
  <c r="W100" i="23"/>
  <c r="W101" i="23"/>
  <c r="W102" i="23"/>
  <c r="W103" i="23"/>
  <c r="W104" i="23"/>
  <c r="W105" i="23"/>
  <c r="W106" i="23"/>
  <c r="W107" i="23"/>
  <c r="W108" i="23"/>
  <c r="W109" i="23"/>
  <c r="W110" i="23"/>
  <c r="W111" i="23"/>
  <c r="W112" i="23"/>
  <c r="W113" i="23"/>
  <c r="W114" i="23"/>
  <c r="W115" i="23"/>
  <c r="W116" i="23"/>
  <c r="W117" i="23"/>
  <c r="W118" i="23"/>
  <c r="W119" i="23"/>
  <c r="W120" i="23"/>
  <c r="W121" i="23"/>
  <c r="W122" i="23"/>
  <c r="W123" i="23"/>
  <c r="W124" i="23"/>
  <c r="W125" i="23"/>
  <c r="W126" i="23"/>
  <c r="W127" i="23"/>
  <c r="W128" i="23"/>
  <c r="W129" i="23"/>
  <c r="W130" i="23"/>
  <c r="W131" i="23"/>
  <c r="W132" i="23"/>
  <c r="W133" i="23"/>
  <c r="W134" i="23"/>
  <c r="W135" i="23"/>
  <c r="W136" i="23"/>
  <c r="W137" i="23"/>
  <c r="W138" i="23"/>
  <c r="W139" i="23"/>
  <c r="W140" i="23"/>
  <c r="W141" i="23"/>
  <c r="W142" i="23"/>
  <c r="W143" i="23"/>
  <c r="W144" i="23"/>
  <c r="W145" i="23"/>
  <c r="W146" i="23"/>
  <c r="W147" i="23"/>
  <c r="W148" i="23"/>
  <c r="W149" i="23"/>
  <c r="W150" i="23"/>
  <c r="W151" i="23"/>
  <c r="W152" i="23"/>
  <c r="W153" i="23"/>
  <c r="W154" i="23"/>
  <c r="W155" i="23"/>
  <c r="W156" i="23"/>
  <c r="W157" i="23"/>
  <c r="W158" i="23"/>
  <c r="W159" i="23"/>
  <c r="W160" i="23"/>
  <c r="W161" i="23"/>
  <c r="W162" i="23"/>
  <c r="W163" i="23"/>
  <c r="W164" i="23"/>
  <c r="W165" i="23"/>
  <c r="W166" i="23"/>
  <c r="W167" i="23"/>
  <c r="W168" i="23"/>
  <c r="W169" i="23"/>
  <c r="W170" i="23"/>
  <c r="W171" i="23"/>
  <c r="W172" i="23"/>
  <c r="W173" i="23"/>
  <c r="W174" i="23"/>
  <c r="W175" i="23"/>
  <c r="W176" i="23"/>
  <c r="W177" i="23"/>
  <c r="W178" i="23"/>
  <c r="W179" i="23"/>
  <c r="W180" i="23"/>
  <c r="W181" i="23"/>
  <c r="W182" i="23"/>
  <c r="W183" i="23"/>
  <c r="W184" i="23"/>
  <c r="W185" i="23"/>
  <c r="W186" i="23"/>
  <c r="W187" i="23"/>
  <c r="W188" i="23"/>
  <c r="W189" i="23"/>
  <c r="W190" i="23"/>
  <c r="W191" i="23"/>
  <c r="W192" i="23"/>
  <c r="W193" i="23"/>
  <c r="W194" i="23"/>
  <c r="W195" i="23"/>
  <c r="W196" i="23"/>
  <c r="W197" i="23"/>
  <c r="V2" i="23"/>
  <c r="V3" i="23"/>
  <c r="V4" i="23"/>
  <c r="V5" i="23"/>
  <c r="V201" i="23" s="1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6" i="23"/>
  <c r="V47" i="23"/>
  <c r="V48" i="23"/>
  <c r="V49" i="23"/>
  <c r="V50" i="23"/>
  <c r="V51" i="23"/>
  <c r="V52" i="23"/>
  <c r="V53" i="23"/>
  <c r="V54" i="23"/>
  <c r="V55" i="23"/>
  <c r="V56" i="23"/>
  <c r="V57" i="23"/>
  <c r="V58" i="23"/>
  <c r="V59" i="23"/>
  <c r="V60" i="23"/>
  <c r="V61" i="23"/>
  <c r="V62" i="23"/>
  <c r="V63" i="23"/>
  <c r="V64" i="23"/>
  <c r="V65" i="23"/>
  <c r="V66" i="23"/>
  <c r="V67" i="23"/>
  <c r="V68" i="23"/>
  <c r="V69" i="23"/>
  <c r="V70" i="23"/>
  <c r="V71" i="23"/>
  <c r="V72" i="23"/>
  <c r="V73" i="23"/>
  <c r="V74" i="23"/>
  <c r="V75" i="23"/>
  <c r="V76" i="23"/>
  <c r="V77" i="23"/>
  <c r="V78" i="23"/>
  <c r="V79" i="23"/>
  <c r="V80" i="23"/>
  <c r="V81" i="23"/>
  <c r="V82" i="23"/>
  <c r="V83" i="23"/>
  <c r="V84" i="23"/>
  <c r="V85" i="23"/>
  <c r="V86" i="23"/>
  <c r="V87" i="23"/>
  <c r="V88" i="23"/>
  <c r="V89" i="23"/>
  <c r="V90" i="23"/>
  <c r="V91" i="23"/>
  <c r="V92" i="23"/>
  <c r="V93" i="23"/>
  <c r="V94" i="23"/>
  <c r="V95" i="23"/>
  <c r="V96" i="23"/>
  <c r="V97" i="23"/>
  <c r="V98" i="23"/>
  <c r="V99" i="23"/>
  <c r="V100" i="23"/>
  <c r="V101" i="23"/>
  <c r="V102" i="23"/>
  <c r="V103" i="23"/>
  <c r="V104" i="23"/>
  <c r="V105" i="23"/>
  <c r="V106" i="23"/>
  <c r="V107" i="23"/>
  <c r="V108" i="23"/>
  <c r="V109" i="23"/>
  <c r="V110" i="23"/>
  <c r="V111" i="23"/>
  <c r="V112" i="23"/>
  <c r="V113" i="23"/>
  <c r="V114" i="23"/>
  <c r="V115" i="23"/>
  <c r="V116" i="23"/>
  <c r="V117" i="23"/>
  <c r="V118" i="23"/>
  <c r="V119" i="23"/>
  <c r="V120" i="23"/>
  <c r="V121" i="23"/>
  <c r="V122" i="23"/>
  <c r="V123" i="23"/>
  <c r="V124" i="23"/>
  <c r="V125" i="23"/>
  <c r="V126" i="23"/>
  <c r="V127" i="23"/>
  <c r="V128" i="23"/>
  <c r="V129" i="23"/>
  <c r="V130" i="23"/>
  <c r="V131" i="23"/>
  <c r="V132" i="23"/>
  <c r="V133" i="23"/>
  <c r="V134" i="23"/>
  <c r="V135" i="23"/>
  <c r="V136" i="23"/>
  <c r="V137" i="23"/>
  <c r="V138" i="23"/>
  <c r="V139" i="23"/>
  <c r="V140" i="23"/>
  <c r="V141" i="23"/>
  <c r="V142" i="23"/>
  <c r="V143" i="23"/>
  <c r="V144" i="23"/>
  <c r="V145" i="23"/>
  <c r="V146" i="23"/>
  <c r="V147" i="23"/>
  <c r="V148" i="23"/>
  <c r="V149" i="23"/>
  <c r="V150" i="23"/>
  <c r="V151" i="23"/>
  <c r="V152" i="23"/>
  <c r="V153" i="23"/>
  <c r="V154" i="23"/>
  <c r="V155" i="23"/>
  <c r="V156" i="23"/>
  <c r="V157" i="23"/>
  <c r="V158" i="23"/>
  <c r="V159" i="23"/>
  <c r="V160" i="23"/>
  <c r="V161" i="23"/>
  <c r="V162" i="23"/>
  <c r="V163" i="23"/>
  <c r="V164" i="23"/>
  <c r="V165" i="23"/>
  <c r="V166" i="23"/>
  <c r="V167" i="23"/>
  <c r="V168" i="23"/>
  <c r="V169" i="23"/>
  <c r="V170" i="23"/>
  <c r="V171" i="23"/>
  <c r="V172" i="23"/>
  <c r="V173" i="23"/>
  <c r="V174" i="23"/>
  <c r="V175" i="23"/>
  <c r="V176" i="23"/>
  <c r="V177" i="23"/>
  <c r="V178" i="23"/>
  <c r="V179" i="23"/>
  <c r="V180" i="23"/>
  <c r="V181" i="23"/>
  <c r="V182" i="23"/>
  <c r="V183" i="23"/>
  <c r="V184" i="23"/>
  <c r="V185" i="23"/>
  <c r="V186" i="23"/>
  <c r="V187" i="23"/>
  <c r="V188" i="23"/>
  <c r="V189" i="23"/>
  <c r="V190" i="23"/>
  <c r="V191" i="23"/>
  <c r="V192" i="23"/>
  <c r="V193" i="23"/>
  <c r="V194" i="23"/>
  <c r="V195" i="23"/>
  <c r="V196" i="23"/>
  <c r="V197" i="23"/>
  <c r="U2" i="23"/>
  <c r="U3" i="23"/>
  <c r="U4" i="23"/>
  <c r="U5" i="23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T2" i="23"/>
  <c r="T3" i="23"/>
  <c r="T4" i="23"/>
  <c r="T5" i="23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106" i="23"/>
  <c r="T107" i="23"/>
  <c r="T108" i="23"/>
  <c r="T109" i="23"/>
  <c r="T110" i="23"/>
  <c r="T111" i="23"/>
  <c r="T112" i="23"/>
  <c r="T113" i="23"/>
  <c r="T114" i="23"/>
  <c r="T115" i="23"/>
  <c r="T116" i="23"/>
  <c r="T117" i="23"/>
  <c r="T118" i="23"/>
  <c r="T119" i="23"/>
  <c r="T120" i="23"/>
  <c r="T121" i="23"/>
  <c r="T122" i="23"/>
  <c r="T123" i="23"/>
  <c r="T124" i="23"/>
  <c r="T125" i="23"/>
  <c r="T126" i="23"/>
  <c r="T127" i="23"/>
  <c r="T128" i="23"/>
  <c r="T129" i="23"/>
  <c r="T130" i="23"/>
  <c r="T131" i="23"/>
  <c r="T132" i="23"/>
  <c r="T133" i="23"/>
  <c r="T134" i="23"/>
  <c r="T135" i="23"/>
  <c r="T136" i="23"/>
  <c r="T137" i="23"/>
  <c r="T138" i="23"/>
  <c r="T139" i="23"/>
  <c r="T140" i="23"/>
  <c r="T141" i="23"/>
  <c r="T142" i="23"/>
  <c r="T143" i="23"/>
  <c r="T144" i="23"/>
  <c r="T145" i="23"/>
  <c r="T146" i="23"/>
  <c r="T147" i="23"/>
  <c r="T148" i="23"/>
  <c r="T149" i="23"/>
  <c r="T150" i="23"/>
  <c r="T151" i="23"/>
  <c r="T152" i="23"/>
  <c r="T153" i="23"/>
  <c r="T154" i="23"/>
  <c r="T155" i="23"/>
  <c r="T156" i="23"/>
  <c r="T157" i="23"/>
  <c r="T158" i="23"/>
  <c r="T159" i="23"/>
  <c r="T160" i="23"/>
  <c r="T161" i="23"/>
  <c r="T162" i="23"/>
  <c r="T163" i="23"/>
  <c r="T164" i="23"/>
  <c r="T165" i="23"/>
  <c r="T166" i="23"/>
  <c r="T167" i="23"/>
  <c r="T168" i="23"/>
  <c r="T169" i="23"/>
  <c r="T170" i="23"/>
  <c r="T171" i="23"/>
  <c r="T172" i="23"/>
  <c r="T173" i="23"/>
  <c r="T174" i="23"/>
  <c r="T175" i="23"/>
  <c r="T176" i="23"/>
  <c r="T177" i="23"/>
  <c r="T178" i="23"/>
  <c r="T179" i="23"/>
  <c r="T180" i="23"/>
  <c r="T181" i="23"/>
  <c r="T182" i="23"/>
  <c r="T183" i="23"/>
  <c r="T184" i="23"/>
  <c r="T185" i="23"/>
  <c r="T186" i="23"/>
  <c r="T187" i="23"/>
  <c r="T188" i="23"/>
  <c r="T189" i="23"/>
  <c r="T190" i="23"/>
  <c r="T191" i="23"/>
  <c r="T192" i="23"/>
  <c r="T193" i="23"/>
  <c r="T194" i="23"/>
  <c r="T195" i="23"/>
  <c r="T196" i="23"/>
  <c r="T197" i="23"/>
  <c r="S2" i="23"/>
  <c r="S3" i="23"/>
  <c r="S4" i="23"/>
  <c r="S5" i="23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S125" i="23"/>
  <c r="S126" i="23"/>
  <c r="S127" i="23"/>
  <c r="S128" i="23"/>
  <c r="S129" i="23"/>
  <c r="S130" i="23"/>
  <c r="S131" i="23"/>
  <c r="S132" i="23"/>
  <c r="S133" i="23"/>
  <c r="S134" i="23"/>
  <c r="S135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R2" i="23"/>
  <c r="R3" i="23"/>
  <c r="R4" i="23"/>
  <c r="R5" i="23"/>
  <c r="R201" i="23" s="1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R125" i="23"/>
  <c r="R126" i="23"/>
  <c r="R127" i="23"/>
  <c r="R128" i="23"/>
  <c r="R129" i="23"/>
  <c r="R130" i="23"/>
  <c r="R131" i="23"/>
  <c r="R132" i="23"/>
  <c r="R133" i="23"/>
  <c r="R134" i="23"/>
  <c r="R135" i="23"/>
  <c r="R136" i="23"/>
  <c r="R137" i="23"/>
  <c r="R138" i="23"/>
  <c r="R139" i="23"/>
  <c r="R140" i="23"/>
  <c r="R141" i="23"/>
  <c r="R142" i="23"/>
  <c r="R143" i="23"/>
  <c r="R144" i="23"/>
  <c r="R145" i="23"/>
  <c r="R146" i="23"/>
  <c r="R147" i="23"/>
  <c r="R148" i="23"/>
  <c r="R149" i="23"/>
  <c r="R150" i="23"/>
  <c r="R151" i="23"/>
  <c r="R152" i="23"/>
  <c r="R153" i="23"/>
  <c r="R154" i="23"/>
  <c r="R155" i="23"/>
  <c r="R156" i="23"/>
  <c r="R157" i="23"/>
  <c r="R158" i="23"/>
  <c r="R159" i="23"/>
  <c r="R160" i="23"/>
  <c r="R161" i="23"/>
  <c r="R162" i="23"/>
  <c r="R163" i="23"/>
  <c r="R164" i="23"/>
  <c r="R165" i="23"/>
  <c r="R166" i="23"/>
  <c r="R167" i="23"/>
  <c r="R168" i="23"/>
  <c r="R169" i="23"/>
  <c r="R170" i="23"/>
  <c r="R171" i="23"/>
  <c r="R172" i="23"/>
  <c r="R173" i="23"/>
  <c r="R174" i="23"/>
  <c r="R175" i="23"/>
  <c r="R176" i="23"/>
  <c r="R177" i="23"/>
  <c r="R178" i="23"/>
  <c r="R179" i="23"/>
  <c r="R180" i="23"/>
  <c r="R181" i="23"/>
  <c r="R182" i="23"/>
  <c r="R183" i="23"/>
  <c r="R184" i="23"/>
  <c r="R185" i="23"/>
  <c r="R186" i="23"/>
  <c r="R187" i="23"/>
  <c r="R188" i="23"/>
  <c r="R189" i="23"/>
  <c r="R190" i="23"/>
  <c r="R191" i="23"/>
  <c r="R192" i="23"/>
  <c r="R193" i="23"/>
  <c r="R194" i="23"/>
  <c r="R195" i="23"/>
  <c r="R196" i="23"/>
  <c r="R197" i="23"/>
  <c r="Q2" i="23"/>
  <c r="Q3" i="23"/>
  <c r="Q4" i="23"/>
  <c r="Q5" i="23"/>
  <c r="Q201" i="23" s="1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5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V198" i="23"/>
  <c r="V199" i="23" s="1"/>
  <c r="U198" i="23"/>
  <c r="U200" i="23" s="1"/>
  <c r="T198" i="23"/>
  <c r="T200" i="23" s="1"/>
  <c r="S198" i="23"/>
  <c r="S200" i="23" s="1"/>
  <c r="R198" i="23"/>
  <c r="R200" i="23" s="1"/>
  <c r="Q198" i="23"/>
  <c r="Q200" i="23" s="1"/>
  <c r="O198" i="23"/>
  <c r="N198" i="23"/>
  <c r="M198" i="23"/>
  <c r="L198" i="23"/>
  <c r="J198" i="23"/>
  <c r="I198" i="23"/>
  <c r="H198" i="23"/>
  <c r="F198" i="23"/>
  <c r="E198" i="23"/>
  <c r="D198" i="23"/>
  <c r="B198" i="23"/>
  <c r="P197" i="23"/>
  <c r="O197" i="23"/>
  <c r="N197" i="23"/>
  <c r="M197" i="23"/>
  <c r="L197" i="23"/>
  <c r="P196" i="23"/>
  <c r="O196" i="23"/>
  <c r="N196" i="23"/>
  <c r="M196" i="23"/>
  <c r="L196" i="23"/>
  <c r="P195" i="23"/>
  <c r="O195" i="23"/>
  <c r="N195" i="23"/>
  <c r="M195" i="23"/>
  <c r="L195" i="23"/>
  <c r="P194" i="23"/>
  <c r="O194" i="23"/>
  <c r="N194" i="23"/>
  <c r="M194" i="23"/>
  <c r="L194" i="23"/>
  <c r="P193" i="23"/>
  <c r="O193" i="23"/>
  <c r="N193" i="23"/>
  <c r="M193" i="23"/>
  <c r="L193" i="23"/>
  <c r="P192" i="23"/>
  <c r="O192" i="23"/>
  <c r="N192" i="23"/>
  <c r="M192" i="23"/>
  <c r="L192" i="23"/>
  <c r="P191" i="23"/>
  <c r="O191" i="23"/>
  <c r="N191" i="23"/>
  <c r="M191" i="23"/>
  <c r="L191" i="23"/>
  <c r="P190" i="23"/>
  <c r="O190" i="23"/>
  <c r="N190" i="23"/>
  <c r="M190" i="23"/>
  <c r="L190" i="23"/>
  <c r="P189" i="23"/>
  <c r="O189" i="23"/>
  <c r="N189" i="23"/>
  <c r="M189" i="23"/>
  <c r="L189" i="23"/>
  <c r="P188" i="23"/>
  <c r="O188" i="23"/>
  <c r="N188" i="23"/>
  <c r="M188" i="23"/>
  <c r="L188" i="23"/>
  <c r="P187" i="23"/>
  <c r="O187" i="23"/>
  <c r="N187" i="23"/>
  <c r="M187" i="23"/>
  <c r="L187" i="23"/>
  <c r="P186" i="23"/>
  <c r="O186" i="23"/>
  <c r="N186" i="23"/>
  <c r="M186" i="23"/>
  <c r="L186" i="23"/>
  <c r="P185" i="23"/>
  <c r="O185" i="23"/>
  <c r="N185" i="23"/>
  <c r="M185" i="23"/>
  <c r="L185" i="23"/>
  <c r="P184" i="23"/>
  <c r="O184" i="23"/>
  <c r="N184" i="23"/>
  <c r="M184" i="23"/>
  <c r="L184" i="23"/>
  <c r="P183" i="23"/>
  <c r="O183" i="23"/>
  <c r="N183" i="23"/>
  <c r="M183" i="23"/>
  <c r="L183" i="23"/>
  <c r="P182" i="23"/>
  <c r="O182" i="23"/>
  <c r="N182" i="23"/>
  <c r="M182" i="23"/>
  <c r="L182" i="23"/>
  <c r="P181" i="23"/>
  <c r="O181" i="23"/>
  <c r="N181" i="23"/>
  <c r="M181" i="23"/>
  <c r="L181" i="23"/>
  <c r="P180" i="23"/>
  <c r="O180" i="23"/>
  <c r="N180" i="23"/>
  <c r="M180" i="23"/>
  <c r="L180" i="23"/>
  <c r="P179" i="23"/>
  <c r="O179" i="23"/>
  <c r="N179" i="23"/>
  <c r="M179" i="23"/>
  <c r="L179" i="23"/>
  <c r="P178" i="23"/>
  <c r="O178" i="23"/>
  <c r="N178" i="23"/>
  <c r="M178" i="23"/>
  <c r="L178" i="23"/>
  <c r="P177" i="23"/>
  <c r="O177" i="23"/>
  <c r="N177" i="23"/>
  <c r="M177" i="23"/>
  <c r="L177" i="23"/>
  <c r="P176" i="23"/>
  <c r="O176" i="23"/>
  <c r="N176" i="23"/>
  <c r="M176" i="23"/>
  <c r="L176" i="23"/>
  <c r="P175" i="23"/>
  <c r="O175" i="23"/>
  <c r="N175" i="23"/>
  <c r="M175" i="23"/>
  <c r="L175" i="23"/>
  <c r="P174" i="23"/>
  <c r="O174" i="23"/>
  <c r="N174" i="23"/>
  <c r="M174" i="23"/>
  <c r="L174" i="23"/>
  <c r="P173" i="23"/>
  <c r="O173" i="23"/>
  <c r="N173" i="23"/>
  <c r="M173" i="23"/>
  <c r="L173" i="23"/>
  <c r="P172" i="23"/>
  <c r="O172" i="23"/>
  <c r="N172" i="23"/>
  <c r="M172" i="23"/>
  <c r="L172" i="23"/>
  <c r="P171" i="23"/>
  <c r="O171" i="23"/>
  <c r="N171" i="23"/>
  <c r="M171" i="23"/>
  <c r="L171" i="23"/>
  <c r="P170" i="23"/>
  <c r="O170" i="23"/>
  <c r="N170" i="23"/>
  <c r="M170" i="23"/>
  <c r="L170" i="23"/>
  <c r="P169" i="23"/>
  <c r="O169" i="23"/>
  <c r="N169" i="23"/>
  <c r="M169" i="23"/>
  <c r="L169" i="23"/>
  <c r="P168" i="23"/>
  <c r="O168" i="23"/>
  <c r="N168" i="23"/>
  <c r="M168" i="23"/>
  <c r="L168" i="23"/>
  <c r="P167" i="23"/>
  <c r="O167" i="23"/>
  <c r="N167" i="23"/>
  <c r="M167" i="23"/>
  <c r="L167" i="23"/>
  <c r="P166" i="23"/>
  <c r="O166" i="23"/>
  <c r="N166" i="23"/>
  <c r="M166" i="23"/>
  <c r="L166" i="23"/>
  <c r="P165" i="23"/>
  <c r="O165" i="23"/>
  <c r="N165" i="23"/>
  <c r="M165" i="23"/>
  <c r="L165" i="23"/>
  <c r="P164" i="23"/>
  <c r="O164" i="23"/>
  <c r="N164" i="23"/>
  <c r="M164" i="23"/>
  <c r="L164" i="23"/>
  <c r="P163" i="23"/>
  <c r="O163" i="23"/>
  <c r="N163" i="23"/>
  <c r="M163" i="23"/>
  <c r="L163" i="23"/>
  <c r="P162" i="23"/>
  <c r="O162" i="23"/>
  <c r="N162" i="23"/>
  <c r="M162" i="23"/>
  <c r="L162" i="23"/>
  <c r="P161" i="23"/>
  <c r="O161" i="23"/>
  <c r="N161" i="23"/>
  <c r="M161" i="23"/>
  <c r="L161" i="23"/>
  <c r="P160" i="23"/>
  <c r="O160" i="23"/>
  <c r="N160" i="23"/>
  <c r="M160" i="23"/>
  <c r="L160" i="23"/>
  <c r="P159" i="23"/>
  <c r="O159" i="23"/>
  <c r="N159" i="23"/>
  <c r="M159" i="23"/>
  <c r="L159" i="23"/>
  <c r="P158" i="23"/>
  <c r="O158" i="23"/>
  <c r="N158" i="23"/>
  <c r="M158" i="23"/>
  <c r="L158" i="23"/>
  <c r="P157" i="23"/>
  <c r="O157" i="23"/>
  <c r="N157" i="23"/>
  <c r="M157" i="23"/>
  <c r="L157" i="23"/>
  <c r="P156" i="23"/>
  <c r="O156" i="23"/>
  <c r="N156" i="23"/>
  <c r="M156" i="23"/>
  <c r="L156" i="23"/>
  <c r="P155" i="23"/>
  <c r="O155" i="23"/>
  <c r="N155" i="23"/>
  <c r="M155" i="23"/>
  <c r="L155" i="23"/>
  <c r="P154" i="23"/>
  <c r="O154" i="23"/>
  <c r="N154" i="23"/>
  <c r="M154" i="23"/>
  <c r="L154" i="23"/>
  <c r="P153" i="23"/>
  <c r="O153" i="23"/>
  <c r="N153" i="23"/>
  <c r="M153" i="23"/>
  <c r="L153" i="23"/>
  <c r="P152" i="23"/>
  <c r="O152" i="23"/>
  <c r="N152" i="23"/>
  <c r="M152" i="23"/>
  <c r="L152" i="23"/>
  <c r="P151" i="23"/>
  <c r="O151" i="23"/>
  <c r="N151" i="23"/>
  <c r="M151" i="23"/>
  <c r="L151" i="23"/>
  <c r="P150" i="23"/>
  <c r="O150" i="23"/>
  <c r="N150" i="23"/>
  <c r="M150" i="23"/>
  <c r="L150" i="23"/>
  <c r="P149" i="23"/>
  <c r="O149" i="23"/>
  <c r="N149" i="23"/>
  <c r="M149" i="23"/>
  <c r="L149" i="23"/>
  <c r="P148" i="23"/>
  <c r="O148" i="23"/>
  <c r="N148" i="23"/>
  <c r="M148" i="23"/>
  <c r="L148" i="23"/>
  <c r="P147" i="23"/>
  <c r="O147" i="23"/>
  <c r="N147" i="23"/>
  <c r="M147" i="23"/>
  <c r="L147" i="23"/>
  <c r="P146" i="23"/>
  <c r="O146" i="23"/>
  <c r="N146" i="23"/>
  <c r="M146" i="23"/>
  <c r="L146" i="23"/>
  <c r="P145" i="23"/>
  <c r="O145" i="23"/>
  <c r="N145" i="23"/>
  <c r="M145" i="23"/>
  <c r="L145" i="23"/>
  <c r="P144" i="23"/>
  <c r="O144" i="23"/>
  <c r="N144" i="23"/>
  <c r="M144" i="23"/>
  <c r="L144" i="23"/>
  <c r="P143" i="23"/>
  <c r="O143" i="23"/>
  <c r="N143" i="23"/>
  <c r="M143" i="23"/>
  <c r="L143" i="23"/>
  <c r="P142" i="23"/>
  <c r="O142" i="23"/>
  <c r="N142" i="23"/>
  <c r="M142" i="23"/>
  <c r="L142" i="23"/>
  <c r="P141" i="23"/>
  <c r="O141" i="23"/>
  <c r="N141" i="23"/>
  <c r="M141" i="23"/>
  <c r="L141" i="23"/>
  <c r="P140" i="23"/>
  <c r="O140" i="23"/>
  <c r="N140" i="23"/>
  <c r="M140" i="23"/>
  <c r="L140" i="23"/>
  <c r="P139" i="23"/>
  <c r="O139" i="23"/>
  <c r="N139" i="23"/>
  <c r="M139" i="23"/>
  <c r="L139" i="23"/>
  <c r="P138" i="23"/>
  <c r="O138" i="23"/>
  <c r="N138" i="23"/>
  <c r="M138" i="23"/>
  <c r="L138" i="23"/>
  <c r="P137" i="23"/>
  <c r="O137" i="23"/>
  <c r="N137" i="23"/>
  <c r="M137" i="23"/>
  <c r="L137" i="23"/>
  <c r="P136" i="23"/>
  <c r="O136" i="23"/>
  <c r="N136" i="23"/>
  <c r="M136" i="23"/>
  <c r="L136" i="23"/>
  <c r="P135" i="23"/>
  <c r="O135" i="23"/>
  <c r="N135" i="23"/>
  <c r="M135" i="23"/>
  <c r="L135" i="23"/>
  <c r="P134" i="23"/>
  <c r="O134" i="23"/>
  <c r="N134" i="23"/>
  <c r="M134" i="23"/>
  <c r="L134" i="23"/>
  <c r="P133" i="23"/>
  <c r="O133" i="23"/>
  <c r="N133" i="23"/>
  <c r="M133" i="23"/>
  <c r="L133" i="23"/>
  <c r="P132" i="23"/>
  <c r="O132" i="23"/>
  <c r="N132" i="23"/>
  <c r="M132" i="23"/>
  <c r="L132" i="23"/>
  <c r="P131" i="23"/>
  <c r="O131" i="23"/>
  <c r="N131" i="23"/>
  <c r="M131" i="23"/>
  <c r="L131" i="23"/>
  <c r="P130" i="23"/>
  <c r="O130" i="23"/>
  <c r="N130" i="23"/>
  <c r="M130" i="23"/>
  <c r="L130" i="23"/>
  <c r="P129" i="23"/>
  <c r="O129" i="23"/>
  <c r="N129" i="23"/>
  <c r="M129" i="23"/>
  <c r="L129" i="23"/>
  <c r="P128" i="23"/>
  <c r="O128" i="23"/>
  <c r="N128" i="23"/>
  <c r="M128" i="23"/>
  <c r="L128" i="23"/>
  <c r="P127" i="23"/>
  <c r="O127" i="23"/>
  <c r="N127" i="23"/>
  <c r="M127" i="23"/>
  <c r="L127" i="23"/>
  <c r="P126" i="23"/>
  <c r="O126" i="23"/>
  <c r="N126" i="23"/>
  <c r="M126" i="23"/>
  <c r="L126" i="23"/>
  <c r="P125" i="23"/>
  <c r="O125" i="23"/>
  <c r="N125" i="23"/>
  <c r="M125" i="23"/>
  <c r="L125" i="23"/>
  <c r="P124" i="23"/>
  <c r="O124" i="23"/>
  <c r="N124" i="23"/>
  <c r="M124" i="23"/>
  <c r="L124" i="23"/>
  <c r="P123" i="23"/>
  <c r="O123" i="23"/>
  <c r="N123" i="23"/>
  <c r="M123" i="23"/>
  <c r="L123" i="23"/>
  <c r="P122" i="23"/>
  <c r="O122" i="23"/>
  <c r="N122" i="23"/>
  <c r="M122" i="23"/>
  <c r="L122" i="23"/>
  <c r="P121" i="23"/>
  <c r="O121" i="23"/>
  <c r="N121" i="23"/>
  <c r="M121" i="23"/>
  <c r="L121" i="23"/>
  <c r="P120" i="23"/>
  <c r="O120" i="23"/>
  <c r="N120" i="23"/>
  <c r="M120" i="23"/>
  <c r="L120" i="23"/>
  <c r="P119" i="23"/>
  <c r="O119" i="23"/>
  <c r="N119" i="23"/>
  <c r="M119" i="23"/>
  <c r="L119" i="23"/>
  <c r="P118" i="23"/>
  <c r="O118" i="23"/>
  <c r="N118" i="23"/>
  <c r="M118" i="23"/>
  <c r="L118" i="23"/>
  <c r="P117" i="23"/>
  <c r="O117" i="23"/>
  <c r="N117" i="23"/>
  <c r="M117" i="23"/>
  <c r="L117" i="23"/>
  <c r="P116" i="23"/>
  <c r="O116" i="23"/>
  <c r="N116" i="23"/>
  <c r="M116" i="23"/>
  <c r="L116" i="23"/>
  <c r="P115" i="23"/>
  <c r="O115" i="23"/>
  <c r="N115" i="23"/>
  <c r="M115" i="23"/>
  <c r="L115" i="23"/>
  <c r="P114" i="23"/>
  <c r="O114" i="23"/>
  <c r="N114" i="23"/>
  <c r="M114" i="23"/>
  <c r="L114" i="23"/>
  <c r="P113" i="23"/>
  <c r="O113" i="23"/>
  <c r="N113" i="23"/>
  <c r="M113" i="23"/>
  <c r="L113" i="23"/>
  <c r="P112" i="23"/>
  <c r="O112" i="23"/>
  <c r="N112" i="23"/>
  <c r="M112" i="23"/>
  <c r="L112" i="23"/>
  <c r="P111" i="23"/>
  <c r="O111" i="23"/>
  <c r="N111" i="23"/>
  <c r="M111" i="23"/>
  <c r="L111" i="23"/>
  <c r="P110" i="23"/>
  <c r="O110" i="23"/>
  <c r="N110" i="23"/>
  <c r="M110" i="23"/>
  <c r="L110" i="23"/>
  <c r="P109" i="23"/>
  <c r="O109" i="23"/>
  <c r="N109" i="23"/>
  <c r="M109" i="23"/>
  <c r="L109" i="23"/>
  <c r="P108" i="23"/>
  <c r="O108" i="23"/>
  <c r="N108" i="23"/>
  <c r="M108" i="23"/>
  <c r="L108" i="23"/>
  <c r="P107" i="23"/>
  <c r="O107" i="23"/>
  <c r="N107" i="23"/>
  <c r="M107" i="23"/>
  <c r="L107" i="23"/>
  <c r="P106" i="23"/>
  <c r="O106" i="23"/>
  <c r="N106" i="23"/>
  <c r="M106" i="23"/>
  <c r="L106" i="23"/>
  <c r="P105" i="23"/>
  <c r="O105" i="23"/>
  <c r="N105" i="23"/>
  <c r="M105" i="23"/>
  <c r="L105" i="23"/>
  <c r="P104" i="23"/>
  <c r="O104" i="23"/>
  <c r="N104" i="23"/>
  <c r="M104" i="23"/>
  <c r="L104" i="23"/>
  <c r="P103" i="23"/>
  <c r="O103" i="23"/>
  <c r="N103" i="23"/>
  <c r="M103" i="23"/>
  <c r="L103" i="23"/>
  <c r="P102" i="23"/>
  <c r="O102" i="23"/>
  <c r="N102" i="23"/>
  <c r="M102" i="23"/>
  <c r="L102" i="23"/>
  <c r="P101" i="23"/>
  <c r="O101" i="23"/>
  <c r="N101" i="23"/>
  <c r="M101" i="23"/>
  <c r="L101" i="23"/>
  <c r="P100" i="23"/>
  <c r="O100" i="23"/>
  <c r="N100" i="23"/>
  <c r="M100" i="23"/>
  <c r="L100" i="23"/>
  <c r="P99" i="23"/>
  <c r="O99" i="23"/>
  <c r="N99" i="23"/>
  <c r="M99" i="23"/>
  <c r="L99" i="23"/>
  <c r="P98" i="23"/>
  <c r="O98" i="23"/>
  <c r="N98" i="23"/>
  <c r="M98" i="23"/>
  <c r="L98" i="23"/>
  <c r="P97" i="23"/>
  <c r="O97" i="23"/>
  <c r="N97" i="23"/>
  <c r="M97" i="23"/>
  <c r="L97" i="23"/>
  <c r="P96" i="23"/>
  <c r="O96" i="23"/>
  <c r="N96" i="23"/>
  <c r="M96" i="23"/>
  <c r="L96" i="23"/>
  <c r="P95" i="23"/>
  <c r="O95" i="23"/>
  <c r="N95" i="23"/>
  <c r="M95" i="23"/>
  <c r="L95" i="23"/>
  <c r="P94" i="23"/>
  <c r="O94" i="23"/>
  <c r="N94" i="23"/>
  <c r="M94" i="23"/>
  <c r="L94" i="23"/>
  <c r="P93" i="23"/>
  <c r="O93" i="23"/>
  <c r="N93" i="23"/>
  <c r="M93" i="23"/>
  <c r="L93" i="23"/>
  <c r="P92" i="23"/>
  <c r="O92" i="23"/>
  <c r="N92" i="23"/>
  <c r="M92" i="23"/>
  <c r="L92" i="23"/>
  <c r="P91" i="23"/>
  <c r="O91" i="23"/>
  <c r="N91" i="23"/>
  <c r="M91" i="23"/>
  <c r="L91" i="23"/>
  <c r="P90" i="23"/>
  <c r="O90" i="23"/>
  <c r="N90" i="23"/>
  <c r="M90" i="23"/>
  <c r="L90" i="23"/>
  <c r="P89" i="23"/>
  <c r="O89" i="23"/>
  <c r="N89" i="23"/>
  <c r="M89" i="23"/>
  <c r="L89" i="23"/>
  <c r="P88" i="23"/>
  <c r="O88" i="23"/>
  <c r="N88" i="23"/>
  <c r="M88" i="23"/>
  <c r="L88" i="23"/>
  <c r="P87" i="23"/>
  <c r="O87" i="23"/>
  <c r="N87" i="23"/>
  <c r="M87" i="23"/>
  <c r="L87" i="23"/>
  <c r="P86" i="23"/>
  <c r="O86" i="23"/>
  <c r="N86" i="23"/>
  <c r="M86" i="23"/>
  <c r="L86" i="23"/>
  <c r="P85" i="23"/>
  <c r="O85" i="23"/>
  <c r="N85" i="23"/>
  <c r="M85" i="23"/>
  <c r="L85" i="23"/>
  <c r="P84" i="23"/>
  <c r="O84" i="23"/>
  <c r="N84" i="23"/>
  <c r="M84" i="23"/>
  <c r="L84" i="23"/>
  <c r="P83" i="23"/>
  <c r="O83" i="23"/>
  <c r="N83" i="23"/>
  <c r="M83" i="23"/>
  <c r="L83" i="23"/>
  <c r="P82" i="23"/>
  <c r="O82" i="23"/>
  <c r="N82" i="23"/>
  <c r="M82" i="23"/>
  <c r="L82" i="23"/>
  <c r="P81" i="23"/>
  <c r="O81" i="23"/>
  <c r="N81" i="23"/>
  <c r="M81" i="23"/>
  <c r="L81" i="23"/>
  <c r="P80" i="23"/>
  <c r="O80" i="23"/>
  <c r="N80" i="23"/>
  <c r="M80" i="23"/>
  <c r="L80" i="23"/>
  <c r="P79" i="23"/>
  <c r="O79" i="23"/>
  <c r="N79" i="23"/>
  <c r="M79" i="23"/>
  <c r="L79" i="23"/>
  <c r="P78" i="23"/>
  <c r="O78" i="23"/>
  <c r="N78" i="23"/>
  <c r="M78" i="23"/>
  <c r="L78" i="23"/>
  <c r="P77" i="23"/>
  <c r="O77" i="23"/>
  <c r="N77" i="23"/>
  <c r="M77" i="23"/>
  <c r="L77" i="23"/>
  <c r="P76" i="23"/>
  <c r="O76" i="23"/>
  <c r="N76" i="23"/>
  <c r="M76" i="23"/>
  <c r="L76" i="23"/>
  <c r="P75" i="23"/>
  <c r="O75" i="23"/>
  <c r="N75" i="23"/>
  <c r="M75" i="23"/>
  <c r="L75" i="23"/>
  <c r="P74" i="23"/>
  <c r="O74" i="23"/>
  <c r="N74" i="23"/>
  <c r="M74" i="23"/>
  <c r="L74" i="23"/>
  <c r="P73" i="23"/>
  <c r="O73" i="23"/>
  <c r="N73" i="23"/>
  <c r="M73" i="23"/>
  <c r="L73" i="23"/>
  <c r="P72" i="23"/>
  <c r="O72" i="23"/>
  <c r="N72" i="23"/>
  <c r="M72" i="23"/>
  <c r="L72" i="23"/>
  <c r="P71" i="23"/>
  <c r="O71" i="23"/>
  <c r="N71" i="23"/>
  <c r="M71" i="23"/>
  <c r="L71" i="23"/>
  <c r="P70" i="23"/>
  <c r="O70" i="23"/>
  <c r="N70" i="23"/>
  <c r="M70" i="23"/>
  <c r="L70" i="23"/>
  <c r="P69" i="23"/>
  <c r="O69" i="23"/>
  <c r="N69" i="23"/>
  <c r="M69" i="23"/>
  <c r="L69" i="23"/>
  <c r="P68" i="23"/>
  <c r="O68" i="23"/>
  <c r="N68" i="23"/>
  <c r="M68" i="23"/>
  <c r="L68" i="23"/>
  <c r="P67" i="23"/>
  <c r="O67" i="23"/>
  <c r="N67" i="23"/>
  <c r="M67" i="23"/>
  <c r="L67" i="23"/>
  <c r="P66" i="23"/>
  <c r="O66" i="23"/>
  <c r="N66" i="23"/>
  <c r="M66" i="23"/>
  <c r="L66" i="23"/>
  <c r="P65" i="23"/>
  <c r="O65" i="23"/>
  <c r="N65" i="23"/>
  <c r="M65" i="23"/>
  <c r="L65" i="23"/>
  <c r="P64" i="23"/>
  <c r="O64" i="23"/>
  <c r="N64" i="23"/>
  <c r="M64" i="23"/>
  <c r="L64" i="23"/>
  <c r="P63" i="23"/>
  <c r="O63" i="23"/>
  <c r="N63" i="23"/>
  <c r="M63" i="23"/>
  <c r="L63" i="23"/>
  <c r="P62" i="23"/>
  <c r="O62" i="23"/>
  <c r="N62" i="23"/>
  <c r="M62" i="23"/>
  <c r="L62" i="23"/>
  <c r="P61" i="23"/>
  <c r="O61" i="23"/>
  <c r="N61" i="23"/>
  <c r="M61" i="23"/>
  <c r="L61" i="23"/>
  <c r="P60" i="23"/>
  <c r="O60" i="23"/>
  <c r="N60" i="23"/>
  <c r="M60" i="23"/>
  <c r="L60" i="23"/>
  <c r="P59" i="23"/>
  <c r="O59" i="23"/>
  <c r="N59" i="23"/>
  <c r="M59" i="23"/>
  <c r="L59" i="23"/>
  <c r="P58" i="23"/>
  <c r="O58" i="23"/>
  <c r="N58" i="23"/>
  <c r="M58" i="23"/>
  <c r="L58" i="23"/>
  <c r="P57" i="23"/>
  <c r="O57" i="23"/>
  <c r="N57" i="23"/>
  <c r="M57" i="23"/>
  <c r="L57" i="23"/>
  <c r="P56" i="23"/>
  <c r="O56" i="23"/>
  <c r="N56" i="23"/>
  <c r="M56" i="23"/>
  <c r="L56" i="23"/>
  <c r="P55" i="23"/>
  <c r="O55" i="23"/>
  <c r="N55" i="23"/>
  <c r="M55" i="23"/>
  <c r="L55" i="23"/>
  <c r="P54" i="23"/>
  <c r="O54" i="23"/>
  <c r="N54" i="23"/>
  <c r="M54" i="23"/>
  <c r="L54" i="23"/>
  <c r="P53" i="23"/>
  <c r="O53" i="23"/>
  <c r="N53" i="23"/>
  <c r="M53" i="23"/>
  <c r="L53" i="23"/>
  <c r="P52" i="23"/>
  <c r="O52" i="23"/>
  <c r="N52" i="23"/>
  <c r="M52" i="23"/>
  <c r="L52" i="23"/>
  <c r="P51" i="23"/>
  <c r="O51" i="23"/>
  <c r="N51" i="23"/>
  <c r="M51" i="23"/>
  <c r="L51" i="23"/>
  <c r="P50" i="23"/>
  <c r="O50" i="23"/>
  <c r="N50" i="23"/>
  <c r="M50" i="23"/>
  <c r="L50" i="23"/>
  <c r="P49" i="23"/>
  <c r="O49" i="23"/>
  <c r="N49" i="23"/>
  <c r="M49" i="23"/>
  <c r="L49" i="23"/>
  <c r="P48" i="23"/>
  <c r="O48" i="23"/>
  <c r="N48" i="23"/>
  <c r="M48" i="23"/>
  <c r="L48" i="23"/>
  <c r="P47" i="23"/>
  <c r="O47" i="23"/>
  <c r="N47" i="23"/>
  <c r="M47" i="23"/>
  <c r="L47" i="23"/>
  <c r="P46" i="23"/>
  <c r="O46" i="23"/>
  <c r="N46" i="23"/>
  <c r="M46" i="23"/>
  <c r="L46" i="23"/>
  <c r="P45" i="23"/>
  <c r="O45" i="23"/>
  <c r="N45" i="23"/>
  <c r="M45" i="23"/>
  <c r="L45" i="23"/>
  <c r="P44" i="23"/>
  <c r="O44" i="23"/>
  <c r="N44" i="23"/>
  <c r="M44" i="23"/>
  <c r="L44" i="23"/>
  <c r="P43" i="23"/>
  <c r="O43" i="23"/>
  <c r="N43" i="23"/>
  <c r="M43" i="23"/>
  <c r="L43" i="23"/>
  <c r="P42" i="23"/>
  <c r="O42" i="23"/>
  <c r="N42" i="23"/>
  <c r="M42" i="23"/>
  <c r="L42" i="23"/>
  <c r="P41" i="23"/>
  <c r="O41" i="23"/>
  <c r="N41" i="23"/>
  <c r="M41" i="23"/>
  <c r="L41" i="23"/>
  <c r="P40" i="23"/>
  <c r="O40" i="23"/>
  <c r="N40" i="23"/>
  <c r="M40" i="23"/>
  <c r="L40" i="23"/>
  <c r="P39" i="23"/>
  <c r="O39" i="23"/>
  <c r="N39" i="23"/>
  <c r="M39" i="23"/>
  <c r="L39" i="23"/>
  <c r="P38" i="23"/>
  <c r="O38" i="23"/>
  <c r="N38" i="23"/>
  <c r="M38" i="23"/>
  <c r="L38" i="23"/>
  <c r="P37" i="23"/>
  <c r="O37" i="23"/>
  <c r="N37" i="23"/>
  <c r="M37" i="23"/>
  <c r="L37" i="23"/>
  <c r="P36" i="23"/>
  <c r="O36" i="23"/>
  <c r="N36" i="23"/>
  <c r="M36" i="23"/>
  <c r="L36" i="23"/>
  <c r="P35" i="23"/>
  <c r="O35" i="23"/>
  <c r="N35" i="23"/>
  <c r="M35" i="23"/>
  <c r="L35" i="23"/>
  <c r="P34" i="23"/>
  <c r="O34" i="23"/>
  <c r="N34" i="23"/>
  <c r="M34" i="23"/>
  <c r="L34" i="23"/>
  <c r="P33" i="23"/>
  <c r="O33" i="23"/>
  <c r="N33" i="23"/>
  <c r="M33" i="23"/>
  <c r="L33" i="23"/>
  <c r="P32" i="23"/>
  <c r="O32" i="23"/>
  <c r="N32" i="23"/>
  <c r="M32" i="23"/>
  <c r="L32" i="23"/>
  <c r="P31" i="23"/>
  <c r="O31" i="23"/>
  <c r="N31" i="23"/>
  <c r="M31" i="23"/>
  <c r="L31" i="23"/>
  <c r="P30" i="23"/>
  <c r="O30" i="23"/>
  <c r="N30" i="23"/>
  <c r="M30" i="23"/>
  <c r="L30" i="23"/>
  <c r="P29" i="23"/>
  <c r="O29" i="23"/>
  <c r="N29" i="23"/>
  <c r="M29" i="23"/>
  <c r="L29" i="23"/>
  <c r="P28" i="23"/>
  <c r="O28" i="23"/>
  <c r="N28" i="23"/>
  <c r="M28" i="23"/>
  <c r="L28" i="23"/>
  <c r="P27" i="23"/>
  <c r="O27" i="23"/>
  <c r="N27" i="23"/>
  <c r="M27" i="23"/>
  <c r="L27" i="23"/>
  <c r="P26" i="23"/>
  <c r="O26" i="23"/>
  <c r="N26" i="23"/>
  <c r="M26" i="23"/>
  <c r="L26" i="23"/>
  <c r="P25" i="23"/>
  <c r="O25" i="23"/>
  <c r="N25" i="23"/>
  <c r="M25" i="23"/>
  <c r="L25" i="23"/>
  <c r="P24" i="23"/>
  <c r="O24" i="23"/>
  <c r="N24" i="23"/>
  <c r="M24" i="23"/>
  <c r="L24" i="23"/>
  <c r="P23" i="23"/>
  <c r="O23" i="23"/>
  <c r="N23" i="23"/>
  <c r="M23" i="23"/>
  <c r="L23" i="23"/>
  <c r="P22" i="23"/>
  <c r="O22" i="23"/>
  <c r="N22" i="23"/>
  <c r="M22" i="23"/>
  <c r="L22" i="23"/>
  <c r="P21" i="23"/>
  <c r="O21" i="23"/>
  <c r="N21" i="23"/>
  <c r="M21" i="23"/>
  <c r="L21" i="23"/>
  <c r="P20" i="23"/>
  <c r="O20" i="23"/>
  <c r="N20" i="23"/>
  <c r="M20" i="23"/>
  <c r="L20" i="23"/>
  <c r="P19" i="23"/>
  <c r="O19" i="23"/>
  <c r="N19" i="23"/>
  <c r="M19" i="23"/>
  <c r="L19" i="23"/>
  <c r="P18" i="23"/>
  <c r="O18" i="23"/>
  <c r="N18" i="23"/>
  <c r="M18" i="23"/>
  <c r="L18" i="23"/>
  <c r="P17" i="23"/>
  <c r="O17" i="23"/>
  <c r="N17" i="23"/>
  <c r="M17" i="23"/>
  <c r="L17" i="23"/>
  <c r="P16" i="23"/>
  <c r="O16" i="23"/>
  <c r="N16" i="23"/>
  <c r="M16" i="23"/>
  <c r="L16" i="23"/>
  <c r="P15" i="23"/>
  <c r="O15" i="23"/>
  <c r="N15" i="23"/>
  <c r="M15" i="23"/>
  <c r="L15" i="23"/>
  <c r="P14" i="23"/>
  <c r="O14" i="23"/>
  <c r="N14" i="23"/>
  <c r="M14" i="23"/>
  <c r="L14" i="23"/>
  <c r="P13" i="23"/>
  <c r="O13" i="23"/>
  <c r="N13" i="23"/>
  <c r="M13" i="23"/>
  <c r="L13" i="23"/>
  <c r="P12" i="23"/>
  <c r="O12" i="23"/>
  <c r="N12" i="23"/>
  <c r="M12" i="23"/>
  <c r="L12" i="23"/>
  <c r="P11" i="23"/>
  <c r="O11" i="23"/>
  <c r="N11" i="23"/>
  <c r="M11" i="23"/>
  <c r="L11" i="23"/>
  <c r="P10" i="23"/>
  <c r="O10" i="23"/>
  <c r="N10" i="23"/>
  <c r="M10" i="23"/>
  <c r="L10" i="23"/>
  <c r="P9" i="23"/>
  <c r="O9" i="23"/>
  <c r="N9" i="23"/>
  <c r="M9" i="23"/>
  <c r="L9" i="23"/>
  <c r="P8" i="23"/>
  <c r="O8" i="23"/>
  <c r="N8" i="23"/>
  <c r="M8" i="23"/>
  <c r="L8" i="23"/>
  <c r="P7" i="23"/>
  <c r="O7" i="23"/>
  <c r="N7" i="23"/>
  <c r="M7" i="23"/>
  <c r="L7" i="23"/>
  <c r="P6" i="23"/>
  <c r="O6" i="23"/>
  <c r="N6" i="23"/>
  <c r="M6" i="23"/>
  <c r="L6" i="23"/>
  <c r="P5" i="23"/>
  <c r="O5" i="23"/>
  <c r="N5" i="23"/>
  <c r="M5" i="23"/>
  <c r="L5" i="23"/>
  <c r="P4" i="23"/>
  <c r="O4" i="23"/>
  <c r="N4" i="23"/>
  <c r="M4" i="23"/>
  <c r="L4" i="23"/>
  <c r="P3" i="23"/>
  <c r="O3" i="23"/>
  <c r="N3" i="23"/>
  <c r="M3" i="23"/>
  <c r="L3" i="23"/>
  <c r="U201" i="23"/>
  <c r="T201" i="23"/>
  <c r="P2" i="23"/>
  <c r="O2" i="23"/>
  <c r="N2" i="23"/>
  <c r="M2" i="23"/>
  <c r="L2" i="23"/>
  <c r="P202" i="18"/>
  <c r="B198" i="22"/>
  <c r="C198" i="22"/>
  <c r="D198" i="22"/>
  <c r="E198" i="22"/>
  <c r="F198" i="22"/>
  <c r="G198" i="22"/>
  <c r="H198" i="22"/>
  <c r="I198" i="22"/>
  <c r="M198" i="22"/>
  <c r="K198" i="22"/>
  <c r="L198" i="22"/>
  <c r="J198" i="22"/>
  <c r="O2" i="18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O132" i="18"/>
  <c r="O133" i="18"/>
  <c r="O134" i="18"/>
  <c r="O135" i="18"/>
  <c r="O136" i="18"/>
  <c r="O137" i="18"/>
  <c r="O138" i="18"/>
  <c r="O139" i="18"/>
  <c r="O140" i="18"/>
  <c r="O141" i="18"/>
  <c r="O142" i="18"/>
  <c r="O143" i="18"/>
  <c r="O144" i="18"/>
  <c r="O145" i="18"/>
  <c r="O146" i="18"/>
  <c r="O147" i="18"/>
  <c r="O148" i="18"/>
  <c r="O149" i="18"/>
  <c r="O150" i="18"/>
  <c r="O151" i="18"/>
  <c r="O152" i="18"/>
  <c r="O153" i="18"/>
  <c r="O154" i="18"/>
  <c r="O155" i="18"/>
  <c r="O156" i="18"/>
  <c r="O157" i="18"/>
  <c r="O158" i="18"/>
  <c r="O159" i="18"/>
  <c r="O160" i="18"/>
  <c r="O161" i="18"/>
  <c r="O162" i="18"/>
  <c r="O163" i="18"/>
  <c r="O164" i="18"/>
  <c r="O165" i="18"/>
  <c r="O166" i="18"/>
  <c r="O167" i="18"/>
  <c r="O168" i="18"/>
  <c r="O169" i="18"/>
  <c r="O170" i="18"/>
  <c r="O171" i="18"/>
  <c r="O172" i="18"/>
  <c r="O173" i="18"/>
  <c r="O174" i="18"/>
  <c r="O175" i="18"/>
  <c r="O176" i="18"/>
  <c r="O177" i="18"/>
  <c r="O178" i="18"/>
  <c r="O179" i="18"/>
  <c r="O180" i="18"/>
  <c r="O181" i="18"/>
  <c r="O182" i="18"/>
  <c r="O183" i="18"/>
  <c r="O184" i="18"/>
  <c r="O185" i="18"/>
  <c r="O186" i="18"/>
  <c r="O187" i="18"/>
  <c r="O188" i="18"/>
  <c r="O189" i="18"/>
  <c r="O190" i="18"/>
  <c r="O191" i="18"/>
  <c r="O192" i="18"/>
  <c r="O193" i="18"/>
  <c r="O194" i="18"/>
  <c r="O195" i="18"/>
  <c r="O196" i="18"/>
  <c r="O197" i="18"/>
  <c r="N198" i="18"/>
  <c r="M198" i="18"/>
  <c r="L198" i="18"/>
  <c r="K198" i="18"/>
  <c r="R198" i="18"/>
  <c r="R200" i="18" s="1"/>
  <c r="S198" i="18"/>
  <c r="S200" i="18" s="1"/>
  <c r="T198" i="18"/>
  <c r="T200" i="18" s="1"/>
  <c r="U198" i="18"/>
  <c r="U199" i="18" s="1"/>
  <c r="N2" i="18"/>
  <c r="N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M2" i="18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114" i="18"/>
  <c r="M115" i="18"/>
  <c r="M116" i="18"/>
  <c r="M117" i="18"/>
  <c r="M118" i="18"/>
  <c r="M119" i="18"/>
  <c r="M120" i="18"/>
  <c r="M121" i="18"/>
  <c r="M122" i="18"/>
  <c r="M123" i="18"/>
  <c r="M124" i="18"/>
  <c r="M125" i="18"/>
  <c r="M126" i="18"/>
  <c r="M127" i="18"/>
  <c r="M128" i="18"/>
  <c r="M129" i="18"/>
  <c r="M130" i="18"/>
  <c r="M131" i="18"/>
  <c r="M132" i="18"/>
  <c r="M133" i="18"/>
  <c r="M134" i="18"/>
  <c r="M135" i="18"/>
  <c r="M136" i="18"/>
  <c r="M137" i="18"/>
  <c r="M138" i="18"/>
  <c r="M139" i="18"/>
  <c r="M140" i="18"/>
  <c r="M141" i="18"/>
  <c r="M142" i="18"/>
  <c r="M143" i="18"/>
  <c r="M144" i="18"/>
  <c r="M145" i="18"/>
  <c r="M146" i="18"/>
  <c r="M147" i="18"/>
  <c r="M148" i="18"/>
  <c r="M149" i="18"/>
  <c r="M150" i="18"/>
  <c r="M151" i="18"/>
  <c r="M152" i="18"/>
  <c r="M153" i="18"/>
  <c r="M154" i="18"/>
  <c r="M155" i="18"/>
  <c r="M156" i="18"/>
  <c r="M157" i="18"/>
  <c r="M158" i="18"/>
  <c r="M159" i="18"/>
  <c r="M160" i="18"/>
  <c r="M161" i="18"/>
  <c r="M162" i="18"/>
  <c r="M163" i="18"/>
  <c r="M164" i="18"/>
  <c r="M165" i="18"/>
  <c r="M166" i="18"/>
  <c r="M167" i="18"/>
  <c r="M168" i="18"/>
  <c r="M169" i="18"/>
  <c r="M170" i="18"/>
  <c r="M171" i="18"/>
  <c r="M172" i="18"/>
  <c r="M173" i="18"/>
  <c r="M174" i="18"/>
  <c r="M175" i="18"/>
  <c r="M176" i="18"/>
  <c r="M177" i="18"/>
  <c r="M178" i="18"/>
  <c r="M179" i="18"/>
  <c r="M180" i="18"/>
  <c r="M181" i="18"/>
  <c r="M182" i="18"/>
  <c r="M183" i="18"/>
  <c r="M184" i="18"/>
  <c r="M185" i="18"/>
  <c r="M186" i="18"/>
  <c r="M187" i="18"/>
  <c r="M188" i="18"/>
  <c r="M189" i="18"/>
  <c r="M190" i="18"/>
  <c r="M191" i="18"/>
  <c r="M192" i="18"/>
  <c r="M193" i="18"/>
  <c r="M194" i="18"/>
  <c r="M195" i="18"/>
  <c r="M196" i="18"/>
  <c r="M197" i="18"/>
  <c r="L2" i="18"/>
  <c r="L3" i="18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117" i="18"/>
  <c r="L118" i="18"/>
  <c r="L119" i="18"/>
  <c r="L120" i="18"/>
  <c r="L121" i="18"/>
  <c r="L122" i="18"/>
  <c r="L123" i="18"/>
  <c r="L124" i="18"/>
  <c r="L125" i="18"/>
  <c r="L126" i="18"/>
  <c r="L127" i="18"/>
  <c r="L128" i="18"/>
  <c r="L129" i="18"/>
  <c r="L130" i="18"/>
  <c r="L131" i="18"/>
  <c r="L132" i="18"/>
  <c r="L133" i="18"/>
  <c r="L134" i="18"/>
  <c r="L135" i="18"/>
  <c r="L136" i="18"/>
  <c r="L137" i="18"/>
  <c r="L138" i="18"/>
  <c r="L139" i="18"/>
  <c r="L140" i="18"/>
  <c r="L141" i="18"/>
  <c r="L142" i="18"/>
  <c r="L143" i="18"/>
  <c r="L144" i="18"/>
  <c r="L145" i="18"/>
  <c r="L146" i="18"/>
  <c r="L147" i="18"/>
  <c r="L148" i="18"/>
  <c r="L149" i="18"/>
  <c r="L150" i="18"/>
  <c r="L151" i="18"/>
  <c r="L152" i="18"/>
  <c r="L153" i="18"/>
  <c r="L154" i="18"/>
  <c r="L155" i="18"/>
  <c r="L156" i="18"/>
  <c r="L157" i="18"/>
  <c r="L158" i="18"/>
  <c r="L159" i="18"/>
  <c r="L160" i="18"/>
  <c r="L161" i="18"/>
  <c r="L162" i="18"/>
  <c r="L163" i="18"/>
  <c r="L164" i="18"/>
  <c r="L165" i="18"/>
  <c r="L166" i="18"/>
  <c r="L167" i="18"/>
  <c r="L168" i="18"/>
  <c r="L169" i="18"/>
  <c r="L170" i="18"/>
  <c r="L171" i="18"/>
  <c r="L172" i="18"/>
  <c r="L173" i="18"/>
  <c r="L174" i="18"/>
  <c r="L175" i="18"/>
  <c r="L176" i="18"/>
  <c r="L177" i="18"/>
  <c r="L178" i="18"/>
  <c r="L179" i="18"/>
  <c r="L180" i="18"/>
  <c r="L181" i="18"/>
  <c r="L182" i="18"/>
  <c r="L183" i="18"/>
  <c r="L184" i="18"/>
  <c r="L185" i="18"/>
  <c r="L186" i="18"/>
  <c r="L187" i="18"/>
  <c r="L188" i="18"/>
  <c r="L189" i="18"/>
  <c r="L190" i="18"/>
  <c r="L191" i="18"/>
  <c r="L192" i="18"/>
  <c r="L193" i="18"/>
  <c r="L194" i="18"/>
  <c r="L195" i="18"/>
  <c r="L196" i="18"/>
  <c r="L197" i="18"/>
  <c r="K2" i="18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Q198" i="18"/>
  <c r="Q200" i="18" s="1"/>
  <c r="P198" i="18"/>
  <c r="P199" i="18" s="1"/>
  <c r="V2" i="18"/>
  <c r="V3" i="18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2" i="18"/>
  <c r="V53" i="18"/>
  <c r="V54" i="18"/>
  <c r="V55" i="18"/>
  <c r="V56" i="18"/>
  <c r="V57" i="18"/>
  <c r="V58" i="18"/>
  <c r="V59" i="18"/>
  <c r="V60" i="18"/>
  <c r="V61" i="18"/>
  <c r="V62" i="18"/>
  <c r="V63" i="18"/>
  <c r="V64" i="18"/>
  <c r="V65" i="18"/>
  <c r="V66" i="18"/>
  <c r="V67" i="18"/>
  <c r="V68" i="18"/>
  <c r="V69" i="18"/>
  <c r="V70" i="18"/>
  <c r="V71" i="18"/>
  <c r="V72" i="18"/>
  <c r="V73" i="18"/>
  <c r="V74" i="18"/>
  <c r="V75" i="18"/>
  <c r="V76" i="18"/>
  <c r="V77" i="18"/>
  <c r="V78" i="18"/>
  <c r="V79" i="18"/>
  <c r="V80" i="18"/>
  <c r="V81" i="18"/>
  <c r="V82" i="18"/>
  <c r="V83" i="18"/>
  <c r="V84" i="18"/>
  <c r="V85" i="18"/>
  <c r="V86" i="18"/>
  <c r="V87" i="18"/>
  <c r="V88" i="18"/>
  <c r="V89" i="18"/>
  <c r="V90" i="18"/>
  <c r="V91" i="18"/>
  <c r="V92" i="18"/>
  <c r="V93" i="18"/>
  <c r="V94" i="18"/>
  <c r="V95" i="18"/>
  <c r="V96" i="18"/>
  <c r="V97" i="18"/>
  <c r="V98" i="18"/>
  <c r="V99" i="18"/>
  <c r="V100" i="18"/>
  <c r="V101" i="18"/>
  <c r="V102" i="18"/>
  <c r="V103" i="18"/>
  <c r="V104" i="18"/>
  <c r="V105" i="18"/>
  <c r="V106" i="18"/>
  <c r="V107" i="18"/>
  <c r="V108" i="18"/>
  <c r="V109" i="18"/>
  <c r="V110" i="18"/>
  <c r="V111" i="18"/>
  <c r="V112" i="18"/>
  <c r="V113" i="18"/>
  <c r="V114" i="18"/>
  <c r="V115" i="18"/>
  <c r="V116" i="18"/>
  <c r="V117" i="18"/>
  <c r="V118" i="18"/>
  <c r="V119" i="18"/>
  <c r="V120" i="18"/>
  <c r="V121" i="18"/>
  <c r="V122" i="18"/>
  <c r="V123" i="18"/>
  <c r="V124" i="18"/>
  <c r="V125" i="18"/>
  <c r="V126" i="18"/>
  <c r="V127" i="18"/>
  <c r="V128" i="18"/>
  <c r="V129" i="18"/>
  <c r="V130" i="18"/>
  <c r="V131" i="18"/>
  <c r="V132" i="18"/>
  <c r="V133" i="18"/>
  <c r="V134" i="18"/>
  <c r="V135" i="18"/>
  <c r="V136" i="18"/>
  <c r="V137" i="18"/>
  <c r="V138" i="18"/>
  <c r="V139" i="18"/>
  <c r="V140" i="18"/>
  <c r="V141" i="18"/>
  <c r="V142" i="18"/>
  <c r="V143" i="18"/>
  <c r="V144" i="18"/>
  <c r="V145" i="18"/>
  <c r="V146" i="18"/>
  <c r="V147" i="18"/>
  <c r="V148" i="18"/>
  <c r="V149" i="18"/>
  <c r="V150" i="18"/>
  <c r="V151" i="18"/>
  <c r="V152" i="18"/>
  <c r="V153" i="18"/>
  <c r="V154" i="18"/>
  <c r="V155" i="18"/>
  <c r="V156" i="18"/>
  <c r="V157" i="18"/>
  <c r="V158" i="18"/>
  <c r="V159" i="18"/>
  <c r="V160" i="18"/>
  <c r="V161" i="18"/>
  <c r="V162" i="18"/>
  <c r="V163" i="18"/>
  <c r="V164" i="18"/>
  <c r="V165" i="18"/>
  <c r="V166" i="18"/>
  <c r="V167" i="18"/>
  <c r="V168" i="18"/>
  <c r="V169" i="18"/>
  <c r="V170" i="18"/>
  <c r="V171" i="18"/>
  <c r="V172" i="18"/>
  <c r="V173" i="18"/>
  <c r="V174" i="18"/>
  <c r="V175" i="18"/>
  <c r="V176" i="18"/>
  <c r="V177" i="18"/>
  <c r="V178" i="18"/>
  <c r="V179" i="18"/>
  <c r="V180" i="18"/>
  <c r="V181" i="18"/>
  <c r="V182" i="18"/>
  <c r="V183" i="18"/>
  <c r="V184" i="18"/>
  <c r="V185" i="18"/>
  <c r="V186" i="18"/>
  <c r="V187" i="18"/>
  <c r="V188" i="18"/>
  <c r="V189" i="18"/>
  <c r="V190" i="18"/>
  <c r="V191" i="18"/>
  <c r="V192" i="18"/>
  <c r="V193" i="18"/>
  <c r="V194" i="18"/>
  <c r="V195" i="18"/>
  <c r="V196" i="18"/>
  <c r="V197" i="18"/>
  <c r="U2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106" i="18"/>
  <c r="U107" i="18"/>
  <c r="U108" i="18"/>
  <c r="U109" i="18"/>
  <c r="U110" i="18"/>
  <c r="U111" i="18"/>
  <c r="U112" i="18"/>
  <c r="U113" i="18"/>
  <c r="U114" i="18"/>
  <c r="U115" i="18"/>
  <c r="U116" i="18"/>
  <c r="U117" i="18"/>
  <c r="U118" i="18"/>
  <c r="U119" i="18"/>
  <c r="U120" i="18"/>
  <c r="U121" i="18"/>
  <c r="U122" i="18"/>
  <c r="U123" i="18"/>
  <c r="U124" i="18"/>
  <c r="U125" i="18"/>
  <c r="U126" i="18"/>
  <c r="U127" i="18"/>
  <c r="U128" i="18"/>
  <c r="U129" i="18"/>
  <c r="U130" i="18"/>
  <c r="U131" i="18"/>
  <c r="U132" i="18"/>
  <c r="U133" i="18"/>
  <c r="U134" i="18"/>
  <c r="U135" i="18"/>
  <c r="U136" i="18"/>
  <c r="U137" i="18"/>
  <c r="U138" i="18"/>
  <c r="U139" i="18"/>
  <c r="U140" i="18"/>
  <c r="U141" i="18"/>
  <c r="U142" i="18"/>
  <c r="U143" i="18"/>
  <c r="U144" i="18"/>
  <c r="U145" i="18"/>
  <c r="U146" i="18"/>
  <c r="U147" i="18"/>
  <c r="U148" i="18"/>
  <c r="U149" i="18"/>
  <c r="U150" i="18"/>
  <c r="U151" i="18"/>
  <c r="U152" i="18"/>
  <c r="U153" i="18"/>
  <c r="U154" i="18"/>
  <c r="U155" i="18"/>
  <c r="U156" i="18"/>
  <c r="U157" i="18"/>
  <c r="U158" i="18"/>
  <c r="U159" i="18"/>
  <c r="U160" i="18"/>
  <c r="U161" i="18"/>
  <c r="U162" i="18"/>
  <c r="U163" i="18"/>
  <c r="U164" i="18"/>
  <c r="U165" i="18"/>
  <c r="U166" i="18"/>
  <c r="U167" i="18"/>
  <c r="U168" i="18"/>
  <c r="U169" i="18"/>
  <c r="U170" i="18"/>
  <c r="U171" i="18"/>
  <c r="U172" i="18"/>
  <c r="U173" i="18"/>
  <c r="U174" i="18"/>
  <c r="U175" i="18"/>
  <c r="U176" i="18"/>
  <c r="U177" i="18"/>
  <c r="U178" i="18"/>
  <c r="U179" i="18"/>
  <c r="U180" i="18"/>
  <c r="U181" i="18"/>
  <c r="U182" i="18"/>
  <c r="U183" i="18"/>
  <c r="U184" i="18"/>
  <c r="U185" i="18"/>
  <c r="U186" i="18"/>
  <c r="U187" i="18"/>
  <c r="U188" i="18"/>
  <c r="U189" i="18"/>
  <c r="U190" i="18"/>
  <c r="U191" i="18"/>
  <c r="U192" i="18"/>
  <c r="U193" i="18"/>
  <c r="U194" i="18"/>
  <c r="U195" i="18"/>
  <c r="U196" i="18"/>
  <c r="U197" i="18"/>
  <c r="T2" i="18"/>
  <c r="T3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36" i="18"/>
  <c r="T37" i="18"/>
  <c r="T38" i="18"/>
  <c r="T39" i="18"/>
  <c r="T40" i="18"/>
  <c r="T41" i="18"/>
  <c r="T42" i="18"/>
  <c r="T43" i="18"/>
  <c r="T44" i="18"/>
  <c r="T45" i="18"/>
  <c r="T46" i="18"/>
  <c r="T47" i="18"/>
  <c r="T48" i="18"/>
  <c r="T49" i="18"/>
  <c r="T50" i="18"/>
  <c r="T51" i="18"/>
  <c r="T52" i="18"/>
  <c r="T53" i="18"/>
  <c r="T54" i="18"/>
  <c r="T55" i="18"/>
  <c r="T56" i="18"/>
  <c r="T57" i="18"/>
  <c r="T58" i="18"/>
  <c r="T59" i="18"/>
  <c r="T60" i="18"/>
  <c r="T61" i="18"/>
  <c r="T62" i="18"/>
  <c r="T63" i="18"/>
  <c r="T64" i="18"/>
  <c r="T65" i="18"/>
  <c r="T66" i="18"/>
  <c r="T67" i="18"/>
  <c r="T68" i="18"/>
  <c r="T69" i="18"/>
  <c r="T70" i="18"/>
  <c r="T71" i="18"/>
  <c r="T72" i="18"/>
  <c r="T73" i="18"/>
  <c r="T74" i="18"/>
  <c r="T75" i="18"/>
  <c r="T76" i="18"/>
  <c r="T77" i="18"/>
  <c r="T78" i="18"/>
  <c r="T79" i="18"/>
  <c r="T80" i="18"/>
  <c r="T81" i="18"/>
  <c r="T82" i="18"/>
  <c r="T83" i="18"/>
  <c r="T84" i="18"/>
  <c r="T85" i="18"/>
  <c r="T86" i="18"/>
  <c r="T87" i="18"/>
  <c r="T88" i="18"/>
  <c r="T89" i="18"/>
  <c r="T90" i="18"/>
  <c r="T91" i="18"/>
  <c r="T92" i="18"/>
  <c r="T93" i="18"/>
  <c r="T94" i="18"/>
  <c r="T95" i="18"/>
  <c r="T96" i="18"/>
  <c r="T97" i="18"/>
  <c r="T98" i="18"/>
  <c r="T99" i="18"/>
  <c r="T100" i="18"/>
  <c r="T101" i="18"/>
  <c r="T102" i="18"/>
  <c r="T103" i="18"/>
  <c r="T104" i="18"/>
  <c r="T105" i="18"/>
  <c r="T106" i="18"/>
  <c r="T107" i="18"/>
  <c r="T108" i="18"/>
  <c r="T109" i="18"/>
  <c r="T110" i="18"/>
  <c r="T111" i="18"/>
  <c r="T112" i="18"/>
  <c r="T113" i="18"/>
  <c r="T114" i="18"/>
  <c r="T115" i="18"/>
  <c r="T116" i="18"/>
  <c r="T117" i="18"/>
  <c r="T118" i="18"/>
  <c r="T119" i="18"/>
  <c r="T120" i="18"/>
  <c r="T121" i="18"/>
  <c r="T122" i="18"/>
  <c r="T123" i="18"/>
  <c r="T124" i="18"/>
  <c r="T125" i="18"/>
  <c r="T126" i="18"/>
  <c r="T127" i="18"/>
  <c r="T128" i="18"/>
  <c r="T129" i="18"/>
  <c r="T130" i="18"/>
  <c r="T131" i="18"/>
  <c r="T132" i="18"/>
  <c r="T133" i="18"/>
  <c r="T134" i="18"/>
  <c r="T135" i="18"/>
  <c r="T136" i="18"/>
  <c r="T137" i="18"/>
  <c r="T138" i="18"/>
  <c r="T139" i="18"/>
  <c r="T140" i="18"/>
  <c r="T141" i="18"/>
  <c r="T142" i="18"/>
  <c r="T143" i="18"/>
  <c r="T144" i="18"/>
  <c r="T145" i="18"/>
  <c r="T146" i="18"/>
  <c r="T147" i="18"/>
  <c r="T148" i="18"/>
  <c r="T149" i="18"/>
  <c r="T150" i="18"/>
  <c r="T151" i="18"/>
  <c r="T152" i="18"/>
  <c r="T153" i="18"/>
  <c r="T154" i="18"/>
  <c r="T155" i="18"/>
  <c r="T156" i="18"/>
  <c r="T157" i="18"/>
  <c r="T158" i="18"/>
  <c r="T159" i="18"/>
  <c r="T160" i="18"/>
  <c r="T161" i="18"/>
  <c r="T162" i="18"/>
  <c r="T163" i="18"/>
  <c r="T164" i="18"/>
  <c r="T165" i="18"/>
  <c r="T166" i="18"/>
  <c r="T167" i="18"/>
  <c r="T168" i="18"/>
  <c r="T169" i="18"/>
  <c r="T170" i="18"/>
  <c r="T171" i="18"/>
  <c r="T172" i="18"/>
  <c r="T173" i="18"/>
  <c r="T174" i="18"/>
  <c r="T175" i="18"/>
  <c r="T176" i="18"/>
  <c r="T177" i="18"/>
  <c r="T178" i="18"/>
  <c r="T179" i="18"/>
  <c r="T180" i="18"/>
  <c r="T181" i="18"/>
  <c r="T182" i="18"/>
  <c r="T183" i="18"/>
  <c r="T184" i="18"/>
  <c r="T185" i="18"/>
  <c r="T186" i="18"/>
  <c r="T187" i="18"/>
  <c r="T188" i="18"/>
  <c r="T189" i="18"/>
  <c r="T190" i="18"/>
  <c r="T191" i="18"/>
  <c r="T192" i="18"/>
  <c r="T193" i="18"/>
  <c r="T194" i="18"/>
  <c r="T195" i="18"/>
  <c r="T196" i="18"/>
  <c r="T197" i="18"/>
  <c r="S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120" i="18"/>
  <c r="S121" i="18"/>
  <c r="S122" i="18"/>
  <c r="S123" i="18"/>
  <c r="S124" i="18"/>
  <c r="S125" i="18"/>
  <c r="S126" i="18"/>
  <c r="S127" i="18"/>
  <c r="S128" i="18"/>
  <c r="S129" i="18"/>
  <c r="S130" i="18"/>
  <c r="S131" i="18"/>
  <c r="S132" i="18"/>
  <c r="S133" i="18"/>
  <c r="S134" i="18"/>
  <c r="S135" i="18"/>
  <c r="S136" i="18"/>
  <c r="S137" i="18"/>
  <c r="S138" i="18"/>
  <c r="S139" i="18"/>
  <c r="S140" i="18"/>
  <c r="S141" i="18"/>
  <c r="S142" i="18"/>
  <c r="S143" i="18"/>
  <c r="S144" i="18"/>
  <c r="S145" i="18"/>
  <c r="S146" i="18"/>
  <c r="S147" i="18"/>
  <c r="S148" i="18"/>
  <c r="S149" i="18"/>
  <c r="S150" i="18"/>
  <c r="S151" i="18"/>
  <c r="S152" i="18"/>
  <c r="S153" i="18"/>
  <c r="S154" i="18"/>
  <c r="S155" i="18"/>
  <c r="S156" i="18"/>
  <c r="S157" i="18"/>
  <c r="S158" i="18"/>
  <c r="S159" i="18"/>
  <c r="S160" i="18"/>
  <c r="S161" i="18"/>
  <c r="S162" i="18"/>
  <c r="S163" i="18"/>
  <c r="S164" i="18"/>
  <c r="S165" i="18"/>
  <c r="S166" i="18"/>
  <c r="S167" i="18"/>
  <c r="S168" i="18"/>
  <c r="S169" i="18"/>
  <c r="S170" i="18"/>
  <c r="S171" i="18"/>
  <c r="S172" i="18"/>
  <c r="S173" i="18"/>
  <c r="S174" i="18"/>
  <c r="S175" i="18"/>
  <c r="S176" i="18"/>
  <c r="S177" i="18"/>
  <c r="S178" i="18"/>
  <c r="S179" i="18"/>
  <c r="S180" i="18"/>
  <c r="S181" i="18"/>
  <c r="S182" i="18"/>
  <c r="S183" i="18"/>
  <c r="S184" i="18"/>
  <c r="S185" i="18"/>
  <c r="S186" i="18"/>
  <c r="S187" i="18"/>
  <c r="S188" i="18"/>
  <c r="S189" i="18"/>
  <c r="S190" i="18"/>
  <c r="S191" i="18"/>
  <c r="S192" i="18"/>
  <c r="S193" i="18"/>
  <c r="S194" i="18"/>
  <c r="S195" i="18"/>
  <c r="S196" i="18"/>
  <c r="S197" i="18"/>
  <c r="R2" i="18"/>
  <c r="R3" i="18"/>
  <c r="R4" i="18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93" i="18"/>
  <c r="R94" i="18"/>
  <c r="R95" i="18"/>
  <c r="R96" i="18"/>
  <c r="R97" i="18"/>
  <c r="R98" i="18"/>
  <c r="R99" i="18"/>
  <c r="R100" i="18"/>
  <c r="R101" i="18"/>
  <c r="R102" i="18"/>
  <c r="R103" i="18"/>
  <c r="R104" i="18"/>
  <c r="R105" i="18"/>
  <c r="R106" i="18"/>
  <c r="R107" i="18"/>
  <c r="R108" i="18"/>
  <c r="R109" i="18"/>
  <c r="R110" i="18"/>
  <c r="R111" i="18"/>
  <c r="R112" i="18"/>
  <c r="R113" i="18"/>
  <c r="R114" i="18"/>
  <c r="R115" i="18"/>
  <c r="R116" i="18"/>
  <c r="R117" i="18"/>
  <c r="R118" i="18"/>
  <c r="R119" i="18"/>
  <c r="R120" i="18"/>
  <c r="R121" i="18"/>
  <c r="R122" i="18"/>
  <c r="R123" i="18"/>
  <c r="R124" i="18"/>
  <c r="R125" i="18"/>
  <c r="R126" i="18"/>
  <c r="R127" i="18"/>
  <c r="R128" i="18"/>
  <c r="R129" i="18"/>
  <c r="R130" i="18"/>
  <c r="R131" i="18"/>
  <c r="R132" i="18"/>
  <c r="R133" i="18"/>
  <c r="R134" i="18"/>
  <c r="R135" i="18"/>
  <c r="R136" i="18"/>
  <c r="R137" i="18"/>
  <c r="R138" i="18"/>
  <c r="R139" i="18"/>
  <c r="R140" i="18"/>
  <c r="R141" i="18"/>
  <c r="R142" i="18"/>
  <c r="R143" i="18"/>
  <c r="R144" i="18"/>
  <c r="R145" i="18"/>
  <c r="R146" i="18"/>
  <c r="R147" i="18"/>
  <c r="R148" i="18"/>
  <c r="R149" i="18"/>
  <c r="R150" i="18"/>
  <c r="R151" i="18"/>
  <c r="R152" i="18"/>
  <c r="R153" i="18"/>
  <c r="R154" i="18"/>
  <c r="R155" i="18"/>
  <c r="R156" i="18"/>
  <c r="R157" i="18"/>
  <c r="R158" i="18"/>
  <c r="R159" i="18"/>
  <c r="R160" i="18"/>
  <c r="R161" i="18"/>
  <c r="R162" i="18"/>
  <c r="R163" i="18"/>
  <c r="R164" i="18"/>
  <c r="R165" i="18"/>
  <c r="R166" i="18"/>
  <c r="R167" i="18"/>
  <c r="R168" i="18"/>
  <c r="R169" i="18"/>
  <c r="R170" i="18"/>
  <c r="R171" i="18"/>
  <c r="R172" i="18"/>
  <c r="R173" i="18"/>
  <c r="R174" i="18"/>
  <c r="R175" i="18"/>
  <c r="R176" i="18"/>
  <c r="R177" i="18"/>
  <c r="R178" i="18"/>
  <c r="R179" i="18"/>
  <c r="R180" i="18"/>
  <c r="R181" i="18"/>
  <c r="R182" i="18"/>
  <c r="R183" i="18"/>
  <c r="R184" i="18"/>
  <c r="R185" i="18"/>
  <c r="R186" i="18"/>
  <c r="R187" i="18"/>
  <c r="R188" i="18"/>
  <c r="R189" i="18"/>
  <c r="R190" i="18"/>
  <c r="R191" i="18"/>
  <c r="R192" i="18"/>
  <c r="R193" i="18"/>
  <c r="R194" i="18"/>
  <c r="R195" i="18"/>
  <c r="R196" i="18"/>
  <c r="R197" i="18"/>
  <c r="Q2" i="18"/>
  <c r="Q3" i="18"/>
  <c r="Q4" i="18"/>
  <c r="Q5" i="18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Q34" i="18"/>
  <c r="Q35" i="18"/>
  <c r="Q36" i="18"/>
  <c r="Q37" i="18"/>
  <c r="Q38" i="18"/>
  <c r="Q39" i="18"/>
  <c r="Q40" i="18"/>
  <c r="Q41" i="18"/>
  <c r="Q42" i="18"/>
  <c r="Q43" i="18"/>
  <c r="Q44" i="18"/>
  <c r="Q45" i="18"/>
  <c r="Q46" i="18"/>
  <c r="Q47" i="18"/>
  <c r="Q48" i="18"/>
  <c r="Q49" i="18"/>
  <c r="Q50" i="18"/>
  <c r="Q51" i="18"/>
  <c r="Q52" i="18"/>
  <c r="Q53" i="18"/>
  <c r="Q54" i="18"/>
  <c r="Q55" i="18"/>
  <c r="Q56" i="18"/>
  <c r="Q57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5" i="18"/>
  <c r="Q76" i="18"/>
  <c r="Q77" i="18"/>
  <c r="Q78" i="18"/>
  <c r="Q79" i="18"/>
  <c r="Q80" i="18"/>
  <c r="Q81" i="18"/>
  <c r="Q82" i="18"/>
  <c r="Q83" i="18"/>
  <c r="Q84" i="18"/>
  <c r="Q85" i="18"/>
  <c r="Q86" i="18"/>
  <c r="Q87" i="18"/>
  <c r="Q88" i="18"/>
  <c r="Q89" i="18"/>
  <c r="Q90" i="18"/>
  <c r="Q91" i="18"/>
  <c r="Q92" i="18"/>
  <c r="Q93" i="18"/>
  <c r="Q94" i="18"/>
  <c r="Q95" i="18"/>
  <c r="Q96" i="18"/>
  <c r="Q97" i="18"/>
  <c r="Q98" i="18"/>
  <c r="Q99" i="18"/>
  <c r="Q100" i="18"/>
  <c r="Q101" i="18"/>
  <c r="Q102" i="18"/>
  <c r="Q103" i="18"/>
  <c r="Q104" i="18"/>
  <c r="Q105" i="18"/>
  <c r="Q106" i="18"/>
  <c r="Q107" i="18"/>
  <c r="Q108" i="18"/>
  <c r="Q109" i="18"/>
  <c r="Q110" i="18"/>
  <c r="Q111" i="18"/>
  <c r="Q112" i="18"/>
  <c r="Q113" i="18"/>
  <c r="Q114" i="18"/>
  <c r="Q115" i="18"/>
  <c r="Q116" i="18"/>
  <c r="Q117" i="18"/>
  <c r="Q118" i="18"/>
  <c r="Q119" i="18"/>
  <c r="Q120" i="18"/>
  <c r="Q121" i="18"/>
  <c r="Q122" i="18"/>
  <c r="Q123" i="18"/>
  <c r="Q124" i="18"/>
  <c r="Q125" i="18"/>
  <c r="Q126" i="18"/>
  <c r="Q127" i="18"/>
  <c r="Q128" i="18"/>
  <c r="Q129" i="18"/>
  <c r="Q130" i="18"/>
  <c r="Q131" i="18"/>
  <c r="Q132" i="18"/>
  <c r="Q133" i="18"/>
  <c r="Q134" i="18"/>
  <c r="Q135" i="18"/>
  <c r="Q136" i="18"/>
  <c r="Q137" i="18"/>
  <c r="Q138" i="18"/>
  <c r="Q139" i="18"/>
  <c r="Q140" i="18"/>
  <c r="Q141" i="18"/>
  <c r="Q142" i="18"/>
  <c r="Q143" i="18"/>
  <c r="Q144" i="18"/>
  <c r="Q145" i="18"/>
  <c r="Q146" i="18"/>
  <c r="Q147" i="18"/>
  <c r="Q148" i="18"/>
  <c r="Q149" i="18"/>
  <c r="Q150" i="18"/>
  <c r="Q151" i="18"/>
  <c r="Q152" i="18"/>
  <c r="Q153" i="18"/>
  <c r="Q154" i="18"/>
  <c r="Q155" i="18"/>
  <c r="Q156" i="18"/>
  <c r="Q157" i="18"/>
  <c r="Q158" i="18"/>
  <c r="Q159" i="18"/>
  <c r="Q160" i="18"/>
  <c r="Q161" i="18"/>
  <c r="Q162" i="18"/>
  <c r="Q163" i="18"/>
  <c r="Q164" i="18"/>
  <c r="Q165" i="18"/>
  <c r="Q166" i="18"/>
  <c r="Q167" i="18"/>
  <c r="Q168" i="18"/>
  <c r="Q169" i="18"/>
  <c r="Q170" i="18"/>
  <c r="Q171" i="18"/>
  <c r="Q172" i="18"/>
  <c r="Q173" i="18"/>
  <c r="Q174" i="18"/>
  <c r="Q175" i="18"/>
  <c r="Q176" i="18"/>
  <c r="Q177" i="18"/>
  <c r="Q178" i="18"/>
  <c r="Q179" i="18"/>
  <c r="Q180" i="18"/>
  <c r="Q181" i="18"/>
  <c r="Q182" i="18"/>
  <c r="Q183" i="18"/>
  <c r="Q184" i="18"/>
  <c r="Q185" i="18"/>
  <c r="Q186" i="18"/>
  <c r="Q187" i="18"/>
  <c r="Q188" i="18"/>
  <c r="Q189" i="18"/>
  <c r="Q190" i="18"/>
  <c r="Q191" i="18"/>
  <c r="Q192" i="18"/>
  <c r="Q193" i="18"/>
  <c r="Q194" i="18"/>
  <c r="Q195" i="18"/>
  <c r="Q196" i="18"/>
  <c r="Q197" i="18"/>
  <c r="P2" i="18"/>
  <c r="P3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D198" i="18"/>
  <c r="E198" i="18"/>
  <c r="F198" i="18"/>
  <c r="G198" i="18"/>
  <c r="H198" i="18"/>
  <c r="I198" i="18"/>
  <c r="B198" i="18"/>
  <c r="S201" i="23" l="1"/>
  <c r="S199" i="23"/>
  <c r="T199" i="23"/>
  <c r="V200" i="23"/>
  <c r="Q199" i="23"/>
  <c r="U199" i="23"/>
  <c r="R199" i="23"/>
  <c r="P200" i="18"/>
  <c r="R199" i="18"/>
  <c r="T199" i="18"/>
  <c r="U200" i="18"/>
  <c r="Q199" i="18"/>
  <c r="S199" i="18"/>
  <c r="T201" i="18"/>
  <c r="Q201" i="18"/>
  <c r="R201" i="18"/>
  <c r="S201" i="18"/>
  <c r="U201" i="18"/>
  <c r="P201" i="18"/>
  <c r="G37" i="15"/>
  <c r="F37" i="15"/>
  <c r="C37" i="15"/>
  <c r="D37" i="15"/>
  <c r="E37" i="15"/>
  <c r="H37" i="15"/>
  <c r="F45" i="15"/>
  <c r="F52" i="15" s="1"/>
  <c r="F59" i="15" s="1"/>
  <c r="B37" i="15"/>
  <c r="H28" i="15"/>
  <c r="G28" i="15"/>
  <c r="F28" i="15"/>
  <c r="E28" i="15"/>
  <c r="D28" i="15"/>
  <c r="C28" i="15"/>
  <c r="B21" i="15" a="1"/>
  <c r="H32" i="15" s="1"/>
  <c r="F66" i="13"/>
  <c r="F68" i="13"/>
  <c r="F69" i="13"/>
  <c r="F67" i="13"/>
  <c r="K44" i="14"/>
  <c r="K45" i="14"/>
  <c r="K46" i="14"/>
  <c r="K43" i="14"/>
  <c r="C42" i="14"/>
  <c r="D42" i="14"/>
  <c r="E42" i="14"/>
  <c r="F42" i="14"/>
  <c r="G42" i="14"/>
  <c r="H42" i="14"/>
  <c r="H46" i="14"/>
  <c r="G46" i="14"/>
  <c r="D46" i="14"/>
  <c r="C46" i="14"/>
  <c r="H45" i="14"/>
  <c r="G45" i="14"/>
  <c r="D45" i="14"/>
  <c r="C45" i="14"/>
  <c r="H44" i="14"/>
  <c r="G44" i="14"/>
  <c r="D44" i="14"/>
  <c r="C44" i="14"/>
  <c r="H43" i="14"/>
  <c r="G43" i="14"/>
  <c r="F43" i="14" a="1"/>
  <c r="F43" i="14" s="1"/>
  <c r="E43" i="14" a="1"/>
  <c r="E43" i="14" s="1"/>
  <c r="D43" i="14"/>
  <c r="C43" i="14"/>
  <c r="G40" i="14"/>
  <c r="F40" i="14"/>
  <c r="E40" i="14"/>
  <c r="D40" i="14"/>
  <c r="C40" i="14"/>
  <c r="C33" i="14"/>
  <c r="D49" i="1"/>
  <c r="D50" i="1"/>
  <c r="D51" i="1"/>
  <c r="D48" i="1"/>
  <c r="G40" i="1"/>
  <c r="F40" i="1"/>
  <c r="E40" i="1"/>
  <c r="D40" i="1"/>
  <c r="C40" i="1"/>
  <c r="J16" i="2"/>
  <c r="J15" i="2"/>
  <c r="J4" i="2"/>
  <c r="J5" i="2"/>
  <c r="J6" i="2"/>
  <c r="J7" i="2"/>
  <c r="J3" i="2"/>
  <c r="G30" i="13"/>
  <c r="G31" i="13"/>
  <c r="G32" i="13"/>
  <c r="G29" i="13"/>
  <c r="F30" i="13"/>
  <c r="F31" i="13"/>
  <c r="F32" i="13"/>
  <c r="F29" i="13"/>
  <c r="E30" i="13"/>
  <c r="E31" i="13"/>
  <c r="E32" i="13"/>
  <c r="E29" i="13"/>
  <c r="D31" i="13"/>
  <c r="D32" i="13"/>
  <c r="D29" i="13"/>
  <c r="C30" i="13"/>
  <c r="C31" i="13"/>
  <c r="C32" i="13"/>
  <c r="C29" i="13"/>
  <c r="B67" i="13"/>
  <c r="B68" i="13"/>
  <c r="B69" i="13"/>
  <c r="B66" i="13"/>
  <c r="D58" i="13"/>
  <c r="C58" i="13"/>
  <c r="B60" i="13"/>
  <c r="B61" i="13"/>
  <c r="B62" i="13"/>
  <c r="B59" i="13"/>
  <c r="D51" i="13"/>
  <c r="E51" i="13"/>
  <c r="E58" i="13" s="1"/>
  <c r="G51" i="13"/>
  <c r="G58" i="13" s="1"/>
  <c r="H51" i="13"/>
  <c r="H58" i="13" s="1"/>
  <c r="C51" i="13"/>
  <c r="B55" i="13"/>
  <c r="B54" i="13"/>
  <c r="B53" i="13"/>
  <c r="B52" i="13"/>
  <c r="B37" i="13"/>
  <c r="B21" i="13" a="1"/>
  <c r="B21" i="13" s="1"/>
  <c r="B27" i="13" s="1"/>
  <c r="F27" i="15" l="1"/>
  <c r="B30" i="15"/>
  <c r="B40" i="15" s="1"/>
  <c r="B47" i="15" s="1"/>
  <c r="B54" i="15" s="1"/>
  <c r="B61" i="15" s="1"/>
  <c r="B68" i="15" s="1"/>
  <c r="G30" i="15"/>
  <c r="E32" i="15"/>
  <c r="D31" i="15"/>
  <c r="E29" i="15"/>
  <c r="H31" i="15"/>
  <c r="C27" i="15"/>
  <c r="C36" i="15" s="1"/>
  <c r="C45" i="15" s="1"/>
  <c r="C52" i="15" s="1"/>
  <c r="C59" i="15" s="1"/>
  <c r="G27" i="15"/>
  <c r="G36" i="15" s="1"/>
  <c r="G45" i="15" s="1"/>
  <c r="G52" i="15" s="1"/>
  <c r="G59" i="15" s="1"/>
  <c r="B29" i="15"/>
  <c r="B39" i="15" s="1"/>
  <c r="B46" i="15" s="1"/>
  <c r="B53" i="15" s="1"/>
  <c r="B60" i="15" s="1"/>
  <c r="B67" i="15" s="1"/>
  <c r="F29" i="15"/>
  <c r="C30" i="15"/>
  <c r="H30" i="15"/>
  <c r="E31" i="15"/>
  <c r="B32" i="15"/>
  <c r="B42" i="15" s="1"/>
  <c r="B49" i="15" s="1"/>
  <c r="B56" i="15" s="1"/>
  <c r="B63" i="15" s="1"/>
  <c r="B70" i="15" s="1"/>
  <c r="F32" i="15"/>
  <c r="D27" i="15"/>
  <c r="D36" i="15" s="1"/>
  <c r="D45" i="15" s="1"/>
  <c r="D52" i="15" s="1"/>
  <c r="D59" i="15" s="1"/>
  <c r="H27" i="15"/>
  <c r="H36" i="15" s="1"/>
  <c r="H45" i="15" s="1"/>
  <c r="H52" i="15" s="1"/>
  <c r="H59" i="15" s="1"/>
  <c r="C29" i="15"/>
  <c r="G29" i="15"/>
  <c r="E30" i="15"/>
  <c r="B31" i="15"/>
  <c r="B41" i="15" s="1"/>
  <c r="B48" i="15" s="1"/>
  <c r="B55" i="15" s="1"/>
  <c r="B62" i="15" s="1"/>
  <c r="B69" i="15" s="1"/>
  <c r="F31" i="15"/>
  <c r="C32" i="15"/>
  <c r="G32" i="15"/>
  <c r="B21" i="15"/>
  <c r="B27" i="15" s="1"/>
  <c r="E27" i="15"/>
  <c r="E36" i="15" s="1"/>
  <c r="E45" i="15" s="1"/>
  <c r="E52" i="15" s="1"/>
  <c r="E59" i="15" s="1"/>
  <c r="D29" i="15"/>
  <c r="H29" i="15"/>
  <c r="F30" i="15"/>
  <c r="C31" i="15"/>
  <c r="G31" i="15"/>
  <c r="D32" i="15"/>
  <c r="C50" i="14"/>
  <c r="C52" i="14"/>
  <c r="I46" i="14" s="1"/>
  <c r="C49" i="14"/>
  <c r="I43" i="14" s="1"/>
  <c r="C51" i="14"/>
  <c r="I45" i="14" s="1"/>
  <c r="B32" i="13"/>
  <c r="B41" i="13" s="1"/>
  <c r="B48" i="13" s="1"/>
  <c r="H27" i="13"/>
  <c r="H36" i="13" s="1"/>
  <c r="H44" i="13" s="1"/>
  <c r="D27" i="13"/>
  <c r="D36" i="13" s="1"/>
  <c r="D44" i="13" s="1"/>
  <c r="H30" i="13"/>
  <c r="B30" i="13"/>
  <c r="B39" i="13" s="1"/>
  <c r="B46" i="13" s="1"/>
  <c r="F27" i="13"/>
  <c r="F44" i="13" s="1"/>
  <c r="F51" i="13" s="1"/>
  <c r="F58" i="13" s="1"/>
  <c r="H32" i="13"/>
  <c r="B29" i="13"/>
  <c r="B38" i="13" s="1"/>
  <c r="B45" i="13" s="1"/>
  <c r="E27" i="13"/>
  <c r="E36" i="13" s="1"/>
  <c r="E44" i="13" s="1"/>
  <c r="H31" i="13"/>
  <c r="B31" i="13"/>
  <c r="B40" i="13" s="1"/>
  <c r="B47" i="13" s="1"/>
  <c r="G27" i="13"/>
  <c r="G36" i="13" s="1"/>
  <c r="G44" i="13" s="1"/>
  <c r="C27" i="13"/>
  <c r="C36" i="13" s="1"/>
  <c r="C44" i="13" s="1"/>
  <c r="H29" i="13"/>
  <c r="F33" i="15" l="1"/>
  <c r="F39" i="15" s="1"/>
  <c r="F46" i="15" s="1"/>
  <c r="F40" i="15"/>
  <c r="F47" i="15" s="1"/>
  <c r="H33" i="15"/>
  <c r="H39" i="15" s="1"/>
  <c r="H46" i="15" s="1"/>
  <c r="D33" i="15"/>
  <c r="D39" i="15"/>
  <c r="D46" i="15" s="1"/>
  <c r="G33" i="15"/>
  <c r="G40" i="15" s="1"/>
  <c r="G47" i="15" s="1"/>
  <c r="E33" i="15"/>
  <c r="E41" i="15" s="1"/>
  <c r="E48" i="15" s="1"/>
  <c r="F41" i="15"/>
  <c r="F48" i="15" s="1"/>
  <c r="C39" i="15"/>
  <c r="C46" i="15" s="1"/>
  <c r="C33" i="15"/>
  <c r="C42" i="15" s="1"/>
  <c r="C49" i="15" s="1"/>
  <c r="F42" i="15"/>
  <c r="F49" i="15" s="1"/>
  <c r="C40" i="15"/>
  <c r="C47" i="15" s="1"/>
  <c r="D52" i="14"/>
  <c r="I44" i="14"/>
  <c r="D50" i="14"/>
  <c r="D49" i="14"/>
  <c r="D51" i="14"/>
  <c r="H33" i="13"/>
  <c r="H40" i="13" s="1"/>
  <c r="G33" i="13"/>
  <c r="G38" i="13" s="1"/>
  <c r="F33" i="13"/>
  <c r="F38" i="13" s="1"/>
  <c r="E33" i="13"/>
  <c r="E38" i="13" s="1"/>
  <c r="D33" i="13"/>
  <c r="D39" i="13" s="1"/>
  <c r="C33" i="13"/>
  <c r="C41" i="13" s="1"/>
  <c r="H40" i="15" l="1"/>
  <c r="H47" i="15" s="1"/>
  <c r="F53" i="15"/>
  <c r="F60" i="15"/>
  <c r="G42" i="15"/>
  <c r="G49" i="15" s="1"/>
  <c r="F55" i="15"/>
  <c r="F62" i="15"/>
  <c r="D40" i="15"/>
  <c r="D47" i="15" s="1"/>
  <c r="D41" i="15"/>
  <c r="D48" i="15" s="1"/>
  <c r="F56" i="15"/>
  <c r="F63" i="15"/>
  <c r="C41" i="15"/>
  <c r="C48" i="15" s="1"/>
  <c r="C63" i="15" s="1"/>
  <c r="G39" i="15"/>
  <c r="G46" i="15" s="1"/>
  <c r="G41" i="15"/>
  <c r="G48" i="15" s="1"/>
  <c r="H41" i="15"/>
  <c r="H48" i="15" s="1"/>
  <c r="H42" i="15"/>
  <c r="H49" i="15" s="1"/>
  <c r="F54" i="15"/>
  <c r="F61" i="15"/>
  <c r="E42" i="15"/>
  <c r="E49" i="15" s="1"/>
  <c r="E39" i="15"/>
  <c r="E46" i="15" s="1"/>
  <c r="E40" i="15"/>
  <c r="E47" i="15" s="1"/>
  <c r="D42" i="15"/>
  <c r="D49" i="15" s="1"/>
  <c r="G41" i="13"/>
  <c r="G40" i="13"/>
  <c r="E39" i="13"/>
  <c r="E41" i="13"/>
  <c r="D38" i="13"/>
  <c r="D41" i="13"/>
  <c r="D40" i="13"/>
  <c r="C39" i="13"/>
  <c r="C40" i="13"/>
  <c r="F40" i="13"/>
  <c r="F41" i="13"/>
  <c r="E40" i="13"/>
  <c r="G39" i="13"/>
  <c r="F39" i="13"/>
  <c r="H38" i="13"/>
  <c r="C38" i="13"/>
  <c r="H39" i="13"/>
  <c r="H41" i="13"/>
  <c r="E62" i="15" l="1"/>
  <c r="E55" i="15"/>
  <c r="G61" i="15"/>
  <c r="H53" i="15"/>
  <c r="D63" i="15"/>
  <c r="D56" i="15"/>
  <c r="H63" i="15"/>
  <c r="H56" i="15"/>
  <c r="D61" i="15"/>
  <c r="D54" i="15"/>
  <c r="D53" i="15"/>
  <c r="E61" i="15"/>
  <c r="E54" i="15"/>
  <c r="H62" i="15"/>
  <c r="H55" i="15"/>
  <c r="D60" i="15"/>
  <c r="H54" i="15"/>
  <c r="C60" i="15"/>
  <c r="C55" i="15"/>
  <c r="C62" i="15"/>
  <c r="H60" i="15"/>
  <c r="E60" i="15"/>
  <c r="E53" i="15"/>
  <c r="C61" i="15"/>
  <c r="G55" i="15"/>
  <c r="G62" i="15"/>
  <c r="E63" i="15"/>
  <c r="E56" i="15"/>
  <c r="C54" i="15"/>
  <c r="H61" i="15"/>
  <c r="G53" i="15"/>
  <c r="G60" i="15"/>
  <c r="D62" i="15"/>
  <c r="D55" i="15"/>
  <c r="G56" i="15"/>
  <c r="G63" i="15"/>
  <c r="C53" i="15"/>
  <c r="G54" i="15"/>
  <c r="C56" i="15"/>
  <c r="F5" i="2"/>
  <c r="F4" i="2"/>
  <c r="E4" i="2"/>
  <c r="G6" i="2"/>
  <c r="G5" i="2"/>
  <c r="G4" i="2"/>
  <c r="G3" i="2"/>
  <c r="F3" i="2"/>
  <c r="E3" i="2"/>
  <c r="D3" i="2"/>
  <c r="C4" i="10"/>
  <c r="C6" i="10"/>
  <c r="C5" i="10"/>
  <c r="C3" i="10"/>
  <c r="I60" i="15" l="1"/>
  <c r="D67" i="15" s="1"/>
  <c r="I63" i="15"/>
  <c r="D70" i="15" s="1"/>
  <c r="I55" i="15"/>
  <c r="C69" i="15" s="1"/>
  <c r="I53" i="15"/>
  <c r="C67" i="15" s="1"/>
  <c r="I54" i="15"/>
  <c r="C68" i="15" s="1"/>
  <c r="I56" i="15"/>
  <c r="C70" i="15" s="1"/>
  <c r="I61" i="15"/>
  <c r="I62" i="15"/>
  <c r="H16" i="2"/>
  <c r="H15" i="2"/>
  <c r="F15" i="2"/>
  <c r="F16" i="2"/>
  <c r="I4" i="2"/>
  <c r="I5" i="2"/>
  <c r="I6" i="2"/>
  <c r="I7" i="2"/>
  <c r="I3" i="2"/>
  <c r="D4" i="10"/>
  <c r="D5" i="10"/>
  <c r="D6" i="10"/>
  <c r="D3" i="10"/>
  <c r="F5" i="9"/>
  <c r="E6" i="9" s="1"/>
  <c r="F4" i="9"/>
  <c r="D6" i="9" s="1"/>
  <c r="E4" i="9"/>
  <c r="D5" i="9" s="1"/>
  <c r="F3" i="9"/>
  <c r="C6" i="9" s="1"/>
  <c r="E3" i="9"/>
  <c r="C5" i="9" s="1"/>
  <c r="D3" i="9"/>
  <c r="O6" i="9"/>
  <c r="N6" i="9"/>
  <c r="O5" i="9"/>
  <c r="N5" i="9"/>
  <c r="O4" i="9"/>
  <c r="N4" i="9"/>
  <c r="O3" i="9"/>
  <c r="N3" i="9"/>
  <c r="C4" i="9"/>
  <c r="F5" i="8"/>
  <c r="E6" i="8" s="1"/>
  <c r="F4" i="8"/>
  <c r="D6" i="8" s="1"/>
  <c r="E4" i="8"/>
  <c r="D5" i="8" s="1"/>
  <c r="F3" i="8"/>
  <c r="E3" i="8"/>
  <c r="C5" i="8" s="1"/>
  <c r="D3" i="8"/>
  <c r="C4" i="8" s="1"/>
  <c r="O6" i="8"/>
  <c r="N6" i="8"/>
  <c r="O5" i="8"/>
  <c r="N5" i="8"/>
  <c r="O4" i="8"/>
  <c r="N4" i="8"/>
  <c r="O3" i="8"/>
  <c r="N3" i="8"/>
  <c r="C6" i="8"/>
  <c r="F5" i="7"/>
  <c r="E6" i="7" s="1"/>
  <c r="F4" i="7"/>
  <c r="D6" i="7" s="1"/>
  <c r="E4" i="7"/>
  <c r="D5" i="7" s="1"/>
  <c r="F3" i="7"/>
  <c r="C6" i="7" s="1"/>
  <c r="E3" i="7"/>
  <c r="C5" i="7" s="1"/>
  <c r="D3" i="7"/>
  <c r="C4" i="7" s="1"/>
  <c r="O6" i="7"/>
  <c r="N6" i="7"/>
  <c r="O5" i="7"/>
  <c r="N5" i="7"/>
  <c r="O4" i="7"/>
  <c r="N4" i="7"/>
  <c r="O3" i="7"/>
  <c r="N3" i="7"/>
  <c r="O4" i="4"/>
  <c r="O5" i="4"/>
  <c r="O6" i="4"/>
  <c r="O3" i="4"/>
  <c r="N4" i="4"/>
  <c r="N5" i="4"/>
  <c r="N6" i="4"/>
  <c r="N3" i="4"/>
  <c r="F5" i="4"/>
  <c r="E6" i="4" s="1"/>
  <c r="F4" i="4"/>
  <c r="D6" i="4" s="1"/>
  <c r="E4" i="4"/>
  <c r="D5" i="4" s="1"/>
  <c r="F3" i="4"/>
  <c r="C6" i="4" s="1"/>
  <c r="E3" i="4"/>
  <c r="C5" i="4" s="1"/>
  <c r="D3" i="4"/>
  <c r="O4" i="3"/>
  <c r="O5" i="3"/>
  <c r="O6" i="3"/>
  <c r="O3" i="3"/>
  <c r="C33" i="1"/>
  <c r="N4" i="3"/>
  <c r="N5" i="3"/>
  <c r="N6" i="3"/>
  <c r="N3" i="3"/>
  <c r="D3" i="3"/>
  <c r="C4" i="3" s="1"/>
  <c r="E3" i="3"/>
  <c r="C5" i="3" s="1"/>
  <c r="E4" i="3"/>
  <c r="D5" i="3" s="1"/>
  <c r="F3" i="3"/>
  <c r="C6" i="3" s="1"/>
  <c r="F4" i="3"/>
  <c r="D6" i="3" s="1"/>
  <c r="F5" i="3"/>
  <c r="E6" i="3" s="1"/>
  <c r="E67" i="15" l="1"/>
  <c r="E69" i="15"/>
  <c r="F69" i="15" s="1"/>
  <c r="D69" i="15"/>
  <c r="D68" i="15"/>
  <c r="E68" i="15"/>
  <c r="E70" i="15"/>
  <c r="F4" i="10"/>
  <c r="H43" i="1" s="1"/>
  <c r="K6" i="2"/>
  <c r="G41" i="1" s="1"/>
  <c r="G28" i="13" s="1"/>
  <c r="G37" i="13" s="1"/>
  <c r="F6" i="10"/>
  <c r="H45" i="1" s="1"/>
  <c r="F5" i="10"/>
  <c r="H44" i="1" s="1"/>
  <c r="F3" i="10"/>
  <c r="H42" i="1" s="1"/>
  <c r="H5" i="7"/>
  <c r="H5" i="9"/>
  <c r="H5" i="3"/>
  <c r="H4" i="9"/>
  <c r="H3" i="4"/>
  <c r="H5" i="8"/>
  <c r="H4" i="3"/>
  <c r="H4" i="7"/>
  <c r="K5" i="2"/>
  <c r="F41" i="1" s="1"/>
  <c r="F28" i="13" s="1"/>
  <c r="F37" i="13" s="1"/>
  <c r="K7" i="2"/>
  <c r="H41" i="1" s="1"/>
  <c r="H28" i="13" s="1"/>
  <c r="H37" i="13" s="1"/>
  <c r="K3" i="2"/>
  <c r="K4" i="2"/>
  <c r="E41" i="1" s="1"/>
  <c r="E28" i="13" s="1"/>
  <c r="E37" i="13" s="1"/>
  <c r="H6" i="3"/>
  <c r="H3" i="3"/>
  <c r="H6" i="7"/>
  <c r="H6" i="8"/>
  <c r="H4" i="8"/>
  <c r="H6" i="9"/>
  <c r="H3" i="9"/>
  <c r="H3" i="8"/>
  <c r="H3" i="7"/>
  <c r="H6" i="4"/>
  <c r="H5" i="4"/>
  <c r="C4" i="4"/>
  <c r="H4" i="4" s="1"/>
  <c r="F70" i="15" l="1"/>
  <c r="F68" i="15"/>
  <c r="F67" i="15"/>
  <c r="H46" i="13"/>
  <c r="H47" i="13"/>
  <c r="H48" i="13"/>
  <c r="H45" i="13"/>
  <c r="F45" i="13"/>
  <c r="F46" i="13"/>
  <c r="F48" i="13"/>
  <c r="F47" i="13"/>
  <c r="G45" i="13"/>
  <c r="G47" i="13"/>
  <c r="G48" i="13"/>
  <c r="G46" i="13"/>
  <c r="E45" i="13"/>
  <c r="E46" i="13"/>
  <c r="E48" i="13"/>
  <c r="E47" i="13"/>
  <c r="D41" i="1"/>
  <c r="D28" i="13" s="1"/>
  <c r="D37" i="13" s="1"/>
  <c r="C41" i="1"/>
  <c r="C28" i="13" s="1"/>
  <c r="C37" i="13" s="1"/>
  <c r="J3" i="7"/>
  <c r="J3" i="3"/>
  <c r="C42" i="1" s="1"/>
  <c r="J5" i="3"/>
  <c r="C44" i="1" s="1"/>
  <c r="J3" i="8"/>
  <c r="J4" i="3"/>
  <c r="C43" i="1" s="1"/>
  <c r="J3" i="9"/>
  <c r="G42" i="1" s="1"/>
  <c r="J6" i="3"/>
  <c r="C45" i="1" s="1"/>
  <c r="J6" i="9"/>
  <c r="G45" i="1" s="1"/>
  <c r="J5" i="9"/>
  <c r="G44" i="1" s="1"/>
  <c r="J4" i="9"/>
  <c r="G43" i="1" s="1"/>
  <c r="J4" i="8"/>
  <c r="J5" i="8"/>
  <c r="J6" i="8"/>
  <c r="J6" i="7"/>
  <c r="J4" i="7"/>
  <c r="J5" i="7"/>
  <c r="J3" i="4"/>
  <c r="D42" i="1" s="1"/>
  <c r="J4" i="4"/>
  <c r="D43" i="1" s="1"/>
  <c r="J6" i="4"/>
  <c r="D45" i="1" s="1"/>
  <c r="J5" i="4"/>
  <c r="D44" i="1" s="1"/>
  <c r="E55" i="13" l="1"/>
  <c r="E62" i="13"/>
  <c r="G55" i="13"/>
  <c r="G62" i="13"/>
  <c r="F55" i="13"/>
  <c r="F62" i="13"/>
  <c r="H55" i="13"/>
  <c r="H62" i="13"/>
  <c r="E53" i="13"/>
  <c r="E60" i="13"/>
  <c r="G54" i="13"/>
  <c r="G61" i="13"/>
  <c r="H61" i="13"/>
  <c r="H54" i="13"/>
  <c r="D46" i="13"/>
  <c r="D48" i="13"/>
  <c r="D45" i="13"/>
  <c r="D47" i="13"/>
  <c r="E59" i="13"/>
  <c r="E52" i="13"/>
  <c r="G52" i="13"/>
  <c r="F52" i="13"/>
  <c r="H53" i="13"/>
  <c r="H60" i="13"/>
  <c r="E61" i="13"/>
  <c r="E54" i="13"/>
  <c r="G59" i="13"/>
  <c r="G53" i="13"/>
  <c r="G60" i="13"/>
  <c r="F54" i="13"/>
  <c r="F61" i="13"/>
  <c r="H52" i="13"/>
  <c r="H59" i="13"/>
  <c r="C48" i="13"/>
  <c r="C45" i="13"/>
  <c r="C47" i="13"/>
  <c r="C46" i="13"/>
  <c r="F59" i="13"/>
  <c r="F60" i="13"/>
  <c r="F53" i="13"/>
  <c r="E42" i="1" a="1"/>
  <c r="E42" i="1" s="1"/>
  <c r="F42" i="1" a="1"/>
  <c r="F42" i="1" s="1"/>
  <c r="C48" i="1" l="1"/>
  <c r="I42" i="1" s="1"/>
  <c r="C51" i="1"/>
  <c r="I45" i="1" s="1"/>
  <c r="C54" i="13"/>
  <c r="C61" i="13"/>
  <c r="C59" i="13"/>
  <c r="C52" i="13"/>
  <c r="D60" i="13"/>
  <c r="D53" i="13"/>
  <c r="D62" i="13"/>
  <c r="D55" i="13"/>
  <c r="C62" i="13"/>
  <c r="C55" i="13"/>
  <c r="D61" i="13"/>
  <c r="D54" i="13"/>
  <c r="C60" i="13"/>
  <c r="I60" i="13" s="1"/>
  <c r="D67" i="13" s="1"/>
  <c r="C53" i="13"/>
  <c r="I53" i="13" s="1"/>
  <c r="C67" i="13" s="1"/>
  <c r="D52" i="13"/>
  <c r="D59" i="13"/>
  <c r="C50" i="1"/>
  <c r="I44" i="1" s="1"/>
  <c r="C49" i="1"/>
  <c r="I43" i="1" l="1"/>
  <c r="I52" i="13"/>
  <c r="C66" i="13" s="1"/>
  <c r="I55" i="13"/>
  <c r="C69" i="13" s="1"/>
  <c r="I61" i="13"/>
  <c r="D68" i="13" s="1"/>
  <c r="I59" i="13"/>
  <c r="E67" i="13"/>
  <c r="I62" i="13"/>
  <c r="I54" i="13"/>
  <c r="C68" i="13" s="1"/>
  <c r="E69" i="13" l="1"/>
  <c r="D69" i="13"/>
  <c r="E66" i="13"/>
  <c r="D66" i="13"/>
  <c r="E68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D29FC-2189-40DD-833F-34DC0679DC9A}" keepAlive="1" name="Query - BrewdogNew" description="Connection to the 'BrewdogNew' query in the workbook." type="5" refreshedVersion="7" background="1" saveData="1">
    <dbPr connection="Provider=Microsoft.Mashup.OleDb.1;Data Source=$Workbook$;Location=BrewdogNew;Extended Properties=&quot;&quot;" command="SELECT * FROM [BrewdogNew]"/>
  </connection>
  <connection id="2" xr16:uid="{1B2D84A4-EC39-483C-BC1D-92B528BAE2D7}" keepAlive="1" name="Query - BrewdogNew (2)" description="Connection to the 'BrewdogNew (2)' query in the workbook." type="5" refreshedVersion="7" background="1" saveData="1">
    <dbPr connection="Provider=Microsoft.Mashup.OleDb.1;Data Source=$Workbook$;Location=&quot;BrewdogNew (2)&quot;;Extended Properties=&quot;&quot;" command="SELECT * FROM [BrewdogNew (2)]"/>
  </connection>
  <connection id="3" xr16:uid="{BE97976D-7211-44F9-814B-56E098364E0B}" keepAlive="1" name="Query - BrewdogNew (3)" description="Connection to the 'BrewdogNew (3)' query in the workbook." type="5" refreshedVersion="7" background="1" saveData="1">
    <dbPr connection="Provider=Microsoft.Mashup.OleDb.1;Data Source=$Workbook$;Location=&quot;BrewdogNew (3)&quot;;Extended Properties=&quot;&quot;" command="SELECT * FROM [BrewdogNew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<sst xmlns="http://schemas.openxmlformats.org/spreadsheetml/2006/main" count="5473" uniqueCount="302">
  <si>
    <t>Initial table</t>
  </si>
  <si>
    <t>Criteria</t>
  </si>
  <si>
    <t>C1 (Public Transport Link)</t>
  </si>
  <si>
    <t>C2 (Parking)</t>
  </si>
  <si>
    <t>C3 (Warehouse Space)</t>
  </si>
  <si>
    <t>C5 (cost)</t>
  </si>
  <si>
    <t>C4 (Security)</t>
  </si>
  <si>
    <t>A1 (center)</t>
  </si>
  <si>
    <t>A2 (Suburb)</t>
  </si>
  <si>
    <t>A3 (Shared)</t>
  </si>
  <si>
    <t>A4 (Extend)</t>
  </si>
  <si>
    <t>Alternatives</t>
  </si>
  <si>
    <t>Good bus and rail links</t>
  </si>
  <si>
    <t>Good bus no rail link</t>
  </si>
  <si>
    <t>Poor bus but good rail link</t>
  </si>
  <si>
    <t>Excellent bus and rail links</t>
  </si>
  <si>
    <t>Poor</t>
  </si>
  <si>
    <t>Good</t>
  </si>
  <si>
    <t>Excellent</t>
  </si>
  <si>
    <t>Moderate</t>
  </si>
  <si>
    <t>***</t>
  </si>
  <si>
    <t>****</t>
  </si>
  <si>
    <t>**</t>
  </si>
  <si>
    <t>No rail link</t>
  </si>
  <si>
    <t>C11-Bus link</t>
  </si>
  <si>
    <t>C12-Rail link</t>
  </si>
  <si>
    <t>Likert scale</t>
  </si>
  <si>
    <t>Qualitative scale</t>
  </si>
  <si>
    <t>Fair</t>
  </si>
  <si>
    <t>Very good</t>
  </si>
  <si>
    <t>Likert for Saaty scale</t>
  </si>
  <si>
    <t>Quantitative scale(individual)</t>
  </si>
  <si>
    <t>*</t>
  </si>
  <si>
    <t>*****</t>
  </si>
  <si>
    <t>1/x</t>
  </si>
  <si>
    <t>Results</t>
  </si>
  <si>
    <t>Weights</t>
  </si>
  <si>
    <t>$CR</t>
  </si>
  <si>
    <t>[1] 0.05201514</t>
  </si>
  <si>
    <t>Priority Scale (abs(Xi-Xj)+1)</t>
  </si>
  <si>
    <t>Wi</t>
  </si>
  <si>
    <t>RSQRT(Sumsqr)</t>
  </si>
  <si>
    <t>PIS</t>
  </si>
  <si>
    <t>NIS</t>
  </si>
  <si>
    <t>Si*</t>
  </si>
  <si>
    <t>Si-</t>
  </si>
  <si>
    <t>Consistency Ratio (Crj)</t>
  </si>
  <si>
    <t>-</t>
  </si>
  <si>
    <t>AHP 
Final Score</t>
  </si>
  <si>
    <t>Normalised decision table</t>
  </si>
  <si>
    <t>Weighted normalized score</t>
  </si>
  <si>
    <t>TOPSIS final score</t>
  </si>
  <si>
    <t>fixed weight of Cj</t>
  </si>
  <si>
    <t>fixed Wi</t>
  </si>
  <si>
    <t>Name</t>
  </si>
  <si>
    <t>ABV</t>
  </si>
  <si>
    <t>IBU</t>
  </si>
  <si>
    <t>OG</t>
  </si>
  <si>
    <t>EBC</t>
  </si>
  <si>
    <t>PH</t>
  </si>
  <si>
    <t>AttenuationLevel</t>
  </si>
  <si>
    <t>FermentationTempCelsius</t>
  </si>
  <si>
    <t>Yeast</t>
  </si>
  <si>
    <t>Buzz</t>
  </si>
  <si>
    <t>Wyeast 1056 - American Ale</t>
  </si>
  <si>
    <t>Trashy Blonde</t>
  </si>
  <si>
    <t>Berliner Weisse With Yuzu - B-Sides</t>
  </si>
  <si>
    <t>Pilsen Lager</t>
  </si>
  <si>
    <t>Wyeast 2007 - Pilsen Lager</t>
  </si>
  <si>
    <t>Avery Brown Dredge</t>
  </si>
  <si>
    <t>Electric India</t>
  </si>
  <si>
    <t>Wyeast 3711 - French Saison</t>
  </si>
  <si>
    <t>Fake Lager</t>
  </si>
  <si>
    <t>Bramling X</t>
  </si>
  <si>
    <t>Misspent Youth</t>
  </si>
  <si>
    <t>Arcade Nation</t>
  </si>
  <si>
    <t>Movember</t>
  </si>
  <si>
    <t>Alpha Dog</t>
  </si>
  <si>
    <t>Libertine Porter</t>
  </si>
  <si>
    <t>AB:06</t>
  </si>
  <si>
    <t>Wyeast 1272 - American Ale II</t>
  </si>
  <si>
    <t>Russian Doll â€“ India Pale Ale</t>
  </si>
  <si>
    <t>Hello My Name Is Mette-Marit</t>
  </si>
  <si>
    <t>Devine Rebel (w/ Mikkeller)</t>
  </si>
  <si>
    <t>Storm</t>
  </si>
  <si>
    <t>Bad Pixie</t>
  </si>
  <si>
    <t>Skull Candy</t>
  </si>
  <si>
    <t>Dog B</t>
  </si>
  <si>
    <t>HBC 369</t>
  </si>
  <si>
    <t>10 Heads High</t>
  </si>
  <si>
    <t>Dana - IPA Is Dead</t>
  </si>
  <si>
    <t>Nanny State</t>
  </si>
  <si>
    <t>Sorachi Ace</t>
  </si>
  <si>
    <t>Bourbon Baby</t>
  </si>
  <si>
    <t>Berliner Weisse With Raspberries And Rhubarb - B-Sides</t>
  </si>
  <si>
    <t>Shipwrecker Circus (w/ Oskar Blues)</t>
  </si>
  <si>
    <t>Zephyr</t>
  </si>
  <si>
    <t>Kohatu - IPA Is Dead</t>
  </si>
  <si>
    <t>Hello My Name is Vladimir</t>
  </si>
  <si>
    <t>AB:17</t>
  </si>
  <si>
    <t>Hardcore IPA</t>
  </si>
  <si>
    <t>Dog Wired (w/8 Wired)</t>
  </si>
  <si>
    <t>The Physics</t>
  </si>
  <si>
    <t>Anarchist Alchemist</t>
  </si>
  <si>
    <t>AB:15</t>
  </si>
  <si>
    <t>Goldings - IPA Is Dead</t>
  </si>
  <si>
    <t>Lost Dog (w/Lost Abbey)</t>
  </si>
  <si>
    <t>TM10</t>
  </si>
  <si>
    <t>Paradox Islay</t>
  </si>
  <si>
    <t>Baby Dogma</t>
  </si>
  <si>
    <t>Albino Squid Assasin</t>
  </si>
  <si>
    <t>Amarillo - IPA Is Dead</t>
  </si>
  <si>
    <t>Black Eyed King Imp</t>
  </si>
  <si>
    <t>Prototype 27</t>
  </si>
  <si>
    <t>Coffee Imperial Stout</t>
  </si>
  <si>
    <t>Mandarina Bavaria - IPA Is Dead</t>
  </si>
  <si>
    <t>Dogma</t>
  </si>
  <si>
    <t>Magic Stone Dog (w/Magic Rock &amp; Stone Brewing Co.)</t>
  </si>
  <si>
    <t>AB:08</t>
  </si>
  <si>
    <t>Sunk Punk</t>
  </si>
  <si>
    <t>Sub Hop</t>
  </si>
  <si>
    <t>Bracken's Porter</t>
  </si>
  <si>
    <t>Hunter Foundation Pale Ale</t>
  </si>
  <si>
    <t>Hype</t>
  </si>
  <si>
    <t>Sunmaid Stout</t>
  </si>
  <si>
    <t>Pale - Russian Doll</t>
  </si>
  <si>
    <t>Whisky Sour - B-Sides</t>
  </si>
  <si>
    <t>Black Eyed King Imp - Vietnamese Coffee Edition</t>
  </si>
  <si>
    <t>Never Mind The Anabolics</t>
  </si>
  <si>
    <t>#Mashtag 2013</t>
  </si>
  <si>
    <t>Hobo Pop</t>
  </si>
  <si>
    <t>AB:18</t>
  </si>
  <si>
    <t>Hops Kill Nazis</t>
  </si>
  <si>
    <t>AB:04</t>
  </si>
  <si>
    <t>India Session Lager - Prototype Challenge</t>
  </si>
  <si>
    <t>Hopped-Up Brown Ale - Prototype Challenge</t>
  </si>
  <si>
    <t>Comet</t>
  </si>
  <si>
    <t>Baby Saison - B-Sides</t>
  </si>
  <si>
    <t>Santa Paws</t>
  </si>
  <si>
    <t>Alpha Pop</t>
  </si>
  <si>
    <t>Citra</t>
  </si>
  <si>
    <t>#Mashtag 2015</t>
  </si>
  <si>
    <t>Dead Pony Club</t>
  </si>
  <si>
    <t>Mango Gose - B-Sides</t>
  </si>
  <si>
    <t>Everday Anarchy</t>
  </si>
  <si>
    <t>Peroxide Punk</t>
  </si>
  <si>
    <t>Lumberjack Stout</t>
  </si>
  <si>
    <t>Pumpkin King</t>
  </si>
  <si>
    <t>Hello My Name Is PaÌˆivi</t>
  </si>
  <si>
    <t>Elvis Juice V2.0 - Prototype Challenge</t>
  </si>
  <si>
    <t>Riptide</t>
  </si>
  <si>
    <t>Clown King</t>
  </si>
  <si>
    <t>Hello My Name Is Beastie</t>
  </si>
  <si>
    <t>Punk IPA 2010 - Current</t>
  </si>
  <si>
    <t>HBC 366 - IPA Is Dead</t>
  </si>
  <si>
    <t>American Ale</t>
  </si>
  <si>
    <t>Cocoa Psycho</t>
  </si>
  <si>
    <t>Truffle and Chocolate Stout - B-Sides</t>
  </si>
  <si>
    <t>Vagabond Pilsner</t>
  </si>
  <si>
    <t>Hello My Name Is Ingrid</t>
  </si>
  <si>
    <t>U-Boat (w/ Victory Brewing)</t>
  </si>
  <si>
    <t>Melon And Cucumber IPA - B-Sides</t>
  </si>
  <si>
    <t>Morag's Mojito - B-Sides</t>
  </si>
  <si>
    <t>Bounty Hunter - Shareholder Brew</t>
  </si>
  <si>
    <t>AB:10</t>
  </si>
  <si>
    <t>Dog Fight (w/ Flying Dog)</t>
  </si>
  <si>
    <t>Candy Kaiser</t>
  </si>
  <si>
    <t>Chaos Theory</t>
  </si>
  <si>
    <t>Jet Black Heart</t>
  </si>
  <si>
    <t>Galaxy</t>
  </si>
  <si>
    <t>Hinterland</t>
  </si>
  <si>
    <t>Spiced Cherry Sour - B-Sides</t>
  </si>
  <si>
    <t>Motueka</t>
  </si>
  <si>
    <t>5am Saint</t>
  </si>
  <si>
    <t>Black Eye Joe (w/ Stone Brewing Co)</t>
  </si>
  <si>
    <t>Mr.Miyagi's Wasabi Stout</t>
  </si>
  <si>
    <t>Growler</t>
  </si>
  <si>
    <t>#Mashtag 2014</t>
  </si>
  <si>
    <t>Sink The Bismarck!</t>
  </si>
  <si>
    <t>Dog A</t>
  </si>
  <si>
    <t>Born To Die</t>
  </si>
  <si>
    <t>Pioneer - IPA Is Dead</t>
  </si>
  <si>
    <t>Cap Dog (w/ Cap Brewery)</t>
  </si>
  <si>
    <t>Orange Blossom - B-Sides</t>
  </si>
  <si>
    <t>Lizard Bride - Prototype Challenge</t>
  </si>
  <si>
    <t>Sorachi Bitter - B-Sides</t>
  </si>
  <si>
    <t>Nelson Sauvin</t>
  </si>
  <si>
    <t>Hello My Name Is Little Ingrid</t>
  </si>
  <si>
    <t>AB:02</t>
  </si>
  <si>
    <t>AB:03</t>
  </si>
  <si>
    <t>AB:13</t>
  </si>
  <si>
    <t>Rhubarb Saison - B-Sides</t>
  </si>
  <si>
    <t>Deaf Mermaid - B-Sides</t>
  </si>
  <si>
    <t>No Label</t>
  </si>
  <si>
    <t>Old World Russian Imperial Stout</t>
  </si>
  <si>
    <t>Hoppy Christmas</t>
  </si>
  <si>
    <t>Edge</t>
  </si>
  <si>
    <t>Hello My Name Is ZeÌ (w/ 2CabecÌ§as)</t>
  </si>
  <si>
    <t>Black Tokyo Horizon (w/NÃ¸gne Ã˜ &amp; Mikkeller)</t>
  </si>
  <si>
    <t>Restorative Beverage For Invalids And Convalescents</t>
  </si>
  <si>
    <t>77 Lager</t>
  </si>
  <si>
    <t>This. Is. Lager</t>
  </si>
  <si>
    <t>Ella - IPA Is Dead</t>
  </si>
  <si>
    <t>Barley Wine - Russian Doll</t>
  </si>
  <si>
    <t>Vagabond Pale ALe - Prototype Challenge</t>
  </si>
  <si>
    <t>Libertine Black Ale</t>
  </si>
  <si>
    <t>Jack Hammer</t>
  </si>
  <si>
    <t>Challenger</t>
  </si>
  <si>
    <t>Chinook - IPA Is Dead</t>
  </si>
  <si>
    <t>Konnichiwa Kitsune</t>
  </si>
  <si>
    <t>San Diego Scotch Ale (w/Ballast Point)</t>
  </si>
  <si>
    <t>Old World India Pale Ale</t>
  </si>
  <si>
    <t>Dog D</t>
  </si>
  <si>
    <t>Simcoe</t>
  </si>
  <si>
    <t>Doodlebug</t>
  </si>
  <si>
    <t>Vic Secret</t>
  </si>
  <si>
    <t>All Day Long - Prototype Challenge</t>
  </si>
  <si>
    <t>Nuns With Guns</t>
  </si>
  <si>
    <t>Jasmine IPA</t>
  </si>
  <si>
    <t>Lichtenstein Pale Ale</t>
  </si>
  <si>
    <t>Paradox Jura</t>
  </si>
  <si>
    <t>AB:11</t>
  </si>
  <si>
    <t>Hello My Name is Sonja (w/ Evil Twin)</t>
  </si>
  <si>
    <t>Interstellar</t>
  </si>
  <si>
    <t>Punk IPA 2007 - 2010</t>
  </si>
  <si>
    <t>Blitz Berliner Weisse</t>
  </si>
  <si>
    <t>Hardkogt IPA</t>
  </si>
  <si>
    <t>Hello My Name Is Holy Moose</t>
  </si>
  <si>
    <t>Catherine's Pony (w/ Beavertown)</t>
  </si>
  <si>
    <t>Moshi Moshi 15</t>
  </si>
  <si>
    <t>Alice Porter</t>
  </si>
  <si>
    <t>Double IPA - Russian Doll</t>
  </si>
  <si>
    <t>Waimea - IPA Is Dead</t>
  </si>
  <si>
    <t>Dog C</t>
  </si>
  <si>
    <t>Bitch Please (w/ 3 Floyds)</t>
  </si>
  <si>
    <t>Shareholder Black IPA 2011</t>
  </si>
  <si>
    <t>Black Jacques</t>
  </si>
  <si>
    <t>International Arms Race (w/ Flying Dog)</t>
  </si>
  <si>
    <t>Sunshine On Rye - B-Sides</t>
  </si>
  <si>
    <t>Stereo Wolf Stout - Prototype Challenge</t>
  </si>
  <si>
    <t>Dead Metaphor</t>
  </si>
  <si>
    <t>Black Dog</t>
  </si>
  <si>
    <t>Hop Fiction - Prototype Challenge</t>
  </si>
  <si>
    <t>El Dorado - IPA Is Dead</t>
  </si>
  <si>
    <t>Brixton Porter</t>
  </si>
  <si>
    <t>Barrel Aged Hinterland</t>
  </si>
  <si>
    <t>Barrel Aged Albino Squid Assassin</t>
  </si>
  <si>
    <t>Ship Wreck</t>
  </si>
  <si>
    <t>Ace Of Simcoe</t>
  </si>
  <si>
    <t>Blitz Series</t>
  </si>
  <si>
    <t>Dog E</t>
  </si>
  <si>
    <t>Prototype Pils 2.0</t>
  </si>
  <si>
    <t>AB:20</t>
  </si>
  <si>
    <t>Paradox Islay 2.0</t>
  </si>
  <si>
    <t>Chili Hammer</t>
  </si>
  <si>
    <t>Brewdog Vs Beavertown</t>
  </si>
  <si>
    <t>Prototype Helles</t>
  </si>
  <si>
    <t>Rye Hammer</t>
  </si>
  <si>
    <t>Black Hammer</t>
  </si>
  <si>
    <t>Ace Of Chinook</t>
  </si>
  <si>
    <t>Ace Of Equinox</t>
  </si>
  <si>
    <t>Ace Of Citra</t>
  </si>
  <si>
    <t>Neon Overlord</t>
  </si>
  <si>
    <t>ABV vs IBU</t>
  </si>
  <si>
    <t>ABV VS OG</t>
  </si>
  <si>
    <t>ABV vs EBC</t>
  </si>
  <si>
    <t>ABV vs PH</t>
  </si>
  <si>
    <t>ABV vs Att</t>
  </si>
  <si>
    <t>ABV vs Fer</t>
  </si>
  <si>
    <t>ABV vs Yea</t>
  </si>
  <si>
    <t>Mean</t>
  </si>
  <si>
    <t>Upper bond</t>
  </si>
  <si>
    <t>Lower bond</t>
  </si>
  <si>
    <t>Column1</t>
  </si>
  <si>
    <t>0</t>
  </si>
  <si>
    <t>Average</t>
  </si>
  <si>
    <t>Sample average</t>
  </si>
  <si>
    <t>Total Average</t>
  </si>
  <si>
    <t>correlation abv</t>
  </si>
  <si>
    <t xml:space="preserve">ibu </t>
  </si>
  <si>
    <t>o</t>
  </si>
  <si>
    <t>multiple imputation</t>
  </si>
  <si>
    <t>subset correlation eith correlation missing values</t>
  </si>
  <si>
    <t>if don’t correlation simple if not mulyiple</t>
  </si>
  <si>
    <t xml:space="preserve">ebc </t>
  </si>
  <si>
    <t>missing ABV data</t>
  </si>
  <si>
    <t>Column2</t>
  </si>
  <si>
    <t>ABV is missing</t>
  </si>
  <si>
    <t/>
  </si>
  <si>
    <t>Pearson correlation</t>
  </si>
  <si>
    <t>EBC VS OG</t>
  </si>
  <si>
    <t>EBC vs IBU</t>
  </si>
  <si>
    <t>EBC vs PH</t>
  </si>
  <si>
    <t>EBC vs Att</t>
  </si>
  <si>
    <t>EBC vs Fer</t>
  </si>
  <si>
    <t>EBC vs Yea</t>
  </si>
  <si>
    <t>EBC vs ABV</t>
  </si>
  <si>
    <t>Y2</t>
  </si>
  <si>
    <t>Y3</t>
  </si>
  <si>
    <t>Y4</t>
  </si>
  <si>
    <t>name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</si>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</sst>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_);_(* \(#,##0.0000\);_(* &quot;-&quot;??_);_(@_)"/>
    <numFmt numFmtId="167" formatCode="_(* #,##0.0000000_);_(* \(#,##0.0000000\);_(* &quot;-&quot;??_);_(@_)"/>
    <numFmt numFmtId="168" formatCode="0.0%"/>
    <numFmt numFmtId="169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0" fontId="0" fillId="0" borderId="0" xfId="0" applyFill="1"/>
    <xf numFmtId="165" fontId="0" fillId="0" borderId="0" xfId="1" applyNumberFormat="1" applyFont="1" applyFill="1"/>
    <xf numFmtId="43" fontId="0" fillId="0" borderId="0" xfId="0" applyNumberFormat="1"/>
    <xf numFmtId="167" fontId="0" fillId="0" borderId="0" xfId="0" applyNumberFormat="1"/>
    <xf numFmtId="0" fontId="0" fillId="0" borderId="0" xfId="0" applyAlignment="1">
      <alignment vertical="center"/>
    </xf>
    <xf numFmtId="166" fontId="0" fillId="0" borderId="0" xfId="1" applyNumberFormat="1" applyFont="1"/>
    <xf numFmtId="0" fontId="3" fillId="0" borderId="0" xfId="0" applyFont="1"/>
    <xf numFmtId="0" fontId="2" fillId="0" borderId="0" xfId="0" applyFont="1"/>
    <xf numFmtId="168" fontId="0" fillId="0" borderId="0" xfId="2" applyNumberFormat="1" applyFont="1"/>
    <xf numFmtId="10" fontId="0" fillId="0" borderId="0" xfId="2" applyNumberFormat="1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0" applyNumberFormat="1" applyBorder="1" applyAlignment="1">
      <alignment vertical="center"/>
    </xf>
    <xf numFmtId="16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8" fontId="0" fillId="0" borderId="0" xfId="2" applyNumberFormat="1" applyFont="1" applyFill="1"/>
    <xf numFmtId="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10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3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4" fillId="5" borderId="2" xfId="0" applyFont="1" applyFill="1" applyBorder="1"/>
    <xf numFmtId="0" fontId="0" fillId="2" borderId="0" xfId="0" applyNumberFormat="1" applyFill="1"/>
    <xf numFmtId="2" fontId="0" fillId="0" borderId="0" xfId="1" applyNumberFormat="1" applyFont="1"/>
    <xf numFmtId="2" fontId="0" fillId="0" borderId="0" xfId="1" applyNumberFormat="1" applyFont="1" applyFill="1"/>
    <xf numFmtId="2" fontId="1" fillId="0" borderId="0" xfId="0" applyNumberFormat="1" applyFont="1"/>
    <xf numFmtId="2" fontId="0" fillId="2" borderId="0" xfId="0" applyNumberFormat="1" applyFill="1"/>
    <xf numFmtId="2" fontId="0" fillId="0" borderId="0" xfId="0" applyNumberFormat="1" applyFont="1"/>
    <xf numFmtId="2" fontId="4" fillId="5" borderId="2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7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Final score and preference percentage</a:t>
            </a:r>
            <a:r>
              <a:rPr lang="en-US" sz="1100" baseline="0"/>
              <a:t> of best alternative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19B1436-A699-416F-B0B5-8796ADA5BB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636-4E33-AA51-3C2B3A3A4C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18BB65-7F0C-4B60-9533-A9852BCB28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636-4E33-AA51-3C2B3A3A4C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C27C2F9-F6E0-4FDF-B7D6-2DD24F049F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636-4E33-AA51-3C2B3A3A4C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7EC48F1-4511-4FE8-AC97-4C66A75D8A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636-4E33-AA51-3C2B3A3A4C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AHP!$B$48:$B$51</c:f>
              <c:strCache>
                <c:ptCount val="4"/>
                <c:pt idx="0">
                  <c:v>A1 (center)</c:v>
                </c:pt>
                <c:pt idx="1">
                  <c:v>A2 (Suburb)</c:v>
                </c:pt>
                <c:pt idx="2">
                  <c:v>A3 (Shared)</c:v>
                </c:pt>
                <c:pt idx="3">
                  <c:v>A4 (Extend)</c:v>
                </c:pt>
              </c:strCache>
            </c:strRef>
          </c:cat>
          <c:val>
            <c:numRef>
              <c:f>AHP!$C$48:$C$51</c:f>
              <c:numCache>
                <c:formatCode>_(* #,##0.0000_);_(* \(#,##0.0000\);_(* "-"??_);_(@_)</c:formatCode>
                <c:ptCount val="4"/>
                <c:pt idx="0">
                  <c:v>0.12327871895902301</c:v>
                </c:pt>
                <c:pt idx="1">
                  <c:v>0.30359258756297658</c:v>
                </c:pt>
                <c:pt idx="2">
                  <c:v>0.28885729844606556</c:v>
                </c:pt>
                <c:pt idx="3">
                  <c:v>0.28427139503193471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AHP!$D$48:$D$51</c15:f>
                <c15:dlblRangeCache>
                  <c:ptCount val="4"/>
                  <c:pt idx="0">
                    <c:v>-146.3%</c:v>
                  </c:pt>
                  <c:pt idx="1">
                    <c:v>0.0%</c:v>
                  </c:pt>
                  <c:pt idx="2">
                    <c:v>-5.1%</c:v>
                  </c:pt>
                  <c:pt idx="3">
                    <c:v>-6.8%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EFC-428C-AD46-F7DF25655D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15921536"/>
        <c:axId val="515919456"/>
      </c:barChart>
      <c:catAx>
        <c:axId val="51592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19456"/>
        <c:crosses val="autoZero"/>
        <c:auto val="1"/>
        <c:lblAlgn val="ctr"/>
        <c:lblOffset val="100"/>
        <c:noMultiLvlLbl val="0"/>
      </c:catAx>
      <c:valAx>
        <c:axId val="51591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Alternatives'</a:t>
            </a:r>
            <a:r>
              <a:rPr lang="en-US" baseline="0"/>
              <a:t> score sensivity to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'AHP (Sensitivity)'!$K$44</c:f>
              <c:strCache>
                <c:ptCount val="1"/>
                <c:pt idx="0">
                  <c:v>A2 (Suburb)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'AHP (Sensitivity)'!$O$42:$W$42</c:f>
              <c:numCache>
                <c:formatCode>0.00%</c:formatCode>
                <c:ptCount val="9"/>
                <c:pt idx="0">
                  <c:v>2.5000000000000001E-2</c:v>
                </c:pt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</c:numCache>
            </c:numRef>
          </c:cat>
          <c:val>
            <c:numRef>
              <c:f>'AHP (Sensitivity)'!$O$44:$W$44</c:f>
              <c:numCache>
                <c:formatCode>General</c:formatCode>
                <c:ptCount val="9"/>
                <c:pt idx="0">
                  <c:v>0.30229878949420425</c:v>
                </c:pt>
                <c:pt idx="1">
                  <c:v>0.30204002988044976</c:v>
                </c:pt>
                <c:pt idx="2">
                  <c:v>0.30178127026669532</c:v>
                </c:pt>
                <c:pt idx="3">
                  <c:v>0.30152251065294083</c:v>
                </c:pt>
                <c:pt idx="4">
                  <c:v>0.30126375103918634</c:v>
                </c:pt>
                <c:pt idx="5">
                  <c:v>0.30100499142543191</c:v>
                </c:pt>
                <c:pt idx="6">
                  <c:v>0.30074623181167742</c:v>
                </c:pt>
                <c:pt idx="7">
                  <c:v>0.30048747219792299</c:v>
                </c:pt>
                <c:pt idx="8">
                  <c:v>0.30022871258416856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2-486A-97F4-DE64776770B9}"/>
            </c:ext>
          </c:extLst>
        </c:ser>
        <c:ser>
          <c:idx val="1"/>
          <c:order val="1"/>
          <c:tx>
            <c:strRef>
              <c:f>'AHP (Sensitivity)'!$K$45</c:f>
              <c:strCache>
                <c:ptCount val="1"/>
                <c:pt idx="0">
                  <c:v>A3 (Shared)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'AHP (Sensitivity)'!$O$42:$W$42</c:f>
              <c:numCache>
                <c:formatCode>0.00%</c:formatCode>
                <c:ptCount val="9"/>
                <c:pt idx="0">
                  <c:v>2.5000000000000001E-2</c:v>
                </c:pt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</c:numCache>
            </c:numRef>
          </c:cat>
          <c:val>
            <c:numRef>
              <c:f>'AHP (Sensitivity)'!$O$45:$W$45</c:f>
              <c:numCache>
                <c:formatCode>General</c:formatCode>
                <c:ptCount val="9"/>
                <c:pt idx="0">
                  <c:v>0.29422789922551817</c:v>
                </c:pt>
                <c:pt idx="1">
                  <c:v>0.29530201938140865</c:v>
                </c:pt>
                <c:pt idx="2">
                  <c:v>0.29637613953729919</c:v>
                </c:pt>
                <c:pt idx="3">
                  <c:v>0.29745025969318972</c:v>
                </c:pt>
                <c:pt idx="4">
                  <c:v>0.2985243798490802</c:v>
                </c:pt>
                <c:pt idx="5">
                  <c:v>0.29959850000497074</c:v>
                </c:pt>
                <c:pt idx="6">
                  <c:v>0.30067262016086127</c:v>
                </c:pt>
                <c:pt idx="7">
                  <c:v>0.30174674031675175</c:v>
                </c:pt>
                <c:pt idx="8">
                  <c:v>0.30282086047264223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2-486A-97F4-DE64776770B9}"/>
            </c:ext>
          </c:extLst>
        </c:ser>
        <c:ser>
          <c:idx val="2"/>
          <c:order val="2"/>
          <c:tx>
            <c:strRef>
              <c:f>'AHP (Sensitivity)'!$K$46</c:f>
              <c:strCache>
                <c:ptCount val="1"/>
                <c:pt idx="0">
                  <c:v>A4 (Extend)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'AHP (Sensitivity)'!$O$42:$W$42</c:f>
              <c:numCache>
                <c:formatCode>0.00%</c:formatCode>
                <c:ptCount val="9"/>
                <c:pt idx="0">
                  <c:v>2.5000000000000001E-2</c:v>
                </c:pt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</c:numCache>
            </c:numRef>
          </c:cat>
          <c:val>
            <c:numRef>
              <c:f>'AHP (Sensitivity)'!$O$46:$W$46</c:f>
              <c:numCache>
                <c:formatCode>General</c:formatCode>
                <c:ptCount val="9"/>
                <c:pt idx="0">
                  <c:v>0.29227505004486143</c:v>
                </c:pt>
                <c:pt idx="1">
                  <c:v>0.29387578104744677</c:v>
                </c:pt>
                <c:pt idx="2">
                  <c:v>0.29547651205003211</c:v>
                </c:pt>
                <c:pt idx="3">
                  <c:v>0.2970772430526174</c:v>
                </c:pt>
                <c:pt idx="4">
                  <c:v>0.2986779740552028</c:v>
                </c:pt>
                <c:pt idx="5">
                  <c:v>0.30027870505778809</c:v>
                </c:pt>
                <c:pt idx="6">
                  <c:v>0.30187943606037343</c:v>
                </c:pt>
                <c:pt idx="7">
                  <c:v>0.30348016706295877</c:v>
                </c:pt>
                <c:pt idx="8">
                  <c:v>0.30508089806554411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2-486A-97F4-DE6477677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663439"/>
        <c:axId val="731663855"/>
      </c:lineChart>
      <c:catAx>
        <c:axId val="731663439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63855"/>
        <c:crosses val="autoZero"/>
        <c:auto val="1"/>
        <c:lblAlgn val="ctr"/>
        <c:lblOffset val="100"/>
        <c:noMultiLvlLbl val="0"/>
      </c:catAx>
      <c:valAx>
        <c:axId val="731663855"/>
        <c:scaling>
          <c:orientation val="minMax"/>
          <c:min val="0.285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baseline="0">
                <a:effectLst/>
              </a:rPr>
              <a:t>TOPSIS final score and preference percentage of best alternative</a:t>
            </a:r>
            <a:endParaRPr lang="en-US" sz="9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DBDBA01-6A24-4611-A30A-01A293CBC1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43B-454E-806C-E70BE26448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3C3532F-F48A-4A31-924E-438AC04766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43B-454E-806C-E70BE26448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5B95682-A2E1-4E63-A1D2-5D8C49956D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43B-454E-806C-E70BE26448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523A962-9954-47B9-B502-22EB7DA188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43B-454E-806C-E70BE26448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TOPSIS!$B$66:$B$69</c:f>
              <c:strCache>
                <c:ptCount val="4"/>
                <c:pt idx="0">
                  <c:v>A1 (center)</c:v>
                </c:pt>
                <c:pt idx="1">
                  <c:v>A2 (Suburb)</c:v>
                </c:pt>
                <c:pt idx="2">
                  <c:v>A3 (Shared)</c:v>
                </c:pt>
                <c:pt idx="3">
                  <c:v>A4 (Extend)</c:v>
                </c:pt>
              </c:strCache>
            </c:strRef>
          </c:cat>
          <c:val>
            <c:numRef>
              <c:f>TOPSIS!$E$66:$E$69</c:f>
              <c:numCache>
                <c:formatCode>0.000</c:formatCode>
                <c:ptCount val="4"/>
                <c:pt idx="0">
                  <c:v>0.11880582704393962</c:v>
                </c:pt>
                <c:pt idx="1">
                  <c:v>0.47726936866626296</c:v>
                </c:pt>
                <c:pt idx="2">
                  <c:v>0.79215943888482421</c:v>
                </c:pt>
                <c:pt idx="3">
                  <c:v>0.74182644036579914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TOPSIS!$F$66:$F$69</c15:f>
                <c15:dlblRangeCache>
                  <c:ptCount val="4"/>
                  <c:pt idx="0">
                    <c:v>-566.8%</c:v>
                  </c:pt>
                  <c:pt idx="1">
                    <c:v>-66.0%</c:v>
                  </c:pt>
                  <c:pt idx="2">
                    <c:v>0.0%</c:v>
                  </c:pt>
                  <c:pt idx="3">
                    <c:v>-6.8%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43B-454E-806C-E70BE26448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89338079"/>
        <c:axId val="1189350559"/>
      </c:barChart>
      <c:catAx>
        <c:axId val="1189338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50559"/>
        <c:crosses val="autoZero"/>
        <c:auto val="1"/>
        <c:lblAlgn val="ctr"/>
        <c:lblOffset val="100"/>
        <c:noMultiLvlLbl val="0"/>
      </c:catAx>
      <c:valAx>
        <c:axId val="118935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3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baseline="0">
                <a:effectLst/>
              </a:rPr>
              <a:t>TOPSIS final score and preference percentage of best alternative</a:t>
            </a:r>
            <a:endParaRPr lang="en-US" sz="9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BC78A33-6A7E-4F91-A46E-9125FB0B21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F5-4BD2-A668-0370613CCB5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B84C1FD-AE42-417F-AEC1-A152FD7A3B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2F5-4BD2-A668-0370613CCB5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1546FF7-81CC-4F67-B0ED-D9759220F7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2F5-4BD2-A668-0370613CCB5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BF949E7-3975-47F1-91CF-574B5A159B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2F5-4BD2-A668-0370613CCB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'TOPSIS (sensitivity)'!$B$67:$B$70</c:f>
              <c:strCache>
                <c:ptCount val="4"/>
                <c:pt idx="0">
                  <c:v>A1 (center)</c:v>
                </c:pt>
                <c:pt idx="1">
                  <c:v>A2 (Suburb)</c:v>
                </c:pt>
                <c:pt idx="2">
                  <c:v>A3 (Shared)</c:v>
                </c:pt>
                <c:pt idx="3">
                  <c:v>A4 (Extend)</c:v>
                </c:pt>
              </c:strCache>
            </c:strRef>
          </c:cat>
          <c:val>
            <c:numRef>
              <c:f>'TOPSIS (sensitivity)'!$E$67:$E$70</c:f>
              <c:numCache>
                <c:formatCode>0.000</c:formatCode>
                <c:ptCount val="4"/>
                <c:pt idx="0">
                  <c:v>5.5026757356465464E-2</c:v>
                </c:pt>
                <c:pt idx="1">
                  <c:v>0.39071571189616799</c:v>
                </c:pt>
                <c:pt idx="2">
                  <c:v>0.87513332286988099</c:v>
                </c:pt>
                <c:pt idx="3">
                  <c:v>0.8750290019113719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'TOPSIS (sensitivity)'!$F$67:$F$70</c15:f>
                <c15:dlblRangeCache>
                  <c:ptCount val="4"/>
                  <c:pt idx="0">
                    <c:v>-1490.4%</c:v>
                  </c:pt>
                  <c:pt idx="1">
                    <c:v>-124.0%</c:v>
                  </c:pt>
                  <c:pt idx="2">
                    <c:v>0.0%</c:v>
                  </c:pt>
                  <c:pt idx="3">
                    <c:v>0.0%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82F5-4BD2-A668-0370613CCB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89338079"/>
        <c:axId val="1189350559"/>
      </c:barChart>
      <c:catAx>
        <c:axId val="1189338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50559"/>
        <c:crosses val="autoZero"/>
        <c:auto val="1"/>
        <c:lblAlgn val="ctr"/>
        <c:lblOffset val="100"/>
        <c:noMultiLvlLbl val="0"/>
      </c:catAx>
      <c:valAx>
        <c:axId val="118935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3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48</xdr:row>
      <xdr:rowOff>42862</xdr:rowOff>
    </xdr:from>
    <xdr:to>
      <xdr:col>10</xdr:col>
      <xdr:colOff>466725</xdr:colOff>
      <xdr:row>62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06524D-46AA-4BF6-99DE-69C8F3803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46</xdr:row>
      <xdr:rowOff>52387</xdr:rowOff>
    </xdr:from>
    <xdr:to>
      <xdr:col>19</xdr:col>
      <xdr:colOff>476250</xdr:colOff>
      <xdr:row>60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9C39BB-37C3-410C-8D9A-321EDE53A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63</xdr:row>
      <xdr:rowOff>95250</xdr:rowOff>
    </xdr:from>
    <xdr:to>
      <xdr:col>13</xdr:col>
      <xdr:colOff>85724</xdr:colOff>
      <xdr:row>76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1A1B8-E319-4B71-B5CD-355DA6912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371474</xdr:colOff>
      <xdr:row>64</xdr:row>
      <xdr:rowOff>171450</xdr:rowOff>
    </xdr:from>
    <xdr:to>
      <xdr:col>17</xdr:col>
      <xdr:colOff>400049</xdr:colOff>
      <xdr:row>78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004F9-F878-4DDA-964F-137923C8E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E4C18F-2903-43B7-9E2F-77B75DCFFF2E}" autoFormatId="16" applyNumberFormats="0" applyBorderFormats="0" applyFontFormats="0" applyPatternFormats="0" applyAlignmentFormats="0" applyWidthHeightFormats="0">
  <queryTableRefresh nextId="24" unboundColumnsRight="12">
    <queryTableFields count="23">
      <queryTableField id="1" name="Name" tableColumnId="1"/>
      <queryTableField id="2" name="ABV" tableColumnId="2"/>
      <queryTableField id="22" dataBound="0" tableColumnId="23"/>
      <queryTableField id="3" name="IBU" tableColumnId="3"/>
      <queryTableField id="4" name="OG" tableColumnId="4"/>
      <queryTableField id="5" name="EBC" tableColumnId="5"/>
      <queryTableField id="23" dataBound="0" tableColumnId="24"/>
      <queryTableField id="6" name="PH" tableColumnId="6"/>
      <queryTableField id="7" name="AttenuationLevel" tableColumnId="7"/>
      <queryTableField id="8" name="FermentationTempCelsius" tableColumnId="8"/>
      <queryTableField id="9" name="Yeast" tableColumnId="9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2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60AFEC-E29D-4C11-9406-5FA09635D186}" autoFormatId="16" applyNumberFormats="0" applyBorderFormats="0" applyFontFormats="0" applyPatternFormats="0" applyAlignmentFormats="0" applyWidthHeightFormats="0">
  <queryTableRefresh nextId="23" unboundColumnsRight="12">
    <queryTableFields count="22">
      <queryTableField id="1" name="Name" tableColumnId="1"/>
      <queryTableField id="2" name="ABV" tableColumnId="2"/>
      <queryTableField id="22" dataBound="0" tableColumnId="23"/>
      <queryTableField id="3" name="IBU" tableColumnId="3"/>
      <queryTableField id="4" name="OG" tableColumnId="4"/>
      <queryTableField id="5" name="EBC" tableColumnId="5"/>
      <queryTableField id="6" name="PH" tableColumnId="6"/>
      <queryTableField id="7" name="AttenuationLevel" tableColumnId="7"/>
      <queryTableField id="8" name="FermentationTempCelsius" tableColumnId="8"/>
      <queryTableField id="9" name="Yeast" tableColumnId="9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2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BD8064E-6C3E-44C9-AF77-3AB2CA3DA8FA}" autoFormatId="16" applyNumberFormats="0" applyBorderFormats="0" applyFontFormats="0" applyPatternFormats="0" applyAlignmentFormats="0" applyWidthHeightFormats="0">
  <queryTableRefresh nextId="23" unboundColumnsRight="4">
    <queryTableFields count="12">
      <queryTableField id="1" name="Name" tableColumnId="1"/>
      <queryTableField id="2" name="ABV" tableColumnId="2"/>
      <queryTableField id="3" name="IBU" tableColumnId="3"/>
      <queryTableField id="4" name="OG" tableColumnId="4"/>
      <queryTableField id="5" name="EBC" tableColumnId="5"/>
      <queryTableField id="6" name="PH" tableColumnId="6"/>
      <queryTableField id="7" name="AttenuationLevel" tableColumnId="7"/>
      <queryTableField id="8" name="FermentationTempCelsius" tableColumnId="8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  <queryTableDeletedFields count="1">
      <deletedField name="Yea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BCEE5-0333-4FBB-846F-9AE4E8456B5F}" name="BrewdogNew3" displayName="BrewdogNew3" ref="A1:W198" tableType="queryTable" totalsRowCount="1">
  <autoFilter ref="A1:W197" xr:uid="{D9FE1806-FEDB-46AA-8CBF-3CBD8A197178}"/>
  <tableColumns count="23">
    <tableColumn id="1" xr3:uid="{7EBF4441-D5B7-4AF0-8697-9F19E9CB1A58}" uniqueName="1" name="Name" queryTableFieldId="1" dataDxfId="53" totalsRowDxfId="38"/>
    <tableColumn id="2" xr3:uid="{8186DA0B-EE3A-472C-B8C6-A553BFE9F378}" uniqueName="2" name="ABV" totalsRowFunction="custom" queryTableFieldId="2">
      <totalsRowFormula>COUNTIF(BrewdogNew3[ABV],"*")</totalsRowFormula>
    </tableColumn>
    <tableColumn id="23" xr3:uid="{A2B579D9-94CD-403A-96D4-62E8E22BF50D}" uniqueName="23" name="ABV is missing" queryTableFieldId="22" dataDxfId="52" totalsRowDxfId="37"/>
    <tableColumn id="3" xr3:uid="{9DD5644D-D651-4E1E-8E4A-AD3339FC905C}" uniqueName="3" name="IBU" totalsRowFunction="custom" queryTableFieldId="3">
      <totalsRowFormula>COUNTIF(BrewdogNew3[IBU],"*")</totalsRowFormula>
    </tableColumn>
    <tableColumn id="4" xr3:uid="{7A9BD951-CE33-42CF-BEA6-049B2B177777}" uniqueName="4" name="OG" totalsRowFunction="custom" queryTableFieldId="4">
      <totalsRowFormula>COUNTIF(BrewdogNew3[OG],"*")</totalsRowFormula>
    </tableColumn>
    <tableColumn id="5" xr3:uid="{3AFB5927-CBDA-4A43-BA93-94CBDD4B7BB9}" uniqueName="5" name="EBC" totalsRowFunction="custom" queryTableFieldId="5">
      <totalsRowFormula>COUNTIF(BrewdogNew3[EBC],"*")</totalsRowFormula>
    </tableColumn>
    <tableColumn id="24" xr3:uid="{31A4F3E6-218E-4CBD-8FBC-7F32422A634A}" uniqueName="24" name="Column2" queryTableFieldId="23" dataDxfId="30">
      <calculatedColumnFormula>IF(BrewdogNew3[[#This Row],[EBC]]="*",1,0)</calculatedColumnFormula>
    </tableColumn>
    <tableColumn id="6" xr3:uid="{C3E36578-F08B-4ACF-AC7D-3D0B562BFCEC}" uniqueName="6" name="PH" totalsRowFunction="custom" queryTableFieldId="6">
      <totalsRowFormula>COUNTIF(BrewdogNew3[PH],"*")</totalsRowFormula>
    </tableColumn>
    <tableColumn id="7" xr3:uid="{BC5B31E5-3EC9-4EFD-B1E2-E3AEDF00DF64}" uniqueName="7" name="AttenuationLevel" totalsRowFunction="custom" queryTableFieldId="7">
      <totalsRowFormula>COUNTIF(BrewdogNew3[AttenuationLevel],"*")</totalsRowFormula>
    </tableColumn>
    <tableColumn id="8" xr3:uid="{193DC110-9CD9-4CDA-9EEA-11402525130E}" uniqueName="8" name="FermentationTempCelsius" totalsRowFunction="custom" queryTableFieldId="8">
      <totalsRowFormula>COUNTIF(BrewdogNew3[FermentationTempCelsius],"*")</totalsRowFormula>
    </tableColumn>
    <tableColumn id="9" xr3:uid="{70B393CD-67FF-4BD5-A698-E8E2F94D8956}" uniqueName="9" name="Yeast" totalsRowLabel="Mean" queryTableFieldId="9" dataDxfId="51"/>
    <tableColumn id="17" xr3:uid="{BC8A9117-5508-4D4E-8CE4-F98631408CCC}" uniqueName="17" name="Wyeast 1056 - American Ale" totalsRowFunction="custom" queryTableFieldId="17" dataDxfId="50">
      <calculatedColumnFormula>IF(BrewdogNew3[[#This Row],[Yeast]]=BrewdogNew3[[#Headers],[Wyeast 1056 - American Ale]],1,0)</calculatedColumnFormula>
      <totalsRowFormula>COUNTIF(BrewdogNew3[Yeast],BrewdogNew3[[#Headers],[Wyeast 1056 - American Ale]])</totalsRowFormula>
    </tableColumn>
    <tableColumn id="18" xr3:uid="{33F57A3A-2D4F-4BB7-B2C5-5D753CDA48D4}" uniqueName="18" name="Wyeast 2007 - Pilsen Lager" totalsRowFunction="custom" queryTableFieldId="18" dataDxfId="49">
      <calculatedColumnFormula>IF(BrewdogNew3[[#This Row],[Yeast]]=BrewdogNew3[[#Headers],[Wyeast 2007 - Pilsen Lager]],1,0)</calculatedColumnFormula>
      <totalsRowFormula>COUNTIF(BrewdogNew3[Yeast],BrewdogNew3[[#Headers],[Wyeast 2007 - Pilsen Lager]])</totalsRowFormula>
    </tableColumn>
    <tableColumn id="19" xr3:uid="{5227C8C1-9F55-4DB1-B78D-3AD74F933AF9}" uniqueName="19" name="Wyeast 3711 - French Saison" totalsRowFunction="custom" queryTableFieldId="19" dataDxfId="48">
      <calculatedColumnFormula>IF(BrewdogNew3[[#This Row],[Yeast]]=BrewdogNew3[[#Headers],[Wyeast 3711 - French Saison]],1,0)</calculatedColumnFormula>
      <totalsRowFormula>COUNTIF(BrewdogNew3[Yeast],BrewdogNew3[[#Headers],[Wyeast 3711 - French Saison]])</totalsRowFormula>
    </tableColumn>
    <tableColumn id="20" xr3:uid="{22FCDC5F-AC53-42BF-90B6-3447AC6A0D02}" uniqueName="20" name="Wyeast 1272 - American Ale II" totalsRowFunction="custom" queryTableFieldId="20" dataDxfId="47">
      <calculatedColumnFormula>IF(BrewdogNew3[[#This Row],[Yeast]]=BrewdogNew3[[#Headers],[Wyeast 1272 - American Ale II]],1,0)</calculatedColumnFormula>
      <totalsRowFormula>COUNTIF(BrewdogNew3[Yeast],BrewdogNew3[[#Headers],[Wyeast 1272 - American Ale II]])</totalsRowFormula>
    </tableColumn>
    <tableColumn id="22" xr3:uid="{F30D89B0-ED29-4F32-AE81-85A007F5E5C2}" uniqueName="22" name="Column1" totalsRowLabel="Average" queryTableFieldId="21" dataDxfId="46">
      <calculatedColumnFormula>BrewdogNew3[[#This Row],[Name]]</calculatedColumnFormula>
    </tableColumn>
    <tableColumn id="10" xr3:uid="{E5B4AA0A-4661-4A4E-87A3-0B6E129D091B}" uniqueName="10" name="EBC vs IBU" totalsRowFunction="custom" queryTableFieldId="10" dataDxfId="45" totalsRowDxfId="36">
      <calculatedColumnFormula>IF(BrewdogNew3[[#This Row],[EBC]]="*", BrewdogNew3[[#This Row],[IBU]], "")</calculatedColumnFormula>
      <totalsRowFormula>AVERAGE(BrewdogNew3[IBU])</totalsRowFormula>
    </tableColumn>
    <tableColumn id="11" xr3:uid="{76F9724F-D9A7-4217-BD7E-3EB8391BE2FA}" uniqueName="11" name="EBC VS OG" totalsRowFunction="custom" queryTableFieldId="11" dataDxfId="44" totalsRowDxfId="35">
      <calculatedColumnFormula>IF(BrewdogNew3[[#This Row],[EBC]]="*", BrewdogNew3[[#This Row],[OG]], "")</calculatedColumnFormula>
      <totalsRowFormula>AVERAGE(BrewdogNew3[OG])</totalsRowFormula>
    </tableColumn>
    <tableColumn id="12" xr3:uid="{8BB0CBAD-2211-465C-9E29-D16B6904FC2C}" uniqueName="12" name="EBC vs ABV" totalsRowFunction="custom" queryTableFieldId="12" dataDxfId="43" totalsRowDxfId="34">
      <calculatedColumnFormula>IF(BrewdogNew3[[#This Row],[EBC]]="*", BrewdogNew3[[#This Row],[ABV]], "")</calculatedColumnFormula>
      <totalsRowFormula>AVERAGE(BrewdogNew3[EBC])</totalsRowFormula>
    </tableColumn>
    <tableColumn id="13" xr3:uid="{5715BF9E-D8B7-41FA-AF21-E287D433C55E}" uniqueName="13" name="EBC vs PH" totalsRowFunction="custom" queryTableFieldId="13" dataDxfId="42" totalsRowDxfId="33">
      <calculatedColumnFormula>IF(BrewdogNew3[[#This Row],[EBC]]="*", BrewdogNew3[[#This Row],[PH]], "")</calculatedColumnFormula>
      <totalsRowFormula>AVERAGE(BrewdogNew3[PH])</totalsRowFormula>
    </tableColumn>
    <tableColumn id="14" xr3:uid="{292A9EB0-8E66-460D-BC4C-53FECD0433E3}" uniqueName="14" name="EBC vs Att" totalsRowFunction="custom" queryTableFieldId="14" dataDxfId="41" totalsRowDxfId="32">
      <calculatedColumnFormula>IF(BrewdogNew3[[#This Row],[EBC]]="*", BrewdogNew3[[#This Row],[AttenuationLevel]], "")</calculatedColumnFormula>
      <totalsRowFormula>AVERAGE(BrewdogNew3[AttenuationLevel])</totalsRowFormula>
    </tableColumn>
    <tableColumn id="15" xr3:uid="{384C0A63-EC6C-495E-8F3C-21656267D29A}" uniqueName="15" name="EBC vs Fer" totalsRowFunction="custom" queryTableFieldId="15" dataDxfId="40" totalsRowDxfId="31">
      <calculatedColumnFormula>IF(BrewdogNew3[[#This Row],[EBC]]="*", BrewdogNew3[[#This Row],[FermentationTempCelsius]], "")</calculatedColumnFormula>
      <totalsRowFormula>AVERAGE(BrewdogNew3[FermentationTempCelsius])</totalsRowFormula>
    </tableColumn>
    <tableColumn id="16" xr3:uid="{C113904E-2A9D-462B-B969-CE0E192C57B5}" uniqueName="16" name="EBC vs Yea" queryTableFieldId="16" dataDxfId="39">
      <calculatedColumnFormula>IF(BrewdogNew3[[#This Row],[EBC]]="*", BrewdogNew3[[#This Row],[Yeast]], "")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E1806-FEDB-46AA-8CBF-3CBD8A197178}" name="BrewdogNew" displayName="BrewdogNew" ref="A1:V198" tableType="queryTable" totalsRowCount="1">
  <autoFilter ref="A1:V197" xr:uid="{D9FE1806-FEDB-46AA-8CBF-3CBD8A197178}">
    <filterColumn colId="2">
      <filters>
        <filter val="1.00"/>
      </filters>
    </filterColumn>
  </autoFilter>
  <tableColumns count="22">
    <tableColumn id="1" xr3:uid="{FE95A90E-11D1-40F1-AB60-25F931453E9A}" uniqueName="1" name="Name" queryTableFieldId="1" dataDxfId="76" totalsRowDxfId="62"/>
    <tableColumn id="2" xr3:uid="{4213F799-381C-4A57-B739-C0BA3733F6C0}" uniqueName="2" name="ABV" totalsRowFunction="custom" queryTableFieldId="2">
      <totalsRowFormula>COUNTIF(BrewdogNew[ABV],"*")</totalsRowFormula>
    </tableColumn>
    <tableColumn id="23" xr3:uid="{A61E6714-628C-46A2-ADD4-C53F8A7FFBC1}" uniqueName="23" name="ABV is missing" queryTableFieldId="22" dataDxfId="55" totalsRowDxfId="54"/>
    <tableColumn id="3" xr3:uid="{B8B100F0-F708-4944-893A-854D6EF450E3}" uniqueName="3" name="IBU" totalsRowFunction="custom" queryTableFieldId="3">
      <totalsRowFormula>COUNTIF(BrewdogNew[IBU],"*")</totalsRowFormula>
    </tableColumn>
    <tableColumn id="4" xr3:uid="{122B9D0C-EF89-4785-B1C0-7B2A760EDE97}" uniqueName="4" name="OG" totalsRowFunction="custom" queryTableFieldId="4">
      <totalsRowFormula>COUNTIF(BrewdogNew[OG],"*")</totalsRowFormula>
    </tableColumn>
    <tableColumn id="5" xr3:uid="{7042FE6D-C21D-4A3E-A483-DD476C58C723}" uniqueName="5" name="EBC" totalsRowFunction="custom" queryTableFieldId="5">
      <totalsRowFormula>COUNTIF(BrewdogNew[EBC],"*")</totalsRowFormula>
    </tableColumn>
    <tableColumn id="6" xr3:uid="{313A4351-BFB6-4D22-B406-FB31D5FCD16B}" uniqueName="6" name="PH" totalsRowFunction="custom" queryTableFieldId="6">
      <totalsRowFormula>COUNTIF(BrewdogNew[PH],"*")</totalsRowFormula>
    </tableColumn>
    <tableColumn id="7" xr3:uid="{AB3E6893-446B-4A6E-96F1-368B3715AAD9}" uniqueName="7" name="AttenuationLevel" totalsRowFunction="custom" queryTableFieldId="7">
      <totalsRowFormula>COUNTIF(BrewdogNew[AttenuationLevel],"*")</totalsRowFormula>
    </tableColumn>
    <tableColumn id="8" xr3:uid="{92B9DA61-4D5F-43A9-84EE-8B8BA87D9E74}" uniqueName="8" name="FermentationTempCelsius" totalsRowFunction="custom" queryTableFieldId="8">
      <totalsRowFormula>COUNTIF(BrewdogNew[FermentationTempCelsius],"*")</totalsRowFormula>
    </tableColumn>
    <tableColumn id="9" xr3:uid="{62DE40A9-7F46-401C-A0AB-26DC40D299E3}" uniqueName="9" name="Yeast" totalsRowLabel="Mean" queryTableFieldId="9" dataDxfId="75"/>
    <tableColumn id="17" xr3:uid="{77ABC14B-5D16-4ED8-A830-2A2F2B071D27}" uniqueName="17" name="Wyeast 1056 - American Ale" totalsRowFunction="custom" queryTableFieldId="17" dataDxfId="74">
      <calculatedColumnFormula>IF(BrewdogNew[[#This Row],[Yeast]]=BrewdogNew[[#Headers],[Wyeast 1056 - American Ale]],1,0)</calculatedColumnFormula>
      <totalsRowFormula>COUNTIF(BrewdogNew[Yeast],BrewdogNew[[#Headers],[Wyeast 1056 - American Ale]])</totalsRowFormula>
    </tableColumn>
    <tableColumn id="18" xr3:uid="{EC7BD3C6-26C1-4FFE-BB78-D7B8CF1CAC8A}" uniqueName="18" name="Wyeast 2007 - Pilsen Lager" totalsRowFunction="custom" queryTableFieldId="18" dataDxfId="73">
      <calculatedColumnFormula>IF(BrewdogNew[[#This Row],[Yeast]]=BrewdogNew[[#Headers],[Wyeast 2007 - Pilsen Lager]],1,0)</calculatedColumnFormula>
      <totalsRowFormula>COUNTIF(BrewdogNew[Yeast],BrewdogNew[[#Headers],[Wyeast 2007 - Pilsen Lager]])</totalsRowFormula>
    </tableColumn>
    <tableColumn id="19" xr3:uid="{94A3999F-2443-4950-A0F7-0C4F42F24674}" uniqueName="19" name="Wyeast 3711 - French Saison" totalsRowFunction="custom" queryTableFieldId="19" dataDxfId="72">
      <calculatedColumnFormula>IF(BrewdogNew[[#This Row],[Yeast]]=BrewdogNew[[#Headers],[Wyeast 3711 - French Saison]],1,0)</calculatedColumnFormula>
      <totalsRowFormula>COUNTIF(BrewdogNew[Yeast],BrewdogNew[[#Headers],[Wyeast 3711 - French Saison]])</totalsRowFormula>
    </tableColumn>
    <tableColumn id="20" xr3:uid="{2E2D96A3-3EBD-497D-9506-CEE67811B86B}" uniqueName="20" name="Wyeast 1272 - American Ale II" totalsRowFunction="custom" queryTableFieldId="20" dataDxfId="71">
      <calculatedColumnFormula>IF(BrewdogNew[[#This Row],[Yeast]]=BrewdogNew[[#Headers],[Wyeast 1272 - American Ale II]],1,0)</calculatedColumnFormula>
      <totalsRowFormula>COUNTIF(BrewdogNew[Yeast],BrewdogNew[[#Headers],[Wyeast 1272 - American Ale II]])</totalsRowFormula>
    </tableColumn>
    <tableColumn id="22" xr3:uid="{E9D481C5-CCD5-42DA-91B2-BB52C66144F6}" uniqueName="22" name="Column1" totalsRowLabel="Average" queryTableFieldId="21" dataDxfId="70">
      <calculatedColumnFormula>BrewdogNew[[#This Row],[Name]]</calculatedColumnFormula>
    </tableColumn>
    <tableColumn id="10" xr3:uid="{9C11953A-ACF1-4834-B557-9FB53CFA28A4}" uniqueName="10" name="ABV vs IBU" totalsRowFunction="custom" queryTableFieldId="10" dataDxfId="69" totalsRowDxfId="61" totalsRowCellStyle="Comma">
      <calculatedColumnFormula>IF(BrewdogNew[[#This Row],[ABV]]="*", BrewdogNew[[#This Row],[IBU]], "")</calculatedColumnFormula>
      <totalsRowFormula>AVERAGE(BrewdogNew[IBU])</totalsRowFormula>
    </tableColumn>
    <tableColumn id="11" xr3:uid="{A6A8D88D-9117-41C0-94E5-C00A5D3F6764}" uniqueName="11" name="ABV VS OG" totalsRowFunction="custom" queryTableFieldId="11" dataDxfId="68" totalsRowDxfId="60" totalsRowCellStyle="Comma">
      <calculatedColumnFormula>IF(BrewdogNew[[#This Row],[ABV]]="*", BrewdogNew[[#This Row],[OG]], "")</calculatedColumnFormula>
      <totalsRowFormula>AVERAGE(BrewdogNew[OG])</totalsRowFormula>
    </tableColumn>
    <tableColumn id="12" xr3:uid="{6B350F3A-C049-441F-90C7-102D69EA187C}" uniqueName="12" name="ABV vs EBC" totalsRowFunction="custom" queryTableFieldId="12" dataDxfId="67" totalsRowDxfId="59" totalsRowCellStyle="Comma">
      <calculatedColumnFormula>IF(BrewdogNew[[#This Row],[ABV]]="*", BrewdogNew[[#This Row],[EBC]], "")</calculatedColumnFormula>
      <totalsRowFormula>AVERAGE(BrewdogNew[EBC])</totalsRowFormula>
    </tableColumn>
    <tableColumn id="13" xr3:uid="{9D0A91A5-A29D-45F0-AB82-CBA49EE4B5E7}" uniqueName="13" name="ABV vs PH" totalsRowFunction="custom" queryTableFieldId="13" dataDxfId="66" totalsRowDxfId="58" totalsRowCellStyle="Comma">
      <calculatedColumnFormula>IF(BrewdogNew[[#This Row],[ABV]]="*", BrewdogNew[[#This Row],[PH]], "")</calculatedColumnFormula>
      <totalsRowFormula>AVERAGE(BrewdogNew[PH])</totalsRowFormula>
    </tableColumn>
    <tableColumn id="14" xr3:uid="{7FDBECFF-9C1E-4B1E-A544-B9E1D5516903}" uniqueName="14" name="ABV vs Att" totalsRowFunction="custom" queryTableFieldId="14" dataDxfId="65" totalsRowDxfId="57" totalsRowCellStyle="Comma">
      <calculatedColumnFormula>IF(BrewdogNew[[#This Row],[ABV]]="*", BrewdogNew[[#This Row],[AttenuationLevel]], "")</calculatedColumnFormula>
      <totalsRowFormula>AVERAGE(BrewdogNew[AttenuationLevel])</totalsRowFormula>
    </tableColumn>
    <tableColumn id="15" xr3:uid="{830491C2-1A94-441F-BA12-EDF1C5183407}" uniqueName="15" name="ABV vs Fer" totalsRowFunction="custom" queryTableFieldId="15" dataDxfId="64" totalsRowDxfId="56" totalsRowCellStyle="Comma">
      <calculatedColumnFormula>IF(BrewdogNew[[#This Row],[ABV]]="*", BrewdogNew[[#This Row],[FermentationTempCelsius]], "")</calculatedColumnFormula>
      <totalsRowFormula>AVERAGE(BrewdogNew[FermentationTempCelsius])</totalsRowFormula>
    </tableColumn>
    <tableColumn id="16" xr3:uid="{E514C915-E768-4854-A82D-18BDA212DE24}" uniqueName="16" name="ABV vs Yea" queryTableFieldId="16" dataDxfId="63">
      <calculatedColumnFormula>IF(BrewdogNew[[#This Row],[ABV]]="*", BrewdogNew[[#This Row],[Yeast]], "")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B5F622-5FB4-4EF7-972B-50C7C68DC678}" name="BrewdogNew4" displayName="BrewdogNew4" ref="A1:L198" tableType="queryTable" totalsRowCount="1">
  <autoFilter ref="A1:L197" xr:uid="{D9FE1806-FEDB-46AA-8CBF-3CBD8A197178}"/>
  <tableColumns count="12">
    <tableColumn id="1" xr3:uid="{61946133-5ADB-409C-B1C9-5EA4546B8A13}" uniqueName="1" name="Name" queryTableFieldId="1" dataDxfId="29" totalsRowDxfId="24"/>
    <tableColumn id="2" xr3:uid="{C08BBF2B-654A-4F4E-A148-D2B8D9F3B9C4}" uniqueName="2" name="ABV" queryTableFieldId="2"/>
    <tableColumn id="3" xr3:uid="{225A5CC7-C3C1-4371-BBF8-0FDFC417B043}" uniqueName="3" name="IBU" queryTableFieldId="3"/>
    <tableColumn id="4" xr3:uid="{700F52C4-3723-4C43-951D-09CDEF8403BC}" uniqueName="4" name="OG" queryTableFieldId="4"/>
    <tableColumn id="5" xr3:uid="{C937BC92-4015-4411-8029-C8BD4D71DA06}" uniqueName="5" name="EBC" queryTableFieldId="5"/>
    <tableColumn id="6" xr3:uid="{A41E35F0-1A69-4117-A7D3-0FE4C15EB363}" uniqueName="6" name="PH" queryTableFieldId="6"/>
    <tableColumn id="7" xr3:uid="{6A673CD4-B659-4C0B-9EA1-A6285EE1F33D}" uniqueName="7" name="AttenuationLevel" queryTableFieldId="7"/>
    <tableColumn id="8" xr3:uid="{17CE4A83-6FAA-499E-8A34-0EF299E01EF9}" uniqueName="8" name="FermentationTempCelsius" queryTableFieldId="8"/>
    <tableColumn id="17" xr3:uid="{FE18E341-B19D-438D-896F-12FB26A9D206}" uniqueName="17" name="Wyeast 1056 - American Ale" queryTableFieldId="17" dataDxfId="28"/>
    <tableColumn id="18" xr3:uid="{E913E2DD-B860-4FAB-9F5B-BE73B84B3F7F}" uniqueName="18" name="Wyeast 2007 - Pilsen Lager" queryTableFieldId="18" dataDxfId="27"/>
    <tableColumn id="19" xr3:uid="{4A2B584A-70B7-417B-9098-6CCBBCC4A470}" uniqueName="19" name="Wyeast 3711 - French Saison" queryTableFieldId="19" dataDxfId="26"/>
    <tableColumn id="20" xr3:uid="{A54B6BBC-9278-4D87-8691-38908D1D0516}" uniqueName="20" name="Wyeast 1272 - American Ale II" queryTableFieldId="20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3A20-6306-4F51-8A87-D718FC3CC7A3}">
  <dimension ref="B2:I51"/>
  <sheetViews>
    <sheetView topLeftCell="A37" zoomScale="130" zoomScaleNormal="130" workbookViewId="0">
      <selection activeCell="C49" sqref="C49"/>
    </sheetView>
  </sheetViews>
  <sheetFormatPr defaultRowHeight="15" x14ac:dyDescent="0.25"/>
  <cols>
    <col min="2" max="2" width="20.28515625" customWidth="1"/>
    <col min="3" max="8" width="12.140625" customWidth="1"/>
    <col min="9" max="9" width="7.5703125" customWidth="1"/>
  </cols>
  <sheetData>
    <row r="2" spans="2:6" x14ac:dyDescent="0.25">
      <c r="B2" t="s">
        <v>0</v>
      </c>
    </row>
    <row r="3" spans="2:6" x14ac:dyDescent="0.25">
      <c r="B3" s="42" t="s">
        <v>1</v>
      </c>
      <c r="C3" s="41" t="s">
        <v>11</v>
      </c>
      <c r="D3" s="41"/>
      <c r="E3" s="41"/>
      <c r="F3" s="41"/>
    </row>
    <row r="4" spans="2:6" x14ac:dyDescent="0.25">
      <c r="B4" s="42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B11" s="10" t="s">
        <v>1</v>
      </c>
      <c r="C11" s="41" t="s">
        <v>11</v>
      </c>
      <c r="D11" s="41"/>
      <c r="E11" s="41"/>
      <c r="F11" s="41"/>
    </row>
    <row r="12" spans="2:6" x14ac:dyDescent="0.25">
      <c r="B12" s="10"/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t="s">
        <v>2</v>
      </c>
      <c r="C13" t="s">
        <v>12</v>
      </c>
      <c r="D13" t="s">
        <v>13</v>
      </c>
      <c r="E13" t="s">
        <v>14</v>
      </c>
      <c r="F13" t="s">
        <v>15</v>
      </c>
    </row>
    <row r="14" spans="2:6" x14ac:dyDescent="0.25">
      <c r="B14" s="1" t="s">
        <v>24</v>
      </c>
      <c r="C14" t="s">
        <v>17</v>
      </c>
      <c r="D14" t="s">
        <v>17</v>
      </c>
      <c r="E14" t="s">
        <v>16</v>
      </c>
      <c r="F14" t="s">
        <v>18</v>
      </c>
    </row>
    <row r="15" spans="2:6" s="6" customFormat="1" x14ac:dyDescent="0.25">
      <c r="B15" s="5" t="s">
        <v>25</v>
      </c>
      <c r="C15" s="6" t="s">
        <v>17</v>
      </c>
      <c r="D15" s="6" t="s">
        <v>23</v>
      </c>
      <c r="E15" s="6" t="s">
        <v>17</v>
      </c>
      <c r="F15" s="6" t="s">
        <v>18</v>
      </c>
    </row>
    <row r="16" spans="2:6" s="6" customFormat="1" x14ac:dyDescent="0.25">
      <c r="B16" s="6" t="s">
        <v>3</v>
      </c>
      <c r="C16" s="6" t="s">
        <v>16</v>
      </c>
      <c r="D16" s="6" t="s">
        <v>17</v>
      </c>
      <c r="E16" s="6" t="s">
        <v>18</v>
      </c>
      <c r="F16" s="6" t="s">
        <v>19</v>
      </c>
    </row>
    <row r="17" spans="2:7" s="6" customFormat="1" x14ac:dyDescent="0.25">
      <c r="B17" s="6" t="s">
        <v>4</v>
      </c>
      <c r="C17" s="6" t="s">
        <v>16</v>
      </c>
      <c r="D17" s="6" t="s">
        <v>18</v>
      </c>
      <c r="E17" s="6" t="s">
        <v>17</v>
      </c>
      <c r="F17" s="6" t="s">
        <v>17</v>
      </c>
    </row>
    <row r="18" spans="2:7" s="6" customFormat="1" x14ac:dyDescent="0.25">
      <c r="B18" s="6" t="s">
        <v>6</v>
      </c>
      <c r="C18" s="6" t="s">
        <v>20</v>
      </c>
      <c r="D18" s="6" t="s">
        <v>21</v>
      </c>
      <c r="E18" s="6" t="s">
        <v>20</v>
      </c>
      <c r="F18" s="6" t="s">
        <v>22</v>
      </c>
    </row>
    <row r="19" spans="2:7" s="6" customFormat="1" x14ac:dyDescent="0.25">
      <c r="B19" s="6" t="s">
        <v>5</v>
      </c>
      <c r="C19" s="6">
        <v>800000</v>
      </c>
      <c r="D19" s="6">
        <v>600000</v>
      </c>
      <c r="E19" s="6">
        <v>300000</v>
      </c>
      <c r="F19" s="6">
        <v>250000</v>
      </c>
    </row>
    <row r="22" spans="2:7" x14ac:dyDescent="0.25">
      <c r="B22" t="s">
        <v>26</v>
      </c>
    </row>
    <row r="23" spans="2:7" x14ac:dyDescent="0.25">
      <c r="C23" t="s">
        <v>32</v>
      </c>
      <c r="D23" t="s">
        <v>22</v>
      </c>
      <c r="E23" t="s">
        <v>20</v>
      </c>
      <c r="F23" t="s">
        <v>21</v>
      </c>
      <c r="G23" t="s">
        <v>33</v>
      </c>
    </row>
    <row r="24" spans="2:7" x14ac:dyDescent="0.25">
      <c r="C24" t="s">
        <v>16</v>
      </c>
      <c r="D24" t="s">
        <v>19</v>
      </c>
      <c r="E24" t="s">
        <v>17</v>
      </c>
      <c r="F24" t="s">
        <v>29</v>
      </c>
      <c r="G24" t="s">
        <v>18</v>
      </c>
    </row>
    <row r="25" spans="2:7" x14ac:dyDescent="0.25">
      <c r="B25" t="s">
        <v>27</v>
      </c>
      <c r="C25" t="s">
        <v>16</v>
      </c>
      <c r="D25" t="s">
        <v>28</v>
      </c>
      <c r="E25" t="s">
        <v>17</v>
      </c>
      <c r="F25" t="s">
        <v>29</v>
      </c>
      <c r="G25" t="s">
        <v>18</v>
      </c>
    </row>
    <row r="26" spans="2:7" x14ac:dyDescent="0.25">
      <c r="B26" t="s">
        <v>31</v>
      </c>
      <c r="C26">
        <v>1</v>
      </c>
      <c r="D26">
        <v>2</v>
      </c>
      <c r="E26">
        <v>3</v>
      </c>
      <c r="F26">
        <v>4</v>
      </c>
      <c r="G26">
        <v>5</v>
      </c>
    </row>
    <row r="27" spans="2:7" x14ac:dyDescent="0.25">
      <c r="B27" t="s">
        <v>30</v>
      </c>
      <c r="C27">
        <v>1</v>
      </c>
      <c r="D27">
        <v>3</v>
      </c>
      <c r="E27">
        <v>5</v>
      </c>
      <c r="F27">
        <v>7</v>
      </c>
      <c r="G27">
        <v>9</v>
      </c>
    </row>
    <row r="30" spans="2:7" x14ac:dyDescent="0.25">
      <c r="B30" t="s">
        <v>39</v>
      </c>
    </row>
    <row r="31" spans="2:7" x14ac:dyDescent="0.25">
      <c r="C31" t="s">
        <v>16</v>
      </c>
      <c r="D31" t="s">
        <v>28</v>
      </c>
      <c r="E31" t="s">
        <v>17</v>
      </c>
      <c r="F31" t="s">
        <v>29</v>
      </c>
      <c r="G31" t="s">
        <v>18</v>
      </c>
    </row>
    <row r="32" spans="2:7" x14ac:dyDescent="0.25">
      <c r="B32" t="s">
        <v>16</v>
      </c>
      <c r="C32" s="2">
        <v>1</v>
      </c>
      <c r="D32" s="2">
        <v>0.33</v>
      </c>
      <c r="E32" s="2">
        <v>0.2</v>
      </c>
      <c r="F32" s="2">
        <v>0.14285714285714285</v>
      </c>
      <c r="G32" s="2">
        <v>0.1111111111111111</v>
      </c>
    </row>
    <row r="33" spans="2:9" x14ac:dyDescent="0.25">
      <c r="B33" t="s">
        <v>28</v>
      </c>
      <c r="C33" s="2">
        <f>D27-C27+1</f>
        <v>3</v>
      </c>
      <c r="D33" s="2">
        <v>1</v>
      </c>
      <c r="E33" s="2">
        <v>0.33</v>
      </c>
      <c r="F33" s="2">
        <v>0.2</v>
      </c>
      <c r="G33" s="2">
        <v>0.14285714285714285</v>
      </c>
    </row>
    <row r="34" spans="2:9" x14ac:dyDescent="0.25">
      <c r="B34" t="s">
        <v>17</v>
      </c>
      <c r="C34" s="2">
        <v>5</v>
      </c>
      <c r="D34" s="2">
        <v>3</v>
      </c>
      <c r="E34" s="2">
        <v>1</v>
      </c>
      <c r="F34" s="2">
        <v>0.33333333333333331</v>
      </c>
      <c r="G34" s="2">
        <v>0.2</v>
      </c>
    </row>
    <row r="35" spans="2:9" x14ac:dyDescent="0.25">
      <c r="B35" t="s">
        <v>29</v>
      </c>
      <c r="C35" s="2">
        <v>7</v>
      </c>
      <c r="D35" s="2">
        <v>5</v>
      </c>
      <c r="E35" s="2">
        <v>3</v>
      </c>
      <c r="F35" s="2">
        <v>1</v>
      </c>
      <c r="G35" s="2">
        <v>0.14285714285714285</v>
      </c>
    </row>
    <row r="36" spans="2:9" x14ac:dyDescent="0.25">
      <c r="B36" t="s">
        <v>18</v>
      </c>
      <c r="C36" s="2">
        <v>9</v>
      </c>
      <c r="D36" s="2">
        <v>7</v>
      </c>
      <c r="E36" s="2">
        <v>5</v>
      </c>
      <c r="F36" s="2">
        <v>3</v>
      </c>
      <c r="G36" s="2">
        <v>1</v>
      </c>
    </row>
    <row r="39" spans="2:9" ht="51.75" customHeight="1" x14ac:dyDescent="0.25">
      <c r="B39" s="16" t="s">
        <v>35</v>
      </c>
      <c r="C39" s="17" t="s">
        <v>24</v>
      </c>
      <c r="D39" s="18" t="s">
        <v>25</v>
      </c>
      <c r="E39" s="19" t="s">
        <v>3</v>
      </c>
      <c r="F39" s="19" t="s">
        <v>4</v>
      </c>
      <c r="G39" s="19" t="s">
        <v>6</v>
      </c>
      <c r="H39" s="19" t="s">
        <v>5</v>
      </c>
      <c r="I39" s="43" t="s">
        <v>48</v>
      </c>
    </row>
    <row r="40" spans="2:9" x14ac:dyDescent="0.25">
      <c r="B40" s="16" t="s">
        <v>46</v>
      </c>
      <c r="C40" s="20">
        <f>'C11'!P4</f>
        <v>5.034127E-2</v>
      </c>
      <c r="D40" s="20">
        <f>+'C12'!K2</f>
        <v>5.034127E-2</v>
      </c>
      <c r="E40" s="20">
        <f>+'C2'!G2</f>
        <v>6.450053E-2</v>
      </c>
      <c r="F40" s="20">
        <f>+'C3'!G2</f>
        <v>5.034127E-2</v>
      </c>
      <c r="G40" s="20">
        <f>+'C4'!G2</f>
        <v>1.6437440000000001E-2</v>
      </c>
      <c r="H40" s="20" t="s">
        <v>47</v>
      </c>
      <c r="I40" s="44"/>
    </row>
    <row r="41" spans="2:9" x14ac:dyDescent="0.25">
      <c r="B41" s="16" t="s">
        <v>36</v>
      </c>
      <c r="C41" s="20">
        <f>+Weights!H15*Weights!K3</f>
        <v>1.2929809701919178E-2</v>
      </c>
      <c r="D41" s="20">
        <f>+Weights!H16*Weights!K3</f>
        <v>2.5859619403838352E-2</v>
      </c>
      <c r="E41" s="20">
        <f>+Weights!K4</f>
        <v>6.2331278143152119E-2</v>
      </c>
      <c r="F41" s="20">
        <f>+Weights!K5</f>
        <v>0.14578929656065936</v>
      </c>
      <c r="G41" s="20">
        <f>+Weights!K6</f>
        <v>0.20426990759611305</v>
      </c>
      <c r="H41" s="20">
        <f>+Weights!K7</f>
        <v>0.54882008859431786</v>
      </c>
      <c r="I41" s="44"/>
    </row>
    <row r="42" spans="2:9" x14ac:dyDescent="0.25">
      <c r="B42" s="16" t="s">
        <v>7</v>
      </c>
      <c r="C42" s="20">
        <f>+'C11'!J3</f>
        <v>0.16310068132305444</v>
      </c>
      <c r="D42" s="20">
        <f>+'C12'!J3</f>
        <v>0.16310068132305444</v>
      </c>
      <c r="E42" s="20" cm="1">
        <f t="array" ref="E42:E45">+'C2'!J3:J6</f>
        <v>4.5454879837376033E-2</v>
      </c>
      <c r="F42" s="20" cm="1">
        <f t="array" ref="F42:F45">+'C3'!J3:J6</f>
        <v>4.2112414834618195E-2</v>
      </c>
      <c r="G42" s="20">
        <f>+'C4'!J3</f>
        <v>0.20095988653758035</v>
      </c>
      <c r="H42" s="20">
        <f>+'C5'!F3</f>
        <v>0.12195121951219513</v>
      </c>
      <c r="I42" s="22">
        <f>+C48</f>
        <v>0.12327871895902301</v>
      </c>
    </row>
    <row r="43" spans="2:9" x14ac:dyDescent="0.25">
      <c r="B43" s="16" t="s">
        <v>8</v>
      </c>
      <c r="C43" s="20">
        <f>+'C11'!J4</f>
        <v>0.16310068132305444</v>
      </c>
      <c r="D43" s="20">
        <f>+'C12'!J4</f>
        <v>4.2112414834618195E-2</v>
      </c>
      <c r="E43" s="20">
        <v>0.20442568946760986</v>
      </c>
      <c r="F43" s="20">
        <v>0.63168622251927287</v>
      </c>
      <c r="G43" s="20">
        <f>+'C4'!J4</f>
        <v>0.52049013821387369</v>
      </c>
      <c r="H43" s="20">
        <f>+'C5'!F4</f>
        <v>0.16260162601626016</v>
      </c>
      <c r="I43" s="22">
        <f t="shared" ref="I43:I45" si="0">+C49</f>
        <v>0.30359258756297658</v>
      </c>
    </row>
    <row r="44" spans="2:9" x14ac:dyDescent="0.25">
      <c r="B44" s="16" t="s">
        <v>9</v>
      </c>
      <c r="C44" s="20">
        <f>+'C11'!J5</f>
        <v>4.2112414834618202E-2</v>
      </c>
      <c r="D44" s="20">
        <f>+'C12'!J5</f>
        <v>0.16310068132305444</v>
      </c>
      <c r="E44" s="20">
        <v>0.65438418662153741</v>
      </c>
      <c r="F44" s="20">
        <v>0.16310068132305444</v>
      </c>
      <c r="G44" s="20">
        <f>+'C4'!J5</f>
        <v>0.20095988653758035</v>
      </c>
      <c r="H44" s="20">
        <f>+'C5'!F5</f>
        <v>0.32520325203252032</v>
      </c>
      <c r="I44" s="22">
        <f t="shared" si="0"/>
        <v>0.28885729844606556</v>
      </c>
    </row>
    <row r="45" spans="2:9" x14ac:dyDescent="0.25">
      <c r="B45" s="16" t="s">
        <v>10</v>
      </c>
      <c r="C45" s="20">
        <f>+'C11'!J6</f>
        <v>0.63168622251927298</v>
      </c>
      <c r="D45" s="20">
        <f>+'C12'!J6</f>
        <v>0.63168622251927287</v>
      </c>
      <c r="E45" s="20">
        <v>9.5735244073476625E-2</v>
      </c>
      <c r="F45" s="20">
        <v>0.16310068132305444</v>
      </c>
      <c r="G45" s="20">
        <f>+'C4'!J6</f>
        <v>7.759008871096551E-2</v>
      </c>
      <c r="H45" s="20">
        <f>+'C5'!F6</f>
        <v>0.39024390243902435</v>
      </c>
      <c r="I45" s="22">
        <f t="shared" si="0"/>
        <v>0.28427139503193471</v>
      </c>
    </row>
    <row r="46" spans="2:9" x14ac:dyDescent="0.25">
      <c r="B46" s="1"/>
    </row>
    <row r="47" spans="2:9" x14ac:dyDescent="0.25">
      <c r="B47" s="5"/>
      <c r="C47" s="6"/>
      <c r="D47" s="6"/>
      <c r="E47" s="6"/>
      <c r="F47" s="6"/>
    </row>
    <row r="48" spans="2:9" x14ac:dyDescent="0.25">
      <c r="B48" t="s">
        <v>7</v>
      </c>
      <c r="C48" s="11">
        <f>SUMPRODUCT(C42:H42,$C$41:$H$41)</f>
        <v>0.12327871895902301</v>
      </c>
      <c r="D48" s="27">
        <f>-($C$49-C48)/C48</f>
        <v>-1.4626520305089206</v>
      </c>
      <c r="E48" s="6"/>
      <c r="F48" s="6"/>
    </row>
    <row r="49" spans="2:6" x14ac:dyDescent="0.25">
      <c r="B49" t="s">
        <v>8</v>
      </c>
      <c r="C49" s="11">
        <f>SUMPRODUCT(C43:H43,$C$41:$H$41)</f>
        <v>0.30359258756297658</v>
      </c>
      <c r="D49" s="27">
        <f t="shared" ref="D49:D51" si="1">-($C$49-C49)/C49</f>
        <v>0</v>
      </c>
      <c r="E49" s="6"/>
      <c r="F49" s="6"/>
    </row>
    <row r="50" spans="2:6" x14ac:dyDescent="0.25">
      <c r="B50" t="s">
        <v>9</v>
      </c>
      <c r="C50" s="11">
        <f>SUMPRODUCT(C44:H44,$C$41:$H$41)</f>
        <v>0.28885729844606556</v>
      </c>
      <c r="D50" s="27">
        <f t="shared" si="1"/>
        <v>-5.1012348298557338E-2</v>
      </c>
      <c r="E50" s="6"/>
      <c r="F50" s="6"/>
    </row>
    <row r="51" spans="2:6" x14ac:dyDescent="0.25">
      <c r="B51" t="s">
        <v>10</v>
      </c>
      <c r="C51" s="11">
        <f>SUMPRODUCT(C45:H45,$C$41:$H$41)</f>
        <v>0.28427139503193471</v>
      </c>
      <c r="D51" s="27">
        <f t="shared" si="1"/>
        <v>-6.7967417294558755E-2</v>
      </c>
      <c r="E51" s="6"/>
      <c r="F51" s="6"/>
    </row>
  </sheetData>
  <mergeCells count="4">
    <mergeCell ref="C3:F3"/>
    <mergeCell ref="B3:B4"/>
    <mergeCell ref="C11:F11"/>
    <mergeCell ref="I39:I41"/>
  </mergeCells>
  <conditionalFormatting sqref="C41:H41"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2:G45">
    <cfRule type="iconSet" priority="3">
      <iconSet iconSet="3Symbols">
        <cfvo type="percent" val="0"/>
        <cfvo type="percent" val="0.08"/>
        <cfvo type="percent" val="67"/>
      </iconSet>
    </cfRule>
  </conditionalFormatting>
  <conditionalFormatting sqref="H42:H45">
    <cfRule type="iconSet" priority="2">
      <iconSet iconSet="3Symbols">
        <cfvo type="percent" val="0"/>
        <cfvo type="percent" val="13"/>
        <cfvo type="percent" val="35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D403-31CF-40C2-B85A-BE5B03EA189C}">
  <dimension ref="B2:X52"/>
  <sheetViews>
    <sheetView topLeftCell="F40" workbookViewId="0">
      <selection activeCell="R42" sqref="R42"/>
    </sheetView>
  </sheetViews>
  <sheetFormatPr defaultRowHeight="15" x14ac:dyDescent="0.25"/>
  <cols>
    <col min="2" max="2" width="20.28515625" customWidth="1"/>
    <col min="3" max="8" width="12.140625" customWidth="1"/>
    <col min="9" max="10" width="7.5703125" customWidth="1"/>
  </cols>
  <sheetData>
    <row r="2" spans="2:6" x14ac:dyDescent="0.25">
      <c r="B2" t="s">
        <v>0</v>
      </c>
    </row>
    <row r="3" spans="2:6" x14ac:dyDescent="0.25">
      <c r="B3" s="42" t="s">
        <v>1</v>
      </c>
      <c r="C3" s="41" t="s">
        <v>11</v>
      </c>
      <c r="D3" s="41"/>
      <c r="E3" s="41"/>
      <c r="F3" s="41"/>
    </row>
    <row r="4" spans="2:6" x14ac:dyDescent="0.25">
      <c r="B4" s="42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B11" s="42" t="s">
        <v>1</v>
      </c>
      <c r="C11" s="41" t="s">
        <v>11</v>
      </c>
      <c r="D11" s="41"/>
      <c r="E11" s="41"/>
      <c r="F11" s="41"/>
    </row>
    <row r="12" spans="2:6" x14ac:dyDescent="0.25">
      <c r="B12" s="42"/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t="s">
        <v>2</v>
      </c>
      <c r="C13" t="s">
        <v>12</v>
      </c>
      <c r="D13" t="s">
        <v>13</v>
      </c>
      <c r="E13" t="s">
        <v>14</v>
      </c>
      <c r="F13" t="s">
        <v>15</v>
      </c>
    </row>
    <row r="14" spans="2:6" x14ac:dyDescent="0.25">
      <c r="B14" s="1" t="s">
        <v>24</v>
      </c>
      <c r="C14" t="s">
        <v>17</v>
      </c>
      <c r="D14" t="s">
        <v>17</v>
      </c>
      <c r="E14" t="s">
        <v>16</v>
      </c>
      <c r="F14" t="s">
        <v>18</v>
      </c>
    </row>
    <row r="15" spans="2:6" s="6" customFormat="1" x14ac:dyDescent="0.25">
      <c r="B15" s="5" t="s">
        <v>25</v>
      </c>
      <c r="C15" s="6" t="s">
        <v>17</v>
      </c>
      <c r="D15" s="6" t="s">
        <v>23</v>
      </c>
      <c r="E15" s="6" t="s">
        <v>17</v>
      </c>
      <c r="F15" s="6" t="s">
        <v>18</v>
      </c>
    </row>
    <row r="16" spans="2:6" s="6" customFormat="1" x14ac:dyDescent="0.25">
      <c r="B16" s="6" t="s">
        <v>3</v>
      </c>
      <c r="C16" s="6" t="s">
        <v>16</v>
      </c>
      <c r="D16" s="6" t="s">
        <v>17</v>
      </c>
      <c r="E16" s="6" t="s">
        <v>18</v>
      </c>
      <c r="F16" s="6" t="s">
        <v>19</v>
      </c>
    </row>
    <row r="17" spans="2:7" s="6" customFormat="1" x14ac:dyDescent="0.25">
      <c r="B17" s="6" t="s">
        <v>4</v>
      </c>
      <c r="C17" s="6" t="s">
        <v>16</v>
      </c>
      <c r="D17" s="6" t="s">
        <v>18</v>
      </c>
      <c r="E17" s="6" t="s">
        <v>17</v>
      </c>
      <c r="F17" s="6" t="s">
        <v>17</v>
      </c>
    </row>
    <row r="18" spans="2:7" s="6" customFormat="1" x14ac:dyDescent="0.25">
      <c r="B18" s="6" t="s">
        <v>6</v>
      </c>
      <c r="C18" s="6" t="s">
        <v>20</v>
      </c>
      <c r="D18" s="6" t="s">
        <v>21</v>
      </c>
      <c r="E18" s="6" t="s">
        <v>20</v>
      </c>
      <c r="F18" s="6" t="s">
        <v>22</v>
      </c>
    </row>
    <row r="19" spans="2:7" s="6" customFormat="1" x14ac:dyDescent="0.25">
      <c r="B19" s="6" t="s">
        <v>5</v>
      </c>
      <c r="C19" s="6">
        <v>800000</v>
      </c>
      <c r="D19" s="6">
        <v>600000</v>
      </c>
      <c r="E19" s="6">
        <v>300000</v>
      </c>
      <c r="F19" s="6">
        <v>250000</v>
      </c>
    </row>
    <row r="22" spans="2:7" x14ac:dyDescent="0.25">
      <c r="B22" t="s">
        <v>26</v>
      </c>
    </row>
    <row r="23" spans="2:7" x14ac:dyDescent="0.25">
      <c r="C23" t="s">
        <v>32</v>
      </c>
      <c r="D23" t="s">
        <v>22</v>
      </c>
      <c r="E23" t="s">
        <v>20</v>
      </c>
      <c r="F23" t="s">
        <v>21</v>
      </c>
      <c r="G23" t="s">
        <v>33</v>
      </c>
    </row>
    <row r="24" spans="2:7" x14ac:dyDescent="0.25">
      <c r="C24" t="s">
        <v>16</v>
      </c>
      <c r="D24" t="s">
        <v>19</v>
      </c>
      <c r="E24" t="s">
        <v>17</v>
      </c>
      <c r="F24" t="s">
        <v>29</v>
      </c>
      <c r="G24" t="s">
        <v>18</v>
      </c>
    </row>
    <row r="25" spans="2:7" x14ac:dyDescent="0.25">
      <c r="B25" t="s">
        <v>27</v>
      </c>
      <c r="C25" t="s">
        <v>16</v>
      </c>
      <c r="D25" t="s">
        <v>28</v>
      </c>
      <c r="E25" t="s">
        <v>17</v>
      </c>
      <c r="F25" t="s">
        <v>29</v>
      </c>
      <c r="G25" t="s">
        <v>18</v>
      </c>
    </row>
    <row r="26" spans="2:7" x14ac:dyDescent="0.25">
      <c r="B26" t="s">
        <v>31</v>
      </c>
      <c r="C26">
        <v>1</v>
      </c>
      <c r="D26">
        <v>2</v>
      </c>
      <c r="E26">
        <v>3</v>
      </c>
      <c r="F26">
        <v>4</v>
      </c>
      <c r="G26">
        <v>5</v>
      </c>
    </row>
    <row r="27" spans="2:7" x14ac:dyDescent="0.25">
      <c r="B27" t="s">
        <v>30</v>
      </c>
      <c r="C27">
        <v>1</v>
      </c>
      <c r="D27">
        <v>3</v>
      </c>
      <c r="E27">
        <v>5</v>
      </c>
      <c r="F27">
        <v>7</v>
      </c>
      <c r="G27">
        <v>9</v>
      </c>
    </row>
    <row r="30" spans="2:7" x14ac:dyDescent="0.25">
      <c r="B30" t="s">
        <v>39</v>
      </c>
    </row>
    <row r="31" spans="2:7" x14ac:dyDescent="0.25">
      <c r="C31" t="s">
        <v>16</v>
      </c>
      <c r="D31" t="s">
        <v>28</v>
      </c>
      <c r="E31" t="s">
        <v>17</v>
      </c>
      <c r="F31" t="s">
        <v>29</v>
      </c>
      <c r="G31" t="s">
        <v>18</v>
      </c>
    </row>
    <row r="32" spans="2:7" x14ac:dyDescent="0.25">
      <c r="B32" t="s">
        <v>16</v>
      </c>
      <c r="C32" s="2">
        <v>1</v>
      </c>
      <c r="D32" s="2">
        <v>0.33</v>
      </c>
      <c r="E32" s="2">
        <v>0.2</v>
      </c>
      <c r="F32" s="2">
        <v>0.14285714285714285</v>
      </c>
      <c r="G32" s="2">
        <v>0.1111111111111111</v>
      </c>
    </row>
    <row r="33" spans="2:24" x14ac:dyDescent="0.25">
      <c r="B33" t="s">
        <v>28</v>
      </c>
      <c r="C33" s="2">
        <f>D27-C27+1</f>
        <v>3</v>
      </c>
      <c r="D33" s="2">
        <v>1</v>
      </c>
      <c r="E33" s="2">
        <v>0.33</v>
      </c>
      <c r="F33" s="2">
        <v>0.2</v>
      </c>
      <c r="G33" s="2">
        <v>0.14285714285714285</v>
      </c>
    </row>
    <row r="34" spans="2:24" x14ac:dyDescent="0.25">
      <c r="B34" t="s">
        <v>17</v>
      </c>
      <c r="C34" s="2">
        <v>5</v>
      </c>
      <c r="D34" s="2">
        <v>3</v>
      </c>
      <c r="E34" s="2">
        <v>1</v>
      </c>
      <c r="F34" s="2">
        <v>0.33333333333333331</v>
      </c>
      <c r="G34" s="2">
        <v>0.2</v>
      </c>
    </row>
    <row r="35" spans="2:24" x14ac:dyDescent="0.25">
      <c r="B35" t="s">
        <v>29</v>
      </c>
      <c r="C35" s="2">
        <v>7</v>
      </c>
      <c r="D35" s="2">
        <v>5</v>
      </c>
      <c r="E35" s="2">
        <v>3</v>
      </c>
      <c r="F35" s="2">
        <v>1</v>
      </c>
      <c r="G35" s="2">
        <v>0.14285714285714285</v>
      </c>
    </row>
    <row r="36" spans="2:24" x14ac:dyDescent="0.25">
      <c r="B36" t="s">
        <v>18</v>
      </c>
      <c r="C36" s="2">
        <v>9</v>
      </c>
      <c r="D36" s="2">
        <v>7</v>
      </c>
      <c r="E36" s="2">
        <v>5</v>
      </c>
      <c r="F36" s="2">
        <v>3</v>
      </c>
      <c r="G36" s="2">
        <v>1</v>
      </c>
    </row>
    <row r="39" spans="2:24" ht="51.75" customHeight="1" x14ac:dyDescent="0.25">
      <c r="B39" s="16" t="s">
        <v>35</v>
      </c>
      <c r="C39" s="17" t="s">
        <v>24</v>
      </c>
      <c r="D39" s="18" t="s">
        <v>25</v>
      </c>
      <c r="E39" s="19" t="s">
        <v>3</v>
      </c>
      <c r="F39" s="19" t="s">
        <v>4</v>
      </c>
      <c r="G39" s="19" t="s">
        <v>6</v>
      </c>
      <c r="H39" s="19" t="s">
        <v>5</v>
      </c>
      <c r="I39" s="43" t="s">
        <v>48</v>
      </c>
      <c r="J39" s="33"/>
      <c r="X39" s="28">
        <v>0.05</v>
      </c>
    </row>
    <row r="40" spans="2:24" x14ac:dyDescent="0.25">
      <c r="B40" s="16" t="s">
        <v>46</v>
      </c>
      <c r="C40" s="20">
        <f>'C11'!P4</f>
        <v>5.034127E-2</v>
      </c>
      <c r="D40" s="20">
        <f>+'C12'!K2</f>
        <v>5.034127E-2</v>
      </c>
      <c r="E40" s="20">
        <f>+'C2'!G2</f>
        <v>6.450053E-2</v>
      </c>
      <c r="F40" s="20">
        <f>+'C3'!G2</f>
        <v>5.034127E-2</v>
      </c>
      <c r="G40" s="20">
        <f>+'C4'!G2</f>
        <v>1.6437440000000001E-2</v>
      </c>
      <c r="H40" s="20" t="s">
        <v>47</v>
      </c>
      <c r="I40" s="44"/>
      <c r="J40" s="34"/>
    </row>
    <row r="41" spans="2:24" x14ac:dyDescent="0.25">
      <c r="B41" s="21" t="s">
        <v>52</v>
      </c>
      <c r="C41" s="20">
        <v>1.2929809701919178E-2</v>
      </c>
      <c r="D41" s="20">
        <v>2.5859619403838352E-2</v>
      </c>
      <c r="E41" s="20">
        <v>6.2331278143152119E-2</v>
      </c>
      <c r="F41" s="20">
        <v>0.14578929656065936</v>
      </c>
      <c r="G41" s="20">
        <v>0.20426990759611305</v>
      </c>
      <c r="H41" s="20">
        <v>0.54882008859431786</v>
      </c>
      <c r="I41" s="44"/>
      <c r="J41" s="34"/>
    </row>
    <row r="42" spans="2:24" x14ac:dyDescent="0.25">
      <c r="B42" s="16" t="s">
        <v>36</v>
      </c>
      <c r="C42" s="26">
        <f t="shared" ref="C42:F42" si="0">+C41-$F$49*C41</f>
        <v>1.2606564459371198E-2</v>
      </c>
      <c r="D42" s="26">
        <f t="shared" si="0"/>
        <v>2.5213128918742393E-2</v>
      </c>
      <c r="E42" s="26">
        <f t="shared" si="0"/>
        <v>6.0772996189573318E-2</v>
      </c>
      <c r="F42" s="26">
        <f t="shared" si="0"/>
        <v>0.14214456414664289</v>
      </c>
      <c r="G42" s="26">
        <f>+G41-$F$49*G41</f>
        <v>0.19916315990621022</v>
      </c>
      <c r="H42" s="26">
        <f>+H41+F49</f>
        <v>0.57382008859431788</v>
      </c>
      <c r="I42" s="44"/>
      <c r="J42" s="34"/>
      <c r="L42" s="32">
        <v>0.01</v>
      </c>
      <c r="M42" s="32">
        <v>1.4999999999999999E-2</v>
      </c>
      <c r="N42" s="32">
        <v>0.02</v>
      </c>
      <c r="O42" s="32">
        <v>2.5000000000000001E-2</v>
      </c>
      <c r="P42" s="32">
        <v>0.03</v>
      </c>
      <c r="Q42" s="32">
        <v>3.5000000000000003E-2</v>
      </c>
      <c r="R42" s="32">
        <v>0.04</v>
      </c>
      <c r="S42" s="32">
        <v>4.4999999999999998E-2</v>
      </c>
      <c r="T42" s="32">
        <v>0.05</v>
      </c>
      <c r="U42" s="32">
        <v>5.5E-2</v>
      </c>
      <c r="V42" s="32">
        <v>0.06</v>
      </c>
      <c r="W42" s="32">
        <v>6.5000000000000002E-2</v>
      </c>
    </row>
    <row r="43" spans="2:24" x14ac:dyDescent="0.25">
      <c r="B43" s="16" t="s">
        <v>7</v>
      </c>
      <c r="C43" s="20">
        <f>+'C11'!J3</f>
        <v>0.16310068132305444</v>
      </c>
      <c r="D43" s="20">
        <f>+'C12'!J3</f>
        <v>0.16310068132305444</v>
      </c>
      <c r="E43" s="20" cm="1">
        <f t="array" ref="E43:E46">+'C2'!J3:J6</f>
        <v>4.5454879837376033E-2</v>
      </c>
      <c r="F43" s="20" cm="1">
        <f t="array" ref="F43:F46">+'C3'!J3:J6</f>
        <v>4.2112414834618195E-2</v>
      </c>
      <c r="G43" s="20">
        <f>+'C4'!J3</f>
        <v>0.20095988653758035</v>
      </c>
      <c r="H43" s="20">
        <f>+'C5'!F3</f>
        <v>0.12195121951219513</v>
      </c>
      <c r="I43" s="22">
        <f>+C49</f>
        <v>0.12491876345027403</v>
      </c>
      <c r="J43" s="35"/>
      <c r="K43" t="str">
        <f>+B43</f>
        <v>A1 (center)</v>
      </c>
      <c r="L43">
        <v>0.12393473675552341</v>
      </c>
      <c r="M43">
        <v>0.12426274565377361</v>
      </c>
      <c r="N43">
        <v>0.12491876345027403</v>
      </c>
      <c r="O43">
        <v>0.12491876345027403</v>
      </c>
      <c r="P43">
        <v>0.12524677234852422</v>
      </c>
      <c r="Q43">
        <v>0.1255747812467744</v>
      </c>
      <c r="R43">
        <v>0.12590279014502462</v>
      </c>
      <c r="S43">
        <v>0.12623079904327483</v>
      </c>
      <c r="T43">
        <v>0.12655880794152502</v>
      </c>
      <c r="U43">
        <v>0.12688681683977521</v>
      </c>
      <c r="V43">
        <v>0.12721482573802539</v>
      </c>
      <c r="W43">
        <v>0.12754283463627564</v>
      </c>
    </row>
    <row r="44" spans="2:24" x14ac:dyDescent="0.25">
      <c r="B44" s="16" t="s">
        <v>8</v>
      </c>
      <c r="C44" s="20">
        <f>+'C11'!J4</f>
        <v>0.16310068132305444</v>
      </c>
      <c r="D44" s="20">
        <f>+'C12'!J4</f>
        <v>4.2112414834618195E-2</v>
      </c>
      <c r="E44" s="20">
        <v>0.20442568946760986</v>
      </c>
      <c r="F44" s="20">
        <v>0.63168622251927287</v>
      </c>
      <c r="G44" s="20">
        <f>+'C4'!J4</f>
        <v>0.52049013821387369</v>
      </c>
      <c r="H44" s="20">
        <f>+'C5'!F4</f>
        <v>0.16260162601626016</v>
      </c>
      <c r="I44" s="22">
        <f t="shared" ref="I44:I46" si="1">+C50</f>
        <v>0.30229878949420425</v>
      </c>
      <c r="J44" s="35"/>
      <c r="K44" t="str">
        <f t="shared" ref="K44:K46" si="2">+B44</f>
        <v>A2 (Suburb)</v>
      </c>
      <c r="L44">
        <v>0.3030750683354676</v>
      </c>
      <c r="M44">
        <v>0.30281630872171317</v>
      </c>
      <c r="N44">
        <v>0.30229878949420425</v>
      </c>
      <c r="O44">
        <v>0.30229878949420425</v>
      </c>
      <c r="P44">
        <v>0.30204002988044976</v>
      </c>
      <c r="Q44">
        <v>0.30178127026669532</v>
      </c>
      <c r="R44">
        <v>0.30152251065294083</v>
      </c>
      <c r="S44">
        <v>0.30126375103918634</v>
      </c>
      <c r="T44">
        <v>0.30100499142543191</v>
      </c>
      <c r="U44">
        <v>0.30074623181167742</v>
      </c>
      <c r="V44">
        <v>0.30048747219792299</v>
      </c>
      <c r="W44">
        <v>0.30022871258416856</v>
      </c>
    </row>
    <row r="45" spans="2:24" x14ac:dyDescent="0.25">
      <c r="B45" s="16" t="s">
        <v>9</v>
      </c>
      <c r="C45" s="20">
        <f>+'C11'!J5</f>
        <v>4.2112414834618202E-2</v>
      </c>
      <c r="D45" s="20">
        <f>+'C12'!J5</f>
        <v>0.16310068132305444</v>
      </c>
      <c r="E45" s="20">
        <v>0.65438418662153741</v>
      </c>
      <c r="F45" s="20">
        <v>0.16310068132305444</v>
      </c>
      <c r="G45" s="20">
        <f>+'C4'!J5</f>
        <v>0.20095988653758035</v>
      </c>
      <c r="H45" s="20">
        <f>+'C5'!F5</f>
        <v>0.32520325203252032</v>
      </c>
      <c r="I45" s="22">
        <f t="shared" si="1"/>
        <v>0.29422789922551817</v>
      </c>
      <c r="J45" s="35"/>
      <c r="K45" t="str">
        <f t="shared" si="2"/>
        <v>A3 (Shared)</v>
      </c>
      <c r="L45">
        <v>0.29100553875784663</v>
      </c>
      <c r="M45">
        <v>0.29207965891373711</v>
      </c>
      <c r="N45">
        <v>0.29422789922551817</v>
      </c>
      <c r="O45">
        <v>0.29422789922551817</v>
      </c>
      <c r="P45">
        <v>0.29530201938140865</v>
      </c>
      <c r="Q45">
        <v>0.29637613953729919</v>
      </c>
      <c r="R45">
        <v>0.29745025969318972</v>
      </c>
      <c r="S45">
        <v>0.2985243798490802</v>
      </c>
      <c r="T45">
        <v>0.29959850000497074</v>
      </c>
      <c r="U45">
        <v>0.30067262016086127</v>
      </c>
      <c r="V45">
        <v>0.30174674031675175</v>
      </c>
      <c r="W45">
        <v>0.30282086047264223</v>
      </c>
    </row>
    <row r="46" spans="2:24" x14ac:dyDescent="0.25">
      <c r="B46" s="16" t="s">
        <v>10</v>
      </c>
      <c r="C46" s="20">
        <f>+'C11'!J6</f>
        <v>0.63168622251927298</v>
      </c>
      <c r="D46" s="20">
        <f>+'C12'!J6</f>
        <v>0.63168622251927287</v>
      </c>
      <c r="E46" s="20">
        <v>9.5735244073476625E-2</v>
      </c>
      <c r="F46" s="20">
        <v>0.16310068132305444</v>
      </c>
      <c r="G46" s="20">
        <f>+'C4'!J6</f>
        <v>7.759008871096551E-2</v>
      </c>
      <c r="H46" s="20">
        <f>+'C5'!F6</f>
        <v>0.39024390243902435</v>
      </c>
      <c r="I46" s="22">
        <f t="shared" si="1"/>
        <v>0.29227505004486143</v>
      </c>
      <c r="J46" s="35"/>
      <c r="K46" t="str">
        <f t="shared" si="2"/>
        <v>A4 (Extend)</v>
      </c>
      <c r="L46">
        <v>0.2874728570371054</v>
      </c>
      <c r="M46">
        <v>0.28907358803969074</v>
      </c>
      <c r="N46">
        <v>0.29227505004486143</v>
      </c>
      <c r="O46">
        <v>0.29227505004486143</v>
      </c>
      <c r="P46">
        <v>0.29387578104744677</v>
      </c>
      <c r="Q46">
        <v>0.29547651205003211</v>
      </c>
      <c r="R46">
        <v>0.2970772430526174</v>
      </c>
      <c r="S46">
        <v>0.2986779740552028</v>
      </c>
      <c r="T46">
        <v>0.30027870505778809</v>
      </c>
      <c r="U46">
        <v>0.30187943606037343</v>
      </c>
      <c r="V46">
        <v>0.30348016706295877</v>
      </c>
      <c r="W46">
        <v>0.30508089806554411</v>
      </c>
    </row>
    <row r="47" spans="2:24" x14ac:dyDescent="0.25">
      <c r="B47" s="1"/>
    </row>
    <row r="48" spans="2:24" x14ac:dyDescent="0.25">
      <c r="B48" s="5"/>
      <c r="C48" s="6"/>
      <c r="D48" s="6"/>
      <c r="E48" s="6"/>
      <c r="F48" s="6"/>
    </row>
    <row r="49" spans="2:6" x14ac:dyDescent="0.25">
      <c r="B49" t="s">
        <v>7</v>
      </c>
      <c r="C49" s="11">
        <f>SUMPRODUCT(C43:H43,$C$42:$H$42)</f>
        <v>0.12491876345027403</v>
      </c>
      <c r="D49" s="27">
        <f>-($C$50-C49)/C49</f>
        <v>-1.4199630315308016</v>
      </c>
      <c r="E49" s="6"/>
      <c r="F49" s="31">
        <v>2.5000000000000001E-2</v>
      </c>
    </row>
    <row r="50" spans="2:6" x14ac:dyDescent="0.25">
      <c r="B50" t="s">
        <v>8</v>
      </c>
      <c r="C50" s="11">
        <f>SUMPRODUCT(C44:H44,$C$42:$H$42)</f>
        <v>0.30229878949420425</v>
      </c>
      <c r="D50" s="27">
        <f t="shared" ref="D50:D52" si="3">-($C$50-C50)/C50</f>
        <v>0</v>
      </c>
      <c r="E50" s="6"/>
      <c r="F50" s="6"/>
    </row>
    <row r="51" spans="2:6" x14ac:dyDescent="0.25">
      <c r="B51" t="s">
        <v>9</v>
      </c>
      <c r="C51" s="11">
        <f>SUMPRODUCT(C45:H45,$C$42:$H$42)</f>
        <v>0.29422789922551817</v>
      </c>
      <c r="D51" s="27">
        <f t="shared" si="3"/>
        <v>-2.7430744296957167E-2</v>
      </c>
      <c r="E51" s="6"/>
      <c r="F51" s="6"/>
    </row>
    <row r="52" spans="2:6" x14ac:dyDescent="0.25">
      <c r="B52" t="s">
        <v>10</v>
      </c>
      <c r="C52" s="11">
        <f>SUMPRODUCT(C46:H46,$C$42:$H$42)</f>
        <v>0.29227505004486143</v>
      </c>
      <c r="D52" s="27">
        <f t="shared" si="3"/>
        <v>-3.4295570038579304E-2</v>
      </c>
      <c r="E52" s="6"/>
      <c r="F52" s="6"/>
    </row>
  </sheetData>
  <mergeCells count="5">
    <mergeCell ref="B3:B4"/>
    <mergeCell ref="C3:F3"/>
    <mergeCell ref="B11:B12"/>
    <mergeCell ref="C11:F11"/>
    <mergeCell ref="I39:I42"/>
  </mergeCells>
  <conditionalFormatting sqref="C42:H42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3:G46">
    <cfRule type="iconSet" priority="2">
      <iconSet iconSet="3Symbols">
        <cfvo type="percent" val="0"/>
        <cfvo type="percent" val="0.08"/>
        <cfvo type="percent" val="67"/>
      </iconSet>
    </cfRule>
  </conditionalFormatting>
  <conditionalFormatting sqref="H43:H46">
    <cfRule type="iconSet" priority="1">
      <iconSet iconSet="3Symbols">
        <cfvo type="percent" val="0"/>
        <cfvo type="percent" val="13"/>
        <cfvo type="percent" val="35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9007-11C0-43D9-B96F-A4907744D40F}">
  <dimension ref="B2:I69"/>
  <sheetViews>
    <sheetView topLeftCell="A64" workbookViewId="0">
      <selection activeCell="F82" sqref="F82"/>
    </sheetView>
  </sheetViews>
  <sheetFormatPr defaultRowHeight="15" x14ac:dyDescent="0.25"/>
  <cols>
    <col min="2" max="2" width="13.5703125" customWidth="1"/>
    <col min="3" max="3" width="10.28515625" customWidth="1"/>
    <col min="4" max="4" width="10.5703125" customWidth="1"/>
    <col min="5" max="5" width="8.7109375" customWidth="1"/>
    <col min="6" max="8" width="13.5703125" customWidth="1"/>
  </cols>
  <sheetData>
    <row r="2" spans="2:6" x14ac:dyDescent="0.25">
      <c r="B2" t="s">
        <v>0</v>
      </c>
    </row>
    <row r="3" spans="2:6" x14ac:dyDescent="0.25">
      <c r="B3" s="42" t="s">
        <v>1</v>
      </c>
      <c r="C3" s="41" t="s">
        <v>11</v>
      </c>
      <c r="D3" s="41"/>
      <c r="E3" s="41"/>
      <c r="F3" s="41"/>
    </row>
    <row r="4" spans="2:6" x14ac:dyDescent="0.25">
      <c r="B4" s="42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C11" s="41" t="s">
        <v>11</v>
      </c>
      <c r="D11" s="41"/>
      <c r="E11" s="41"/>
      <c r="F11" s="41"/>
    </row>
    <row r="12" spans="2:6" x14ac:dyDescent="0.25">
      <c r="B12" s="10" t="s">
        <v>1</v>
      </c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s="1" t="s">
        <v>24</v>
      </c>
      <c r="C13" t="s">
        <v>17</v>
      </c>
      <c r="D13" t="s">
        <v>17</v>
      </c>
      <c r="E13" t="s">
        <v>16</v>
      </c>
      <c r="F13" t="s">
        <v>18</v>
      </c>
    </row>
    <row r="14" spans="2:6" x14ac:dyDescent="0.25">
      <c r="B14" s="5" t="s">
        <v>25</v>
      </c>
      <c r="C14" s="6" t="s">
        <v>17</v>
      </c>
      <c r="D14" s="6" t="s">
        <v>23</v>
      </c>
      <c r="E14" s="6" t="s">
        <v>17</v>
      </c>
      <c r="F14" s="6" t="s">
        <v>18</v>
      </c>
    </row>
    <row r="15" spans="2:6" x14ac:dyDescent="0.25">
      <c r="B15" s="6" t="s">
        <v>3</v>
      </c>
      <c r="C15" s="6" t="s">
        <v>16</v>
      </c>
      <c r="D15" s="6" t="s">
        <v>17</v>
      </c>
      <c r="E15" s="6" t="s">
        <v>18</v>
      </c>
      <c r="F15" s="6" t="s">
        <v>19</v>
      </c>
    </row>
    <row r="16" spans="2:6" x14ac:dyDescent="0.25">
      <c r="B16" s="6" t="s">
        <v>4</v>
      </c>
      <c r="C16" s="6" t="s">
        <v>16</v>
      </c>
      <c r="D16" s="6" t="s">
        <v>18</v>
      </c>
      <c r="E16" s="6" t="s">
        <v>17</v>
      </c>
      <c r="F16" s="6" t="s">
        <v>17</v>
      </c>
    </row>
    <row r="17" spans="2:8" x14ac:dyDescent="0.25">
      <c r="B17" s="6" t="s">
        <v>6</v>
      </c>
      <c r="C17" s="6" t="s">
        <v>20</v>
      </c>
      <c r="D17" s="6" t="s">
        <v>21</v>
      </c>
      <c r="E17" s="6" t="s">
        <v>20</v>
      </c>
      <c r="F17" s="6" t="s">
        <v>22</v>
      </c>
    </row>
    <row r="18" spans="2:8" x14ac:dyDescent="0.25">
      <c r="B18" s="6" t="s">
        <v>5</v>
      </c>
      <c r="C18" s="6">
        <v>800000</v>
      </c>
      <c r="D18" s="6">
        <v>600000</v>
      </c>
      <c r="E18" s="6">
        <v>300000</v>
      </c>
      <c r="F18" s="6">
        <v>250000</v>
      </c>
    </row>
    <row r="21" spans="2:8" x14ac:dyDescent="0.25">
      <c r="B21" t="str" cm="1">
        <f t="array" ref="B21:H25">TRANSPOSE(B12:F18)</f>
        <v>Criteria</v>
      </c>
      <c r="C21" t="str">
        <v>C11-Bus link</v>
      </c>
      <c r="D21" t="str">
        <v>C12-Rail link</v>
      </c>
      <c r="E21" t="str">
        <v>C2 (Parking)</v>
      </c>
      <c r="F21" t="str">
        <v>C3 (Warehouse Space)</v>
      </c>
      <c r="G21" t="str">
        <v>C4 (Security)</v>
      </c>
      <c r="H21" t="str">
        <v>C5 (cost)</v>
      </c>
    </row>
    <row r="22" spans="2:8" x14ac:dyDescent="0.25">
      <c r="B22" t="str">
        <v>A1 (center)</v>
      </c>
      <c r="C22" t="str">
        <v>Good</v>
      </c>
      <c r="D22" t="str">
        <v>Good</v>
      </c>
      <c r="E22" t="str">
        <v>Poor</v>
      </c>
      <c r="F22" t="str">
        <v>Poor</v>
      </c>
      <c r="G22" t="str">
        <v>***</v>
      </c>
      <c r="H22">
        <v>800000</v>
      </c>
    </row>
    <row r="23" spans="2:8" x14ac:dyDescent="0.25">
      <c r="B23" t="str">
        <v>A2 (Suburb)</v>
      </c>
      <c r="C23" t="str">
        <v>Good</v>
      </c>
      <c r="D23" t="str">
        <v>No rail link</v>
      </c>
      <c r="E23" t="str">
        <v>Good</v>
      </c>
      <c r="F23" t="str">
        <v>Excellent</v>
      </c>
      <c r="G23" t="str">
        <v>****</v>
      </c>
      <c r="H23">
        <v>600000</v>
      </c>
    </row>
    <row r="24" spans="2:8" x14ac:dyDescent="0.25">
      <c r="B24" t="str">
        <v>A3 (Shared)</v>
      </c>
      <c r="C24" t="str">
        <v>Poor</v>
      </c>
      <c r="D24" t="str">
        <v>Good</v>
      </c>
      <c r="E24" t="str">
        <v>Excellent</v>
      </c>
      <c r="F24" t="str">
        <v>Good</v>
      </c>
      <c r="G24" t="str">
        <v>***</v>
      </c>
      <c r="H24">
        <v>300000</v>
      </c>
    </row>
    <row r="25" spans="2:8" x14ac:dyDescent="0.25">
      <c r="B25" t="str">
        <v>A4 (Extend)</v>
      </c>
      <c r="C25" t="str">
        <v>Excellent</v>
      </c>
      <c r="D25" t="str">
        <v>Excellent</v>
      </c>
      <c r="E25" t="str">
        <v>Moderate</v>
      </c>
      <c r="F25" t="str">
        <v>Good</v>
      </c>
      <c r="G25" t="str">
        <v>**</v>
      </c>
      <c r="H25">
        <v>250000</v>
      </c>
    </row>
    <row r="27" spans="2:8" x14ac:dyDescent="0.25">
      <c r="B27" t="str">
        <f t="shared" ref="B27:H27" si="0">+B21</f>
        <v>Criteria</v>
      </c>
      <c r="C27" t="str">
        <f t="shared" si="0"/>
        <v>C11-Bus link</v>
      </c>
      <c r="D27" t="str">
        <f t="shared" si="0"/>
        <v>C12-Rail link</v>
      </c>
      <c r="E27" t="str">
        <f t="shared" si="0"/>
        <v>C2 (Parking)</v>
      </c>
      <c r="F27" t="str">
        <f t="shared" si="0"/>
        <v>C3 (Warehouse Space)</v>
      </c>
      <c r="G27" t="str">
        <f t="shared" si="0"/>
        <v>C4 (Security)</v>
      </c>
      <c r="H27" t="str">
        <f t="shared" si="0"/>
        <v>C5 (cost)</v>
      </c>
    </row>
    <row r="28" spans="2:8" x14ac:dyDescent="0.25">
      <c r="B28" t="s">
        <v>40</v>
      </c>
      <c r="C28">
        <f>AHP!C41</f>
        <v>1.2929809701919178E-2</v>
      </c>
      <c r="D28">
        <f>AHP!D41</f>
        <v>2.5859619403838352E-2</v>
      </c>
      <c r="E28">
        <f>AHP!E41</f>
        <v>6.2331278143152119E-2</v>
      </c>
      <c r="F28">
        <f>AHP!F41</f>
        <v>0.14578929656065936</v>
      </c>
      <c r="G28">
        <f>AHP!G41</f>
        <v>0.20426990759611305</v>
      </c>
      <c r="H28">
        <f>AHP!H41</f>
        <v>0.54882008859431786</v>
      </c>
    </row>
    <row r="29" spans="2:8" x14ac:dyDescent="0.25">
      <c r="B29" t="str">
        <f t="shared" ref="B29:B32" si="1">+B22</f>
        <v>A1 (center)</v>
      </c>
      <c r="C29">
        <f>_xlfn.XLOOKUP(TOPSIS!C22,AHP!$C$25:$G$25,AHP!$C$27:$G$27)</f>
        <v>5</v>
      </c>
      <c r="D29">
        <f>_xlfn.XLOOKUP(D22,AHP!$C$25:$G$25,AHP!$C$27:$G$27)</f>
        <v>5</v>
      </c>
      <c r="E29">
        <f>_xlfn.XLOOKUP(E22,AHP!$C$24:$G$24,AHP!$C$27:$G$27)</f>
        <v>1</v>
      </c>
      <c r="F29">
        <f>_xlfn.XLOOKUP(F22,AHP!$C$24:$G$24,AHP!$C$27:$G$27)</f>
        <v>1</v>
      </c>
      <c r="G29">
        <f>_xlfn.XLOOKUP(G22,AHP!$C$23:$G$23,AHP!$C$27:$G$27)</f>
        <v>5</v>
      </c>
      <c r="H29">
        <f>H22</f>
        <v>800000</v>
      </c>
    </row>
    <row r="30" spans="2:8" x14ac:dyDescent="0.25">
      <c r="B30" t="str">
        <f t="shared" si="1"/>
        <v>A2 (Suburb)</v>
      </c>
      <c r="C30">
        <f>_xlfn.XLOOKUP(TOPSIS!C23,AHP!$C$25:$G$25,AHP!$C$27:$G$27)</f>
        <v>5</v>
      </c>
      <c r="D30">
        <v>0</v>
      </c>
      <c r="E30">
        <f>_xlfn.XLOOKUP(E23,AHP!$C$24:$G$24,AHP!$C$27:$G$27)</f>
        <v>5</v>
      </c>
      <c r="F30">
        <f>_xlfn.XLOOKUP(F23,AHP!$C$24:$G$24,AHP!$C$27:$G$27)</f>
        <v>9</v>
      </c>
      <c r="G30">
        <f>_xlfn.XLOOKUP(G23,AHP!$C$23:$G$23,AHP!$C$27:$G$27)</f>
        <v>7</v>
      </c>
      <c r="H30">
        <f t="shared" ref="H30:H32" si="2">H23</f>
        <v>600000</v>
      </c>
    </row>
    <row r="31" spans="2:8" x14ac:dyDescent="0.25">
      <c r="B31" t="str">
        <f t="shared" si="1"/>
        <v>A3 (Shared)</v>
      </c>
      <c r="C31">
        <f>_xlfn.XLOOKUP(TOPSIS!C24,AHP!$C$25:$G$25,AHP!$C$27:$G$27)</f>
        <v>1</v>
      </c>
      <c r="D31">
        <f>_xlfn.XLOOKUP(D24,AHP!$C$25:$G$25,AHP!$C$27:$G$27)</f>
        <v>5</v>
      </c>
      <c r="E31">
        <f>_xlfn.XLOOKUP(E24,AHP!$C$24:$G$24,AHP!$C$27:$G$27)</f>
        <v>9</v>
      </c>
      <c r="F31">
        <f>_xlfn.XLOOKUP(F24,AHP!$C$24:$G$24,AHP!$C$27:$G$27)</f>
        <v>5</v>
      </c>
      <c r="G31">
        <f>_xlfn.XLOOKUP(G24,AHP!$C$23:$G$23,AHP!$C$27:$G$27)</f>
        <v>5</v>
      </c>
      <c r="H31">
        <f t="shared" si="2"/>
        <v>300000</v>
      </c>
    </row>
    <row r="32" spans="2:8" x14ac:dyDescent="0.25">
      <c r="B32" t="str">
        <f t="shared" si="1"/>
        <v>A4 (Extend)</v>
      </c>
      <c r="C32">
        <f>_xlfn.XLOOKUP(TOPSIS!C25,AHP!$C$25:$G$25,AHP!$C$27:$G$27)</f>
        <v>9</v>
      </c>
      <c r="D32">
        <f>_xlfn.XLOOKUP(D25,AHP!$C$25:$G$25,AHP!$C$27:$G$27)</f>
        <v>9</v>
      </c>
      <c r="E32">
        <f>_xlfn.XLOOKUP(E25,AHP!$C$24:$G$24,AHP!$C$27:$G$27)</f>
        <v>3</v>
      </c>
      <c r="F32">
        <f>_xlfn.XLOOKUP(F25,AHP!$C$24:$G$24,AHP!$C$27:$G$27)</f>
        <v>5</v>
      </c>
      <c r="G32">
        <f>_xlfn.XLOOKUP(G25,AHP!$C$23:$G$23,AHP!$C$27:$G$27)</f>
        <v>3</v>
      </c>
      <c r="H32">
        <f t="shared" si="2"/>
        <v>250000</v>
      </c>
    </row>
    <row r="33" spans="2:8" x14ac:dyDescent="0.25">
      <c r="B33" t="s">
        <v>41</v>
      </c>
      <c r="C33">
        <f>SQRT(SUMSQ(C29:C32))</f>
        <v>11.489125293076057</v>
      </c>
      <c r="D33">
        <f t="shared" ref="D33:G33" si="3">SQRT(SUMSQ(D29:D32))</f>
        <v>11.445523142259598</v>
      </c>
      <c r="E33">
        <f t="shared" si="3"/>
        <v>10.770329614269007</v>
      </c>
      <c r="F33">
        <f t="shared" si="3"/>
        <v>11.489125293076057</v>
      </c>
      <c r="G33">
        <f t="shared" si="3"/>
        <v>10.392304845413264</v>
      </c>
      <c r="H33">
        <f>SQRT(SUMSQ(H29:H32))</f>
        <v>1073545.5276791945</v>
      </c>
    </row>
    <row r="36" spans="2:8" ht="42.75" customHeight="1" x14ac:dyDescent="0.25">
      <c r="B36" s="24" t="s">
        <v>49</v>
      </c>
      <c r="C36" s="24" t="str">
        <f t="shared" ref="C36:H36" si="4">+C27</f>
        <v>C11-Bus link</v>
      </c>
      <c r="D36" s="24" t="str">
        <f t="shared" si="4"/>
        <v>C12-Rail link</v>
      </c>
      <c r="E36" s="24" t="str">
        <f t="shared" si="4"/>
        <v>C2 (Parking)</v>
      </c>
      <c r="F36" s="24" t="s">
        <v>4</v>
      </c>
      <c r="G36" s="24" t="str">
        <f t="shared" si="4"/>
        <v>C4 (Security)</v>
      </c>
      <c r="H36" s="24" t="str">
        <f t="shared" si="4"/>
        <v>C5 (cost)</v>
      </c>
    </row>
    <row r="37" spans="2:8" x14ac:dyDescent="0.25">
      <c r="B37" t="str">
        <f t="shared" ref="B37:B40" si="5">+B28</f>
        <v>Wi</v>
      </c>
      <c r="C37" s="2">
        <f>+C28</f>
        <v>1.2929809701919178E-2</v>
      </c>
      <c r="D37" s="2">
        <f t="shared" ref="D37:H37" si="6">+D28</f>
        <v>2.5859619403838352E-2</v>
      </c>
      <c r="E37" s="2">
        <f t="shared" si="6"/>
        <v>6.2331278143152119E-2</v>
      </c>
      <c r="F37" s="2">
        <f t="shared" si="6"/>
        <v>0.14578929656065936</v>
      </c>
      <c r="G37" s="2">
        <f t="shared" si="6"/>
        <v>0.20426990759611305</v>
      </c>
      <c r="H37" s="2">
        <f t="shared" si="6"/>
        <v>0.54882008859431786</v>
      </c>
    </row>
    <row r="38" spans="2:8" x14ac:dyDescent="0.25">
      <c r="B38" t="str">
        <f t="shared" si="5"/>
        <v>A1 (center)</v>
      </c>
      <c r="C38" s="2">
        <f>+C29/C$33</f>
        <v>0.4351941398892446</v>
      </c>
      <c r="D38" s="2">
        <f t="shared" ref="D38:H38" si="7">+D29/D$33</f>
        <v>0.43685202833051895</v>
      </c>
      <c r="E38" s="2">
        <f t="shared" si="7"/>
        <v>9.284766908852593E-2</v>
      </c>
      <c r="F38" s="2">
        <f t="shared" si="7"/>
        <v>8.7038827977848926E-2</v>
      </c>
      <c r="G38" s="2">
        <f t="shared" si="7"/>
        <v>0.48112522432468813</v>
      </c>
      <c r="H38" s="2">
        <f t="shared" si="7"/>
        <v>0.74519429253219571</v>
      </c>
    </row>
    <row r="39" spans="2:8" x14ac:dyDescent="0.25">
      <c r="B39" t="str">
        <f t="shared" si="5"/>
        <v>A2 (Suburb)</v>
      </c>
      <c r="C39" s="2">
        <f t="shared" ref="C39:H41" si="8">+C30/C$33</f>
        <v>0.4351941398892446</v>
      </c>
      <c r="D39" s="2">
        <f t="shared" si="8"/>
        <v>0</v>
      </c>
      <c r="E39" s="2">
        <f t="shared" si="8"/>
        <v>0.46423834544262971</v>
      </c>
      <c r="F39" s="2">
        <f t="shared" si="8"/>
        <v>0.78334945180064031</v>
      </c>
      <c r="G39" s="2">
        <f t="shared" si="8"/>
        <v>0.67357531405456339</v>
      </c>
      <c r="H39" s="2">
        <f t="shared" si="8"/>
        <v>0.55889571939914673</v>
      </c>
    </row>
    <row r="40" spans="2:8" x14ac:dyDescent="0.25">
      <c r="B40" t="str">
        <f t="shared" si="5"/>
        <v>A3 (Shared)</v>
      </c>
      <c r="C40" s="2">
        <f t="shared" si="8"/>
        <v>8.7038827977848926E-2</v>
      </c>
      <c r="D40" s="2">
        <f t="shared" si="8"/>
        <v>0.43685202833051895</v>
      </c>
      <c r="E40" s="2">
        <f t="shared" si="8"/>
        <v>0.83562902179673348</v>
      </c>
      <c r="F40" s="2">
        <f t="shared" si="8"/>
        <v>0.4351941398892446</v>
      </c>
      <c r="G40" s="2">
        <f t="shared" si="8"/>
        <v>0.48112522432468813</v>
      </c>
      <c r="H40" s="2">
        <f t="shared" si="8"/>
        <v>0.27944785969957336</v>
      </c>
    </row>
    <row r="41" spans="2:8" x14ac:dyDescent="0.25">
      <c r="B41" t="str">
        <f>+B32</f>
        <v>A4 (Extend)</v>
      </c>
      <c r="C41" s="2">
        <f t="shared" si="8"/>
        <v>0.78334945180064031</v>
      </c>
      <c r="D41" s="2">
        <f t="shared" si="8"/>
        <v>0.78633365099493413</v>
      </c>
      <c r="E41" s="2">
        <f t="shared" si="8"/>
        <v>0.27854300726557779</v>
      </c>
      <c r="F41" s="2">
        <f t="shared" si="8"/>
        <v>0.4351941398892446</v>
      </c>
      <c r="G41" s="2">
        <f t="shared" si="8"/>
        <v>0.28867513459481287</v>
      </c>
      <c r="H41" s="2">
        <f t="shared" si="8"/>
        <v>0.23287321641631115</v>
      </c>
    </row>
    <row r="44" spans="2:8" ht="45" x14ac:dyDescent="0.25">
      <c r="B44" s="24" t="s">
        <v>50</v>
      </c>
      <c r="C44" s="24" t="str">
        <f t="shared" ref="C44:H44" si="9">+C36</f>
        <v>C11-Bus link</v>
      </c>
      <c r="D44" s="24" t="str">
        <f t="shared" si="9"/>
        <v>C12-Rail link</v>
      </c>
      <c r="E44" s="24" t="str">
        <f t="shared" si="9"/>
        <v>C2 (Parking)</v>
      </c>
      <c r="F44" s="24" t="str">
        <f t="shared" si="9"/>
        <v>C3 (Warehouse Space)</v>
      </c>
      <c r="G44" s="24" t="str">
        <f t="shared" si="9"/>
        <v>C4 (Security)</v>
      </c>
      <c r="H44" s="24" t="str">
        <f t="shared" si="9"/>
        <v>C5 (cost)</v>
      </c>
    </row>
    <row r="45" spans="2:8" x14ac:dyDescent="0.25">
      <c r="B45" t="str">
        <f>+B38</f>
        <v>A1 (center)</v>
      </c>
      <c r="C45" s="23">
        <f>+C$37*C38</f>
        <v>5.6269774121583266E-3</v>
      </c>
      <c r="D45" s="23">
        <f t="shared" ref="D45:H45" si="10">+D$37*D38</f>
        <v>1.1296827188422029E-2</v>
      </c>
      <c r="E45" s="23">
        <f t="shared" si="10"/>
        <v>5.7873138869002569E-3</v>
      </c>
      <c r="F45" s="23">
        <f t="shared" si="10"/>
        <v>1.2689329504354833E-2</v>
      </c>
      <c r="G45" s="23">
        <f t="shared" si="10"/>
        <v>9.8279405114963206E-2</v>
      </c>
      <c r="H45" s="23">
        <f t="shared" si="10"/>
        <v>0.40897759764749969</v>
      </c>
    </row>
    <row r="46" spans="2:8" x14ac:dyDescent="0.25">
      <c r="B46" t="str">
        <f>+B39</f>
        <v>A2 (Suburb)</v>
      </c>
      <c r="C46" s="23">
        <f t="shared" ref="C46:H48" si="11">+C$37*C39</f>
        <v>5.6269774121583266E-3</v>
      </c>
      <c r="D46" s="23">
        <f t="shared" si="11"/>
        <v>0</v>
      </c>
      <c r="E46" s="23">
        <f t="shared" si="11"/>
        <v>2.8936569434501288E-2</v>
      </c>
      <c r="F46" s="23">
        <f t="shared" si="11"/>
        <v>0.11420396553919349</v>
      </c>
      <c r="G46" s="23">
        <f t="shared" si="11"/>
        <v>0.13759116716094849</v>
      </c>
      <c r="H46" s="23">
        <f t="shared" si="11"/>
        <v>0.30673319823562473</v>
      </c>
    </row>
    <row r="47" spans="2:8" x14ac:dyDescent="0.25">
      <c r="B47" t="str">
        <f>+B40</f>
        <v>A3 (Shared)</v>
      </c>
      <c r="C47" s="23">
        <f t="shared" si="11"/>
        <v>1.1253954824316653E-3</v>
      </c>
      <c r="D47" s="23">
        <f t="shared" si="11"/>
        <v>1.1296827188422029E-2</v>
      </c>
      <c r="E47" s="23">
        <f t="shared" si="11"/>
        <v>5.2085824982102319E-2</v>
      </c>
      <c r="F47" s="23">
        <f t="shared" si="11"/>
        <v>6.344664752177416E-2</v>
      </c>
      <c r="G47" s="23">
        <f t="shared" si="11"/>
        <v>9.8279405114963206E-2</v>
      </c>
      <c r="H47" s="23">
        <f t="shared" si="11"/>
        <v>0.15336659911781236</v>
      </c>
    </row>
    <row r="48" spans="2:8" x14ac:dyDescent="0.25">
      <c r="B48" t="str">
        <f>+B41</f>
        <v>A4 (Extend)</v>
      </c>
      <c r="C48" s="23">
        <f t="shared" si="11"/>
        <v>1.0128559341884988E-2</v>
      </c>
      <c r="D48" s="23">
        <f t="shared" si="11"/>
        <v>2.0334288939159652E-2</v>
      </c>
      <c r="E48" s="23">
        <f t="shared" si="11"/>
        <v>1.7361941660700771E-2</v>
      </c>
      <c r="F48" s="23">
        <f t="shared" si="11"/>
        <v>6.344664752177416E-2</v>
      </c>
      <c r="G48" s="23">
        <f t="shared" si="11"/>
        <v>5.8967643068977921E-2</v>
      </c>
      <c r="H48" s="23">
        <f t="shared" si="11"/>
        <v>0.12780549926484364</v>
      </c>
    </row>
    <row r="51" spans="2:9" x14ac:dyDescent="0.25">
      <c r="B51" s="12" t="s">
        <v>42</v>
      </c>
      <c r="C51" t="str">
        <f>+C44</f>
        <v>C11-Bus link</v>
      </c>
      <c r="D51" t="str">
        <f t="shared" ref="D51:H51" si="12">+D44</f>
        <v>C12-Rail link</v>
      </c>
      <c r="E51" t="str">
        <f t="shared" si="12"/>
        <v>C2 (Parking)</v>
      </c>
      <c r="F51" t="str">
        <f t="shared" si="12"/>
        <v>C3 (Warehouse Space)</v>
      </c>
      <c r="G51" t="str">
        <f t="shared" si="12"/>
        <v>C4 (Security)</v>
      </c>
      <c r="H51" t="str">
        <f t="shared" si="12"/>
        <v>C5 (cost)</v>
      </c>
      <c r="I51" t="s">
        <v>44</v>
      </c>
    </row>
    <row r="52" spans="2:9" x14ac:dyDescent="0.25">
      <c r="B52" t="str">
        <f>+B45</f>
        <v>A1 (center)</v>
      </c>
      <c r="C52">
        <f>+(C45-MAX(C$45:C$48))^2</f>
        <v>2.0264239870041613E-5</v>
      </c>
      <c r="D52">
        <f t="shared" ref="D52:G52" si="13">+(D45-MAX(D$45:D$48))^2</f>
        <v>8.1675714896045539E-5</v>
      </c>
      <c r="E52">
        <f t="shared" si="13"/>
        <v>2.1435521296325486E-3</v>
      </c>
      <c r="F52">
        <f t="shared" si="13"/>
        <v>1.0305221329285762E-2</v>
      </c>
      <c r="G52">
        <f t="shared" si="13"/>
        <v>1.5454146351601692E-3</v>
      </c>
      <c r="H52">
        <f>+(H45-MIN(H$45:H$48))^2</f>
        <v>7.9057748908906017E-2</v>
      </c>
      <c r="I52">
        <f>SQRT(SUM(C52:H52))</f>
        <v>0.30521120057715867</v>
      </c>
    </row>
    <row r="53" spans="2:9" x14ac:dyDescent="0.25">
      <c r="B53" t="str">
        <f>+B46</f>
        <v>A2 (Suburb)</v>
      </c>
      <c r="C53">
        <f t="shared" ref="C53:G55" si="14">+(C46-MAX(C$45:C$48))^2</f>
        <v>2.0264239870041613E-5</v>
      </c>
      <c r="D53">
        <f t="shared" si="14"/>
        <v>4.1348330666123056E-4</v>
      </c>
      <c r="E53">
        <f t="shared" si="14"/>
        <v>5.3588803240813714E-4</v>
      </c>
      <c r="F53">
        <f t="shared" si="14"/>
        <v>0</v>
      </c>
      <c r="G53">
        <f t="shared" si="14"/>
        <v>0</v>
      </c>
      <c r="H53">
        <f t="shared" ref="H53:H55" si="15">+(H46-MIN(H$45:H$48))^2</f>
        <v>3.201512145897846E-2</v>
      </c>
      <c r="I53">
        <f t="shared" ref="I53:I55" si="16">SQRT(SUM(C53:H53))</f>
        <v>0.18161706152759399</v>
      </c>
    </row>
    <row r="54" spans="2:9" x14ac:dyDescent="0.25">
      <c r="B54" t="str">
        <f>+B47</f>
        <v>A3 (Shared)</v>
      </c>
      <c r="C54">
        <f t="shared" si="14"/>
        <v>8.1056959480166452E-5</v>
      </c>
      <c r="D54">
        <f t="shared" si="14"/>
        <v>8.1675714896045539E-5</v>
      </c>
      <c r="E54">
        <f t="shared" si="14"/>
        <v>0</v>
      </c>
      <c r="F54">
        <f t="shared" si="14"/>
        <v>2.5763053323214404E-3</v>
      </c>
      <c r="G54">
        <f t="shared" si="14"/>
        <v>1.5454146351601692E-3</v>
      </c>
      <c r="H54">
        <f t="shared" si="15"/>
        <v>6.5336982569343788E-4</v>
      </c>
      <c r="I54">
        <f t="shared" si="16"/>
        <v>7.0269641151433665E-2</v>
      </c>
    </row>
    <row r="55" spans="2:9" x14ac:dyDescent="0.25">
      <c r="B55" t="str">
        <f>+B48</f>
        <v>A4 (Extend)</v>
      </c>
      <c r="C55">
        <f t="shared" si="14"/>
        <v>0</v>
      </c>
      <c r="D55">
        <f t="shared" si="14"/>
        <v>0</v>
      </c>
      <c r="E55">
        <f t="shared" si="14"/>
        <v>1.2057480729183085E-3</v>
      </c>
      <c r="F55">
        <f t="shared" si="14"/>
        <v>2.5763053323214404E-3</v>
      </c>
      <c r="G55">
        <f t="shared" si="14"/>
        <v>6.1816585406406768E-3</v>
      </c>
      <c r="H55">
        <f t="shared" si="15"/>
        <v>0</v>
      </c>
      <c r="I55">
        <f t="shared" si="16"/>
        <v>9.9818394827208209E-2</v>
      </c>
    </row>
    <row r="58" spans="2:9" x14ac:dyDescent="0.25">
      <c r="B58" s="13" t="s">
        <v>43</v>
      </c>
      <c r="C58" t="str">
        <f>+C51</f>
        <v>C11-Bus link</v>
      </c>
      <c r="D58" t="str">
        <f t="shared" ref="D58:H58" si="17">+D51</f>
        <v>C12-Rail link</v>
      </c>
      <c r="E58" t="str">
        <f t="shared" si="17"/>
        <v>C2 (Parking)</v>
      </c>
      <c r="F58" t="str">
        <f t="shared" si="17"/>
        <v>C3 (Warehouse Space)</v>
      </c>
      <c r="G58" t="str">
        <f t="shared" si="17"/>
        <v>C4 (Security)</v>
      </c>
      <c r="H58" t="str">
        <f t="shared" si="17"/>
        <v>C5 (cost)</v>
      </c>
      <c r="I58" t="s">
        <v>45</v>
      </c>
    </row>
    <row r="59" spans="2:9" x14ac:dyDescent="0.25">
      <c r="B59" t="str">
        <f>+B52</f>
        <v>A1 (center)</v>
      </c>
      <c r="C59">
        <f>+(C45-MIN(C$45:C$48))^2</f>
        <v>2.0264239870041613E-5</v>
      </c>
      <c r="D59">
        <f t="shared" ref="D59:G59" si="18">+(D45-MIN(D$45:D$48))^2</f>
        <v>1.2761830452507115E-4</v>
      </c>
      <c r="E59">
        <f t="shared" si="18"/>
        <v>0</v>
      </c>
      <c r="F59">
        <f t="shared" si="18"/>
        <v>0</v>
      </c>
      <c r="G59">
        <f t="shared" si="18"/>
        <v>1.5454146351601692E-3</v>
      </c>
      <c r="H59">
        <f>+(H45-MAX(H$45:H$48))^2</f>
        <v>0</v>
      </c>
      <c r="I59">
        <f>SQRT(SUM(C59:H59))</f>
        <v>4.114969233852523E-2</v>
      </c>
    </row>
    <row r="60" spans="2:9" x14ac:dyDescent="0.25">
      <c r="B60" t="str">
        <f t="shared" ref="B60:B62" si="19">+B53</f>
        <v>A2 (Suburb)</v>
      </c>
      <c r="C60">
        <f t="shared" ref="C60:G62" si="20">+(C46-MIN(C$45:C$48))^2</f>
        <v>2.0264239870041613E-5</v>
      </c>
      <c r="D60">
        <f t="shared" si="20"/>
        <v>0</v>
      </c>
      <c r="E60">
        <f t="shared" si="20"/>
        <v>5.3588803240813714E-4</v>
      </c>
      <c r="F60">
        <f t="shared" si="20"/>
        <v>1.0305221329285762E-2</v>
      </c>
      <c r="G60">
        <f t="shared" si="20"/>
        <v>6.1816585406406768E-3</v>
      </c>
      <c r="H60">
        <f t="shared" ref="H60:H62" si="21">+(H46-MAX(H$45:H$48))^2</f>
        <v>1.0453917211095018E-2</v>
      </c>
      <c r="I60">
        <f t="shared" ref="I60:I62" si="22">SQRT(SUM(C60:H60))</f>
        <v>0.16582204121678043</v>
      </c>
    </row>
    <row r="61" spans="2:9" x14ac:dyDescent="0.25">
      <c r="B61" t="str">
        <f t="shared" si="19"/>
        <v>A3 (Shared)</v>
      </c>
      <c r="C61">
        <f t="shared" si="20"/>
        <v>0</v>
      </c>
      <c r="D61">
        <f t="shared" si="20"/>
        <v>1.2761830452507115E-4</v>
      </c>
      <c r="E61">
        <f t="shared" si="20"/>
        <v>2.1435521296325486E-3</v>
      </c>
      <c r="F61">
        <f t="shared" si="20"/>
        <v>2.5763053323214404E-3</v>
      </c>
      <c r="G61">
        <f t="shared" si="20"/>
        <v>1.5454146351601692E-3</v>
      </c>
      <c r="H61">
        <f t="shared" si="21"/>
        <v>6.5336982569343824E-2</v>
      </c>
      <c r="I61">
        <f t="shared" si="22"/>
        <v>0.26782433229821195</v>
      </c>
    </row>
    <row r="62" spans="2:9" x14ac:dyDescent="0.25">
      <c r="B62" t="str">
        <f t="shared" si="19"/>
        <v>A4 (Extend)</v>
      </c>
      <c r="C62">
        <f t="shared" si="20"/>
        <v>8.1056959480166452E-5</v>
      </c>
      <c r="D62">
        <f t="shared" si="20"/>
        <v>4.1348330666123056E-4</v>
      </c>
      <c r="E62">
        <f t="shared" si="20"/>
        <v>1.3397200810203423E-4</v>
      </c>
      <c r="F62">
        <f t="shared" si="20"/>
        <v>2.5763053323214404E-3</v>
      </c>
      <c r="G62">
        <f t="shared" si="20"/>
        <v>0</v>
      </c>
      <c r="H62">
        <f t="shared" si="21"/>
        <v>7.9057748908906017E-2</v>
      </c>
      <c r="I62">
        <f t="shared" si="22"/>
        <v>0.2868145158730131</v>
      </c>
    </row>
    <row r="65" spans="2:6" ht="45" x14ac:dyDescent="0.25">
      <c r="B65" s="25" t="s">
        <v>35</v>
      </c>
      <c r="C65" s="16" t="s">
        <v>44</v>
      </c>
      <c r="D65" s="16" t="s">
        <v>45</v>
      </c>
      <c r="E65" s="25" t="s">
        <v>51</v>
      </c>
    </row>
    <row r="66" spans="2:6" x14ac:dyDescent="0.25">
      <c r="B66" s="16" t="str">
        <f>+B59</f>
        <v>A1 (center)</v>
      </c>
      <c r="C66" s="26">
        <f>+I52</f>
        <v>0.30521120057715867</v>
      </c>
      <c r="D66" s="26">
        <f>+I59</f>
        <v>4.114969233852523E-2</v>
      </c>
      <c r="E66" s="26">
        <f>+I59/(I59+I52)</f>
        <v>0.11880582704393962</v>
      </c>
      <c r="F66" s="14">
        <f t="shared" ref="F66:F69" si="23">(E66-$E$68)/E66</f>
        <v>-5.6676817004257618</v>
      </c>
    </row>
    <row r="67" spans="2:6" x14ac:dyDescent="0.25">
      <c r="B67" s="16" t="str">
        <f t="shared" ref="B67:B69" si="24">+B60</f>
        <v>A2 (Suburb)</v>
      </c>
      <c r="C67" s="26">
        <f t="shared" ref="C67:C69" si="25">+I53</f>
        <v>0.18161706152759399</v>
      </c>
      <c r="D67" s="26">
        <f t="shared" ref="D67:D69" si="26">+I60</f>
        <v>0.16582204121678043</v>
      </c>
      <c r="E67" s="26">
        <f>+I60/(I60+I53)</f>
        <v>0.47726936866626296</v>
      </c>
      <c r="F67" s="14">
        <f>(E67-$E$68)/E67</f>
        <v>-0.65977431381889584</v>
      </c>
    </row>
    <row r="68" spans="2:6" x14ac:dyDescent="0.25">
      <c r="B68" s="16" t="str">
        <f t="shared" si="24"/>
        <v>A3 (Shared)</v>
      </c>
      <c r="C68" s="26">
        <f t="shared" si="25"/>
        <v>7.0269641151433665E-2</v>
      </c>
      <c r="D68" s="26">
        <f t="shared" si="26"/>
        <v>0.26782433229821195</v>
      </c>
      <c r="E68" s="26">
        <f>+I61/(I61+I54)</f>
        <v>0.79215943888482421</v>
      </c>
      <c r="F68" s="14">
        <f t="shared" si="23"/>
        <v>0</v>
      </c>
    </row>
    <row r="69" spans="2:6" x14ac:dyDescent="0.25">
      <c r="B69" s="16" t="str">
        <f t="shared" si="24"/>
        <v>A4 (Extend)</v>
      </c>
      <c r="C69" s="26">
        <f t="shared" si="25"/>
        <v>9.9818394827208209E-2</v>
      </c>
      <c r="D69" s="26">
        <f t="shared" si="26"/>
        <v>0.2868145158730131</v>
      </c>
      <c r="E69" s="26">
        <f>+I62/(I62+I55)</f>
        <v>0.74182644036579914</v>
      </c>
      <c r="F69" s="14">
        <f t="shared" si="23"/>
        <v>-6.785010048200163E-2</v>
      </c>
    </row>
  </sheetData>
  <mergeCells count="3">
    <mergeCell ref="B3:B4"/>
    <mergeCell ref="C3:F3"/>
    <mergeCell ref="C11:F11"/>
  </mergeCells>
  <conditionalFormatting sqref="C45:C48">
    <cfRule type="top10" dxfId="23" priority="13" bottom="1" rank="1"/>
    <cfRule type="top10" dxfId="22" priority="14" rank="1"/>
  </conditionalFormatting>
  <conditionalFormatting sqref="D45:D48">
    <cfRule type="top10" dxfId="21" priority="11" bottom="1" rank="1"/>
    <cfRule type="top10" dxfId="20" priority="12" rank="1"/>
  </conditionalFormatting>
  <conditionalFormatting sqref="E45:E48">
    <cfRule type="top10" dxfId="19" priority="9" bottom="1" rank="1"/>
    <cfRule type="top10" dxfId="18" priority="10" rank="1"/>
  </conditionalFormatting>
  <conditionalFormatting sqref="F45:F48">
    <cfRule type="top10" dxfId="17" priority="7" bottom="1" rank="1"/>
    <cfRule type="top10" dxfId="16" priority="8" rank="1"/>
  </conditionalFormatting>
  <conditionalFormatting sqref="G45:G48">
    <cfRule type="top10" dxfId="15" priority="5" bottom="1" rank="1"/>
    <cfRule type="top10" dxfId="14" priority="6" rank="1"/>
  </conditionalFormatting>
  <conditionalFormatting sqref="H45:H48">
    <cfRule type="top10" dxfId="13" priority="3" bottom="1" rank="1"/>
    <cfRule type="top10" dxfId="12" priority="4" rank="1"/>
  </conditionalFormatting>
  <conditionalFormatting sqref="C66:C69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D66:D69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2F82-4C35-41FA-86D0-72A2A7201A1C}">
  <dimension ref="B2:X70"/>
  <sheetViews>
    <sheetView topLeftCell="A54" workbookViewId="0">
      <selection activeCell="H67" sqref="H67"/>
    </sheetView>
  </sheetViews>
  <sheetFormatPr defaultRowHeight="15" x14ac:dyDescent="0.25"/>
  <cols>
    <col min="2" max="2" width="13.5703125" customWidth="1"/>
    <col min="3" max="3" width="10.28515625" customWidth="1"/>
    <col min="4" max="4" width="10.5703125" customWidth="1"/>
    <col min="5" max="5" width="8.7109375" customWidth="1"/>
    <col min="6" max="8" width="13.5703125" customWidth="1"/>
  </cols>
  <sheetData>
    <row r="2" spans="2:6" x14ac:dyDescent="0.25">
      <c r="B2" t="s">
        <v>0</v>
      </c>
    </row>
    <row r="3" spans="2:6" x14ac:dyDescent="0.25">
      <c r="B3" s="42" t="s">
        <v>1</v>
      </c>
      <c r="C3" s="41" t="s">
        <v>11</v>
      </c>
      <c r="D3" s="41"/>
      <c r="E3" s="41"/>
      <c r="F3" s="41"/>
    </row>
    <row r="4" spans="2:6" x14ac:dyDescent="0.25">
      <c r="B4" s="42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C11" s="41" t="s">
        <v>11</v>
      </c>
      <c r="D11" s="41"/>
      <c r="E11" s="41"/>
      <c r="F11" s="41"/>
    </row>
    <row r="12" spans="2:6" x14ac:dyDescent="0.25">
      <c r="B12" s="10" t="s">
        <v>1</v>
      </c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s="1" t="s">
        <v>24</v>
      </c>
      <c r="C13" t="s">
        <v>17</v>
      </c>
      <c r="D13" t="s">
        <v>17</v>
      </c>
      <c r="E13" t="s">
        <v>16</v>
      </c>
      <c r="F13" t="s">
        <v>18</v>
      </c>
    </row>
    <row r="14" spans="2:6" x14ac:dyDescent="0.25">
      <c r="B14" s="5" t="s">
        <v>25</v>
      </c>
      <c r="C14" s="6" t="s">
        <v>17</v>
      </c>
      <c r="D14" s="6" t="s">
        <v>23</v>
      </c>
      <c r="E14" s="6" t="s">
        <v>17</v>
      </c>
      <c r="F14" s="6" t="s">
        <v>18</v>
      </c>
    </row>
    <row r="15" spans="2:6" x14ac:dyDescent="0.25">
      <c r="B15" s="6" t="s">
        <v>3</v>
      </c>
      <c r="C15" s="6" t="s">
        <v>16</v>
      </c>
      <c r="D15" s="6" t="s">
        <v>17</v>
      </c>
      <c r="E15" s="6" t="s">
        <v>18</v>
      </c>
      <c r="F15" s="6" t="s">
        <v>19</v>
      </c>
    </row>
    <row r="16" spans="2:6" x14ac:dyDescent="0.25">
      <c r="B16" s="6" t="s">
        <v>4</v>
      </c>
      <c r="C16" s="6" t="s">
        <v>16</v>
      </c>
      <c r="D16" s="6" t="s">
        <v>18</v>
      </c>
      <c r="E16" s="6" t="s">
        <v>17</v>
      </c>
      <c r="F16" s="6" t="s">
        <v>17</v>
      </c>
    </row>
    <row r="17" spans="2:8" x14ac:dyDescent="0.25">
      <c r="B17" s="6" t="s">
        <v>6</v>
      </c>
      <c r="C17" s="6" t="s">
        <v>20</v>
      </c>
      <c r="D17" s="6" t="s">
        <v>21</v>
      </c>
      <c r="E17" s="6" t="s">
        <v>20</v>
      </c>
      <c r="F17" s="6" t="s">
        <v>22</v>
      </c>
    </row>
    <row r="18" spans="2:8" x14ac:dyDescent="0.25">
      <c r="B18" s="6" t="s">
        <v>5</v>
      </c>
      <c r="C18" s="6">
        <v>800000</v>
      </c>
      <c r="D18" s="6">
        <v>600000</v>
      </c>
      <c r="E18" s="6">
        <v>300000</v>
      </c>
      <c r="F18" s="6">
        <v>250000</v>
      </c>
    </row>
    <row r="21" spans="2:8" x14ac:dyDescent="0.25">
      <c r="B21" t="str" cm="1">
        <f t="array" ref="B21:H25">TRANSPOSE(B12:F18)</f>
        <v>Criteria</v>
      </c>
      <c r="C21" t="str">
        <v>C11-Bus link</v>
      </c>
      <c r="D21" t="str">
        <v>C12-Rail link</v>
      </c>
      <c r="E21" t="str">
        <v>C2 (Parking)</v>
      </c>
      <c r="F21" t="str">
        <v>C3 (Warehouse Space)</v>
      </c>
      <c r="G21" t="str">
        <v>C4 (Security)</v>
      </c>
      <c r="H21" t="str">
        <v>C5 (cost)</v>
      </c>
    </row>
    <row r="22" spans="2:8" x14ac:dyDescent="0.25">
      <c r="B22" t="str">
        <v>A1 (center)</v>
      </c>
      <c r="C22" t="str">
        <v>Good</v>
      </c>
      <c r="D22" t="str">
        <v>Good</v>
      </c>
      <c r="E22" t="str">
        <v>Poor</v>
      </c>
      <c r="F22" t="str">
        <v>Poor</v>
      </c>
      <c r="G22" t="str">
        <v>***</v>
      </c>
      <c r="H22">
        <v>800000</v>
      </c>
    </row>
    <row r="23" spans="2:8" x14ac:dyDescent="0.25">
      <c r="B23" t="str">
        <v>A2 (Suburb)</v>
      </c>
      <c r="C23" t="str">
        <v>Good</v>
      </c>
      <c r="D23" t="str">
        <v>No rail link</v>
      </c>
      <c r="E23" t="str">
        <v>Good</v>
      </c>
      <c r="F23" t="str">
        <v>Excellent</v>
      </c>
      <c r="G23" t="str">
        <v>****</v>
      </c>
      <c r="H23">
        <v>600000</v>
      </c>
    </row>
    <row r="24" spans="2:8" x14ac:dyDescent="0.25">
      <c r="B24" t="str">
        <v>A3 (Shared)</v>
      </c>
      <c r="C24" t="str">
        <v>Poor</v>
      </c>
      <c r="D24" t="str">
        <v>Good</v>
      </c>
      <c r="E24" t="str">
        <v>Excellent</v>
      </c>
      <c r="F24" t="str">
        <v>Good</v>
      </c>
      <c r="G24" t="str">
        <v>***</v>
      </c>
      <c r="H24">
        <v>300000</v>
      </c>
    </row>
    <row r="25" spans="2:8" x14ac:dyDescent="0.25">
      <c r="B25" t="str">
        <v>A4 (Extend)</v>
      </c>
      <c r="C25" t="str">
        <v>Excellent</v>
      </c>
      <c r="D25" t="str">
        <v>Excellent</v>
      </c>
      <c r="E25" t="str">
        <v>Moderate</v>
      </c>
      <c r="F25" t="str">
        <v>Good</v>
      </c>
      <c r="G25" t="str">
        <v>**</v>
      </c>
      <c r="H25">
        <v>250000</v>
      </c>
    </row>
    <row r="27" spans="2:8" x14ac:dyDescent="0.25">
      <c r="B27" t="str">
        <f t="shared" ref="B27:H27" si="0">+B21</f>
        <v>Criteria</v>
      </c>
      <c r="C27" t="str">
        <f t="shared" si="0"/>
        <v>C11-Bus link</v>
      </c>
      <c r="D27" t="str">
        <f t="shared" si="0"/>
        <v>C12-Rail link</v>
      </c>
      <c r="E27" t="str">
        <f t="shared" si="0"/>
        <v>C2 (Parking)</v>
      </c>
      <c r="F27" t="str">
        <f t="shared" si="0"/>
        <v>C3 (Warehouse Space)</v>
      </c>
      <c r="G27" t="str">
        <f t="shared" si="0"/>
        <v>C4 (Security)</v>
      </c>
      <c r="H27" t="str">
        <f t="shared" si="0"/>
        <v>C5 (cost)</v>
      </c>
    </row>
    <row r="28" spans="2:8" x14ac:dyDescent="0.25">
      <c r="B28" t="s">
        <v>40</v>
      </c>
      <c r="C28">
        <f>AHP!C41</f>
        <v>1.2929809701919178E-2</v>
      </c>
      <c r="D28">
        <f>AHP!D41</f>
        <v>2.5859619403838352E-2</v>
      </c>
      <c r="E28">
        <f>AHP!E41</f>
        <v>6.2331278143152119E-2</v>
      </c>
      <c r="F28">
        <f>AHP!F41</f>
        <v>0.14578929656065936</v>
      </c>
      <c r="G28">
        <f>AHP!G41</f>
        <v>0.20426990759611305</v>
      </c>
      <c r="H28">
        <f>AHP!H41</f>
        <v>0.54882008859431786</v>
      </c>
    </row>
    <row r="29" spans="2:8" x14ac:dyDescent="0.25">
      <c r="B29" t="str">
        <f t="shared" ref="B29:B32" si="1">+B22</f>
        <v>A1 (center)</v>
      </c>
      <c r="C29">
        <f>_xlfn.XLOOKUP('TOPSIS (sensitivity)'!C22,AHP!$C$25:$G$25,AHP!$C$27:$G$27)</f>
        <v>5</v>
      </c>
      <c r="D29">
        <f>_xlfn.XLOOKUP(D22,AHP!$C$25:$G$25,AHP!$C$27:$G$27)</f>
        <v>5</v>
      </c>
      <c r="E29">
        <f>_xlfn.XLOOKUP(E22,AHP!$C$24:$G$24,AHP!$C$27:$G$27)</f>
        <v>1</v>
      </c>
      <c r="F29">
        <f>_xlfn.XLOOKUP(F22,AHP!$C$24:$G$24,AHP!$C$27:$G$27)</f>
        <v>1</v>
      </c>
      <c r="G29">
        <f>_xlfn.XLOOKUP(G22,AHP!$C$23:$G$23,AHP!$C$27:$G$27)</f>
        <v>5</v>
      </c>
      <c r="H29">
        <f>H22</f>
        <v>800000</v>
      </c>
    </row>
    <row r="30" spans="2:8" x14ac:dyDescent="0.25">
      <c r="B30" t="str">
        <f t="shared" si="1"/>
        <v>A2 (Suburb)</v>
      </c>
      <c r="C30">
        <f>_xlfn.XLOOKUP('TOPSIS (sensitivity)'!C23,AHP!$C$25:$G$25,AHP!$C$27:$G$27)</f>
        <v>5</v>
      </c>
      <c r="D30">
        <v>0</v>
      </c>
      <c r="E30">
        <f>_xlfn.XLOOKUP(E23,AHP!$C$24:$G$24,AHP!$C$27:$G$27)</f>
        <v>5</v>
      </c>
      <c r="F30">
        <f>_xlfn.XLOOKUP(F23,AHP!$C$24:$G$24,AHP!$C$27:$G$27)</f>
        <v>9</v>
      </c>
      <c r="G30">
        <f>_xlfn.XLOOKUP(G23,AHP!$C$23:$G$23,AHP!$C$27:$G$27)</f>
        <v>7</v>
      </c>
      <c r="H30">
        <f t="shared" ref="H30:H32" si="2">H23</f>
        <v>600000</v>
      </c>
    </row>
    <row r="31" spans="2:8" x14ac:dyDescent="0.25">
      <c r="B31" t="str">
        <f t="shared" si="1"/>
        <v>A3 (Shared)</v>
      </c>
      <c r="C31">
        <f>_xlfn.XLOOKUP('TOPSIS (sensitivity)'!C24,AHP!$C$25:$G$25,AHP!$C$27:$G$27)</f>
        <v>1</v>
      </c>
      <c r="D31">
        <f>_xlfn.XLOOKUP(D24,AHP!$C$25:$G$25,AHP!$C$27:$G$27)</f>
        <v>5</v>
      </c>
      <c r="E31">
        <f>_xlfn.XLOOKUP(E24,AHP!$C$24:$G$24,AHP!$C$27:$G$27)</f>
        <v>9</v>
      </c>
      <c r="F31">
        <f>_xlfn.XLOOKUP(F24,AHP!$C$24:$G$24,AHP!$C$27:$G$27)</f>
        <v>5</v>
      </c>
      <c r="G31">
        <f>_xlfn.XLOOKUP(G24,AHP!$C$23:$G$23,AHP!$C$27:$G$27)</f>
        <v>5</v>
      </c>
      <c r="H31">
        <f t="shared" si="2"/>
        <v>300000</v>
      </c>
    </row>
    <row r="32" spans="2:8" x14ac:dyDescent="0.25">
      <c r="B32" t="str">
        <f t="shared" si="1"/>
        <v>A4 (Extend)</v>
      </c>
      <c r="C32">
        <f>_xlfn.XLOOKUP('TOPSIS (sensitivity)'!C25,AHP!$C$25:$G$25,AHP!$C$27:$G$27)</f>
        <v>9</v>
      </c>
      <c r="D32">
        <f>_xlfn.XLOOKUP(D25,AHP!$C$25:$G$25,AHP!$C$27:$G$27)</f>
        <v>9</v>
      </c>
      <c r="E32">
        <f>_xlfn.XLOOKUP(E25,AHP!$C$24:$G$24,AHP!$C$27:$G$27)</f>
        <v>3</v>
      </c>
      <c r="F32">
        <f>_xlfn.XLOOKUP(F25,AHP!$C$24:$G$24,AHP!$C$27:$G$27)</f>
        <v>5</v>
      </c>
      <c r="G32">
        <f>_xlfn.XLOOKUP(G25,AHP!$C$23:$G$23,AHP!$C$27:$G$27)</f>
        <v>3</v>
      </c>
      <c r="H32">
        <f t="shared" si="2"/>
        <v>250000</v>
      </c>
    </row>
    <row r="33" spans="2:8" x14ac:dyDescent="0.25">
      <c r="B33" t="s">
        <v>41</v>
      </c>
      <c r="C33">
        <f>SQRT(SUMSQ(C29:C32))</f>
        <v>11.489125293076057</v>
      </c>
      <c r="D33">
        <f t="shared" ref="D33:G33" si="3">SQRT(SUMSQ(D29:D32))</f>
        <v>11.445523142259598</v>
      </c>
      <c r="E33">
        <f t="shared" si="3"/>
        <v>10.770329614269007</v>
      </c>
      <c r="F33">
        <f t="shared" si="3"/>
        <v>11.489125293076057</v>
      </c>
      <c r="G33">
        <f t="shared" si="3"/>
        <v>10.392304845413264</v>
      </c>
      <c r="H33">
        <f>SQRT(SUMSQ(H29:H32))</f>
        <v>1073545.5276791945</v>
      </c>
    </row>
    <row r="36" spans="2:8" ht="42.75" customHeight="1" x14ac:dyDescent="0.25">
      <c r="B36" s="24" t="s">
        <v>49</v>
      </c>
      <c r="C36" s="24" t="str">
        <f t="shared" ref="C36:H36" si="4">+C27</f>
        <v>C11-Bus link</v>
      </c>
      <c r="D36" s="24" t="str">
        <f t="shared" si="4"/>
        <v>C12-Rail link</v>
      </c>
      <c r="E36" s="24" t="str">
        <f t="shared" si="4"/>
        <v>C2 (Parking)</v>
      </c>
      <c r="F36" s="24" t="s">
        <v>4</v>
      </c>
      <c r="G36" s="24" t="str">
        <f t="shared" si="4"/>
        <v>C4 (Security)</v>
      </c>
      <c r="H36" s="24" t="str">
        <f t="shared" si="4"/>
        <v>C5 (cost)</v>
      </c>
    </row>
    <row r="37" spans="2:8" x14ac:dyDescent="0.25">
      <c r="B37" t="str">
        <f t="shared" ref="B37" si="5">+B28</f>
        <v>Wi</v>
      </c>
      <c r="C37" s="2">
        <f t="shared" ref="C37:F37" si="6">+C38-C38*$H$67</f>
        <v>7.4361628948997251E-3</v>
      </c>
      <c r="D37" s="2">
        <f t="shared" si="6"/>
        <v>1.4872325789799449E-2</v>
      </c>
      <c r="E37" s="2">
        <f t="shared" si="6"/>
        <v>3.5847823626590863E-2</v>
      </c>
      <c r="F37" s="2">
        <f t="shared" si="6"/>
        <v>8.3846010308797653E-2</v>
      </c>
      <c r="G37" s="2">
        <f>+G38-G38*$H$67</f>
        <v>0.11747924698267971</v>
      </c>
      <c r="H37" s="2">
        <f>+H38+H38*$H$67</f>
        <v>0.78200400984621266</v>
      </c>
    </row>
    <row r="38" spans="2:8" x14ac:dyDescent="0.25">
      <c r="B38" t="s">
        <v>53</v>
      </c>
      <c r="C38" s="2">
        <v>1.2929809701919178E-2</v>
      </c>
      <c r="D38" s="2">
        <v>2.5859619403838352E-2</v>
      </c>
      <c r="E38" s="2">
        <v>6.2331278143152119E-2</v>
      </c>
      <c r="F38" s="2">
        <v>0.14578929656065936</v>
      </c>
      <c r="G38" s="2">
        <v>0.20426990759611305</v>
      </c>
      <c r="H38" s="2">
        <v>0.54882008859431786</v>
      </c>
    </row>
    <row r="39" spans="2:8" x14ac:dyDescent="0.25">
      <c r="B39" t="str">
        <f>+B29</f>
        <v>A1 (center)</v>
      </c>
      <c r="C39" s="2">
        <f>+C29/C$33</f>
        <v>0.4351941398892446</v>
      </c>
      <c r="D39" s="2">
        <f t="shared" ref="D39:H39" si="7">+D29/D$33</f>
        <v>0.43685202833051895</v>
      </c>
      <c r="E39" s="2">
        <f t="shared" si="7"/>
        <v>9.284766908852593E-2</v>
      </c>
      <c r="F39" s="2">
        <f t="shared" si="7"/>
        <v>8.7038827977848926E-2</v>
      </c>
      <c r="G39" s="2">
        <f t="shared" si="7"/>
        <v>0.48112522432468813</v>
      </c>
      <c r="H39" s="2">
        <f t="shared" si="7"/>
        <v>0.74519429253219571</v>
      </c>
    </row>
    <row r="40" spans="2:8" x14ac:dyDescent="0.25">
      <c r="B40" t="str">
        <f>+B30</f>
        <v>A2 (Suburb)</v>
      </c>
      <c r="C40" s="2">
        <f>+C30/C$33</f>
        <v>0.4351941398892446</v>
      </c>
      <c r="D40" s="2">
        <f t="shared" ref="D40:H42" si="8">+D30/D$33</f>
        <v>0</v>
      </c>
      <c r="E40" s="2">
        <f t="shared" si="8"/>
        <v>0.46423834544262971</v>
      </c>
      <c r="F40" s="2">
        <f t="shared" si="8"/>
        <v>0.78334945180064031</v>
      </c>
      <c r="G40" s="2">
        <f t="shared" si="8"/>
        <v>0.67357531405456339</v>
      </c>
      <c r="H40" s="2">
        <f t="shared" si="8"/>
        <v>0.55889571939914673</v>
      </c>
    </row>
    <row r="41" spans="2:8" x14ac:dyDescent="0.25">
      <c r="B41" t="str">
        <f>+B31</f>
        <v>A3 (Shared)</v>
      </c>
      <c r="C41" s="2">
        <f>+C31/C$33</f>
        <v>8.7038827977848926E-2</v>
      </c>
      <c r="D41" s="2">
        <f t="shared" si="8"/>
        <v>0.43685202833051895</v>
      </c>
      <c r="E41" s="2">
        <f t="shared" si="8"/>
        <v>0.83562902179673348</v>
      </c>
      <c r="F41" s="2">
        <f t="shared" si="8"/>
        <v>0.4351941398892446</v>
      </c>
      <c r="G41" s="2">
        <f t="shared" si="8"/>
        <v>0.48112522432468813</v>
      </c>
      <c r="H41" s="2">
        <f t="shared" si="8"/>
        <v>0.27944785969957336</v>
      </c>
    </row>
    <row r="42" spans="2:8" x14ac:dyDescent="0.25">
      <c r="B42" t="str">
        <f>+B32</f>
        <v>A4 (Extend)</v>
      </c>
      <c r="C42" s="2">
        <f>+C32/C$33</f>
        <v>0.78334945180064031</v>
      </c>
      <c r="D42" s="2">
        <f t="shared" si="8"/>
        <v>0.78633365099493413</v>
      </c>
      <c r="E42" s="2">
        <f t="shared" si="8"/>
        <v>0.27854300726557779</v>
      </c>
      <c r="F42" s="2">
        <f t="shared" si="8"/>
        <v>0.4351941398892446</v>
      </c>
      <c r="G42" s="2">
        <f t="shared" si="8"/>
        <v>0.28867513459481287</v>
      </c>
      <c r="H42" s="2">
        <f t="shared" si="8"/>
        <v>0.23287321641631115</v>
      </c>
    </row>
    <row r="45" spans="2:8" ht="45" x14ac:dyDescent="0.25">
      <c r="B45" s="24" t="s">
        <v>50</v>
      </c>
      <c r="C45" s="24" t="str">
        <f t="shared" ref="C45:H45" si="9">+C36</f>
        <v>C11-Bus link</v>
      </c>
      <c r="D45" s="24" t="str">
        <f t="shared" si="9"/>
        <v>C12-Rail link</v>
      </c>
      <c r="E45" s="24" t="str">
        <f t="shared" si="9"/>
        <v>C2 (Parking)</v>
      </c>
      <c r="F45" s="24" t="str">
        <f t="shared" si="9"/>
        <v>C3 (Warehouse Space)</v>
      </c>
      <c r="G45" s="24" t="str">
        <f t="shared" si="9"/>
        <v>C4 (Security)</v>
      </c>
      <c r="H45" s="24" t="str">
        <f t="shared" si="9"/>
        <v>C5 (cost)</v>
      </c>
    </row>
    <row r="46" spans="2:8" x14ac:dyDescent="0.25">
      <c r="B46" t="str">
        <f>+B39</f>
        <v>A1 (center)</v>
      </c>
      <c r="C46" s="23">
        <f>+C$37*C39</f>
        <v>3.2361745151222011E-3</v>
      </c>
      <c r="D46" s="23">
        <f t="shared" ref="D46:H46" si="10">+D$37*D39</f>
        <v>6.4970056872661764E-3</v>
      </c>
      <c r="E46" s="23">
        <f t="shared" si="10"/>
        <v>3.32838686562555E-3</v>
      </c>
      <c r="F46" s="23">
        <f t="shared" si="10"/>
        <v>7.2978584678963865E-3</v>
      </c>
      <c r="G46" s="23">
        <f t="shared" si="10"/>
        <v>5.6522229058037214E-2</v>
      </c>
      <c r="H46" s="23">
        <f t="shared" si="10"/>
        <v>0.58274492487468865</v>
      </c>
    </row>
    <row r="47" spans="2:8" x14ac:dyDescent="0.25">
      <c r="B47" t="str">
        <f>+B40</f>
        <v>A2 (Suburb)</v>
      </c>
      <c r="C47" s="23">
        <f t="shared" ref="C47:H49" si="11">+C$37*C40</f>
        <v>3.2361745151222011E-3</v>
      </c>
      <c r="D47" s="23">
        <f t="shared" si="11"/>
        <v>0</v>
      </c>
      <c r="E47" s="23">
        <f t="shared" si="11"/>
        <v>1.6641934328127751E-2</v>
      </c>
      <c r="F47" s="23">
        <f t="shared" si="11"/>
        <v>6.5680726211067478E-2</v>
      </c>
      <c r="G47" s="23">
        <f t="shared" si="11"/>
        <v>7.913112068125211E-2</v>
      </c>
      <c r="H47" s="23">
        <f t="shared" si="11"/>
        <v>0.43705869365601646</v>
      </c>
    </row>
    <row r="48" spans="2:8" x14ac:dyDescent="0.25">
      <c r="B48" t="str">
        <f>+B41</f>
        <v>A3 (Shared)</v>
      </c>
      <c r="C48" s="23">
        <f t="shared" si="11"/>
        <v>6.4723490302444028E-4</v>
      </c>
      <c r="D48" s="23">
        <f t="shared" si="11"/>
        <v>6.4970056872661764E-3</v>
      </c>
      <c r="E48" s="23">
        <f t="shared" si="11"/>
        <v>2.9955481790629953E-2</v>
      </c>
      <c r="F48" s="23">
        <f t="shared" si="11"/>
        <v>3.6489292339481928E-2</v>
      </c>
      <c r="G48" s="23">
        <f t="shared" si="11"/>
        <v>5.6522229058037214E-2</v>
      </c>
      <c r="H48" s="23">
        <f t="shared" si="11"/>
        <v>0.21852934682800823</v>
      </c>
    </row>
    <row r="49" spans="2:24" x14ac:dyDescent="0.25">
      <c r="B49" t="str">
        <f>+B42</f>
        <v>A4 (Extend)</v>
      </c>
      <c r="C49" s="23">
        <f t="shared" si="11"/>
        <v>5.8251141272199622E-3</v>
      </c>
      <c r="D49" s="23">
        <f t="shared" si="11"/>
        <v>1.1694610237079118E-2</v>
      </c>
      <c r="E49" s="23">
        <f t="shared" si="11"/>
        <v>9.9851605968766504E-3</v>
      </c>
      <c r="F49" s="23">
        <f t="shared" si="11"/>
        <v>3.6489292339481928E-2</v>
      </c>
      <c r="G49" s="23">
        <f t="shared" si="11"/>
        <v>3.3913337434822326E-2</v>
      </c>
      <c r="H49" s="23">
        <f t="shared" si="11"/>
        <v>0.18210778902334018</v>
      </c>
    </row>
    <row r="52" spans="2:24" x14ac:dyDescent="0.25">
      <c r="B52" s="12" t="s">
        <v>42</v>
      </c>
      <c r="C52" t="str">
        <f>+C45</f>
        <v>C11-Bus link</v>
      </c>
      <c r="D52" t="str">
        <f t="shared" ref="D52:H52" si="12">+D45</f>
        <v>C12-Rail link</v>
      </c>
      <c r="E52" t="str">
        <f t="shared" si="12"/>
        <v>C2 (Parking)</v>
      </c>
      <c r="F52" t="str">
        <f t="shared" si="12"/>
        <v>C3 (Warehouse Space)</v>
      </c>
      <c r="G52" t="str">
        <f t="shared" si="12"/>
        <v>C4 (Security)</v>
      </c>
      <c r="H52" t="str">
        <f t="shared" si="12"/>
        <v>C5 (cost)</v>
      </c>
      <c r="I52" t="s">
        <v>44</v>
      </c>
    </row>
    <row r="53" spans="2:24" x14ac:dyDescent="0.25">
      <c r="B53" t="str">
        <f>+B46</f>
        <v>A1 (center)</v>
      </c>
      <c r="C53">
        <f>+(C46-MAX(C$46:C$49))^2</f>
        <v>6.702608315088906E-6</v>
      </c>
      <c r="D53">
        <f t="shared" ref="D53:G53" si="13">+(D46-MAX(D$46:D$49))^2</f>
        <v>2.701509305623619E-5</v>
      </c>
      <c r="E53">
        <f t="shared" si="13"/>
        <v>7.0900218414519521E-4</v>
      </c>
      <c r="F53">
        <f t="shared" si="13"/>
        <v>3.4085592459166076E-3</v>
      </c>
      <c r="G53">
        <f t="shared" si="13"/>
        <v>5.1116198043027667E-4</v>
      </c>
      <c r="H53">
        <f>+(H46-MIN(H$46:H$49))^2</f>
        <v>0.16051011462317186</v>
      </c>
      <c r="I53">
        <f>SQRT(SUM(C53:H53))</f>
        <v>0.40641426615589571</v>
      </c>
    </row>
    <row r="54" spans="2:24" x14ac:dyDescent="0.25">
      <c r="B54" t="str">
        <f>+B47</f>
        <v>A2 (Suburb)</v>
      </c>
      <c r="C54">
        <f t="shared" ref="C54:G56" si="14">+(C47-MAX(C$46:C$49))^2</f>
        <v>6.702608315088906E-6</v>
      </c>
      <c r="D54">
        <f t="shared" si="14"/>
        <v>1.367639085971957E-4</v>
      </c>
      <c r="E54">
        <f t="shared" si="14"/>
        <v>1.772505460362988E-4</v>
      </c>
      <c r="F54">
        <f t="shared" si="14"/>
        <v>0</v>
      </c>
      <c r="G54">
        <f t="shared" si="14"/>
        <v>0</v>
      </c>
      <c r="H54">
        <f t="shared" ref="H54:H56" si="15">+(H47-MIN(H$46:H$49))^2</f>
        <v>6.4999963773019989E-2</v>
      </c>
      <c r="I54">
        <f t="shared" ref="I54:I56" si="16">SQRT(SUM(C54:H54))</f>
        <v>0.25557910876276368</v>
      </c>
    </row>
    <row r="55" spans="2:24" x14ac:dyDescent="0.25">
      <c r="B55" t="str">
        <f>+B48</f>
        <v>A3 (Shared)</v>
      </c>
      <c r="C55">
        <f t="shared" si="14"/>
        <v>2.6810433260355624E-5</v>
      </c>
      <c r="D55">
        <f t="shared" si="14"/>
        <v>2.701509305623619E-5</v>
      </c>
      <c r="E55">
        <f t="shared" si="14"/>
        <v>0</v>
      </c>
      <c r="F55">
        <f t="shared" si="14"/>
        <v>8.5213981147915212E-4</v>
      </c>
      <c r="G55">
        <f t="shared" si="14"/>
        <v>5.1116198043027667E-4</v>
      </c>
      <c r="H55">
        <f t="shared" si="15"/>
        <v>1.326529872918776E-3</v>
      </c>
      <c r="I55">
        <f t="shared" si="16"/>
        <v>5.2379931186903983E-2</v>
      </c>
    </row>
    <row r="56" spans="2:24" x14ac:dyDescent="0.25">
      <c r="B56" t="str">
        <f>+B49</f>
        <v>A4 (Extend)</v>
      </c>
      <c r="C56">
        <f t="shared" si="14"/>
        <v>0</v>
      </c>
      <c r="D56">
        <f t="shared" si="14"/>
        <v>0</v>
      </c>
      <c r="E56">
        <f t="shared" si="14"/>
        <v>3.988137285816724E-4</v>
      </c>
      <c r="F56">
        <f t="shared" si="14"/>
        <v>8.5213981147915212E-4</v>
      </c>
      <c r="G56">
        <f t="shared" si="14"/>
        <v>2.0446479217211063E-3</v>
      </c>
      <c r="H56">
        <f t="shared" si="15"/>
        <v>0</v>
      </c>
      <c r="I56">
        <f t="shared" si="16"/>
        <v>5.7407329338525499E-2</v>
      </c>
    </row>
    <row r="59" spans="2:24" x14ac:dyDescent="0.25">
      <c r="B59" s="13" t="s">
        <v>43</v>
      </c>
      <c r="C59" t="str">
        <f>+C52</f>
        <v>C11-Bus link</v>
      </c>
      <c r="D59" t="str">
        <f t="shared" ref="D59:H59" si="17">+D52</f>
        <v>C12-Rail link</v>
      </c>
      <c r="E59" t="str">
        <f t="shared" si="17"/>
        <v>C2 (Parking)</v>
      </c>
      <c r="F59" t="str">
        <f t="shared" si="17"/>
        <v>C3 (Warehouse Space)</v>
      </c>
      <c r="G59" t="str">
        <f t="shared" si="17"/>
        <v>C4 (Security)</v>
      </c>
      <c r="H59" t="str">
        <f t="shared" si="17"/>
        <v>C5 (cost)</v>
      </c>
      <c r="I59" t="s">
        <v>45</v>
      </c>
      <c r="M59">
        <v>0.01</v>
      </c>
      <c r="N59">
        <v>1.4999999999999999E-2</v>
      </c>
      <c r="O59">
        <v>0.02</v>
      </c>
      <c r="P59">
        <v>2.5000000000000001E-2</v>
      </c>
      <c r="Q59">
        <v>0.03</v>
      </c>
      <c r="R59">
        <v>3.5000000000000003E-2</v>
      </c>
      <c r="S59">
        <v>0.04</v>
      </c>
      <c r="T59">
        <v>4.4999999999999998E-2</v>
      </c>
      <c r="U59">
        <v>0.05</v>
      </c>
      <c r="V59">
        <v>5.5E-2</v>
      </c>
      <c r="W59">
        <v>0.06</v>
      </c>
      <c r="X59">
        <v>6.5000000000000002E-2</v>
      </c>
    </row>
    <row r="60" spans="2:24" x14ac:dyDescent="0.25">
      <c r="B60" t="str">
        <f>+B53</f>
        <v>A1 (center)</v>
      </c>
      <c r="C60">
        <f>+(C46-MIN(C$46:C$49))^2</f>
        <v>6.7026083150889035E-6</v>
      </c>
      <c r="D60">
        <f t="shared" ref="D60:G60" si="18">+(D46-MIN(D$46:D$49))^2</f>
        <v>4.2211082900369044E-5</v>
      </c>
      <c r="E60">
        <f t="shared" si="18"/>
        <v>0</v>
      </c>
      <c r="F60">
        <f t="shared" si="18"/>
        <v>0</v>
      </c>
      <c r="G60">
        <f t="shared" si="18"/>
        <v>5.1116198043027635E-4</v>
      </c>
      <c r="H60">
        <f>+(H46-MAX(H$46:H$49))^2</f>
        <v>0</v>
      </c>
      <c r="I60">
        <f>SQRT(SUM(C60:H60))</f>
        <v>2.3665917933723472E-2</v>
      </c>
      <c r="L60" t="s">
        <v>7</v>
      </c>
    </row>
    <row r="61" spans="2:24" x14ac:dyDescent="0.25">
      <c r="B61" t="str">
        <f t="shared" ref="B61:B63" si="19">+B54</f>
        <v>A2 (Suburb)</v>
      </c>
      <c r="C61">
        <f t="shared" ref="C61:G63" si="20">+(C47-MIN(C$46:C$49))^2</f>
        <v>6.7026083150889035E-6</v>
      </c>
      <c r="D61">
        <f t="shared" si="20"/>
        <v>0</v>
      </c>
      <c r="E61">
        <f t="shared" si="20"/>
        <v>1.772505460362988E-4</v>
      </c>
      <c r="F61">
        <f t="shared" si="20"/>
        <v>3.4085592459166076E-3</v>
      </c>
      <c r="G61">
        <f t="shared" si="20"/>
        <v>2.0446479217211063E-3</v>
      </c>
      <c r="H61">
        <f t="shared" ref="H61:H63" si="21">+(H47-MAX(H$46:H$49))^2</f>
        <v>2.1224477966700416E-2</v>
      </c>
      <c r="I61">
        <f t="shared" ref="I61:I63" si="22">SQRT(SUM(C61:H61))</f>
        <v>0.16389520520347603</v>
      </c>
      <c r="L61" t="s">
        <v>8</v>
      </c>
    </row>
    <row r="62" spans="2:24" x14ac:dyDescent="0.25">
      <c r="B62" t="str">
        <f t="shared" si="19"/>
        <v>A3 (Shared)</v>
      </c>
      <c r="C62">
        <f t="shared" si="20"/>
        <v>0</v>
      </c>
      <c r="D62">
        <f t="shared" si="20"/>
        <v>4.2211082900369044E-5</v>
      </c>
      <c r="E62">
        <f t="shared" si="20"/>
        <v>7.0900218414519521E-4</v>
      </c>
      <c r="F62">
        <f t="shared" si="20"/>
        <v>8.5213981147915169E-4</v>
      </c>
      <c r="G62">
        <f t="shared" si="20"/>
        <v>5.1116198043027635E-4</v>
      </c>
      <c r="H62">
        <f t="shared" si="21"/>
        <v>0.13265298729187755</v>
      </c>
      <c r="I62">
        <f t="shared" si="22"/>
        <v>0.36710693585225618</v>
      </c>
      <c r="L62" t="s">
        <v>9</v>
      </c>
    </row>
    <row r="63" spans="2:24" x14ac:dyDescent="0.25">
      <c r="B63" t="str">
        <f t="shared" si="19"/>
        <v>A4 (Extend)</v>
      </c>
      <c r="C63">
        <f t="shared" si="20"/>
        <v>2.6810433260355624E-5</v>
      </c>
      <c r="D63">
        <f t="shared" si="20"/>
        <v>1.367639085971957E-4</v>
      </c>
      <c r="E63">
        <f t="shared" si="20"/>
        <v>4.4312636509074701E-5</v>
      </c>
      <c r="F63">
        <f t="shared" si="20"/>
        <v>8.5213981147915169E-4</v>
      </c>
      <c r="G63">
        <f t="shared" si="20"/>
        <v>0</v>
      </c>
      <c r="H63">
        <f t="shared" si="21"/>
        <v>0.16051011462317186</v>
      </c>
      <c r="I63">
        <f t="shared" si="22"/>
        <v>0.40195788512357561</v>
      </c>
      <c r="L63" t="s">
        <v>10</v>
      </c>
    </row>
    <row r="66" spans="2:8" ht="45" x14ac:dyDescent="0.25">
      <c r="B66" s="29" t="s">
        <v>35</v>
      </c>
      <c r="C66" s="30" t="s">
        <v>44</v>
      </c>
      <c r="D66" s="30" t="s">
        <v>45</v>
      </c>
      <c r="E66" s="29" t="s">
        <v>51</v>
      </c>
    </row>
    <row r="67" spans="2:8" x14ac:dyDescent="0.25">
      <c r="B67" s="30" t="str">
        <f>+B60</f>
        <v>A1 (center)</v>
      </c>
      <c r="C67" s="26">
        <f>+I53</f>
        <v>0.40641426615589571</v>
      </c>
      <c r="D67" s="26">
        <f>+I60</f>
        <v>2.3665917933723472E-2</v>
      </c>
      <c r="E67" s="26">
        <f>+I60/(I60+I53)</f>
        <v>5.5026757356465464E-2</v>
      </c>
      <c r="F67" s="14">
        <f t="shared" ref="F67:F70" si="23">(E67-$E$69)/E67</f>
        <v>-14.903777814868018</v>
      </c>
      <c r="H67">
        <v>0.42488226305480953</v>
      </c>
    </row>
    <row r="68" spans="2:8" x14ac:dyDescent="0.25">
      <c r="B68" s="30" t="str">
        <f t="shared" ref="B68:B70" si="24">+B61</f>
        <v>A2 (Suburb)</v>
      </c>
      <c r="C68" s="26">
        <f t="shared" ref="C68:C70" si="25">+I54</f>
        <v>0.25557910876276368</v>
      </c>
      <c r="D68" s="26">
        <f t="shared" ref="D68:D70" si="26">+I61</f>
        <v>0.16389520520347603</v>
      </c>
      <c r="E68" s="26">
        <f>+I61/(I61+I54)</f>
        <v>0.39071571189616799</v>
      </c>
      <c r="F68" s="14">
        <f>(E68-$E$69)/E68</f>
        <v>-1.2398211697779027</v>
      </c>
    </row>
    <row r="69" spans="2:8" x14ac:dyDescent="0.25">
      <c r="B69" s="30" t="str">
        <f t="shared" si="24"/>
        <v>A3 (Shared)</v>
      </c>
      <c r="C69" s="26">
        <f t="shared" si="25"/>
        <v>5.2379931186903983E-2</v>
      </c>
      <c r="D69" s="26">
        <f t="shared" si="26"/>
        <v>0.36710693585225618</v>
      </c>
      <c r="E69" s="26">
        <f>+I62/(I62+I55)</f>
        <v>0.87513332286988099</v>
      </c>
      <c r="F69" s="14">
        <f t="shared" si="23"/>
        <v>0</v>
      </c>
    </row>
    <row r="70" spans="2:8" x14ac:dyDescent="0.25">
      <c r="B70" s="30" t="str">
        <f t="shared" si="24"/>
        <v>A4 (Extend)</v>
      </c>
      <c r="C70" s="26">
        <f t="shared" si="25"/>
        <v>5.7407329338525499E-2</v>
      </c>
      <c r="D70" s="26">
        <f t="shared" si="26"/>
        <v>0.40195788512357561</v>
      </c>
      <c r="E70" s="26">
        <f>+I63/(I63+I56)</f>
        <v>0.8750290019113719</v>
      </c>
      <c r="F70" s="14">
        <f t="shared" si="23"/>
        <v>-1.1922000102993472E-4</v>
      </c>
    </row>
  </sheetData>
  <mergeCells count="3">
    <mergeCell ref="B3:B4"/>
    <mergeCell ref="C3:F3"/>
    <mergeCell ref="C11:F11"/>
  </mergeCells>
  <conditionalFormatting sqref="C46:C49">
    <cfRule type="top10" dxfId="11" priority="13" bottom="1" rank="1"/>
    <cfRule type="top10" dxfId="10" priority="14" rank="1"/>
  </conditionalFormatting>
  <conditionalFormatting sqref="D46:D49">
    <cfRule type="top10" dxfId="9" priority="11" bottom="1" rank="1"/>
    <cfRule type="top10" dxfId="8" priority="12" rank="1"/>
  </conditionalFormatting>
  <conditionalFormatting sqref="E46:E49">
    <cfRule type="top10" dxfId="7" priority="9" bottom="1" rank="1"/>
    <cfRule type="top10" dxfId="6" priority="10" rank="1"/>
  </conditionalFormatting>
  <conditionalFormatting sqref="F46:F49">
    <cfRule type="top10" dxfId="5" priority="7" bottom="1" rank="1"/>
    <cfRule type="top10" dxfId="4" priority="8" rank="1"/>
  </conditionalFormatting>
  <conditionalFormatting sqref="G46:G49">
    <cfRule type="top10" dxfId="3" priority="5" bottom="1" rank="1"/>
    <cfRule type="top10" dxfId="2" priority="6" rank="1"/>
  </conditionalFormatting>
  <conditionalFormatting sqref="H46:H49">
    <cfRule type="top10" dxfId="1" priority="3" bottom="1" rank="1"/>
    <cfRule type="top10" dxfId="0" priority="4" rank="1"/>
  </conditionalFormatting>
  <conditionalFormatting sqref="C67:C70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D67:D70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33AD-80F4-4EC5-B19E-475FC89B082D}">
  <dimension ref="B2:E6"/>
  <sheetViews>
    <sheetView workbookViewId="0">
      <selection activeCell="D16" sqref="D16"/>
    </sheetView>
  </sheetViews>
  <sheetFormatPr defaultRowHeight="15" x14ac:dyDescent="0.25"/>
  <cols>
    <col min="2" max="2" width="20.85546875" customWidth="1"/>
    <col min="3" max="5" width="14.7109375" customWidth="1"/>
  </cols>
  <sheetData>
    <row r="2" spans="2:5" x14ac:dyDescent="0.25">
      <c r="B2" s="36"/>
      <c r="C2" s="30" t="s">
        <v>8</v>
      </c>
      <c r="D2" s="30" t="s">
        <v>9</v>
      </c>
      <c r="E2" s="30" t="s">
        <v>10</v>
      </c>
    </row>
    <row r="3" spans="2:5" x14ac:dyDescent="0.25">
      <c r="B3" s="37" t="s">
        <v>3</v>
      </c>
      <c r="C3" s="39" t="s">
        <v>17</v>
      </c>
      <c r="D3" s="38" t="s">
        <v>18</v>
      </c>
      <c r="E3" s="40" t="s">
        <v>19</v>
      </c>
    </row>
    <row r="4" spans="2:5" x14ac:dyDescent="0.25">
      <c r="B4" s="37" t="s">
        <v>4</v>
      </c>
      <c r="C4" s="38" t="s">
        <v>18</v>
      </c>
      <c r="D4" s="39" t="s">
        <v>17</v>
      </c>
      <c r="E4" s="39" t="s">
        <v>17</v>
      </c>
    </row>
    <row r="5" spans="2:5" x14ac:dyDescent="0.25">
      <c r="B5" s="37" t="s">
        <v>6</v>
      </c>
      <c r="C5" s="38" t="s">
        <v>21</v>
      </c>
      <c r="D5" s="39" t="s">
        <v>20</v>
      </c>
      <c r="E5" s="40" t="s">
        <v>22</v>
      </c>
    </row>
    <row r="6" spans="2:5" x14ac:dyDescent="0.25">
      <c r="B6" s="37" t="s">
        <v>5</v>
      </c>
      <c r="C6" s="40">
        <v>600000</v>
      </c>
      <c r="D6" s="39">
        <v>300000</v>
      </c>
      <c r="E6" s="38">
        <v>250000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0AA5-A372-4753-A5D1-A41C27B85BCB}">
  <dimension ref="B2:M16"/>
  <sheetViews>
    <sheetView topLeftCell="B1" workbookViewId="0">
      <selection activeCell="C2" sqref="C2"/>
    </sheetView>
  </sheetViews>
  <sheetFormatPr defaultRowHeight="15" x14ac:dyDescent="0.25"/>
  <cols>
    <col min="2" max="2" width="23.7109375" bestFit="1" customWidth="1"/>
    <col min="3" max="7" width="6.42578125" customWidth="1"/>
    <col min="10" max="10" width="23.7109375" bestFit="1" customWidth="1"/>
    <col min="13" max="13" width="13.5703125" bestFit="1" customWidth="1"/>
  </cols>
  <sheetData>
    <row r="2" spans="2:13" x14ac:dyDescent="0.25"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2:13" x14ac:dyDescent="0.25">
      <c r="B3" t="s">
        <v>2</v>
      </c>
      <c r="C3">
        <v>1</v>
      </c>
      <c r="D3">
        <f>1/C4</f>
        <v>0.5</v>
      </c>
      <c r="E3">
        <f>1/C5</f>
        <v>0.2</v>
      </c>
      <c r="F3">
        <f>1/C6</f>
        <v>0.2</v>
      </c>
      <c r="G3">
        <f>1/C7</f>
        <v>0.1111111111111111</v>
      </c>
      <c r="I3">
        <f>GEOMEAN(C3:G3)</f>
        <v>0.2946846384808316</v>
      </c>
      <c r="J3" t="str">
        <f>+B3</f>
        <v>C1 (Public Transport Link)</v>
      </c>
      <c r="K3" s="15">
        <f>I3/SUM($I$3:$I$7)</f>
        <v>3.8789429105757528E-2</v>
      </c>
      <c r="M3" t="s">
        <v>37</v>
      </c>
    </row>
    <row r="4" spans="2:13" x14ac:dyDescent="0.25">
      <c r="B4" t="s">
        <v>3</v>
      </c>
      <c r="C4">
        <v>2</v>
      </c>
      <c r="D4">
        <v>1</v>
      </c>
      <c r="E4">
        <f>1/D5</f>
        <v>0.25</v>
      </c>
      <c r="F4">
        <f>1/D6</f>
        <v>0.33333333333333331</v>
      </c>
      <c r="G4">
        <f>1/D7</f>
        <v>0.14285714285714285</v>
      </c>
      <c r="I4">
        <f t="shared" ref="I4:I7" si="0">GEOMEAN(C4:G4)</f>
        <v>0.4735328822598362</v>
      </c>
      <c r="J4" t="str">
        <f t="shared" ref="J4:J7" si="1">+B4</f>
        <v>C2 (Parking)</v>
      </c>
      <c r="K4" s="15">
        <f t="shared" ref="K4:K7" si="2">I4/SUM($I$3:$I$7)</f>
        <v>6.2331278143152119E-2</v>
      </c>
      <c r="M4" t="s">
        <v>38</v>
      </c>
    </row>
    <row r="5" spans="2:13" x14ac:dyDescent="0.25">
      <c r="B5" t="s">
        <v>4</v>
      </c>
      <c r="C5">
        <v>5</v>
      </c>
      <c r="D5">
        <v>4</v>
      </c>
      <c r="E5">
        <v>1</v>
      </c>
      <c r="F5">
        <f>1/E6</f>
        <v>0.33333333333333331</v>
      </c>
      <c r="G5">
        <f>1/E7</f>
        <v>0.25</v>
      </c>
      <c r="I5">
        <f t="shared" si="0"/>
        <v>1.1075663432482898</v>
      </c>
      <c r="J5" t="str">
        <f t="shared" si="1"/>
        <v>C3 (Warehouse Space)</v>
      </c>
      <c r="K5" s="15">
        <f t="shared" si="2"/>
        <v>0.14578929656065936</v>
      </c>
    </row>
    <row r="6" spans="2:13" x14ac:dyDescent="0.25">
      <c r="B6" t="s">
        <v>6</v>
      </c>
      <c r="C6">
        <v>5</v>
      </c>
      <c r="D6">
        <v>3</v>
      </c>
      <c r="E6">
        <v>3</v>
      </c>
      <c r="F6">
        <v>1</v>
      </c>
      <c r="G6" s="2">
        <f>1/F7</f>
        <v>0.2</v>
      </c>
      <c r="I6">
        <f t="shared" si="0"/>
        <v>1.5518455739153598</v>
      </c>
      <c r="J6" t="str">
        <f t="shared" si="1"/>
        <v>C4 (Security)</v>
      </c>
      <c r="K6" s="15">
        <f t="shared" si="2"/>
        <v>0.20426990759611305</v>
      </c>
    </row>
    <row r="7" spans="2:13" x14ac:dyDescent="0.25">
      <c r="B7" t="s">
        <v>5</v>
      </c>
      <c r="C7">
        <v>9</v>
      </c>
      <c r="D7">
        <v>7</v>
      </c>
      <c r="E7">
        <v>4</v>
      </c>
      <c r="F7">
        <v>5</v>
      </c>
      <c r="G7">
        <v>1</v>
      </c>
      <c r="I7">
        <f t="shared" si="0"/>
        <v>4.1694052510411677</v>
      </c>
      <c r="J7" t="str">
        <f t="shared" si="1"/>
        <v>C5 (cost)</v>
      </c>
      <c r="K7" s="15">
        <f t="shared" si="2"/>
        <v>0.54882008859431786</v>
      </c>
    </row>
    <row r="14" spans="2:13" x14ac:dyDescent="0.25">
      <c r="C14" s="1" t="s">
        <v>24</v>
      </c>
      <c r="D14" s="5" t="s">
        <v>25</v>
      </c>
    </row>
    <row r="15" spans="2:13" x14ac:dyDescent="0.25">
      <c r="B15" s="1" t="s">
        <v>24</v>
      </c>
      <c r="C15">
        <v>1</v>
      </c>
      <c r="D15">
        <v>0.5</v>
      </c>
      <c r="F15">
        <f t="shared" ref="F15:F16" si="3">GEOMEAN(C15:D15)</f>
        <v>0.70710678118654757</v>
      </c>
      <c r="H15" s="14">
        <f>F15/SUM($F$15:$F$16)</f>
        <v>0.33333333333333337</v>
      </c>
      <c r="J15">
        <f>+$K$3*H15</f>
        <v>1.2929809701919178E-2</v>
      </c>
    </row>
    <row r="16" spans="2:13" x14ac:dyDescent="0.25">
      <c r="B16" s="5" t="s">
        <v>25</v>
      </c>
      <c r="C16">
        <v>2</v>
      </c>
      <c r="D16">
        <v>1</v>
      </c>
      <c r="F16">
        <f t="shared" si="3"/>
        <v>1.4142135623730949</v>
      </c>
      <c r="H16" s="14">
        <f>F16/SUM($F$15:$F$16)</f>
        <v>0.66666666666666663</v>
      </c>
      <c r="J16">
        <f>+$K$3*H16</f>
        <v>2.5859619403838352E-2</v>
      </c>
    </row>
  </sheetData>
  <scenarios current="0" show="0" sqref="K3 K4 K5 K6 K7">
    <scenario name="c" locked="1" count="4" user="Mojtaba Mozi" comment="Created by Mojtaba Mozi on 11/26/2021">
      <inputCells r="C7" val="9"/>
      <inputCells r="D7" val="7"/>
      <inputCells r="E7" val="2"/>
      <inputCells r="F7" val="4"/>
    </scenario>
    <scenario name="moji" locked="1" count="4" user="Mojtaba Mozi" comment="Created by Mojtaba Mozi on 11/26/2021">
      <inputCells r="C7" val="9"/>
      <inputCells r="D7" val="7"/>
      <inputCells r="E7" val="2"/>
      <inputCells r="F7" val="4"/>
    </scenario>
  </scenario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8C25-A794-4EE4-8DC3-0D7E879E3032}">
  <dimension ref="B2:P6"/>
  <sheetViews>
    <sheetView workbookViewId="0">
      <selection activeCell="P5" sqref="P5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42578125" bestFit="1" customWidth="1"/>
    <col min="5" max="6" width="11.28515625" bestFit="1" customWidth="1"/>
    <col min="12" max="15" width="0" hidden="1" customWidth="1"/>
  </cols>
  <sheetData>
    <row r="2" spans="2:16" x14ac:dyDescent="0.25">
      <c r="B2" s="1" t="s">
        <v>24</v>
      </c>
      <c r="C2" t="s">
        <v>7</v>
      </c>
      <c r="D2" t="s">
        <v>8</v>
      </c>
      <c r="E2" t="s">
        <v>9</v>
      </c>
      <c r="F2" t="s">
        <v>10</v>
      </c>
    </row>
    <row r="3" spans="2:16" x14ac:dyDescent="0.25">
      <c r="B3" t="s">
        <v>7</v>
      </c>
      <c r="C3">
        <v>1</v>
      </c>
      <c r="D3">
        <f>+AHP!E34</f>
        <v>1</v>
      </c>
      <c r="E3">
        <f>+AHP!C34</f>
        <v>5</v>
      </c>
      <c r="F3">
        <f>+AHP!G34</f>
        <v>0.2</v>
      </c>
      <c r="H3">
        <f>+GEOMEAN(C3:F3)</f>
        <v>1</v>
      </c>
      <c r="J3">
        <f>+H3/SUM($H$3:$H$6)</f>
        <v>0.16310068132305444</v>
      </c>
      <c r="L3">
        <v>5</v>
      </c>
      <c r="M3">
        <v>3</v>
      </c>
      <c r="N3">
        <f>L3/SUM($L$3:$L$6)</f>
        <v>0.25</v>
      </c>
      <c r="O3">
        <f>M3/SUM($M$3:$M$6)</f>
        <v>0.25</v>
      </c>
      <c r="P3" t="s">
        <v>37</v>
      </c>
    </row>
    <row r="4" spans="2:16" x14ac:dyDescent="0.25">
      <c r="B4" t="s">
        <v>8</v>
      </c>
      <c r="C4">
        <f>1/D3</f>
        <v>1</v>
      </c>
      <c r="D4">
        <v>1</v>
      </c>
      <c r="E4">
        <f>+AHP!C34</f>
        <v>5</v>
      </c>
      <c r="F4">
        <f>+AHP!G34</f>
        <v>0.2</v>
      </c>
      <c r="H4">
        <f t="shared" ref="H4:H6" si="0">+GEOMEAN(C4:F4)</f>
        <v>1</v>
      </c>
      <c r="J4">
        <f t="shared" ref="J4:J6" si="1">+H4/SUM($H$3:$H$6)</f>
        <v>0.16310068132305444</v>
      </c>
      <c r="L4">
        <v>5</v>
      </c>
      <c r="M4">
        <v>3</v>
      </c>
      <c r="N4">
        <f t="shared" ref="N4:N6" si="2">L4/SUM($L$3:$L$6)</f>
        <v>0.25</v>
      </c>
      <c r="O4">
        <f t="shared" ref="O4:O6" si="3">M4/SUM($M$3:$M$6)</f>
        <v>0.25</v>
      </c>
      <c r="P4">
        <v>5.034127E-2</v>
      </c>
    </row>
    <row r="5" spans="2:16" x14ac:dyDescent="0.25">
      <c r="B5" t="s">
        <v>9</v>
      </c>
      <c r="C5">
        <f>1/E3</f>
        <v>0.2</v>
      </c>
      <c r="D5">
        <f>1/E4</f>
        <v>0.2</v>
      </c>
      <c r="E5">
        <v>1</v>
      </c>
      <c r="F5">
        <f>+AHP!G32</f>
        <v>0.1111111111111111</v>
      </c>
      <c r="H5">
        <f t="shared" si="0"/>
        <v>0.25819888974716115</v>
      </c>
      <c r="J5">
        <f t="shared" si="1"/>
        <v>4.2112414834618202E-2</v>
      </c>
      <c r="L5">
        <v>1</v>
      </c>
      <c r="M5">
        <v>1</v>
      </c>
      <c r="N5">
        <f t="shared" si="2"/>
        <v>0.05</v>
      </c>
      <c r="O5">
        <f t="shared" si="3"/>
        <v>8.3333333333333329E-2</v>
      </c>
    </row>
    <row r="6" spans="2:16" x14ac:dyDescent="0.25">
      <c r="B6" t="s">
        <v>10</v>
      </c>
      <c r="C6">
        <f>1/F3</f>
        <v>5</v>
      </c>
      <c r="D6">
        <f>1/F4</f>
        <v>5</v>
      </c>
      <c r="E6">
        <f>1/F5</f>
        <v>9</v>
      </c>
      <c r="F6">
        <v>1</v>
      </c>
      <c r="H6">
        <f t="shared" si="0"/>
        <v>3.872983346207417</v>
      </c>
      <c r="J6">
        <f t="shared" si="1"/>
        <v>0.63168622251927298</v>
      </c>
      <c r="L6">
        <v>9</v>
      </c>
      <c r="M6">
        <v>5</v>
      </c>
      <c r="N6">
        <f t="shared" si="2"/>
        <v>0.45</v>
      </c>
      <c r="O6">
        <f t="shared" si="3"/>
        <v>0.41666666666666669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01C-D183-447E-9E50-376B204084D4}">
  <dimension ref="B1:O6"/>
  <sheetViews>
    <sheetView workbookViewId="0">
      <selection activeCell="K3" sqref="K3"/>
    </sheetView>
  </sheetViews>
  <sheetFormatPr defaultRowHeight="15" x14ac:dyDescent="0.25"/>
  <cols>
    <col min="2" max="2" width="11.85546875" bestFit="1" customWidth="1"/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K1" t="s">
        <v>37</v>
      </c>
    </row>
    <row r="2" spans="2:15" x14ac:dyDescent="0.25">
      <c r="B2" s="5" t="s">
        <v>25</v>
      </c>
      <c r="C2" t="s">
        <v>7</v>
      </c>
      <c r="D2" t="s">
        <v>8</v>
      </c>
      <c r="E2" t="s">
        <v>9</v>
      </c>
      <c r="F2" t="s">
        <v>10</v>
      </c>
      <c r="K2">
        <v>5.034127E-2</v>
      </c>
    </row>
    <row r="3" spans="2:15" x14ac:dyDescent="0.25">
      <c r="B3" t="s">
        <v>7</v>
      </c>
      <c r="C3">
        <v>1</v>
      </c>
      <c r="D3">
        <f>+AHP!C34</f>
        <v>5</v>
      </c>
      <c r="E3">
        <f>+AHP!E34</f>
        <v>1</v>
      </c>
      <c r="F3">
        <f>+AHP!G34</f>
        <v>0.2</v>
      </c>
      <c r="H3" s="4">
        <f>+GEOMEAN(C3:F3)</f>
        <v>1</v>
      </c>
      <c r="J3">
        <f>+H3/SUM($H$3:$H$6)</f>
        <v>0.16310068132305444</v>
      </c>
      <c r="L3">
        <v>5</v>
      </c>
      <c r="M3">
        <v>3</v>
      </c>
      <c r="N3">
        <f>+L3/SUM($L$3:$L$6)</f>
        <v>0.25</v>
      </c>
      <c r="O3">
        <f>+M3/SUM($M$3:$M$6)</f>
        <v>0.25</v>
      </c>
    </row>
    <row r="4" spans="2:15" x14ac:dyDescent="0.25">
      <c r="B4" t="s">
        <v>8</v>
      </c>
      <c r="C4">
        <f>1/D3</f>
        <v>0.2</v>
      </c>
      <c r="D4">
        <v>1</v>
      </c>
      <c r="E4">
        <f>+AHP!E32</f>
        <v>0.2</v>
      </c>
      <c r="F4">
        <f>+AHP!G32</f>
        <v>0.1111111111111111</v>
      </c>
      <c r="H4">
        <f t="shared" ref="H4:H6" si="0">+GEOMEAN(C4:F4)</f>
        <v>0.25819888974716115</v>
      </c>
      <c r="J4">
        <f t="shared" ref="J4:J6" si="1">+H4/SUM($H$3:$H$6)</f>
        <v>4.2112414834618195E-2</v>
      </c>
      <c r="L4">
        <v>1</v>
      </c>
      <c r="M4">
        <v>1</v>
      </c>
      <c r="N4">
        <f t="shared" ref="N4:N6" si="2">+L4/SUM($L$3:$L$6)</f>
        <v>0.05</v>
      </c>
      <c r="O4">
        <f t="shared" ref="O4:O6" si="3">+M4/SUM($M$3:$M$6)</f>
        <v>8.3333333333333329E-2</v>
      </c>
    </row>
    <row r="5" spans="2:15" x14ac:dyDescent="0.25">
      <c r="B5" t="s">
        <v>9</v>
      </c>
      <c r="C5">
        <f>1/E3</f>
        <v>1</v>
      </c>
      <c r="D5">
        <f>1/E4</f>
        <v>5</v>
      </c>
      <c r="E5">
        <v>1</v>
      </c>
      <c r="F5">
        <f>+AHP!G34</f>
        <v>0.2</v>
      </c>
      <c r="H5">
        <f t="shared" si="0"/>
        <v>1</v>
      </c>
      <c r="J5">
        <f t="shared" si="1"/>
        <v>0.16310068132305444</v>
      </c>
      <c r="L5">
        <v>5</v>
      </c>
      <c r="M5">
        <v>3</v>
      </c>
      <c r="N5">
        <f t="shared" si="2"/>
        <v>0.25</v>
      </c>
      <c r="O5">
        <f t="shared" si="3"/>
        <v>0.25</v>
      </c>
    </row>
    <row r="6" spans="2:15" x14ac:dyDescent="0.25">
      <c r="B6" t="s">
        <v>10</v>
      </c>
      <c r="C6">
        <f>1/F3</f>
        <v>5</v>
      </c>
      <c r="D6">
        <f>1/F4</f>
        <v>9</v>
      </c>
      <c r="E6">
        <f>1/F5</f>
        <v>5</v>
      </c>
      <c r="F6">
        <v>1</v>
      </c>
      <c r="H6">
        <f t="shared" si="0"/>
        <v>3.872983346207417</v>
      </c>
      <c r="J6">
        <f t="shared" si="1"/>
        <v>0.63168622251927287</v>
      </c>
      <c r="L6">
        <v>9</v>
      </c>
      <c r="M6">
        <v>5</v>
      </c>
      <c r="N6">
        <f t="shared" si="2"/>
        <v>0.45</v>
      </c>
      <c r="O6">
        <f t="shared" si="3"/>
        <v>0.41666666666666669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1818-FB42-4588-BA06-2606AD148D00}">
  <dimension ref="B1:O6"/>
  <sheetViews>
    <sheetView workbookViewId="0">
      <selection activeCell="G2" sqref="G2"/>
    </sheetView>
  </sheetViews>
  <sheetFormatPr defaultRowHeight="15" x14ac:dyDescent="0.25"/>
  <cols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G1" t="s">
        <v>37</v>
      </c>
    </row>
    <row r="2" spans="2:15" x14ac:dyDescent="0.25">
      <c r="C2" t="s">
        <v>7</v>
      </c>
      <c r="D2" t="s">
        <v>8</v>
      </c>
      <c r="E2" t="s">
        <v>9</v>
      </c>
      <c r="F2" t="s">
        <v>10</v>
      </c>
      <c r="G2">
        <v>6.450053E-2</v>
      </c>
    </row>
    <row r="3" spans="2:15" x14ac:dyDescent="0.25">
      <c r="B3" t="s">
        <v>7</v>
      </c>
      <c r="C3">
        <v>1</v>
      </c>
      <c r="D3">
        <f>+AHP!E32</f>
        <v>0.2</v>
      </c>
      <c r="E3">
        <f>+AHP!G32</f>
        <v>0.1111111111111111</v>
      </c>
      <c r="F3">
        <f>+AHP!D32</f>
        <v>0.33</v>
      </c>
      <c r="H3" s="4">
        <f>+GEOMEAN(C3:F3)</f>
        <v>0.29263438597978797</v>
      </c>
      <c r="J3">
        <f>+H3/SUM($H$3:$H$6)</f>
        <v>4.5454879837376033E-2</v>
      </c>
      <c r="L3">
        <v>1</v>
      </c>
      <c r="M3">
        <v>1</v>
      </c>
      <c r="N3">
        <f>+L3/SUM($L$3:$L$6)</f>
        <v>5.5555555555555552E-2</v>
      </c>
      <c r="O3">
        <f>+M3/SUM($M$3:$M$6)</f>
        <v>9.0909090909090912E-2</v>
      </c>
    </row>
    <row r="4" spans="2:15" x14ac:dyDescent="0.25">
      <c r="B4" t="s">
        <v>8</v>
      </c>
      <c r="C4">
        <f>1/D3</f>
        <v>5</v>
      </c>
      <c r="D4">
        <v>1</v>
      </c>
      <c r="E4">
        <f>+AHP!G34</f>
        <v>0.2</v>
      </c>
      <c r="F4">
        <f>+AHP!D34</f>
        <v>3</v>
      </c>
      <c r="H4">
        <f t="shared" ref="H4:H6" si="0">+GEOMEAN(C4:F4)</f>
        <v>1.3160740129524926</v>
      </c>
      <c r="J4">
        <f t="shared" ref="J4:J6" si="1">+H4/SUM($H$3:$H$6)</f>
        <v>0.20442568946760986</v>
      </c>
      <c r="L4">
        <v>5</v>
      </c>
      <c r="M4">
        <v>3</v>
      </c>
      <c r="N4">
        <f t="shared" ref="N4:N6" si="2">+L4/SUM($L$3:$L$6)</f>
        <v>0.27777777777777779</v>
      </c>
      <c r="O4">
        <f t="shared" ref="O4:O6" si="3">+M4/SUM($M$3:$M$6)</f>
        <v>0.27272727272727271</v>
      </c>
    </row>
    <row r="5" spans="2:15" x14ac:dyDescent="0.25">
      <c r="B5" t="s">
        <v>9</v>
      </c>
      <c r="C5">
        <f>1/E3</f>
        <v>9</v>
      </c>
      <c r="D5">
        <f>1/E4</f>
        <v>5</v>
      </c>
      <c r="E5">
        <v>1</v>
      </c>
      <c r="F5">
        <f>+AHP!D36</f>
        <v>7</v>
      </c>
      <c r="H5">
        <f t="shared" si="0"/>
        <v>4.2128659306105209</v>
      </c>
      <c r="J5">
        <f t="shared" si="1"/>
        <v>0.65438418662153741</v>
      </c>
      <c r="L5">
        <v>9</v>
      </c>
      <c r="M5">
        <v>5</v>
      </c>
      <c r="N5">
        <f t="shared" si="2"/>
        <v>0.5</v>
      </c>
      <c r="O5">
        <f t="shared" si="3"/>
        <v>0.45454545454545453</v>
      </c>
    </row>
    <row r="6" spans="2:15" x14ac:dyDescent="0.25">
      <c r="B6" t="s">
        <v>10</v>
      </c>
      <c r="C6">
        <f>1/F3</f>
        <v>3.0303030303030303</v>
      </c>
      <c r="D6">
        <f>1/F4</f>
        <v>0.33333333333333331</v>
      </c>
      <c r="E6">
        <f>1/F5</f>
        <v>0.14285714285714285</v>
      </c>
      <c r="F6">
        <v>1</v>
      </c>
      <c r="H6">
        <f t="shared" si="0"/>
        <v>0.61633480203440816</v>
      </c>
      <c r="J6">
        <f t="shared" si="1"/>
        <v>9.5735244073476625E-2</v>
      </c>
      <c r="L6">
        <v>3</v>
      </c>
      <c r="M6">
        <v>2</v>
      </c>
      <c r="N6">
        <f t="shared" si="2"/>
        <v>0.16666666666666666</v>
      </c>
      <c r="O6">
        <f t="shared" si="3"/>
        <v>0.18181818181818182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78BD-7CA1-45EC-B0A7-781FA85C8A3D}">
  <dimension ref="B1:O6"/>
  <sheetViews>
    <sheetView workbookViewId="0">
      <selection activeCell="G3" sqref="G3"/>
    </sheetView>
  </sheetViews>
  <sheetFormatPr defaultRowHeight="15" x14ac:dyDescent="0.25"/>
  <cols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G1" t="s">
        <v>37</v>
      </c>
    </row>
    <row r="2" spans="2:15" x14ac:dyDescent="0.25">
      <c r="C2" t="s">
        <v>7</v>
      </c>
      <c r="D2" t="s">
        <v>8</v>
      </c>
      <c r="E2" t="s">
        <v>9</v>
      </c>
      <c r="F2" t="s">
        <v>10</v>
      </c>
      <c r="G2">
        <v>5.034127E-2</v>
      </c>
    </row>
    <row r="3" spans="2:15" x14ac:dyDescent="0.25">
      <c r="B3" t="s">
        <v>7</v>
      </c>
      <c r="C3">
        <v>1</v>
      </c>
      <c r="D3">
        <f>+AHP!G32</f>
        <v>0.1111111111111111</v>
      </c>
      <c r="E3">
        <f>+AHP!E32</f>
        <v>0.2</v>
      </c>
      <c r="F3">
        <f>+AHP!E32</f>
        <v>0.2</v>
      </c>
      <c r="H3" s="3">
        <f>+GEOMEAN(C3:F3)</f>
        <v>0.25819888974716115</v>
      </c>
      <c r="J3">
        <f>+H3/SUM($H$3:$H$6)</f>
        <v>4.2112414834618195E-2</v>
      </c>
      <c r="L3">
        <v>1</v>
      </c>
      <c r="M3">
        <v>1</v>
      </c>
      <c r="N3">
        <f>+L3/SUM($L$3:$L$6)</f>
        <v>0.05</v>
      </c>
      <c r="O3">
        <f>+M3/SUM($M$3:$M$6)</f>
        <v>8.3333333333333329E-2</v>
      </c>
    </row>
    <row r="4" spans="2:15" x14ac:dyDescent="0.25">
      <c r="B4" t="s">
        <v>8</v>
      </c>
      <c r="C4">
        <f>1/D3</f>
        <v>9</v>
      </c>
      <c r="D4">
        <v>1</v>
      </c>
      <c r="E4">
        <f>+AHP!E36</f>
        <v>5</v>
      </c>
      <c r="F4">
        <f>+AHP!E36</f>
        <v>5</v>
      </c>
      <c r="H4">
        <f t="shared" ref="H4:H6" si="0">+GEOMEAN(C4:F4)</f>
        <v>3.872983346207417</v>
      </c>
      <c r="J4">
        <f t="shared" ref="J4:J6" si="1">+H4/SUM($H$3:$H$6)</f>
        <v>0.63168622251927287</v>
      </c>
      <c r="L4">
        <v>9</v>
      </c>
      <c r="M4">
        <v>5</v>
      </c>
      <c r="N4">
        <f t="shared" ref="N4:N6" si="2">+L4/SUM($L$3:$L$6)</f>
        <v>0.45</v>
      </c>
      <c r="O4">
        <f t="shared" ref="O4:O6" si="3">+M4/SUM($M$3:$M$6)</f>
        <v>0.41666666666666669</v>
      </c>
    </row>
    <row r="5" spans="2:15" x14ac:dyDescent="0.25">
      <c r="B5" t="s">
        <v>9</v>
      </c>
      <c r="C5">
        <f>1/E3</f>
        <v>5</v>
      </c>
      <c r="D5">
        <f>1/E4</f>
        <v>0.2</v>
      </c>
      <c r="E5">
        <v>1</v>
      </c>
      <c r="F5">
        <f>+AHP!E34</f>
        <v>1</v>
      </c>
      <c r="H5">
        <f t="shared" si="0"/>
        <v>1</v>
      </c>
      <c r="J5">
        <f t="shared" si="1"/>
        <v>0.16310068132305444</v>
      </c>
      <c r="L5">
        <v>5</v>
      </c>
      <c r="M5">
        <v>3</v>
      </c>
      <c r="N5">
        <f t="shared" si="2"/>
        <v>0.25</v>
      </c>
      <c r="O5">
        <f t="shared" si="3"/>
        <v>0.25</v>
      </c>
    </row>
    <row r="6" spans="2:15" x14ac:dyDescent="0.25">
      <c r="B6" t="s">
        <v>10</v>
      </c>
      <c r="C6">
        <f>1/F3</f>
        <v>5</v>
      </c>
      <c r="D6">
        <f>1/F4</f>
        <v>0.2</v>
      </c>
      <c r="E6">
        <f>1/F5</f>
        <v>1</v>
      </c>
      <c r="F6">
        <v>1</v>
      </c>
      <c r="H6">
        <f t="shared" si="0"/>
        <v>1</v>
      </c>
      <c r="J6">
        <f t="shared" si="1"/>
        <v>0.16310068132305444</v>
      </c>
      <c r="L6">
        <v>5</v>
      </c>
      <c r="M6">
        <v>3</v>
      </c>
      <c r="N6">
        <f t="shared" si="2"/>
        <v>0.25</v>
      </c>
      <c r="O6">
        <f t="shared" si="3"/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0EEB-DCF4-43C1-9280-C971D2123FED}">
  <dimension ref="B1:O6"/>
  <sheetViews>
    <sheetView workbookViewId="0">
      <selection activeCell="G3" sqref="G3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G1" t="s">
        <v>37</v>
      </c>
    </row>
    <row r="2" spans="2:15" x14ac:dyDescent="0.25">
      <c r="C2" t="s">
        <v>7</v>
      </c>
      <c r="D2" t="s">
        <v>8</v>
      </c>
      <c r="E2" t="s">
        <v>9</v>
      </c>
      <c r="F2" t="s">
        <v>10</v>
      </c>
      <c r="G2">
        <v>1.6437440000000001E-2</v>
      </c>
    </row>
    <row r="3" spans="2:15" x14ac:dyDescent="0.25">
      <c r="B3" t="s">
        <v>7</v>
      </c>
      <c r="C3">
        <v>1</v>
      </c>
      <c r="D3">
        <f>+AHP!F34</f>
        <v>0.33333333333333331</v>
      </c>
      <c r="E3">
        <f>+AHP!E34</f>
        <v>1</v>
      </c>
      <c r="F3">
        <f>+AHP!D34</f>
        <v>3</v>
      </c>
      <c r="H3" s="3">
        <f>+GEOMEAN(C3:F3)</f>
        <v>1</v>
      </c>
      <c r="J3">
        <f>+H3/SUM($H$3:$H$6)</f>
        <v>0.20095988653758035</v>
      </c>
      <c r="L3">
        <v>5</v>
      </c>
      <c r="M3">
        <v>3</v>
      </c>
      <c r="N3">
        <f>+L3/SUM($L$3:$L$6)</f>
        <v>0.25</v>
      </c>
      <c r="O3">
        <f>+M3/SUM($M$3:$M$6)</f>
        <v>0.25</v>
      </c>
    </row>
    <row r="4" spans="2:15" x14ac:dyDescent="0.25">
      <c r="B4" t="s">
        <v>8</v>
      </c>
      <c r="C4">
        <f>1/D3</f>
        <v>3</v>
      </c>
      <c r="D4">
        <v>1</v>
      </c>
      <c r="E4">
        <f>+AHP!E35</f>
        <v>3</v>
      </c>
      <c r="F4">
        <f>+AHP!D35</f>
        <v>5</v>
      </c>
      <c r="H4">
        <f t="shared" ref="H4:H6" si="0">+GEOMEAN(C4:F4)</f>
        <v>2.5900200641113513</v>
      </c>
      <c r="J4">
        <f t="shared" ref="J4:J6" si="1">+H4/SUM($H$3:$H$6)</f>
        <v>0.52049013821387369</v>
      </c>
      <c r="L4">
        <v>7</v>
      </c>
      <c r="M4">
        <v>4</v>
      </c>
      <c r="N4">
        <f t="shared" ref="N4:N6" si="2">+L4/SUM($L$3:$L$6)</f>
        <v>0.35</v>
      </c>
      <c r="O4">
        <f t="shared" ref="O4:O6" si="3">+M4/SUM($M$3:$M$6)</f>
        <v>0.33333333333333331</v>
      </c>
    </row>
    <row r="5" spans="2:15" x14ac:dyDescent="0.25">
      <c r="B5" t="s">
        <v>9</v>
      </c>
      <c r="C5">
        <f>1/E3</f>
        <v>1</v>
      </c>
      <c r="D5">
        <f>1/E4</f>
        <v>0.33333333333333331</v>
      </c>
      <c r="E5">
        <v>1</v>
      </c>
      <c r="F5">
        <f>+AHP!D34</f>
        <v>3</v>
      </c>
      <c r="H5">
        <f t="shared" si="0"/>
        <v>1</v>
      </c>
      <c r="J5">
        <f t="shared" si="1"/>
        <v>0.20095988653758035</v>
      </c>
      <c r="L5">
        <v>5</v>
      </c>
      <c r="M5">
        <v>3</v>
      </c>
      <c r="N5">
        <f t="shared" si="2"/>
        <v>0.25</v>
      </c>
      <c r="O5">
        <f t="shared" si="3"/>
        <v>0.25</v>
      </c>
    </row>
    <row r="6" spans="2:15" x14ac:dyDescent="0.25">
      <c r="B6" t="s">
        <v>10</v>
      </c>
      <c r="C6">
        <f>1/F3</f>
        <v>0.33333333333333331</v>
      </c>
      <c r="D6">
        <f>1/F4</f>
        <v>0.2</v>
      </c>
      <c r="E6">
        <f>1/F5</f>
        <v>0.33333333333333331</v>
      </c>
      <c r="F6">
        <v>1</v>
      </c>
      <c r="H6">
        <f t="shared" si="0"/>
        <v>0.38609739509608965</v>
      </c>
      <c r="J6">
        <f t="shared" si="1"/>
        <v>7.759008871096551E-2</v>
      </c>
      <c r="L6">
        <v>3</v>
      </c>
      <c r="M6">
        <v>2</v>
      </c>
      <c r="N6">
        <f t="shared" si="2"/>
        <v>0.15</v>
      </c>
      <c r="O6">
        <f t="shared" si="3"/>
        <v>0.16666666666666666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31A6-FC9A-4CA2-B08B-968D1EB10BD6}">
  <dimension ref="B2:H6"/>
  <sheetViews>
    <sheetView workbookViewId="0">
      <selection activeCell="C4" sqref="C4"/>
    </sheetView>
  </sheetViews>
  <sheetFormatPr defaultRowHeight="15" x14ac:dyDescent="0.25"/>
  <cols>
    <col min="2" max="2" width="11.42578125" bestFit="1" customWidth="1"/>
    <col min="3" max="3" width="11.570312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2" spans="2:8" x14ac:dyDescent="0.25">
      <c r="D2" t="s">
        <v>34</v>
      </c>
    </row>
    <row r="3" spans="2:8" x14ac:dyDescent="0.25">
      <c r="B3" t="s">
        <v>7</v>
      </c>
      <c r="C3" s="7">
        <f>+AHP!C19</f>
        <v>800000</v>
      </c>
      <c r="D3" s="9">
        <f>1/C3</f>
        <v>1.2500000000000001E-6</v>
      </c>
      <c r="F3" s="8">
        <f>+D3/SUM($D$3:$D$6)</f>
        <v>0.12195121951219513</v>
      </c>
      <c r="H3" s="3"/>
    </row>
    <row r="4" spans="2:8" x14ac:dyDescent="0.25">
      <c r="B4" t="s">
        <v>8</v>
      </c>
      <c r="C4" s="7">
        <f>+AHP!D19</f>
        <v>600000</v>
      </c>
      <c r="D4" s="9">
        <f t="shared" ref="D4:D6" si="0">1/C4</f>
        <v>1.6666666666666667E-6</v>
      </c>
      <c r="F4" s="8">
        <f t="shared" ref="F4:F6" si="1">+D4/SUM($D$3:$D$6)</f>
        <v>0.16260162601626016</v>
      </c>
    </row>
    <row r="5" spans="2:8" x14ac:dyDescent="0.25">
      <c r="B5" t="s">
        <v>9</v>
      </c>
      <c r="C5" s="7">
        <f>+AHP!E19</f>
        <v>300000</v>
      </c>
      <c r="D5" s="9">
        <f t="shared" si="0"/>
        <v>3.3333333333333333E-6</v>
      </c>
      <c r="F5" s="8">
        <f t="shared" si="1"/>
        <v>0.32520325203252032</v>
      </c>
    </row>
    <row r="6" spans="2:8" x14ac:dyDescent="0.25">
      <c r="B6" t="s">
        <v>10</v>
      </c>
      <c r="C6" s="7">
        <f>+AHP!F19</f>
        <v>250000</v>
      </c>
      <c r="D6" s="9">
        <f t="shared" si="0"/>
        <v>3.9999999999999998E-6</v>
      </c>
      <c r="F6" s="8">
        <f t="shared" si="1"/>
        <v>0.39024390243902435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606C-B1A5-4574-8E70-F5A183F5679D}">
  <dimension ref="A1:W201"/>
  <sheetViews>
    <sheetView topLeftCell="A171" workbookViewId="0">
      <selection sqref="A1:W198"/>
    </sheetView>
  </sheetViews>
  <sheetFormatPr defaultRowHeight="15" x14ac:dyDescent="0.25"/>
  <cols>
    <col min="1" max="1" width="52" bestFit="1" customWidth="1"/>
    <col min="2" max="2" width="7" bestFit="1" customWidth="1"/>
    <col min="3" max="3" width="7" style="2" customWidth="1"/>
    <col min="4" max="4" width="6.42578125" bestFit="1" customWidth="1"/>
    <col min="5" max="5" width="7" bestFit="1" customWidth="1"/>
    <col min="6" max="6" width="6.5703125" bestFit="1" customWidth="1"/>
    <col min="7" max="7" width="6.5703125" customWidth="1"/>
    <col min="8" max="8" width="5.7109375" bestFit="1" customWidth="1"/>
    <col min="9" max="9" width="18.85546875" bestFit="1" customWidth="1"/>
    <col min="10" max="10" width="27.140625" bestFit="1" customWidth="1"/>
    <col min="11" max="11" width="27.5703125" bestFit="1" customWidth="1"/>
    <col min="12" max="16" width="27.5703125" customWidth="1"/>
    <col min="17" max="17" width="12.7109375" bestFit="1" customWidth="1"/>
    <col min="18" max="18" width="13.5703125" customWidth="1"/>
    <col min="19" max="19" width="14.5703125" customWidth="1"/>
    <col min="20" max="21" width="12" bestFit="1" customWidth="1"/>
    <col min="23" max="23" width="26.28515625" bestFit="1" customWidth="1"/>
  </cols>
  <sheetData>
    <row r="1" spans="1:23" x14ac:dyDescent="0.25">
      <c r="A1" t="s">
        <v>54</v>
      </c>
      <c r="B1" t="s">
        <v>55</v>
      </c>
      <c r="C1" s="2" t="s">
        <v>287</v>
      </c>
      <c r="D1" t="s">
        <v>56</v>
      </c>
      <c r="E1" t="s">
        <v>57</v>
      </c>
      <c r="F1" t="s">
        <v>58</v>
      </c>
      <c r="G1" t="s">
        <v>286</v>
      </c>
      <c r="H1" t="s">
        <v>59</v>
      </c>
      <c r="I1" t="s">
        <v>60</v>
      </c>
      <c r="J1" t="s">
        <v>61</v>
      </c>
      <c r="K1" t="s">
        <v>62</v>
      </c>
      <c r="L1" t="s">
        <v>64</v>
      </c>
      <c r="M1" t="s">
        <v>68</v>
      </c>
      <c r="N1" t="s">
        <v>71</v>
      </c>
      <c r="O1" t="s">
        <v>80</v>
      </c>
      <c r="P1" t="s">
        <v>273</v>
      </c>
      <c r="Q1" t="s">
        <v>291</v>
      </c>
      <c r="R1" t="s">
        <v>290</v>
      </c>
      <c r="S1" t="s">
        <v>296</v>
      </c>
      <c r="T1" t="s">
        <v>292</v>
      </c>
      <c r="U1" t="s">
        <v>293</v>
      </c>
      <c r="V1" t="s">
        <v>294</v>
      </c>
      <c r="W1" t="s">
        <v>295</v>
      </c>
    </row>
    <row r="2" spans="1:23" x14ac:dyDescent="0.25">
      <c r="A2" s="45" t="s">
        <v>63</v>
      </c>
      <c r="B2">
        <v>4.5</v>
      </c>
      <c r="C2" s="2" t="s">
        <v>274</v>
      </c>
      <c r="D2">
        <v>60</v>
      </c>
      <c r="E2">
        <v>1044</v>
      </c>
      <c r="F2">
        <v>20</v>
      </c>
      <c r="G2">
        <f>IF(BrewdogNew3[[#This Row],[EBC]]="*",1,0)</f>
        <v>0</v>
      </c>
      <c r="H2">
        <v>4.4000000000000004</v>
      </c>
      <c r="I2">
        <v>75</v>
      </c>
      <c r="J2">
        <v>19</v>
      </c>
      <c r="K2" s="45" t="s">
        <v>64</v>
      </c>
      <c r="L2" s="45">
        <f>IF(BrewdogNew3[[#This Row],[Yeast]]=BrewdogNew3[[#Headers],[Wyeast 1056 - American Ale]],1,0)</f>
        <v>1</v>
      </c>
      <c r="M2" s="45">
        <f>IF(BrewdogNew3[[#This Row],[Yeast]]=BrewdogNew3[[#Headers],[Wyeast 2007 - Pilsen Lager]],1,0)</f>
        <v>0</v>
      </c>
      <c r="N2" s="45">
        <f>IF(BrewdogNew3[[#This Row],[Yeast]]=BrewdogNew3[[#Headers],[Wyeast 3711 - French Saison]],1,0)</f>
        <v>0</v>
      </c>
      <c r="O2" s="45">
        <f>IF(BrewdogNew3[[#This Row],[Yeast]]=BrewdogNew3[[#Headers],[Wyeast 1272 - American Ale II]],1,0)</f>
        <v>0</v>
      </c>
      <c r="P2" s="45" t="str">
        <f>BrewdogNew3[[#This Row],[Name]]</f>
        <v>Buzz</v>
      </c>
      <c r="Q2" t="str">
        <f>IF(BrewdogNew3[[#This Row],[EBC]]="*", BrewdogNew3[[#This Row],[IBU]], "")</f>
        <v/>
      </c>
      <c r="R2" t="str">
        <f>IF(BrewdogNew3[[#This Row],[EBC]]="*", BrewdogNew3[[#This Row],[OG]], "")</f>
        <v/>
      </c>
      <c r="S2" t="str">
        <f>IF(BrewdogNew3[[#This Row],[EBC]]="*", BrewdogNew3[[#This Row],[ABV]], "")</f>
        <v/>
      </c>
      <c r="T2" t="str">
        <f>IF(BrewdogNew3[[#This Row],[EBC]]="*", BrewdogNew3[[#This Row],[PH]], "")</f>
        <v/>
      </c>
      <c r="U2" t="str">
        <f>IF(BrewdogNew3[[#This Row],[EBC]]="*", BrewdogNew3[[#This Row],[AttenuationLevel]], "")</f>
        <v/>
      </c>
      <c r="V2" t="str">
        <f>IF(BrewdogNew3[[#This Row],[EBC]]="*", BrewdogNew3[[#This Row],[FermentationTempCelsius]], "")</f>
        <v/>
      </c>
      <c r="W2" t="str">
        <f>IF(BrewdogNew3[[#This Row],[EBC]]="*", BrewdogNew3[[#This Row],[Yeast]], "")</f>
        <v/>
      </c>
    </row>
    <row r="3" spans="1:23" x14ac:dyDescent="0.25">
      <c r="A3" s="45" t="s">
        <v>65</v>
      </c>
      <c r="B3">
        <v>4.0999999999999996</v>
      </c>
      <c r="C3" s="2" t="s">
        <v>274</v>
      </c>
      <c r="D3">
        <v>41.5</v>
      </c>
      <c r="E3">
        <v>1041.7</v>
      </c>
      <c r="F3">
        <v>15</v>
      </c>
      <c r="G3">
        <f>IF(BrewdogNew3[[#This Row],[EBC]]="*",1,0)</f>
        <v>0</v>
      </c>
      <c r="H3">
        <v>4.4000000000000004</v>
      </c>
      <c r="I3">
        <v>76</v>
      </c>
      <c r="J3">
        <v>18</v>
      </c>
      <c r="K3" s="45" t="s">
        <v>64</v>
      </c>
      <c r="L3" s="45">
        <f>IF(BrewdogNew3[[#This Row],[Yeast]]=BrewdogNew3[[#Headers],[Wyeast 1056 - American Ale]],1,0)</f>
        <v>1</v>
      </c>
      <c r="M3" s="45">
        <f>IF(BrewdogNew3[[#This Row],[Yeast]]=BrewdogNew3[[#Headers],[Wyeast 2007 - Pilsen Lager]],1,0)</f>
        <v>0</v>
      </c>
      <c r="N3" s="45">
        <f>IF(BrewdogNew3[[#This Row],[Yeast]]=BrewdogNew3[[#Headers],[Wyeast 3711 - French Saison]],1,0)</f>
        <v>0</v>
      </c>
      <c r="O3" s="45">
        <f>IF(BrewdogNew3[[#This Row],[Yeast]]=BrewdogNew3[[#Headers],[Wyeast 1272 - American Ale II]],1,0)</f>
        <v>0</v>
      </c>
      <c r="P3" s="45" t="str">
        <f>BrewdogNew3[[#This Row],[Name]]</f>
        <v>Trashy Blonde</v>
      </c>
      <c r="Q3" t="str">
        <f>IF(BrewdogNew3[[#This Row],[EBC]]="*", BrewdogNew3[[#This Row],[IBU]], "")</f>
        <v/>
      </c>
      <c r="R3" t="str">
        <f>IF(BrewdogNew3[[#This Row],[EBC]]="*", BrewdogNew3[[#This Row],[OG]], "")</f>
        <v/>
      </c>
      <c r="S3" t="str">
        <f>IF(BrewdogNew3[[#This Row],[EBC]]="*", BrewdogNew3[[#This Row],[ABV]], "")</f>
        <v/>
      </c>
      <c r="T3" t="str">
        <f>IF(BrewdogNew3[[#This Row],[EBC]]="*", BrewdogNew3[[#This Row],[PH]], "")</f>
        <v/>
      </c>
      <c r="U3" t="str">
        <f>IF(BrewdogNew3[[#This Row],[EBC]]="*", BrewdogNew3[[#This Row],[AttenuationLevel]], "")</f>
        <v/>
      </c>
      <c r="V3" t="str">
        <f>IF(BrewdogNew3[[#This Row],[EBC]]="*", BrewdogNew3[[#This Row],[FermentationTempCelsius]], "")</f>
        <v/>
      </c>
      <c r="W3" t="str">
        <f>IF(BrewdogNew3[[#This Row],[EBC]]="*", BrewdogNew3[[#This Row],[Yeast]], "")</f>
        <v/>
      </c>
    </row>
    <row r="4" spans="1:23" x14ac:dyDescent="0.25">
      <c r="A4" s="45" t="s">
        <v>66</v>
      </c>
      <c r="B4">
        <v>4.2</v>
      </c>
      <c r="C4" s="2" t="s">
        <v>274</v>
      </c>
      <c r="D4">
        <v>8</v>
      </c>
      <c r="E4">
        <v>1040</v>
      </c>
      <c r="F4">
        <v>8</v>
      </c>
      <c r="G4">
        <f>IF(BrewdogNew3[[#This Row],[EBC]]="*",1,0)</f>
        <v>0</v>
      </c>
      <c r="H4">
        <v>3.2</v>
      </c>
      <c r="I4">
        <v>83</v>
      </c>
      <c r="J4">
        <v>21</v>
      </c>
      <c r="K4" s="45" t="s">
        <v>64</v>
      </c>
      <c r="L4" s="45">
        <f>IF(BrewdogNew3[[#This Row],[Yeast]]=BrewdogNew3[[#Headers],[Wyeast 1056 - American Ale]],1,0)</f>
        <v>1</v>
      </c>
      <c r="M4" s="45">
        <f>IF(BrewdogNew3[[#This Row],[Yeast]]=BrewdogNew3[[#Headers],[Wyeast 2007 - Pilsen Lager]],1,0)</f>
        <v>0</v>
      </c>
      <c r="N4" s="45">
        <f>IF(BrewdogNew3[[#This Row],[Yeast]]=BrewdogNew3[[#Headers],[Wyeast 3711 - French Saison]],1,0)</f>
        <v>0</v>
      </c>
      <c r="O4" s="45">
        <f>IF(BrewdogNew3[[#This Row],[Yeast]]=BrewdogNew3[[#Headers],[Wyeast 1272 - American Ale II]],1,0)</f>
        <v>0</v>
      </c>
      <c r="P4" s="45" t="str">
        <f>BrewdogNew3[[#This Row],[Name]]</f>
        <v>Berliner Weisse With Yuzu - B-Sides</v>
      </c>
      <c r="Q4" t="str">
        <f>IF(BrewdogNew3[[#This Row],[EBC]]="*", BrewdogNew3[[#This Row],[IBU]], "")</f>
        <v/>
      </c>
      <c r="R4" t="str">
        <f>IF(BrewdogNew3[[#This Row],[EBC]]="*", BrewdogNew3[[#This Row],[OG]], "")</f>
        <v/>
      </c>
      <c r="S4" t="str">
        <f>IF(BrewdogNew3[[#This Row],[EBC]]="*", BrewdogNew3[[#This Row],[ABV]], "")</f>
        <v/>
      </c>
      <c r="T4" t="str">
        <f>IF(BrewdogNew3[[#This Row],[EBC]]="*", BrewdogNew3[[#This Row],[PH]], "")</f>
        <v/>
      </c>
      <c r="U4" t="str">
        <f>IF(BrewdogNew3[[#This Row],[EBC]]="*", BrewdogNew3[[#This Row],[AttenuationLevel]], "")</f>
        <v/>
      </c>
      <c r="V4" t="str">
        <f>IF(BrewdogNew3[[#This Row],[EBC]]="*", BrewdogNew3[[#This Row],[FermentationTempCelsius]], "")</f>
        <v/>
      </c>
      <c r="W4" t="str">
        <f>IF(BrewdogNew3[[#This Row],[EBC]]="*", BrewdogNew3[[#This Row],[Yeast]], "")</f>
        <v/>
      </c>
    </row>
    <row r="5" spans="1:23" x14ac:dyDescent="0.25">
      <c r="A5" s="45" t="s">
        <v>67</v>
      </c>
      <c r="B5">
        <v>6.3</v>
      </c>
      <c r="C5" s="2" t="s">
        <v>274</v>
      </c>
      <c r="D5">
        <v>55</v>
      </c>
      <c r="E5">
        <v>1060</v>
      </c>
      <c r="F5">
        <v>30</v>
      </c>
      <c r="G5">
        <f>IF(BrewdogNew3[[#This Row],[EBC]]="*",1,0)</f>
        <v>0</v>
      </c>
      <c r="H5">
        <v>4.4000000000000004</v>
      </c>
      <c r="I5">
        <v>80</v>
      </c>
      <c r="J5">
        <v>9</v>
      </c>
      <c r="K5" s="45" t="s">
        <v>68</v>
      </c>
      <c r="L5" s="45">
        <f>IF(BrewdogNew3[[#This Row],[Yeast]]=BrewdogNew3[[#Headers],[Wyeast 1056 - American Ale]],1,0)</f>
        <v>0</v>
      </c>
      <c r="M5" s="45">
        <f>IF(BrewdogNew3[[#This Row],[Yeast]]=BrewdogNew3[[#Headers],[Wyeast 2007 - Pilsen Lager]],1,0)</f>
        <v>1</v>
      </c>
      <c r="N5" s="45">
        <f>IF(BrewdogNew3[[#This Row],[Yeast]]=BrewdogNew3[[#Headers],[Wyeast 3711 - French Saison]],1,0)</f>
        <v>0</v>
      </c>
      <c r="O5" s="45">
        <f>IF(BrewdogNew3[[#This Row],[Yeast]]=BrewdogNew3[[#Headers],[Wyeast 1272 - American Ale II]],1,0)</f>
        <v>0</v>
      </c>
      <c r="P5" s="45" t="str">
        <f>BrewdogNew3[[#This Row],[Name]]</f>
        <v>Pilsen Lager</v>
      </c>
      <c r="Q5" t="str">
        <f>IF(BrewdogNew3[[#This Row],[EBC]]="*", BrewdogNew3[[#This Row],[IBU]], "")</f>
        <v/>
      </c>
      <c r="R5" t="str">
        <f>IF(BrewdogNew3[[#This Row],[EBC]]="*", BrewdogNew3[[#This Row],[OG]], "")</f>
        <v/>
      </c>
      <c r="S5" t="str">
        <f>IF(BrewdogNew3[[#This Row],[EBC]]="*", BrewdogNew3[[#This Row],[ABV]], "")</f>
        <v/>
      </c>
      <c r="T5" t="str">
        <f>IF(BrewdogNew3[[#This Row],[EBC]]="*", BrewdogNew3[[#This Row],[PH]], "")</f>
        <v/>
      </c>
      <c r="U5" t="str">
        <f>IF(BrewdogNew3[[#This Row],[EBC]]="*", BrewdogNew3[[#This Row],[AttenuationLevel]], "")</f>
        <v/>
      </c>
      <c r="V5" t="str">
        <f>IF(BrewdogNew3[[#This Row],[EBC]]="*", BrewdogNew3[[#This Row],[FermentationTempCelsius]], "")</f>
        <v/>
      </c>
      <c r="W5" t="str">
        <f>IF(BrewdogNew3[[#This Row],[EBC]]="*", BrewdogNew3[[#This Row],[Yeast]], "")</f>
        <v/>
      </c>
    </row>
    <row r="6" spans="1:23" x14ac:dyDescent="0.25">
      <c r="A6" s="45" t="s">
        <v>69</v>
      </c>
      <c r="B6">
        <v>7.2</v>
      </c>
      <c r="C6" s="2" t="s">
        <v>274</v>
      </c>
      <c r="D6">
        <v>59</v>
      </c>
      <c r="E6">
        <v>1069</v>
      </c>
      <c r="F6">
        <v>10</v>
      </c>
      <c r="G6">
        <f>IF(BrewdogNew3[[#This Row],[EBC]]="*",1,0)</f>
        <v>0</v>
      </c>
      <c r="H6">
        <v>4.4000000000000004</v>
      </c>
      <c r="I6">
        <v>67</v>
      </c>
      <c r="J6">
        <v>10</v>
      </c>
      <c r="K6" s="45" t="s">
        <v>68</v>
      </c>
      <c r="L6" s="45">
        <f>IF(BrewdogNew3[[#This Row],[Yeast]]=BrewdogNew3[[#Headers],[Wyeast 1056 - American Ale]],1,0)</f>
        <v>0</v>
      </c>
      <c r="M6" s="45">
        <f>IF(BrewdogNew3[[#This Row],[Yeast]]=BrewdogNew3[[#Headers],[Wyeast 2007 - Pilsen Lager]],1,0)</f>
        <v>1</v>
      </c>
      <c r="N6" s="45">
        <f>IF(BrewdogNew3[[#This Row],[Yeast]]=BrewdogNew3[[#Headers],[Wyeast 3711 - French Saison]],1,0)</f>
        <v>0</v>
      </c>
      <c r="O6" s="45">
        <f>IF(BrewdogNew3[[#This Row],[Yeast]]=BrewdogNew3[[#Headers],[Wyeast 1272 - American Ale II]],1,0)</f>
        <v>0</v>
      </c>
      <c r="P6" s="45" t="str">
        <f>BrewdogNew3[[#This Row],[Name]]</f>
        <v>Avery Brown Dredge</v>
      </c>
      <c r="Q6" t="str">
        <f>IF(BrewdogNew3[[#This Row],[EBC]]="*", BrewdogNew3[[#This Row],[IBU]], "")</f>
        <v/>
      </c>
      <c r="R6" t="str">
        <f>IF(BrewdogNew3[[#This Row],[EBC]]="*", BrewdogNew3[[#This Row],[OG]], "")</f>
        <v/>
      </c>
      <c r="S6" t="str">
        <f>IF(BrewdogNew3[[#This Row],[EBC]]="*", BrewdogNew3[[#This Row],[ABV]], "")</f>
        <v/>
      </c>
      <c r="T6" t="str">
        <f>IF(BrewdogNew3[[#This Row],[EBC]]="*", BrewdogNew3[[#This Row],[PH]], "")</f>
        <v/>
      </c>
      <c r="U6" t="str">
        <f>IF(BrewdogNew3[[#This Row],[EBC]]="*", BrewdogNew3[[#This Row],[AttenuationLevel]], "")</f>
        <v/>
      </c>
      <c r="V6" t="str">
        <f>IF(BrewdogNew3[[#This Row],[EBC]]="*", BrewdogNew3[[#This Row],[FermentationTempCelsius]], "")</f>
        <v/>
      </c>
      <c r="W6" t="str">
        <f>IF(BrewdogNew3[[#This Row],[EBC]]="*", BrewdogNew3[[#This Row],[Yeast]], "")</f>
        <v/>
      </c>
    </row>
    <row r="7" spans="1:23" x14ac:dyDescent="0.25">
      <c r="A7" s="45" t="s">
        <v>70</v>
      </c>
      <c r="B7" s="31" t="s">
        <v>32</v>
      </c>
      <c r="C7" s="51">
        <v>1</v>
      </c>
      <c r="D7">
        <v>38</v>
      </c>
      <c r="E7">
        <v>1045</v>
      </c>
      <c r="F7">
        <v>15</v>
      </c>
      <c r="G7">
        <f>IF(BrewdogNew3[[#This Row],[EBC]]="*",1,0)</f>
        <v>0</v>
      </c>
      <c r="H7">
        <v>4.4000000000000004</v>
      </c>
      <c r="I7">
        <v>88.9</v>
      </c>
      <c r="J7">
        <v>22</v>
      </c>
      <c r="K7" s="45" t="s">
        <v>71</v>
      </c>
      <c r="L7" s="45">
        <f>IF(BrewdogNew3[[#This Row],[Yeast]]=BrewdogNew3[[#Headers],[Wyeast 1056 - American Ale]],1,0)</f>
        <v>0</v>
      </c>
      <c r="M7" s="45">
        <f>IF(BrewdogNew3[[#This Row],[Yeast]]=BrewdogNew3[[#Headers],[Wyeast 2007 - Pilsen Lager]],1,0)</f>
        <v>0</v>
      </c>
      <c r="N7" s="45">
        <f>IF(BrewdogNew3[[#This Row],[Yeast]]=BrewdogNew3[[#Headers],[Wyeast 3711 - French Saison]],1,0)</f>
        <v>1</v>
      </c>
      <c r="O7" s="45">
        <f>IF(BrewdogNew3[[#This Row],[Yeast]]=BrewdogNew3[[#Headers],[Wyeast 1272 - American Ale II]],1,0)</f>
        <v>0</v>
      </c>
      <c r="P7" s="45" t="str">
        <f>BrewdogNew3[[#This Row],[Name]]</f>
        <v>Electric India</v>
      </c>
      <c r="Q7" t="str">
        <f>IF(BrewdogNew3[[#This Row],[EBC]]="*", BrewdogNew3[[#This Row],[IBU]], "")</f>
        <v/>
      </c>
      <c r="R7" t="str">
        <f>IF(BrewdogNew3[[#This Row],[EBC]]="*", BrewdogNew3[[#This Row],[OG]], "")</f>
        <v/>
      </c>
      <c r="S7" t="str">
        <f>IF(BrewdogNew3[[#This Row],[EBC]]="*", BrewdogNew3[[#This Row],[ABV]], "")</f>
        <v/>
      </c>
      <c r="T7" t="str">
        <f>IF(BrewdogNew3[[#This Row],[EBC]]="*", BrewdogNew3[[#This Row],[PH]], "")</f>
        <v/>
      </c>
      <c r="U7" t="str">
        <f>IF(BrewdogNew3[[#This Row],[EBC]]="*", BrewdogNew3[[#This Row],[AttenuationLevel]], "")</f>
        <v/>
      </c>
      <c r="V7" t="str">
        <f>IF(BrewdogNew3[[#This Row],[EBC]]="*", BrewdogNew3[[#This Row],[FermentationTempCelsius]], "")</f>
        <v/>
      </c>
      <c r="W7" t="str">
        <f>IF(BrewdogNew3[[#This Row],[EBC]]="*", BrewdogNew3[[#This Row],[Yeast]], "")</f>
        <v/>
      </c>
    </row>
    <row r="8" spans="1:23" x14ac:dyDescent="0.25">
      <c r="A8" s="45" t="s">
        <v>72</v>
      </c>
      <c r="B8">
        <v>4.7</v>
      </c>
      <c r="C8" s="2" t="s">
        <v>274</v>
      </c>
      <c r="D8">
        <v>40</v>
      </c>
      <c r="E8">
        <v>1046</v>
      </c>
      <c r="F8">
        <v>12</v>
      </c>
      <c r="G8">
        <f>IF(BrewdogNew3[[#This Row],[EBC]]="*",1,0)</f>
        <v>0</v>
      </c>
      <c r="H8">
        <v>4.4000000000000004</v>
      </c>
      <c r="I8">
        <v>78</v>
      </c>
      <c r="J8">
        <v>10</v>
      </c>
      <c r="K8" s="45" t="s">
        <v>68</v>
      </c>
      <c r="L8" s="45">
        <f>IF(BrewdogNew3[[#This Row],[Yeast]]=BrewdogNew3[[#Headers],[Wyeast 1056 - American Ale]],1,0)</f>
        <v>0</v>
      </c>
      <c r="M8" s="45">
        <f>IF(BrewdogNew3[[#This Row],[Yeast]]=BrewdogNew3[[#Headers],[Wyeast 2007 - Pilsen Lager]],1,0)</f>
        <v>1</v>
      </c>
      <c r="N8" s="45">
        <f>IF(BrewdogNew3[[#This Row],[Yeast]]=BrewdogNew3[[#Headers],[Wyeast 3711 - French Saison]],1,0)</f>
        <v>0</v>
      </c>
      <c r="O8" s="45">
        <f>IF(BrewdogNew3[[#This Row],[Yeast]]=BrewdogNew3[[#Headers],[Wyeast 1272 - American Ale II]],1,0)</f>
        <v>0</v>
      </c>
      <c r="P8" s="45" t="str">
        <f>BrewdogNew3[[#This Row],[Name]]</f>
        <v>Fake Lager</v>
      </c>
      <c r="Q8" t="str">
        <f>IF(BrewdogNew3[[#This Row],[EBC]]="*", BrewdogNew3[[#This Row],[IBU]], "")</f>
        <v/>
      </c>
      <c r="R8" t="str">
        <f>IF(BrewdogNew3[[#This Row],[EBC]]="*", BrewdogNew3[[#This Row],[OG]], "")</f>
        <v/>
      </c>
      <c r="S8" t="str">
        <f>IF(BrewdogNew3[[#This Row],[EBC]]="*", BrewdogNew3[[#This Row],[ABV]], "")</f>
        <v/>
      </c>
      <c r="T8" t="str">
        <f>IF(BrewdogNew3[[#This Row],[EBC]]="*", BrewdogNew3[[#This Row],[PH]], "")</f>
        <v/>
      </c>
      <c r="U8" t="str">
        <f>IF(BrewdogNew3[[#This Row],[EBC]]="*", BrewdogNew3[[#This Row],[AttenuationLevel]], "")</f>
        <v/>
      </c>
      <c r="V8" t="str">
        <f>IF(BrewdogNew3[[#This Row],[EBC]]="*", BrewdogNew3[[#This Row],[FermentationTempCelsius]], "")</f>
        <v/>
      </c>
      <c r="W8" t="str">
        <f>IF(BrewdogNew3[[#This Row],[EBC]]="*", BrewdogNew3[[#This Row],[Yeast]], "")</f>
        <v/>
      </c>
    </row>
    <row r="9" spans="1:23" x14ac:dyDescent="0.25">
      <c r="A9" s="45" t="s">
        <v>73</v>
      </c>
      <c r="B9">
        <v>7.5</v>
      </c>
      <c r="C9" s="2" t="s">
        <v>274</v>
      </c>
      <c r="D9">
        <v>75</v>
      </c>
      <c r="E9">
        <v>1068</v>
      </c>
      <c r="F9">
        <v>22</v>
      </c>
      <c r="G9">
        <f>IF(BrewdogNew3[[#This Row],[EBC]]="*",1,0)</f>
        <v>0</v>
      </c>
      <c r="H9">
        <v>4.4000000000000004</v>
      </c>
      <c r="I9">
        <v>80.900000000000006</v>
      </c>
      <c r="J9">
        <v>19</v>
      </c>
      <c r="K9" s="45" t="s">
        <v>64</v>
      </c>
      <c r="L9" s="45">
        <f>IF(BrewdogNew3[[#This Row],[Yeast]]=BrewdogNew3[[#Headers],[Wyeast 1056 - American Ale]],1,0)</f>
        <v>1</v>
      </c>
      <c r="M9" s="45">
        <f>IF(BrewdogNew3[[#This Row],[Yeast]]=BrewdogNew3[[#Headers],[Wyeast 2007 - Pilsen Lager]],1,0)</f>
        <v>0</v>
      </c>
      <c r="N9" s="45">
        <f>IF(BrewdogNew3[[#This Row],[Yeast]]=BrewdogNew3[[#Headers],[Wyeast 3711 - French Saison]],1,0)</f>
        <v>0</v>
      </c>
      <c r="O9" s="45">
        <f>IF(BrewdogNew3[[#This Row],[Yeast]]=BrewdogNew3[[#Headers],[Wyeast 1272 - American Ale II]],1,0)</f>
        <v>0</v>
      </c>
      <c r="P9" s="45" t="str">
        <f>BrewdogNew3[[#This Row],[Name]]</f>
        <v>Bramling X</v>
      </c>
      <c r="Q9" t="str">
        <f>IF(BrewdogNew3[[#This Row],[EBC]]="*", BrewdogNew3[[#This Row],[IBU]], "")</f>
        <v/>
      </c>
      <c r="R9" t="str">
        <f>IF(BrewdogNew3[[#This Row],[EBC]]="*", BrewdogNew3[[#This Row],[OG]], "")</f>
        <v/>
      </c>
      <c r="S9" t="str">
        <f>IF(BrewdogNew3[[#This Row],[EBC]]="*", BrewdogNew3[[#This Row],[ABV]], "")</f>
        <v/>
      </c>
      <c r="T9" t="str">
        <f>IF(BrewdogNew3[[#This Row],[EBC]]="*", BrewdogNew3[[#This Row],[PH]], "")</f>
        <v/>
      </c>
      <c r="U9" t="str">
        <f>IF(BrewdogNew3[[#This Row],[EBC]]="*", BrewdogNew3[[#This Row],[AttenuationLevel]], "")</f>
        <v/>
      </c>
      <c r="V9" t="str">
        <f>IF(BrewdogNew3[[#This Row],[EBC]]="*", BrewdogNew3[[#This Row],[FermentationTempCelsius]], "")</f>
        <v/>
      </c>
      <c r="W9" t="str">
        <f>IF(BrewdogNew3[[#This Row],[EBC]]="*", BrewdogNew3[[#This Row],[Yeast]], "")</f>
        <v/>
      </c>
    </row>
    <row r="10" spans="1:23" x14ac:dyDescent="0.25">
      <c r="A10" s="45" t="s">
        <v>74</v>
      </c>
      <c r="B10">
        <v>7.3</v>
      </c>
      <c r="C10" s="2" t="s">
        <v>274</v>
      </c>
      <c r="D10">
        <v>30</v>
      </c>
      <c r="E10">
        <v>1079</v>
      </c>
      <c r="F10">
        <v>120</v>
      </c>
      <c r="G10">
        <f>IF(BrewdogNew3[[#This Row],[EBC]]="*",1,0)</f>
        <v>0</v>
      </c>
      <c r="H10">
        <v>4.4000000000000004</v>
      </c>
      <c r="I10">
        <v>74.7</v>
      </c>
      <c r="J10">
        <v>19</v>
      </c>
      <c r="K10" s="45" t="s">
        <v>64</v>
      </c>
      <c r="L10" s="45">
        <f>IF(BrewdogNew3[[#This Row],[Yeast]]=BrewdogNew3[[#Headers],[Wyeast 1056 - American Ale]],1,0)</f>
        <v>1</v>
      </c>
      <c r="M10" s="45">
        <f>IF(BrewdogNew3[[#This Row],[Yeast]]=BrewdogNew3[[#Headers],[Wyeast 2007 - Pilsen Lager]],1,0)</f>
        <v>0</v>
      </c>
      <c r="N10" s="45">
        <f>IF(BrewdogNew3[[#This Row],[Yeast]]=BrewdogNew3[[#Headers],[Wyeast 3711 - French Saison]],1,0)</f>
        <v>0</v>
      </c>
      <c r="O10" s="45">
        <f>IF(BrewdogNew3[[#This Row],[Yeast]]=BrewdogNew3[[#Headers],[Wyeast 1272 - American Ale II]],1,0)</f>
        <v>0</v>
      </c>
      <c r="P10" s="45" t="str">
        <f>BrewdogNew3[[#This Row],[Name]]</f>
        <v>Misspent Youth</v>
      </c>
      <c r="Q10" t="str">
        <f>IF(BrewdogNew3[[#This Row],[EBC]]="*", BrewdogNew3[[#This Row],[IBU]], "")</f>
        <v/>
      </c>
      <c r="R10" t="str">
        <f>IF(BrewdogNew3[[#This Row],[EBC]]="*", BrewdogNew3[[#This Row],[OG]], "")</f>
        <v/>
      </c>
      <c r="S10" t="str">
        <f>IF(BrewdogNew3[[#This Row],[EBC]]="*", BrewdogNew3[[#This Row],[ABV]], "")</f>
        <v/>
      </c>
      <c r="T10" t="str">
        <f>IF(BrewdogNew3[[#This Row],[EBC]]="*", BrewdogNew3[[#This Row],[PH]], "")</f>
        <v/>
      </c>
      <c r="U10" t="str">
        <f>IF(BrewdogNew3[[#This Row],[EBC]]="*", BrewdogNew3[[#This Row],[AttenuationLevel]], "")</f>
        <v/>
      </c>
      <c r="V10" t="str">
        <f>IF(BrewdogNew3[[#This Row],[EBC]]="*", BrewdogNew3[[#This Row],[FermentationTempCelsius]], "")</f>
        <v/>
      </c>
      <c r="W10" t="str">
        <f>IF(BrewdogNew3[[#This Row],[EBC]]="*", BrewdogNew3[[#This Row],[Yeast]], "")</f>
        <v/>
      </c>
    </row>
    <row r="11" spans="1:23" x14ac:dyDescent="0.25">
      <c r="A11" s="45" t="s">
        <v>75</v>
      </c>
      <c r="B11">
        <v>5.3</v>
      </c>
      <c r="C11" s="2" t="s">
        <v>274</v>
      </c>
      <c r="D11">
        <v>60</v>
      </c>
      <c r="E11">
        <v>1052</v>
      </c>
      <c r="F11">
        <v>200</v>
      </c>
      <c r="G11">
        <f>IF(BrewdogNew3[[#This Row],[EBC]]="*",1,0)</f>
        <v>0</v>
      </c>
      <c r="H11">
        <v>4.2</v>
      </c>
      <c r="I11">
        <v>77</v>
      </c>
      <c r="J11">
        <v>19</v>
      </c>
      <c r="K11" s="45" t="s">
        <v>64</v>
      </c>
      <c r="L11" s="45">
        <f>IF(BrewdogNew3[[#This Row],[Yeast]]=BrewdogNew3[[#Headers],[Wyeast 1056 - American Ale]],1,0)</f>
        <v>1</v>
      </c>
      <c r="M11" s="45">
        <f>IF(BrewdogNew3[[#This Row],[Yeast]]=BrewdogNew3[[#Headers],[Wyeast 2007 - Pilsen Lager]],1,0)</f>
        <v>0</v>
      </c>
      <c r="N11" s="45">
        <f>IF(BrewdogNew3[[#This Row],[Yeast]]=BrewdogNew3[[#Headers],[Wyeast 3711 - French Saison]],1,0)</f>
        <v>0</v>
      </c>
      <c r="O11" s="45">
        <f>IF(BrewdogNew3[[#This Row],[Yeast]]=BrewdogNew3[[#Headers],[Wyeast 1272 - American Ale II]],1,0)</f>
        <v>0</v>
      </c>
      <c r="P11" s="45" t="str">
        <f>BrewdogNew3[[#This Row],[Name]]</f>
        <v>Arcade Nation</v>
      </c>
      <c r="Q11" t="str">
        <f>IF(BrewdogNew3[[#This Row],[EBC]]="*", BrewdogNew3[[#This Row],[IBU]], "")</f>
        <v/>
      </c>
      <c r="R11" t="str">
        <f>IF(BrewdogNew3[[#This Row],[EBC]]="*", BrewdogNew3[[#This Row],[OG]], "")</f>
        <v/>
      </c>
      <c r="S11" t="str">
        <f>IF(BrewdogNew3[[#This Row],[EBC]]="*", BrewdogNew3[[#This Row],[ABV]], "")</f>
        <v/>
      </c>
      <c r="T11" t="str">
        <f>IF(BrewdogNew3[[#This Row],[EBC]]="*", BrewdogNew3[[#This Row],[PH]], "")</f>
        <v/>
      </c>
      <c r="U11" t="str">
        <f>IF(BrewdogNew3[[#This Row],[EBC]]="*", BrewdogNew3[[#This Row],[AttenuationLevel]], "")</f>
        <v/>
      </c>
      <c r="V11" t="str">
        <f>IF(BrewdogNew3[[#This Row],[EBC]]="*", BrewdogNew3[[#This Row],[FermentationTempCelsius]], "")</f>
        <v/>
      </c>
      <c r="W11" t="str">
        <f>IF(BrewdogNew3[[#This Row],[EBC]]="*", BrewdogNew3[[#This Row],[Yeast]], "")</f>
        <v/>
      </c>
    </row>
    <row r="12" spans="1:23" x14ac:dyDescent="0.25">
      <c r="A12" s="45" t="s">
        <v>76</v>
      </c>
      <c r="B12">
        <v>4.5</v>
      </c>
      <c r="C12" s="2" t="s">
        <v>274</v>
      </c>
      <c r="D12">
        <v>50</v>
      </c>
      <c r="E12">
        <v>1047</v>
      </c>
      <c r="F12">
        <v>140</v>
      </c>
      <c r="G12">
        <f>IF(BrewdogNew3[[#This Row],[EBC]]="*",1,0)</f>
        <v>0</v>
      </c>
      <c r="H12">
        <v>5.2</v>
      </c>
      <c r="I12">
        <v>74.5</v>
      </c>
      <c r="J12">
        <v>19</v>
      </c>
      <c r="K12" s="45" t="s">
        <v>64</v>
      </c>
      <c r="L12" s="45">
        <f>IF(BrewdogNew3[[#This Row],[Yeast]]=BrewdogNew3[[#Headers],[Wyeast 1056 - American Ale]],1,0)</f>
        <v>1</v>
      </c>
      <c r="M12" s="45">
        <f>IF(BrewdogNew3[[#This Row],[Yeast]]=BrewdogNew3[[#Headers],[Wyeast 2007 - Pilsen Lager]],1,0)</f>
        <v>0</v>
      </c>
      <c r="N12" s="45">
        <f>IF(BrewdogNew3[[#This Row],[Yeast]]=BrewdogNew3[[#Headers],[Wyeast 3711 - French Saison]],1,0)</f>
        <v>0</v>
      </c>
      <c r="O12" s="45">
        <f>IF(BrewdogNew3[[#This Row],[Yeast]]=BrewdogNew3[[#Headers],[Wyeast 1272 - American Ale II]],1,0)</f>
        <v>0</v>
      </c>
      <c r="P12" s="45" t="str">
        <f>BrewdogNew3[[#This Row],[Name]]</f>
        <v>Movember</v>
      </c>
      <c r="Q12" t="str">
        <f>IF(BrewdogNew3[[#This Row],[EBC]]="*", BrewdogNew3[[#This Row],[IBU]], "")</f>
        <v/>
      </c>
      <c r="R12" t="str">
        <f>IF(BrewdogNew3[[#This Row],[EBC]]="*", BrewdogNew3[[#This Row],[OG]], "")</f>
        <v/>
      </c>
      <c r="S12" t="str">
        <f>IF(BrewdogNew3[[#This Row],[EBC]]="*", BrewdogNew3[[#This Row],[ABV]], "")</f>
        <v/>
      </c>
      <c r="T12" t="str">
        <f>IF(BrewdogNew3[[#This Row],[EBC]]="*", BrewdogNew3[[#This Row],[PH]], "")</f>
        <v/>
      </c>
      <c r="U12" t="str">
        <f>IF(BrewdogNew3[[#This Row],[EBC]]="*", BrewdogNew3[[#This Row],[AttenuationLevel]], "")</f>
        <v/>
      </c>
      <c r="V12" t="str">
        <f>IF(BrewdogNew3[[#This Row],[EBC]]="*", BrewdogNew3[[#This Row],[FermentationTempCelsius]], "")</f>
        <v/>
      </c>
      <c r="W12" t="str">
        <f>IF(BrewdogNew3[[#This Row],[EBC]]="*", BrewdogNew3[[#This Row],[Yeast]], "")</f>
        <v/>
      </c>
    </row>
    <row r="13" spans="1:23" x14ac:dyDescent="0.25">
      <c r="A13" s="45" t="s">
        <v>77</v>
      </c>
      <c r="B13">
        <v>4.5</v>
      </c>
      <c r="C13" s="2" t="s">
        <v>274</v>
      </c>
      <c r="D13">
        <v>42</v>
      </c>
      <c r="E13">
        <v>1046</v>
      </c>
      <c r="F13">
        <v>62</v>
      </c>
      <c r="G13">
        <f>IF(BrewdogNew3[[#This Row],[EBC]]="*",1,0)</f>
        <v>0</v>
      </c>
      <c r="H13">
        <v>4.4000000000000004</v>
      </c>
      <c r="I13">
        <v>72.8</v>
      </c>
      <c r="J13">
        <v>22</v>
      </c>
      <c r="K13" s="45" t="s">
        <v>64</v>
      </c>
      <c r="L13" s="45">
        <f>IF(BrewdogNew3[[#This Row],[Yeast]]=BrewdogNew3[[#Headers],[Wyeast 1056 - American Ale]],1,0)</f>
        <v>1</v>
      </c>
      <c r="M13" s="45">
        <f>IF(BrewdogNew3[[#This Row],[Yeast]]=BrewdogNew3[[#Headers],[Wyeast 2007 - Pilsen Lager]],1,0)</f>
        <v>0</v>
      </c>
      <c r="N13" s="45">
        <f>IF(BrewdogNew3[[#This Row],[Yeast]]=BrewdogNew3[[#Headers],[Wyeast 3711 - French Saison]],1,0)</f>
        <v>0</v>
      </c>
      <c r="O13" s="45">
        <f>IF(BrewdogNew3[[#This Row],[Yeast]]=BrewdogNew3[[#Headers],[Wyeast 1272 - American Ale II]],1,0)</f>
        <v>0</v>
      </c>
      <c r="P13" s="45" t="str">
        <f>BrewdogNew3[[#This Row],[Name]]</f>
        <v>Alpha Dog</v>
      </c>
      <c r="Q13" t="str">
        <f>IF(BrewdogNew3[[#This Row],[EBC]]="*", BrewdogNew3[[#This Row],[IBU]], "")</f>
        <v/>
      </c>
      <c r="R13" t="str">
        <f>IF(BrewdogNew3[[#This Row],[EBC]]="*", BrewdogNew3[[#This Row],[OG]], "")</f>
        <v/>
      </c>
      <c r="S13" t="str">
        <f>IF(BrewdogNew3[[#This Row],[EBC]]="*", BrewdogNew3[[#This Row],[ABV]], "")</f>
        <v/>
      </c>
      <c r="T13" t="str">
        <f>IF(BrewdogNew3[[#This Row],[EBC]]="*", BrewdogNew3[[#This Row],[PH]], "")</f>
        <v/>
      </c>
      <c r="U13" t="str">
        <f>IF(BrewdogNew3[[#This Row],[EBC]]="*", BrewdogNew3[[#This Row],[AttenuationLevel]], "")</f>
        <v/>
      </c>
      <c r="V13" t="str">
        <f>IF(BrewdogNew3[[#This Row],[EBC]]="*", BrewdogNew3[[#This Row],[FermentationTempCelsius]], "")</f>
        <v/>
      </c>
      <c r="W13" t="str">
        <f>IF(BrewdogNew3[[#This Row],[EBC]]="*", BrewdogNew3[[#This Row],[Yeast]], "")</f>
        <v/>
      </c>
    </row>
    <row r="14" spans="1:23" x14ac:dyDescent="0.25">
      <c r="A14" s="45" t="s">
        <v>78</v>
      </c>
      <c r="B14">
        <v>6.1</v>
      </c>
      <c r="C14" s="2" t="s">
        <v>274</v>
      </c>
      <c r="D14">
        <v>45</v>
      </c>
      <c r="E14">
        <v>1067</v>
      </c>
      <c r="F14">
        <v>219</v>
      </c>
      <c r="G14">
        <f>IF(BrewdogNew3[[#This Row],[EBC]]="*",1,0)</f>
        <v>0</v>
      </c>
      <c r="H14">
        <v>4.4000000000000004</v>
      </c>
      <c r="I14">
        <v>70.099999999999994</v>
      </c>
      <c r="J14">
        <v>18</v>
      </c>
      <c r="K14" s="45" t="s">
        <v>64</v>
      </c>
      <c r="L14" s="45">
        <f>IF(BrewdogNew3[[#This Row],[Yeast]]=BrewdogNew3[[#Headers],[Wyeast 1056 - American Ale]],1,0)</f>
        <v>1</v>
      </c>
      <c r="M14" s="45">
        <f>IF(BrewdogNew3[[#This Row],[Yeast]]=BrewdogNew3[[#Headers],[Wyeast 2007 - Pilsen Lager]],1,0)</f>
        <v>0</v>
      </c>
      <c r="N14" s="45">
        <f>IF(BrewdogNew3[[#This Row],[Yeast]]=BrewdogNew3[[#Headers],[Wyeast 3711 - French Saison]],1,0)</f>
        <v>0</v>
      </c>
      <c r="O14" s="45">
        <f>IF(BrewdogNew3[[#This Row],[Yeast]]=BrewdogNew3[[#Headers],[Wyeast 1272 - American Ale II]],1,0)</f>
        <v>0</v>
      </c>
      <c r="P14" s="45" t="str">
        <f>BrewdogNew3[[#This Row],[Name]]</f>
        <v>Libertine Porter</v>
      </c>
      <c r="Q14" t="str">
        <f>IF(BrewdogNew3[[#This Row],[EBC]]="*", BrewdogNew3[[#This Row],[IBU]], "")</f>
        <v/>
      </c>
      <c r="R14" t="str">
        <f>IF(BrewdogNew3[[#This Row],[EBC]]="*", BrewdogNew3[[#This Row],[OG]], "")</f>
        <v/>
      </c>
      <c r="S14" t="str">
        <f>IF(BrewdogNew3[[#This Row],[EBC]]="*", BrewdogNew3[[#This Row],[ABV]], "")</f>
        <v/>
      </c>
      <c r="T14" t="str">
        <f>IF(BrewdogNew3[[#This Row],[EBC]]="*", BrewdogNew3[[#This Row],[PH]], "")</f>
        <v/>
      </c>
      <c r="U14" t="str">
        <f>IF(BrewdogNew3[[#This Row],[EBC]]="*", BrewdogNew3[[#This Row],[AttenuationLevel]], "")</f>
        <v/>
      </c>
      <c r="V14" t="str">
        <f>IF(BrewdogNew3[[#This Row],[EBC]]="*", BrewdogNew3[[#This Row],[FermentationTempCelsius]], "")</f>
        <v/>
      </c>
      <c r="W14" t="str">
        <f>IF(BrewdogNew3[[#This Row],[EBC]]="*", BrewdogNew3[[#This Row],[Yeast]], "")</f>
        <v/>
      </c>
    </row>
    <row r="15" spans="1:23" x14ac:dyDescent="0.25">
      <c r="A15" s="45" t="s">
        <v>79</v>
      </c>
      <c r="B15">
        <v>11.2</v>
      </c>
      <c r="C15" s="2" t="s">
        <v>274</v>
      </c>
      <c r="D15">
        <v>150</v>
      </c>
      <c r="E15">
        <v>1098</v>
      </c>
      <c r="F15">
        <v>70</v>
      </c>
      <c r="G15">
        <f>IF(BrewdogNew3[[#This Row],[EBC]]="*",1,0)</f>
        <v>0</v>
      </c>
      <c r="H15">
        <v>4.4000000000000004</v>
      </c>
      <c r="I15">
        <v>87</v>
      </c>
      <c r="J15">
        <v>17</v>
      </c>
      <c r="K15" s="45" t="s">
        <v>80</v>
      </c>
      <c r="L15" s="45">
        <f>IF(BrewdogNew3[[#This Row],[Yeast]]=BrewdogNew3[[#Headers],[Wyeast 1056 - American Ale]],1,0)</f>
        <v>0</v>
      </c>
      <c r="M15" s="45">
        <f>IF(BrewdogNew3[[#This Row],[Yeast]]=BrewdogNew3[[#Headers],[Wyeast 2007 - Pilsen Lager]],1,0)</f>
        <v>0</v>
      </c>
      <c r="N15" s="45">
        <f>IF(BrewdogNew3[[#This Row],[Yeast]]=BrewdogNew3[[#Headers],[Wyeast 3711 - French Saison]],1,0)</f>
        <v>0</v>
      </c>
      <c r="O15" s="45">
        <f>IF(BrewdogNew3[[#This Row],[Yeast]]=BrewdogNew3[[#Headers],[Wyeast 1272 - American Ale II]],1,0)</f>
        <v>1</v>
      </c>
      <c r="P15" s="45" t="str">
        <f>BrewdogNew3[[#This Row],[Name]]</f>
        <v>AB:06</v>
      </c>
      <c r="Q15" t="str">
        <f>IF(BrewdogNew3[[#This Row],[EBC]]="*", BrewdogNew3[[#This Row],[IBU]], "")</f>
        <v/>
      </c>
      <c r="R15" t="str">
        <f>IF(BrewdogNew3[[#This Row],[EBC]]="*", BrewdogNew3[[#This Row],[OG]], "")</f>
        <v/>
      </c>
      <c r="S15" t="str">
        <f>IF(BrewdogNew3[[#This Row],[EBC]]="*", BrewdogNew3[[#This Row],[ABV]], "")</f>
        <v/>
      </c>
      <c r="T15" t="str">
        <f>IF(BrewdogNew3[[#This Row],[EBC]]="*", BrewdogNew3[[#This Row],[PH]], "")</f>
        <v/>
      </c>
      <c r="U15" t="str">
        <f>IF(BrewdogNew3[[#This Row],[EBC]]="*", BrewdogNew3[[#This Row],[AttenuationLevel]], "")</f>
        <v/>
      </c>
      <c r="V15" t="str">
        <f>IF(BrewdogNew3[[#This Row],[EBC]]="*", BrewdogNew3[[#This Row],[FermentationTempCelsius]], "")</f>
        <v/>
      </c>
      <c r="W15" t="str">
        <f>IF(BrewdogNew3[[#This Row],[EBC]]="*", BrewdogNew3[[#This Row],[Yeast]], "")</f>
        <v/>
      </c>
    </row>
    <row r="16" spans="1:23" x14ac:dyDescent="0.25">
      <c r="A16" s="45" t="s">
        <v>81</v>
      </c>
      <c r="B16">
        <v>6</v>
      </c>
      <c r="C16" s="2" t="s">
        <v>274</v>
      </c>
      <c r="D16">
        <v>70</v>
      </c>
      <c r="E16">
        <v>1058</v>
      </c>
      <c r="F16">
        <v>25</v>
      </c>
      <c r="G16">
        <f>IF(BrewdogNew3[[#This Row],[EBC]]="*",1,0)</f>
        <v>0</v>
      </c>
      <c r="H16">
        <v>5.2</v>
      </c>
      <c r="I16">
        <v>79.3</v>
      </c>
      <c r="J16">
        <v>19</v>
      </c>
      <c r="K16" s="45" t="s">
        <v>64</v>
      </c>
      <c r="L16" s="45">
        <f>IF(BrewdogNew3[[#This Row],[Yeast]]=BrewdogNew3[[#Headers],[Wyeast 1056 - American Ale]],1,0)</f>
        <v>1</v>
      </c>
      <c r="M16" s="45">
        <f>IF(BrewdogNew3[[#This Row],[Yeast]]=BrewdogNew3[[#Headers],[Wyeast 2007 - Pilsen Lager]],1,0)</f>
        <v>0</v>
      </c>
      <c r="N16" s="45">
        <f>IF(BrewdogNew3[[#This Row],[Yeast]]=BrewdogNew3[[#Headers],[Wyeast 3711 - French Saison]],1,0)</f>
        <v>0</v>
      </c>
      <c r="O16" s="45">
        <f>IF(BrewdogNew3[[#This Row],[Yeast]]=BrewdogNew3[[#Headers],[Wyeast 1272 - American Ale II]],1,0)</f>
        <v>0</v>
      </c>
      <c r="P16" s="45" t="str">
        <f>BrewdogNew3[[#This Row],[Name]]</f>
        <v>Russian Doll â€“ India Pale Ale</v>
      </c>
      <c r="Q16" t="str">
        <f>IF(BrewdogNew3[[#This Row],[EBC]]="*", BrewdogNew3[[#This Row],[IBU]], "")</f>
        <v/>
      </c>
      <c r="R16" t="str">
        <f>IF(BrewdogNew3[[#This Row],[EBC]]="*", BrewdogNew3[[#This Row],[OG]], "")</f>
        <v/>
      </c>
      <c r="S16" t="str">
        <f>IF(BrewdogNew3[[#This Row],[EBC]]="*", BrewdogNew3[[#This Row],[ABV]], "")</f>
        <v/>
      </c>
      <c r="T16" t="str">
        <f>IF(BrewdogNew3[[#This Row],[EBC]]="*", BrewdogNew3[[#This Row],[PH]], "")</f>
        <v/>
      </c>
      <c r="U16" t="str">
        <f>IF(BrewdogNew3[[#This Row],[EBC]]="*", BrewdogNew3[[#This Row],[AttenuationLevel]], "")</f>
        <v/>
      </c>
      <c r="V16" t="str">
        <f>IF(BrewdogNew3[[#This Row],[EBC]]="*", BrewdogNew3[[#This Row],[FermentationTempCelsius]], "")</f>
        <v/>
      </c>
      <c r="W16" t="str">
        <f>IF(BrewdogNew3[[#This Row],[EBC]]="*", BrewdogNew3[[#This Row],[Yeast]], "")</f>
        <v/>
      </c>
    </row>
    <row r="17" spans="1:23" x14ac:dyDescent="0.25">
      <c r="A17" s="45" t="s">
        <v>82</v>
      </c>
      <c r="B17">
        <v>8.1999999999999993</v>
      </c>
      <c r="C17" s="2" t="s">
        <v>274</v>
      </c>
      <c r="D17">
        <v>70</v>
      </c>
      <c r="E17">
        <v>1076</v>
      </c>
      <c r="F17" s="31" t="s">
        <v>32</v>
      </c>
      <c r="G17" s="31">
        <f>IF(BrewdogNew3[[#This Row],[EBC]]="*",1,0)</f>
        <v>1</v>
      </c>
      <c r="H17">
        <v>4.4000000000000004</v>
      </c>
      <c r="I17">
        <v>83</v>
      </c>
      <c r="J17">
        <v>19</v>
      </c>
      <c r="K17" s="45" t="s">
        <v>64</v>
      </c>
      <c r="L17" s="45">
        <f>IF(BrewdogNew3[[#This Row],[Yeast]]=BrewdogNew3[[#Headers],[Wyeast 1056 - American Ale]],1,0)</f>
        <v>1</v>
      </c>
      <c r="M17" s="45">
        <f>IF(BrewdogNew3[[#This Row],[Yeast]]=BrewdogNew3[[#Headers],[Wyeast 2007 - Pilsen Lager]],1,0)</f>
        <v>0</v>
      </c>
      <c r="N17" s="45">
        <f>IF(BrewdogNew3[[#This Row],[Yeast]]=BrewdogNew3[[#Headers],[Wyeast 3711 - French Saison]],1,0)</f>
        <v>0</v>
      </c>
      <c r="O17" s="45">
        <f>IF(BrewdogNew3[[#This Row],[Yeast]]=BrewdogNew3[[#Headers],[Wyeast 1272 - American Ale II]],1,0)</f>
        <v>0</v>
      </c>
      <c r="P17" s="45" t="str">
        <f>BrewdogNew3[[#This Row],[Name]]</f>
        <v>Hello My Name Is Mette-Marit</v>
      </c>
      <c r="Q17">
        <f>IF(BrewdogNew3[[#This Row],[EBC]]="*", BrewdogNew3[[#This Row],[IBU]], "")</f>
        <v>70</v>
      </c>
      <c r="R17">
        <f>IF(BrewdogNew3[[#This Row],[EBC]]="*", BrewdogNew3[[#This Row],[OG]], "")</f>
        <v>1076</v>
      </c>
      <c r="S17">
        <f>IF(BrewdogNew3[[#This Row],[EBC]]="*", BrewdogNew3[[#This Row],[ABV]], "")</f>
        <v>8.1999999999999993</v>
      </c>
      <c r="T17">
        <f>IF(BrewdogNew3[[#This Row],[EBC]]="*", BrewdogNew3[[#This Row],[PH]], "")</f>
        <v>4.4000000000000004</v>
      </c>
      <c r="U17">
        <f>IF(BrewdogNew3[[#This Row],[EBC]]="*", BrewdogNew3[[#This Row],[AttenuationLevel]], "")</f>
        <v>83</v>
      </c>
      <c r="V17">
        <f>IF(BrewdogNew3[[#This Row],[EBC]]="*", BrewdogNew3[[#This Row],[FermentationTempCelsius]], "")</f>
        <v>19</v>
      </c>
      <c r="W17" t="str">
        <f>IF(BrewdogNew3[[#This Row],[EBC]]="*", BrewdogNew3[[#This Row],[Yeast]], "")</f>
        <v>Wyeast 1056 - American Ale</v>
      </c>
    </row>
    <row r="18" spans="1:23" x14ac:dyDescent="0.25">
      <c r="A18" s="45" t="s">
        <v>83</v>
      </c>
      <c r="B18">
        <v>12.5</v>
      </c>
      <c r="C18" s="2" t="s">
        <v>274</v>
      </c>
      <c r="D18">
        <v>100</v>
      </c>
      <c r="E18">
        <v>1093</v>
      </c>
      <c r="F18">
        <v>36</v>
      </c>
      <c r="G18">
        <f>IF(BrewdogNew3[[#This Row],[EBC]]="*",1,0)</f>
        <v>0</v>
      </c>
      <c r="H18">
        <v>4.4000000000000004</v>
      </c>
      <c r="I18">
        <v>68</v>
      </c>
      <c r="J18">
        <v>19</v>
      </c>
      <c r="K18" s="45" t="s">
        <v>64</v>
      </c>
      <c r="L18" s="45">
        <f>IF(BrewdogNew3[[#This Row],[Yeast]]=BrewdogNew3[[#Headers],[Wyeast 1056 - American Ale]],1,0)</f>
        <v>1</v>
      </c>
      <c r="M18" s="45">
        <f>IF(BrewdogNew3[[#This Row],[Yeast]]=BrewdogNew3[[#Headers],[Wyeast 2007 - Pilsen Lager]],1,0)</f>
        <v>0</v>
      </c>
      <c r="N18" s="45">
        <f>IF(BrewdogNew3[[#This Row],[Yeast]]=BrewdogNew3[[#Headers],[Wyeast 3711 - French Saison]],1,0)</f>
        <v>0</v>
      </c>
      <c r="O18" s="45">
        <f>IF(BrewdogNew3[[#This Row],[Yeast]]=BrewdogNew3[[#Headers],[Wyeast 1272 - American Ale II]],1,0)</f>
        <v>0</v>
      </c>
      <c r="P18" s="45" t="str">
        <f>BrewdogNew3[[#This Row],[Name]]</f>
        <v>Devine Rebel (w/ Mikkeller)</v>
      </c>
      <c r="Q18" t="str">
        <f>IF(BrewdogNew3[[#This Row],[EBC]]="*", BrewdogNew3[[#This Row],[IBU]], "")</f>
        <v/>
      </c>
      <c r="R18" t="str">
        <f>IF(BrewdogNew3[[#This Row],[EBC]]="*", BrewdogNew3[[#This Row],[OG]], "")</f>
        <v/>
      </c>
      <c r="S18" t="str">
        <f>IF(BrewdogNew3[[#This Row],[EBC]]="*", BrewdogNew3[[#This Row],[ABV]], "")</f>
        <v/>
      </c>
      <c r="T18" t="str">
        <f>IF(BrewdogNew3[[#This Row],[EBC]]="*", BrewdogNew3[[#This Row],[PH]], "")</f>
        <v/>
      </c>
      <c r="U18" t="str">
        <f>IF(BrewdogNew3[[#This Row],[EBC]]="*", BrewdogNew3[[#This Row],[AttenuationLevel]], "")</f>
        <v/>
      </c>
      <c r="V18" t="str">
        <f>IF(BrewdogNew3[[#This Row],[EBC]]="*", BrewdogNew3[[#This Row],[FermentationTempCelsius]], "")</f>
        <v/>
      </c>
      <c r="W18" t="str">
        <f>IF(BrewdogNew3[[#This Row],[EBC]]="*", BrewdogNew3[[#This Row],[Yeast]], "")</f>
        <v/>
      </c>
    </row>
    <row r="19" spans="1:23" x14ac:dyDescent="0.25">
      <c r="A19" s="45" t="s">
        <v>84</v>
      </c>
      <c r="B19">
        <v>8</v>
      </c>
      <c r="C19" s="2" t="s">
        <v>274</v>
      </c>
      <c r="D19">
        <v>60</v>
      </c>
      <c r="E19">
        <v>1082</v>
      </c>
      <c r="F19">
        <v>12</v>
      </c>
      <c r="G19">
        <f>IF(BrewdogNew3[[#This Row],[EBC]]="*",1,0)</f>
        <v>0</v>
      </c>
      <c r="H19">
        <v>4.4000000000000004</v>
      </c>
      <c r="I19">
        <v>86</v>
      </c>
      <c r="J19">
        <v>19</v>
      </c>
      <c r="K19" s="45" t="s">
        <v>64</v>
      </c>
      <c r="L19" s="45">
        <f>IF(BrewdogNew3[[#This Row],[Yeast]]=BrewdogNew3[[#Headers],[Wyeast 1056 - American Ale]],1,0)</f>
        <v>1</v>
      </c>
      <c r="M19" s="45">
        <f>IF(BrewdogNew3[[#This Row],[Yeast]]=BrewdogNew3[[#Headers],[Wyeast 2007 - Pilsen Lager]],1,0)</f>
        <v>0</v>
      </c>
      <c r="N19" s="45">
        <f>IF(BrewdogNew3[[#This Row],[Yeast]]=BrewdogNew3[[#Headers],[Wyeast 3711 - French Saison]],1,0)</f>
        <v>0</v>
      </c>
      <c r="O19" s="45">
        <f>IF(BrewdogNew3[[#This Row],[Yeast]]=BrewdogNew3[[#Headers],[Wyeast 1272 - American Ale II]],1,0)</f>
        <v>0</v>
      </c>
      <c r="P19" s="45" t="str">
        <f>BrewdogNew3[[#This Row],[Name]]</f>
        <v>Storm</v>
      </c>
      <c r="Q19" t="str">
        <f>IF(BrewdogNew3[[#This Row],[EBC]]="*", BrewdogNew3[[#This Row],[IBU]], "")</f>
        <v/>
      </c>
      <c r="R19" t="str">
        <f>IF(BrewdogNew3[[#This Row],[EBC]]="*", BrewdogNew3[[#This Row],[OG]], "")</f>
        <v/>
      </c>
      <c r="S19" t="str">
        <f>IF(BrewdogNew3[[#This Row],[EBC]]="*", BrewdogNew3[[#This Row],[ABV]], "")</f>
        <v/>
      </c>
      <c r="T19" t="str">
        <f>IF(BrewdogNew3[[#This Row],[EBC]]="*", BrewdogNew3[[#This Row],[PH]], "")</f>
        <v/>
      </c>
      <c r="U19" t="str">
        <f>IF(BrewdogNew3[[#This Row],[EBC]]="*", BrewdogNew3[[#This Row],[AttenuationLevel]], "")</f>
        <v/>
      </c>
      <c r="V19" t="str">
        <f>IF(BrewdogNew3[[#This Row],[EBC]]="*", BrewdogNew3[[#This Row],[FermentationTempCelsius]], "")</f>
        <v/>
      </c>
      <c r="W19" t="str">
        <f>IF(BrewdogNew3[[#This Row],[EBC]]="*", BrewdogNew3[[#This Row],[Yeast]], "")</f>
        <v/>
      </c>
    </row>
    <row r="20" spans="1:23" x14ac:dyDescent="0.25">
      <c r="A20" s="45" t="s">
        <v>85</v>
      </c>
      <c r="B20">
        <v>4.7</v>
      </c>
      <c r="C20" s="2" t="s">
        <v>274</v>
      </c>
      <c r="D20">
        <v>45</v>
      </c>
      <c r="E20">
        <v>1047</v>
      </c>
      <c r="F20">
        <v>8</v>
      </c>
      <c r="G20">
        <f>IF(BrewdogNew3[[#This Row],[EBC]]="*",1,0)</f>
        <v>0</v>
      </c>
      <c r="H20">
        <v>4.4000000000000004</v>
      </c>
      <c r="I20">
        <v>79</v>
      </c>
      <c r="J20">
        <v>19</v>
      </c>
      <c r="K20" s="45" t="s">
        <v>64</v>
      </c>
      <c r="L20" s="45">
        <f>IF(BrewdogNew3[[#This Row],[Yeast]]=BrewdogNew3[[#Headers],[Wyeast 1056 - American Ale]],1,0)</f>
        <v>1</v>
      </c>
      <c r="M20" s="45">
        <f>IF(BrewdogNew3[[#This Row],[Yeast]]=BrewdogNew3[[#Headers],[Wyeast 2007 - Pilsen Lager]],1,0)</f>
        <v>0</v>
      </c>
      <c r="N20" s="45">
        <f>IF(BrewdogNew3[[#This Row],[Yeast]]=BrewdogNew3[[#Headers],[Wyeast 3711 - French Saison]],1,0)</f>
        <v>0</v>
      </c>
      <c r="O20" s="45">
        <f>IF(BrewdogNew3[[#This Row],[Yeast]]=BrewdogNew3[[#Headers],[Wyeast 1272 - American Ale II]],1,0)</f>
        <v>0</v>
      </c>
      <c r="P20" s="45" t="str">
        <f>BrewdogNew3[[#This Row],[Name]]</f>
        <v>Bad Pixie</v>
      </c>
      <c r="Q20" t="str">
        <f>IF(BrewdogNew3[[#This Row],[EBC]]="*", BrewdogNew3[[#This Row],[IBU]], "")</f>
        <v/>
      </c>
      <c r="R20" t="str">
        <f>IF(BrewdogNew3[[#This Row],[EBC]]="*", BrewdogNew3[[#This Row],[OG]], "")</f>
        <v/>
      </c>
      <c r="S20" t="str">
        <f>IF(BrewdogNew3[[#This Row],[EBC]]="*", BrewdogNew3[[#This Row],[ABV]], "")</f>
        <v/>
      </c>
      <c r="T20" t="str">
        <f>IF(BrewdogNew3[[#This Row],[EBC]]="*", BrewdogNew3[[#This Row],[PH]], "")</f>
        <v/>
      </c>
      <c r="U20" t="str">
        <f>IF(BrewdogNew3[[#This Row],[EBC]]="*", BrewdogNew3[[#This Row],[AttenuationLevel]], "")</f>
        <v/>
      </c>
      <c r="V20" t="str">
        <f>IF(BrewdogNew3[[#This Row],[EBC]]="*", BrewdogNew3[[#This Row],[FermentationTempCelsius]], "")</f>
        <v/>
      </c>
      <c r="W20" t="str">
        <f>IF(BrewdogNew3[[#This Row],[EBC]]="*", BrewdogNew3[[#This Row],[Yeast]], "")</f>
        <v/>
      </c>
    </row>
    <row r="21" spans="1:23" x14ac:dyDescent="0.25">
      <c r="A21" s="45" t="s">
        <v>86</v>
      </c>
      <c r="B21">
        <v>3.5</v>
      </c>
      <c r="C21" s="2" t="s">
        <v>274</v>
      </c>
      <c r="D21">
        <v>33</v>
      </c>
      <c r="E21">
        <v>1038</v>
      </c>
      <c r="F21">
        <v>50</v>
      </c>
      <c r="G21">
        <f>IF(BrewdogNew3[[#This Row],[EBC]]="*",1,0)</f>
        <v>0</v>
      </c>
      <c r="H21">
        <v>4.4000000000000004</v>
      </c>
      <c r="I21">
        <v>68.400000000000006</v>
      </c>
      <c r="J21">
        <v>19</v>
      </c>
      <c r="K21" s="45" t="s">
        <v>64</v>
      </c>
      <c r="L21" s="45">
        <f>IF(BrewdogNew3[[#This Row],[Yeast]]=BrewdogNew3[[#Headers],[Wyeast 1056 - American Ale]],1,0)</f>
        <v>1</v>
      </c>
      <c r="M21" s="45">
        <f>IF(BrewdogNew3[[#This Row],[Yeast]]=BrewdogNew3[[#Headers],[Wyeast 2007 - Pilsen Lager]],1,0)</f>
        <v>0</v>
      </c>
      <c r="N21" s="45">
        <f>IF(BrewdogNew3[[#This Row],[Yeast]]=BrewdogNew3[[#Headers],[Wyeast 3711 - French Saison]],1,0)</f>
        <v>0</v>
      </c>
      <c r="O21" s="45">
        <f>IF(BrewdogNew3[[#This Row],[Yeast]]=BrewdogNew3[[#Headers],[Wyeast 1272 - American Ale II]],1,0)</f>
        <v>0</v>
      </c>
      <c r="P21" s="45" t="str">
        <f>BrewdogNew3[[#This Row],[Name]]</f>
        <v>Skull Candy</v>
      </c>
      <c r="Q21" t="str">
        <f>IF(BrewdogNew3[[#This Row],[EBC]]="*", BrewdogNew3[[#This Row],[IBU]], "")</f>
        <v/>
      </c>
      <c r="R21" t="str">
        <f>IF(BrewdogNew3[[#This Row],[EBC]]="*", BrewdogNew3[[#This Row],[OG]], "")</f>
        <v/>
      </c>
      <c r="S21" t="str">
        <f>IF(BrewdogNew3[[#This Row],[EBC]]="*", BrewdogNew3[[#This Row],[ABV]], "")</f>
        <v/>
      </c>
      <c r="T21" t="str">
        <f>IF(BrewdogNew3[[#This Row],[EBC]]="*", BrewdogNew3[[#This Row],[PH]], "")</f>
        <v/>
      </c>
      <c r="U21" t="str">
        <f>IF(BrewdogNew3[[#This Row],[EBC]]="*", BrewdogNew3[[#This Row],[AttenuationLevel]], "")</f>
        <v/>
      </c>
      <c r="V21" t="str">
        <f>IF(BrewdogNew3[[#This Row],[EBC]]="*", BrewdogNew3[[#This Row],[FermentationTempCelsius]], "")</f>
        <v/>
      </c>
      <c r="W21" t="str">
        <f>IF(BrewdogNew3[[#This Row],[EBC]]="*", BrewdogNew3[[#This Row],[Yeast]], "")</f>
        <v/>
      </c>
    </row>
    <row r="22" spans="1:23" x14ac:dyDescent="0.25">
      <c r="A22" s="45" t="s">
        <v>87</v>
      </c>
      <c r="B22">
        <v>15</v>
      </c>
      <c r="C22" s="2" t="s">
        <v>274</v>
      </c>
      <c r="D22">
        <v>90</v>
      </c>
      <c r="E22">
        <v>1120</v>
      </c>
      <c r="F22">
        <v>100</v>
      </c>
      <c r="G22">
        <f>IF(BrewdogNew3[[#This Row],[EBC]]="*",1,0)</f>
        <v>0</v>
      </c>
      <c r="H22">
        <v>4.4000000000000004</v>
      </c>
      <c r="I22">
        <v>98</v>
      </c>
      <c r="J22">
        <v>19</v>
      </c>
      <c r="K22" s="45" t="s">
        <v>64</v>
      </c>
      <c r="L22" s="45">
        <f>IF(BrewdogNew3[[#This Row],[Yeast]]=BrewdogNew3[[#Headers],[Wyeast 1056 - American Ale]],1,0)</f>
        <v>1</v>
      </c>
      <c r="M22" s="45">
        <f>IF(BrewdogNew3[[#This Row],[Yeast]]=BrewdogNew3[[#Headers],[Wyeast 2007 - Pilsen Lager]],1,0)</f>
        <v>0</v>
      </c>
      <c r="N22" s="45">
        <f>IF(BrewdogNew3[[#This Row],[Yeast]]=BrewdogNew3[[#Headers],[Wyeast 3711 - French Saison]],1,0)</f>
        <v>0</v>
      </c>
      <c r="O22" s="45">
        <f>IF(BrewdogNew3[[#This Row],[Yeast]]=BrewdogNew3[[#Headers],[Wyeast 1272 - American Ale II]],1,0)</f>
        <v>0</v>
      </c>
      <c r="P22" s="45" t="str">
        <f>BrewdogNew3[[#This Row],[Name]]</f>
        <v>Dog B</v>
      </c>
      <c r="Q22" t="str">
        <f>IF(BrewdogNew3[[#This Row],[EBC]]="*", BrewdogNew3[[#This Row],[IBU]], "")</f>
        <v/>
      </c>
      <c r="R22" t="str">
        <f>IF(BrewdogNew3[[#This Row],[EBC]]="*", BrewdogNew3[[#This Row],[OG]], "")</f>
        <v/>
      </c>
      <c r="S22" t="str">
        <f>IF(BrewdogNew3[[#This Row],[EBC]]="*", BrewdogNew3[[#This Row],[ABV]], "")</f>
        <v/>
      </c>
      <c r="T22" t="str">
        <f>IF(BrewdogNew3[[#This Row],[EBC]]="*", BrewdogNew3[[#This Row],[PH]], "")</f>
        <v/>
      </c>
      <c r="U22" t="str">
        <f>IF(BrewdogNew3[[#This Row],[EBC]]="*", BrewdogNew3[[#This Row],[AttenuationLevel]], "")</f>
        <v/>
      </c>
      <c r="V22" t="str">
        <f>IF(BrewdogNew3[[#This Row],[EBC]]="*", BrewdogNew3[[#This Row],[FermentationTempCelsius]], "")</f>
        <v/>
      </c>
      <c r="W22" t="str">
        <f>IF(BrewdogNew3[[#This Row],[EBC]]="*", BrewdogNew3[[#This Row],[Yeast]], "")</f>
        <v/>
      </c>
    </row>
    <row r="23" spans="1:23" x14ac:dyDescent="0.25">
      <c r="A23" s="45" t="s">
        <v>88</v>
      </c>
      <c r="B23">
        <v>6.7</v>
      </c>
      <c r="C23" s="2" t="s">
        <v>274</v>
      </c>
      <c r="D23">
        <v>67</v>
      </c>
      <c r="E23">
        <v>1013</v>
      </c>
      <c r="F23">
        <v>19</v>
      </c>
      <c r="G23">
        <f>IF(BrewdogNew3[[#This Row],[EBC]]="*",1,0)</f>
        <v>0</v>
      </c>
      <c r="H23">
        <v>4.4000000000000004</v>
      </c>
      <c r="I23">
        <v>79.7</v>
      </c>
      <c r="J23">
        <v>19</v>
      </c>
      <c r="K23" s="45" t="s">
        <v>64</v>
      </c>
      <c r="L23" s="45">
        <f>IF(BrewdogNew3[[#This Row],[Yeast]]=BrewdogNew3[[#Headers],[Wyeast 1056 - American Ale]],1,0)</f>
        <v>1</v>
      </c>
      <c r="M23" s="45">
        <f>IF(BrewdogNew3[[#This Row],[Yeast]]=BrewdogNew3[[#Headers],[Wyeast 2007 - Pilsen Lager]],1,0)</f>
        <v>0</v>
      </c>
      <c r="N23" s="45">
        <f>IF(BrewdogNew3[[#This Row],[Yeast]]=BrewdogNew3[[#Headers],[Wyeast 3711 - French Saison]],1,0)</f>
        <v>0</v>
      </c>
      <c r="O23" s="45">
        <f>IF(BrewdogNew3[[#This Row],[Yeast]]=BrewdogNew3[[#Headers],[Wyeast 1272 - American Ale II]],1,0)</f>
        <v>0</v>
      </c>
      <c r="P23" s="45" t="str">
        <f>BrewdogNew3[[#This Row],[Name]]</f>
        <v>HBC 369</v>
      </c>
      <c r="Q23" t="str">
        <f>IF(BrewdogNew3[[#This Row],[EBC]]="*", BrewdogNew3[[#This Row],[IBU]], "")</f>
        <v/>
      </c>
      <c r="R23" t="str">
        <f>IF(BrewdogNew3[[#This Row],[EBC]]="*", BrewdogNew3[[#This Row],[OG]], "")</f>
        <v/>
      </c>
      <c r="S23" t="str">
        <f>IF(BrewdogNew3[[#This Row],[EBC]]="*", BrewdogNew3[[#This Row],[ABV]], "")</f>
        <v/>
      </c>
      <c r="T23" t="str">
        <f>IF(BrewdogNew3[[#This Row],[EBC]]="*", BrewdogNew3[[#This Row],[PH]], "")</f>
        <v/>
      </c>
      <c r="U23" t="str">
        <f>IF(BrewdogNew3[[#This Row],[EBC]]="*", BrewdogNew3[[#This Row],[AttenuationLevel]], "")</f>
        <v/>
      </c>
      <c r="V23" t="str">
        <f>IF(BrewdogNew3[[#This Row],[EBC]]="*", BrewdogNew3[[#This Row],[FermentationTempCelsius]], "")</f>
        <v/>
      </c>
      <c r="W23" t="str">
        <f>IF(BrewdogNew3[[#This Row],[EBC]]="*", BrewdogNew3[[#This Row],[Yeast]], "")</f>
        <v/>
      </c>
    </row>
    <row r="24" spans="1:23" x14ac:dyDescent="0.25">
      <c r="A24" s="45" t="s">
        <v>89</v>
      </c>
      <c r="B24">
        <v>7.8</v>
      </c>
      <c r="C24" s="2" t="s">
        <v>274</v>
      </c>
      <c r="D24">
        <v>70</v>
      </c>
      <c r="E24">
        <v>1074</v>
      </c>
      <c r="F24">
        <v>90</v>
      </c>
      <c r="G24">
        <f>IF(BrewdogNew3[[#This Row],[EBC]]="*",1,0)</f>
        <v>0</v>
      </c>
      <c r="H24">
        <v>4.4000000000000004</v>
      </c>
      <c r="I24">
        <v>79.7</v>
      </c>
      <c r="J24">
        <v>18</v>
      </c>
      <c r="K24" s="45" t="s">
        <v>80</v>
      </c>
      <c r="L24" s="45">
        <f>IF(BrewdogNew3[[#This Row],[Yeast]]=BrewdogNew3[[#Headers],[Wyeast 1056 - American Ale]],1,0)</f>
        <v>0</v>
      </c>
      <c r="M24" s="45">
        <f>IF(BrewdogNew3[[#This Row],[Yeast]]=BrewdogNew3[[#Headers],[Wyeast 2007 - Pilsen Lager]],1,0)</f>
        <v>0</v>
      </c>
      <c r="N24" s="45">
        <f>IF(BrewdogNew3[[#This Row],[Yeast]]=BrewdogNew3[[#Headers],[Wyeast 3711 - French Saison]],1,0)</f>
        <v>0</v>
      </c>
      <c r="O24" s="45">
        <f>IF(BrewdogNew3[[#This Row],[Yeast]]=BrewdogNew3[[#Headers],[Wyeast 1272 - American Ale II]],1,0)</f>
        <v>1</v>
      </c>
      <c r="P24" s="45" t="str">
        <f>BrewdogNew3[[#This Row],[Name]]</f>
        <v>10 Heads High</v>
      </c>
      <c r="Q24" t="str">
        <f>IF(BrewdogNew3[[#This Row],[EBC]]="*", BrewdogNew3[[#This Row],[IBU]], "")</f>
        <v/>
      </c>
      <c r="R24" t="str">
        <f>IF(BrewdogNew3[[#This Row],[EBC]]="*", BrewdogNew3[[#This Row],[OG]], "")</f>
        <v/>
      </c>
      <c r="S24" t="str">
        <f>IF(BrewdogNew3[[#This Row],[EBC]]="*", BrewdogNew3[[#This Row],[ABV]], "")</f>
        <v/>
      </c>
      <c r="T24" t="str">
        <f>IF(BrewdogNew3[[#This Row],[EBC]]="*", BrewdogNew3[[#This Row],[PH]], "")</f>
        <v/>
      </c>
      <c r="U24" t="str">
        <f>IF(BrewdogNew3[[#This Row],[EBC]]="*", BrewdogNew3[[#This Row],[AttenuationLevel]], "")</f>
        <v/>
      </c>
      <c r="V24" t="str">
        <f>IF(BrewdogNew3[[#This Row],[EBC]]="*", BrewdogNew3[[#This Row],[FermentationTempCelsius]], "")</f>
        <v/>
      </c>
      <c r="W24" t="str">
        <f>IF(BrewdogNew3[[#This Row],[EBC]]="*", BrewdogNew3[[#This Row],[Yeast]], "")</f>
        <v/>
      </c>
    </row>
    <row r="25" spans="1:23" x14ac:dyDescent="0.25">
      <c r="A25" s="45" t="s">
        <v>90</v>
      </c>
      <c r="B25">
        <v>6.7</v>
      </c>
      <c r="C25" s="2" t="s">
        <v>274</v>
      </c>
      <c r="D25">
        <v>70</v>
      </c>
      <c r="E25">
        <v>1066</v>
      </c>
      <c r="F25">
        <v>30</v>
      </c>
      <c r="G25">
        <f>IF(BrewdogNew3[[#This Row],[EBC]]="*",1,0)</f>
        <v>0</v>
      </c>
      <c r="H25">
        <v>4.4000000000000004</v>
      </c>
      <c r="I25">
        <v>77.3</v>
      </c>
      <c r="J25">
        <v>19</v>
      </c>
      <c r="K25" s="45" t="s">
        <v>64</v>
      </c>
      <c r="L25" s="45">
        <f>IF(BrewdogNew3[[#This Row],[Yeast]]=BrewdogNew3[[#Headers],[Wyeast 1056 - American Ale]],1,0)</f>
        <v>1</v>
      </c>
      <c r="M25" s="45">
        <f>IF(BrewdogNew3[[#This Row],[Yeast]]=BrewdogNew3[[#Headers],[Wyeast 2007 - Pilsen Lager]],1,0)</f>
        <v>0</v>
      </c>
      <c r="N25" s="45">
        <f>IF(BrewdogNew3[[#This Row],[Yeast]]=BrewdogNew3[[#Headers],[Wyeast 3711 - French Saison]],1,0)</f>
        <v>0</v>
      </c>
      <c r="O25" s="45">
        <f>IF(BrewdogNew3[[#This Row],[Yeast]]=BrewdogNew3[[#Headers],[Wyeast 1272 - American Ale II]],1,0)</f>
        <v>0</v>
      </c>
      <c r="P25" s="45" t="str">
        <f>BrewdogNew3[[#This Row],[Name]]</f>
        <v>Dana - IPA Is Dead</v>
      </c>
      <c r="Q25" t="str">
        <f>IF(BrewdogNew3[[#This Row],[EBC]]="*", BrewdogNew3[[#This Row],[IBU]], "")</f>
        <v/>
      </c>
      <c r="R25" t="str">
        <f>IF(BrewdogNew3[[#This Row],[EBC]]="*", BrewdogNew3[[#This Row],[OG]], "")</f>
        <v/>
      </c>
      <c r="S25" t="str">
        <f>IF(BrewdogNew3[[#This Row],[EBC]]="*", BrewdogNew3[[#This Row],[ABV]], "")</f>
        <v/>
      </c>
      <c r="T25" t="str">
        <f>IF(BrewdogNew3[[#This Row],[EBC]]="*", BrewdogNew3[[#This Row],[PH]], "")</f>
        <v/>
      </c>
      <c r="U25" t="str">
        <f>IF(BrewdogNew3[[#This Row],[EBC]]="*", BrewdogNew3[[#This Row],[AttenuationLevel]], "")</f>
        <v/>
      </c>
      <c r="V25" t="str">
        <f>IF(BrewdogNew3[[#This Row],[EBC]]="*", BrewdogNew3[[#This Row],[FermentationTempCelsius]], "")</f>
        <v/>
      </c>
      <c r="W25" t="str">
        <f>IF(BrewdogNew3[[#This Row],[EBC]]="*", BrewdogNew3[[#This Row],[Yeast]], "")</f>
        <v/>
      </c>
    </row>
    <row r="26" spans="1:23" x14ac:dyDescent="0.25">
      <c r="A26" s="45" t="s">
        <v>91</v>
      </c>
      <c r="B26">
        <v>0.5</v>
      </c>
      <c r="C26" s="2" t="s">
        <v>274</v>
      </c>
      <c r="D26">
        <v>55</v>
      </c>
      <c r="E26">
        <v>1007</v>
      </c>
      <c r="F26">
        <v>30</v>
      </c>
      <c r="G26">
        <f>IF(BrewdogNew3[[#This Row],[EBC]]="*",1,0)</f>
        <v>0</v>
      </c>
      <c r="H26">
        <v>4.4000000000000004</v>
      </c>
      <c r="I26">
        <v>28.6</v>
      </c>
      <c r="J26">
        <v>19</v>
      </c>
      <c r="K26" s="45" t="s">
        <v>64</v>
      </c>
      <c r="L26" s="45">
        <f>IF(BrewdogNew3[[#This Row],[Yeast]]=BrewdogNew3[[#Headers],[Wyeast 1056 - American Ale]],1,0)</f>
        <v>1</v>
      </c>
      <c r="M26" s="45">
        <f>IF(BrewdogNew3[[#This Row],[Yeast]]=BrewdogNew3[[#Headers],[Wyeast 2007 - Pilsen Lager]],1,0)</f>
        <v>0</v>
      </c>
      <c r="N26" s="45">
        <f>IF(BrewdogNew3[[#This Row],[Yeast]]=BrewdogNew3[[#Headers],[Wyeast 3711 - French Saison]],1,0)</f>
        <v>0</v>
      </c>
      <c r="O26" s="45">
        <f>IF(BrewdogNew3[[#This Row],[Yeast]]=BrewdogNew3[[#Headers],[Wyeast 1272 - American Ale II]],1,0)</f>
        <v>0</v>
      </c>
      <c r="P26" s="45" t="str">
        <f>BrewdogNew3[[#This Row],[Name]]</f>
        <v>Nanny State</v>
      </c>
      <c r="Q26" t="str">
        <f>IF(BrewdogNew3[[#This Row],[EBC]]="*", BrewdogNew3[[#This Row],[IBU]], "")</f>
        <v/>
      </c>
      <c r="R26" t="str">
        <f>IF(BrewdogNew3[[#This Row],[EBC]]="*", BrewdogNew3[[#This Row],[OG]], "")</f>
        <v/>
      </c>
      <c r="S26" t="str">
        <f>IF(BrewdogNew3[[#This Row],[EBC]]="*", BrewdogNew3[[#This Row],[ABV]], "")</f>
        <v/>
      </c>
      <c r="T26" t="str">
        <f>IF(BrewdogNew3[[#This Row],[EBC]]="*", BrewdogNew3[[#This Row],[PH]], "")</f>
        <v/>
      </c>
      <c r="U26" t="str">
        <f>IF(BrewdogNew3[[#This Row],[EBC]]="*", BrewdogNew3[[#This Row],[AttenuationLevel]], "")</f>
        <v/>
      </c>
      <c r="V26" t="str">
        <f>IF(BrewdogNew3[[#This Row],[EBC]]="*", BrewdogNew3[[#This Row],[FermentationTempCelsius]], "")</f>
        <v/>
      </c>
      <c r="W26" t="str">
        <f>IF(BrewdogNew3[[#This Row],[EBC]]="*", BrewdogNew3[[#This Row],[Yeast]], "")</f>
        <v/>
      </c>
    </row>
    <row r="27" spans="1:23" x14ac:dyDescent="0.25">
      <c r="A27" s="45" t="s">
        <v>92</v>
      </c>
      <c r="B27">
        <v>7.5</v>
      </c>
      <c r="C27" s="2" t="s">
        <v>274</v>
      </c>
      <c r="D27">
        <v>75</v>
      </c>
      <c r="E27">
        <v>1068</v>
      </c>
      <c r="F27">
        <v>30</v>
      </c>
      <c r="G27">
        <f>IF(BrewdogNew3[[#This Row],[EBC]]="*",1,0)</f>
        <v>0</v>
      </c>
      <c r="H27">
        <v>4.4000000000000004</v>
      </c>
      <c r="I27">
        <v>82.1</v>
      </c>
      <c r="J27">
        <v>19</v>
      </c>
      <c r="K27" s="45" t="s">
        <v>64</v>
      </c>
      <c r="L27" s="45">
        <f>IF(BrewdogNew3[[#This Row],[Yeast]]=BrewdogNew3[[#Headers],[Wyeast 1056 - American Ale]],1,0)</f>
        <v>1</v>
      </c>
      <c r="M27" s="45">
        <f>IF(BrewdogNew3[[#This Row],[Yeast]]=BrewdogNew3[[#Headers],[Wyeast 2007 - Pilsen Lager]],1,0)</f>
        <v>0</v>
      </c>
      <c r="N27" s="45">
        <f>IF(BrewdogNew3[[#This Row],[Yeast]]=BrewdogNew3[[#Headers],[Wyeast 3711 - French Saison]],1,0)</f>
        <v>0</v>
      </c>
      <c r="O27" s="45">
        <f>IF(BrewdogNew3[[#This Row],[Yeast]]=BrewdogNew3[[#Headers],[Wyeast 1272 - American Ale II]],1,0)</f>
        <v>0</v>
      </c>
      <c r="P27" s="45" t="str">
        <f>BrewdogNew3[[#This Row],[Name]]</f>
        <v>Sorachi Ace</v>
      </c>
      <c r="Q27" t="str">
        <f>IF(BrewdogNew3[[#This Row],[EBC]]="*", BrewdogNew3[[#This Row],[IBU]], "")</f>
        <v/>
      </c>
      <c r="R27" t="str">
        <f>IF(BrewdogNew3[[#This Row],[EBC]]="*", BrewdogNew3[[#This Row],[OG]], "")</f>
        <v/>
      </c>
      <c r="S27" t="str">
        <f>IF(BrewdogNew3[[#This Row],[EBC]]="*", BrewdogNew3[[#This Row],[ABV]], "")</f>
        <v/>
      </c>
      <c r="T27" t="str">
        <f>IF(BrewdogNew3[[#This Row],[EBC]]="*", BrewdogNew3[[#This Row],[PH]], "")</f>
        <v/>
      </c>
      <c r="U27" t="str">
        <f>IF(BrewdogNew3[[#This Row],[EBC]]="*", BrewdogNew3[[#This Row],[AttenuationLevel]], "")</f>
        <v/>
      </c>
      <c r="V27" t="str">
        <f>IF(BrewdogNew3[[#This Row],[EBC]]="*", BrewdogNew3[[#This Row],[FermentationTempCelsius]], "")</f>
        <v/>
      </c>
      <c r="W27" t="str">
        <f>IF(BrewdogNew3[[#This Row],[EBC]]="*", BrewdogNew3[[#This Row],[Yeast]], "")</f>
        <v/>
      </c>
    </row>
    <row r="28" spans="1:23" x14ac:dyDescent="0.25">
      <c r="A28" s="45" t="s">
        <v>93</v>
      </c>
      <c r="B28">
        <v>5.8</v>
      </c>
      <c r="C28" s="2" t="s">
        <v>274</v>
      </c>
      <c r="D28">
        <v>35</v>
      </c>
      <c r="E28">
        <v>1049</v>
      </c>
      <c r="F28">
        <v>44</v>
      </c>
      <c r="G28">
        <f>IF(BrewdogNew3[[#This Row],[EBC]]="*",1,0)</f>
        <v>0</v>
      </c>
      <c r="H28">
        <v>4.4000000000000004</v>
      </c>
      <c r="I28">
        <v>90</v>
      </c>
      <c r="J28">
        <v>19</v>
      </c>
      <c r="K28" s="45" t="s">
        <v>64</v>
      </c>
      <c r="L28" s="45">
        <f>IF(BrewdogNew3[[#This Row],[Yeast]]=BrewdogNew3[[#Headers],[Wyeast 1056 - American Ale]],1,0)</f>
        <v>1</v>
      </c>
      <c r="M28" s="45">
        <f>IF(BrewdogNew3[[#This Row],[Yeast]]=BrewdogNew3[[#Headers],[Wyeast 2007 - Pilsen Lager]],1,0)</f>
        <v>0</v>
      </c>
      <c r="N28" s="45">
        <f>IF(BrewdogNew3[[#This Row],[Yeast]]=BrewdogNew3[[#Headers],[Wyeast 3711 - French Saison]],1,0)</f>
        <v>0</v>
      </c>
      <c r="O28" s="45">
        <f>IF(BrewdogNew3[[#This Row],[Yeast]]=BrewdogNew3[[#Headers],[Wyeast 1272 - American Ale II]],1,0)</f>
        <v>0</v>
      </c>
      <c r="P28" s="45" t="str">
        <f>BrewdogNew3[[#This Row],[Name]]</f>
        <v>Bourbon Baby</v>
      </c>
      <c r="Q28" t="str">
        <f>IF(BrewdogNew3[[#This Row],[EBC]]="*", BrewdogNew3[[#This Row],[IBU]], "")</f>
        <v/>
      </c>
      <c r="R28" t="str">
        <f>IF(BrewdogNew3[[#This Row],[EBC]]="*", BrewdogNew3[[#This Row],[OG]], "")</f>
        <v/>
      </c>
      <c r="S28" t="str">
        <f>IF(BrewdogNew3[[#This Row],[EBC]]="*", BrewdogNew3[[#This Row],[ABV]], "")</f>
        <v/>
      </c>
      <c r="T28" t="str">
        <f>IF(BrewdogNew3[[#This Row],[EBC]]="*", BrewdogNew3[[#This Row],[PH]], "")</f>
        <v/>
      </c>
      <c r="U28" t="str">
        <f>IF(BrewdogNew3[[#This Row],[EBC]]="*", BrewdogNew3[[#This Row],[AttenuationLevel]], "")</f>
        <v/>
      </c>
      <c r="V28" t="str">
        <f>IF(BrewdogNew3[[#This Row],[EBC]]="*", BrewdogNew3[[#This Row],[FermentationTempCelsius]], "")</f>
        <v/>
      </c>
      <c r="W28" t="str">
        <f>IF(BrewdogNew3[[#This Row],[EBC]]="*", BrewdogNew3[[#This Row],[Yeast]], "")</f>
        <v/>
      </c>
    </row>
    <row r="29" spans="1:23" x14ac:dyDescent="0.25">
      <c r="A29" s="45" t="s">
        <v>94</v>
      </c>
      <c r="B29">
        <v>3.6</v>
      </c>
      <c r="C29" s="2" t="s">
        <v>274</v>
      </c>
      <c r="D29">
        <v>8</v>
      </c>
      <c r="E29">
        <v>1040</v>
      </c>
      <c r="F29" s="31" t="s">
        <v>32</v>
      </c>
      <c r="G29" s="31">
        <f>IF(BrewdogNew3[[#This Row],[EBC]]="*",1,0)</f>
        <v>1</v>
      </c>
      <c r="H29">
        <v>3.2</v>
      </c>
      <c r="I29">
        <v>83</v>
      </c>
      <c r="J29">
        <v>21</v>
      </c>
      <c r="K29" s="45" t="s">
        <v>64</v>
      </c>
      <c r="L29" s="45">
        <f>IF(BrewdogNew3[[#This Row],[Yeast]]=BrewdogNew3[[#Headers],[Wyeast 1056 - American Ale]],1,0)</f>
        <v>1</v>
      </c>
      <c r="M29" s="45">
        <f>IF(BrewdogNew3[[#This Row],[Yeast]]=BrewdogNew3[[#Headers],[Wyeast 2007 - Pilsen Lager]],1,0)</f>
        <v>0</v>
      </c>
      <c r="N29" s="45">
        <f>IF(BrewdogNew3[[#This Row],[Yeast]]=BrewdogNew3[[#Headers],[Wyeast 3711 - French Saison]],1,0)</f>
        <v>0</v>
      </c>
      <c r="O29" s="45">
        <f>IF(BrewdogNew3[[#This Row],[Yeast]]=BrewdogNew3[[#Headers],[Wyeast 1272 - American Ale II]],1,0)</f>
        <v>0</v>
      </c>
      <c r="P29" s="45" t="str">
        <f>BrewdogNew3[[#This Row],[Name]]</f>
        <v>Berliner Weisse With Raspberries And Rhubarb - B-Sides</v>
      </c>
      <c r="Q29">
        <f>IF(BrewdogNew3[[#This Row],[EBC]]="*", BrewdogNew3[[#This Row],[IBU]], "")</f>
        <v>8</v>
      </c>
      <c r="R29">
        <f>IF(BrewdogNew3[[#This Row],[EBC]]="*", BrewdogNew3[[#This Row],[OG]], "")</f>
        <v>1040</v>
      </c>
      <c r="S29">
        <f>IF(BrewdogNew3[[#This Row],[EBC]]="*", BrewdogNew3[[#This Row],[ABV]], "")</f>
        <v>3.6</v>
      </c>
      <c r="T29">
        <f>IF(BrewdogNew3[[#This Row],[EBC]]="*", BrewdogNew3[[#This Row],[PH]], "")</f>
        <v>3.2</v>
      </c>
      <c r="U29">
        <f>IF(BrewdogNew3[[#This Row],[EBC]]="*", BrewdogNew3[[#This Row],[AttenuationLevel]], "")</f>
        <v>83</v>
      </c>
      <c r="V29">
        <f>IF(BrewdogNew3[[#This Row],[EBC]]="*", BrewdogNew3[[#This Row],[FermentationTempCelsius]], "")</f>
        <v>21</v>
      </c>
      <c r="W29" t="str">
        <f>IF(BrewdogNew3[[#This Row],[EBC]]="*", BrewdogNew3[[#This Row],[Yeast]], "")</f>
        <v>Wyeast 1056 - American Ale</v>
      </c>
    </row>
    <row r="30" spans="1:23" x14ac:dyDescent="0.25">
      <c r="A30" s="45" t="s">
        <v>95</v>
      </c>
      <c r="B30">
        <v>10.5</v>
      </c>
      <c r="C30" s="2" t="s">
        <v>274</v>
      </c>
      <c r="D30">
        <v>85</v>
      </c>
      <c r="E30">
        <v>1102</v>
      </c>
      <c r="F30">
        <v>64</v>
      </c>
      <c r="G30">
        <f>IF(BrewdogNew3[[#This Row],[EBC]]="*",1,0)</f>
        <v>0</v>
      </c>
      <c r="H30">
        <v>4.4000000000000004</v>
      </c>
      <c r="I30">
        <v>102</v>
      </c>
      <c r="J30">
        <v>21</v>
      </c>
      <c r="K30" s="45" t="s">
        <v>80</v>
      </c>
      <c r="L30" s="45">
        <f>IF(BrewdogNew3[[#This Row],[Yeast]]=BrewdogNew3[[#Headers],[Wyeast 1056 - American Ale]],1,0)</f>
        <v>0</v>
      </c>
      <c r="M30" s="45">
        <f>IF(BrewdogNew3[[#This Row],[Yeast]]=BrewdogNew3[[#Headers],[Wyeast 2007 - Pilsen Lager]],1,0)</f>
        <v>0</v>
      </c>
      <c r="N30" s="45">
        <f>IF(BrewdogNew3[[#This Row],[Yeast]]=BrewdogNew3[[#Headers],[Wyeast 3711 - French Saison]],1,0)</f>
        <v>0</v>
      </c>
      <c r="O30" s="45">
        <f>IF(BrewdogNew3[[#This Row],[Yeast]]=BrewdogNew3[[#Headers],[Wyeast 1272 - American Ale II]],1,0)</f>
        <v>1</v>
      </c>
      <c r="P30" s="45" t="str">
        <f>BrewdogNew3[[#This Row],[Name]]</f>
        <v>Shipwrecker Circus (w/ Oskar Blues)</v>
      </c>
      <c r="Q30" t="str">
        <f>IF(BrewdogNew3[[#This Row],[EBC]]="*", BrewdogNew3[[#This Row],[IBU]], "")</f>
        <v/>
      </c>
      <c r="R30" t="str">
        <f>IF(BrewdogNew3[[#This Row],[EBC]]="*", BrewdogNew3[[#This Row],[OG]], "")</f>
        <v/>
      </c>
      <c r="S30" t="str">
        <f>IF(BrewdogNew3[[#This Row],[EBC]]="*", BrewdogNew3[[#This Row],[ABV]], "")</f>
        <v/>
      </c>
      <c r="T30" t="str">
        <f>IF(BrewdogNew3[[#This Row],[EBC]]="*", BrewdogNew3[[#This Row],[PH]], "")</f>
        <v/>
      </c>
      <c r="U30" t="str">
        <f>IF(BrewdogNew3[[#This Row],[EBC]]="*", BrewdogNew3[[#This Row],[AttenuationLevel]], "")</f>
        <v/>
      </c>
      <c r="V30" t="str">
        <f>IF(BrewdogNew3[[#This Row],[EBC]]="*", BrewdogNew3[[#This Row],[FermentationTempCelsius]], "")</f>
        <v/>
      </c>
      <c r="W30" t="str">
        <f>IF(BrewdogNew3[[#This Row],[EBC]]="*", BrewdogNew3[[#This Row],[Yeast]], "")</f>
        <v/>
      </c>
    </row>
    <row r="31" spans="1:23" x14ac:dyDescent="0.25">
      <c r="A31" s="45" t="s">
        <v>96</v>
      </c>
      <c r="B31">
        <v>12.5</v>
      </c>
      <c r="C31" s="2" t="s">
        <v>274</v>
      </c>
      <c r="D31">
        <v>125</v>
      </c>
      <c r="E31">
        <v>1087</v>
      </c>
      <c r="F31">
        <v>40</v>
      </c>
      <c r="G31">
        <f>IF(BrewdogNew3[[#This Row],[EBC]]="*",1,0)</f>
        <v>0</v>
      </c>
      <c r="H31">
        <v>4.4000000000000004</v>
      </c>
      <c r="I31">
        <v>81.2</v>
      </c>
      <c r="J31">
        <v>21</v>
      </c>
      <c r="K31" s="45" t="s">
        <v>80</v>
      </c>
      <c r="L31" s="45">
        <f>IF(BrewdogNew3[[#This Row],[Yeast]]=BrewdogNew3[[#Headers],[Wyeast 1056 - American Ale]],1,0)</f>
        <v>0</v>
      </c>
      <c r="M31" s="45">
        <f>IF(BrewdogNew3[[#This Row],[Yeast]]=BrewdogNew3[[#Headers],[Wyeast 2007 - Pilsen Lager]],1,0)</f>
        <v>0</v>
      </c>
      <c r="N31" s="45">
        <f>IF(BrewdogNew3[[#This Row],[Yeast]]=BrewdogNew3[[#Headers],[Wyeast 3711 - French Saison]],1,0)</f>
        <v>0</v>
      </c>
      <c r="O31" s="45">
        <f>IF(BrewdogNew3[[#This Row],[Yeast]]=BrewdogNew3[[#Headers],[Wyeast 1272 - American Ale II]],1,0)</f>
        <v>1</v>
      </c>
      <c r="P31" s="45" t="str">
        <f>BrewdogNew3[[#This Row],[Name]]</f>
        <v>Zephyr</v>
      </c>
      <c r="Q31" t="str">
        <f>IF(BrewdogNew3[[#This Row],[EBC]]="*", BrewdogNew3[[#This Row],[IBU]], "")</f>
        <v/>
      </c>
      <c r="R31" t="str">
        <f>IF(BrewdogNew3[[#This Row],[EBC]]="*", BrewdogNew3[[#This Row],[OG]], "")</f>
        <v/>
      </c>
      <c r="S31" t="str">
        <f>IF(BrewdogNew3[[#This Row],[EBC]]="*", BrewdogNew3[[#This Row],[ABV]], "")</f>
        <v/>
      </c>
      <c r="T31" t="str">
        <f>IF(BrewdogNew3[[#This Row],[EBC]]="*", BrewdogNew3[[#This Row],[PH]], "")</f>
        <v/>
      </c>
      <c r="U31" t="str">
        <f>IF(BrewdogNew3[[#This Row],[EBC]]="*", BrewdogNew3[[#This Row],[AttenuationLevel]], "")</f>
        <v/>
      </c>
      <c r="V31" t="str">
        <f>IF(BrewdogNew3[[#This Row],[EBC]]="*", BrewdogNew3[[#This Row],[FermentationTempCelsius]], "")</f>
        <v/>
      </c>
      <c r="W31" t="str">
        <f>IF(BrewdogNew3[[#This Row],[EBC]]="*", BrewdogNew3[[#This Row],[Yeast]], "")</f>
        <v/>
      </c>
    </row>
    <row r="32" spans="1:23" x14ac:dyDescent="0.25">
      <c r="A32" s="45" t="s">
        <v>97</v>
      </c>
      <c r="B32">
        <v>7.2</v>
      </c>
      <c r="C32" s="2" t="s">
        <v>274</v>
      </c>
      <c r="D32">
        <v>70</v>
      </c>
      <c r="E32">
        <v>1067</v>
      </c>
      <c r="F32">
        <v>30</v>
      </c>
      <c r="G32">
        <f>IF(BrewdogNew3[[#This Row],[EBC]]="*",1,0)</f>
        <v>0</v>
      </c>
      <c r="H32">
        <v>4.4000000000000004</v>
      </c>
      <c r="I32">
        <v>82.1</v>
      </c>
      <c r="J32">
        <v>19</v>
      </c>
      <c r="K32" s="45" t="s">
        <v>64</v>
      </c>
      <c r="L32" s="45">
        <f>IF(BrewdogNew3[[#This Row],[Yeast]]=BrewdogNew3[[#Headers],[Wyeast 1056 - American Ale]],1,0)</f>
        <v>1</v>
      </c>
      <c r="M32" s="45">
        <f>IF(BrewdogNew3[[#This Row],[Yeast]]=BrewdogNew3[[#Headers],[Wyeast 2007 - Pilsen Lager]],1,0)</f>
        <v>0</v>
      </c>
      <c r="N32" s="45">
        <f>IF(BrewdogNew3[[#This Row],[Yeast]]=BrewdogNew3[[#Headers],[Wyeast 3711 - French Saison]],1,0)</f>
        <v>0</v>
      </c>
      <c r="O32" s="45">
        <f>IF(BrewdogNew3[[#This Row],[Yeast]]=BrewdogNew3[[#Headers],[Wyeast 1272 - American Ale II]],1,0)</f>
        <v>0</v>
      </c>
      <c r="P32" s="45" t="str">
        <f>BrewdogNew3[[#This Row],[Name]]</f>
        <v>Kohatu - IPA Is Dead</v>
      </c>
      <c r="Q32" t="str">
        <f>IF(BrewdogNew3[[#This Row],[EBC]]="*", BrewdogNew3[[#This Row],[IBU]], "")</f>
        <v/>
      </c>
      <c r="R32" t="str">
        <f>IF(BrewdogNew3[[#This Row],[EBC]]="*", BrewdogNew3[[#This Row],[OG]], "")</f>
        <v/>
      </c>
      <c r="S32" t="str">
        <f>IF(BrewdogNew3[[#This Row],[EBC]]="*", BrewdogNew3[[#This Row],[ABV]], "")</f>
        <v/>
      </c>
      <c r="T32" t="str">
        <f>IF(BrewdogNew3[[#This Row],[EBC]]="*", BrewdogNew3[[#This Row],[PH]], "")</f>
        <v/>
      </c>
      <c r="U32" t="str">
        <f>IF(BrewdogNew3[[#This Row],[EBC]]="*", BrewdogNew3[[#This Row],[AttenuationLevel]], "")</f>
        <v/>
      </c>
      <c r="V32" t="str">
        <f>IF(BrewdogNew3[[#This Row],[EBC]]="*", BrewdogNew3[[#This Row],[FermentationTempCelsius]], "")</f>
        <v/>
      </c>
      <c r="W32" t="str">
        <f>IF(BrewdogNew3[[#This Row],[EBC]]="*", BrewdogNew3[[#This Row],[Yeast]], "")</f>
        <v/>
      </c>
    </row>
    <row r="33" spans="1:23" x14ac:dyDescent="0.25">
      <c r="A33" s="45" t="s">
        <v>98</v>
      </c>
      <c r="B33">
        <v>8.1999999999999993</v>
      </c>
      <c r="C33" s="2" t="s">
        <v>274</v>
      </c>
      <c r="D33">
        <v>70</v>
      </c>
      <c r="E33">
        <v>1076</v>
      </c>
      <c r="F33">
        <v>16</v>
      </c>
      <c r="G33">
        <f>IF(BrewdogNew3[[#This Row],[EBC]]="*",1,0)</f>
        <v>0</v>
      </c>
      <c r="H33">
        <v>4.4000000000000004</v>
      </c>
      <c r="I33">
        <v>83</v>
      </c>
      <c r="J33">
        <v>21</v>
      </c>
      <c r="K33" s="45" t="s">
        <v>64</v>
      </c>
      <c r="L33" s="45">
        <f>IF(BrewdogNew3[[#This Row],[Yeast]]=BrewdogNew3[[#Headers],[Wyeast 1056 - American Ale]],1,0)</f>
        <v>1</v>
      </c>
      <c r="M33" s="45">
        <f>IF(BrewdogNew3[[#This Row],[Yeast]]=BrewdogNew3[[#Headers],[Wyeast 2007 - Pilsen Lager]],1,0)</f>
        <v>0</v>
      </c>
      <c r="N33" s="45">
        <f>IF(BrewdogNew3[[#This Row],[Yeast]]=BrewdogNew3[[#Headers],[Wyeast 3711 - French Saison]],1,0)</f>
        <v>0</v>
      </c>
      <c r="O33" s="45">
        <f>IF(BrewdogNew3[[#This Row],[Yeast]]=BrewdogNew3[[#Headers],[Wyeast 1272 - American Ale II]],1,0)</f>
        <v>0</v>
      </c>
      <c r="P33" s="45" t="str">
        <f>BrewdogNew3[[#This Row],[Name]]</f>
        <v>Hello My Name is Vladimir</v>
      </c>
      <c r="Q33" t="str">
        <f>IF(BrewdogNew3[[#This Row],[EBC]]="*", BrewdogNew3[[#This Row],[IBU]], "")</f>
        <v/>
      </c>
      <c r="R33" t="str">
        <f>IF(BrewdogNew3[[#This Row],[EBC]]="*", BrewdogNew3[[#This Row],[OG]], "")</f>
        <v/>
      </c>
      <c r="S33" t="str">
        <f>IF(BrewdogNew3[[#This Row],[EBC]]="*", BrewdogNew3[[#This Row],[ABV]], "")</f>
        <v/>
      </c>
      <c r="T33" t="str">
        <f>IF(BrewdogNew3[[#This Row],[EBC]]="*", BrewdogNew3[[#This Row],[PH]], "")</f>
        <v/>
      </c>
      <c r="U33" t="str">
        <f>IF(BrewdogNew3[[#This Row],[EBC]]="*", BrewdogNew3[[#This Row],[AttenuationLevel]], "")</f>
        <v/>
      </c>
      <c r="V33" t="str">
        <f>IF(BrewdogNew3[[#This Row],[EBC]]="*", BrewdogNew3[[#This Row],[FermentationTempCelsius]], "")</f>
        <v/>
      </c>
      <c r="W33" t="str">
        <f>IF(BrewdogNew3[[#This Row],[EBC]]="*", BrewdogNew3[[#This Row],[Yeast]], "")</f>
        <v/>
      </c>
    </row>
    <row r="34" spans="1:23" x14ac:dyDescent="0.25">
      <c r="A34" s="45" t="s">
        <v>99</v>
      </c>
      <c r="B34">
        <v>10.7</v>
      </c>
      <c r="C34" s="2" t="s">
        <v>274</v>
      </c>
      <c r="D34">
        <v>100</v>
      </c>
      <c r="E34">
        <v>1105</v>
      </c>
      <c r="F34">
        <v>300</v>
      </c>
      <c r="G34">
        <f>IF(BrewdogNew3[[#This Row],[EBC]]="*",1,0)</f>
        <v>0</v>
      </c>
      <c r="H34">
        <v>4.3</v>
      </c>
      <c r="I34">
        <v>76.2</v>
      </c>
      <c r="J34">
        <v>21</v>
      </c>
      <c r="K34" s="45" t="s">
        <v>80</v>
      </c>
      <c r="L34" s="45">
        <f>IF(BrewdogNew3[[#This Row],[Yeast]]=BrewdogNew3[[#Headers],[Wyeast 1056 - American Ale]],1,0)</f>
        <v>0</v>
      </c>
      <c r="M34" s="45">
        <f>IF(BrewdogNew3[[#This Row],[Yeast]]=BrewdogNew3[[#Headers],[Wyeast 2007 - Pilsen Lager]],1,0)</f>
        <v>0</v>
      </c>
      <c r="N34" s="45">
        <f>IF(BrewdogNew3[[#This Row],[Yeast]]=BrewdogNew3[[#Headers],[Wyeast 3711 - French Saison]],1,0)</f>
        <v>0</v>
      </c>
      <c r="O34" s="45">
        <f>IF(BrewdogNew3[[#This Row],[Yeast]]=BrewdogNew3[[#Headers],[Wyeast 1272 - American Ale II]],1,0)</f>
        <v>1</v>
      </c>
      <c r="P34" s="45" t="str">
        <f>BrewdogNew3[[#This Row],[Name]]</f>
        <v>AB:17</v>
      </c>
      <c r="Q34" t="str">
        <f>IF(BrewdogNew3[[#This Row],[EBC]]="*", BrewdogNew3[[#This Row],[IBU]], "")</f>
        <v/>
      </c>
      <c r="R34" t="str">
        <f>IF(BrewdogNew3[[#This Row],[EBC]]="*", BrewdogNew3[[#This Row],[OG]], "")</f>
        <v/>
      </c>
      <c r="S34" t="str">
        <f>IF(BrewdogNew3[[#This Row],[EBC]]="*", BrewdogNew3[[#This Row],[ABV]], "")</f>
        <v/>
      </c>
      <c r="T34" t="str">
        <f>IF(BrewdogNew3[[#This Row],[EBC]]="*", BrewdogNew3[[#This Row],[PH]], "")</f>
        <v/>
      </c>
      <c r="U34" t="str">
        <f>IF(BrewdogNew3[[#This Row],[EBC]]="*", BrewdogNew3[[#This Row],[AttenuationLevel]], "")</f>
        <v/>
      </c>
      <c r="V34" t="str">
        <f>IF(BrewdogNew3[[#This Row],[EBC]]="*", BrewdogNew3[[#This Row],[FermentationTempCelsius]], "")</f>
        <v/>
      </c>
      <c r="W34" t="str">
        <f>IF(BrewdogNew3[[#This Row],[EBC]]="*", BrewdogNew3[[#This Row],[Yeast]], "")</f>
        <v/>
      </c>
    </row>
    <row r="35" spans="1:23" x14ac:dyDescent="0.25">
      <c r="A35" s="45" t="s">
        <v>100</v>
      </c>
      <c r="B35">
        <v>9.1999999999999993</v>
      </c>
      <c r="C35" s="2" t="s">
        <v>274</v>
      </c>
      <c r="D35">
        <v>125</v>
      </c>
      <c r="E35">
        <v>1085</v>
      </c>
      <c r="F35">
        <v>40</v>
      </c>
      <c r="G35">
        <f>IF(BrewdogNew3[[#This Row],[EBC]]="*",1,0)</f>
        <v>0</v>
      </c>
      <c r="H35">
        <v>4.4000000000000004</v>
      </c>
      <c r="I35">
        <v>81.2</v>
      </c>
      <c r="J35">
        <v>21</v>
      </c>
      <c r="K35" s="45" t="s">
        <v>80</v>
      </c>
      <c r="L35" s="45">
        <f>IF(BrewdogNew3[[#This Row],[Yeast]]=BrewdogNew3[[#Headers],[Wyeast 1056 - American Ale]],1,0)</f>
        <v>0</v>
      </c>
      <c r="M35" s="45">
        <f>IF(BrewdogNew3[[#This Row],[Yeast]]=BrewdogNew3[[#Headers],[Wyeast 2007 - Pilsen Lager]],1,0)</f>
        <v>0</v>
      </c>
      <c r="N35" s="45">
        <f>IF(BrewdogNew3[[#This Row],[Yeast]]=BrewdogNew3[[#Headers],[Wyeast 3711 - French Saison]],1,0)</f>
        <v>0</v>
      </c>
      <c r="O35" s="45">
        <f>IF(BrewdogNew3[[#This Row],[Yeast]]=BrewdogNew3[[#Headers],[Wyeast 1272 - American Ale II]],1,0)</f>
        <v>1</v>
      </c>
      <c r="P35" s="45" t="str">
        <f>BrewdogNew3[[#This Row],[Name]]</f>
        <v>Hardcore IPA</v>
      </c>
      <c r="Q35" t="str">
        <f>IF(BrewdogNew3[[#This Row],[EBC]]="*", BrewdogNew3[[#This Row],[IBU]], "")</f>
        <v/>
      </c>
      <c r="R35" t="str">
        <f>IF(BrewdogNew3[[#This Row],[EBC]]="*", BrewdogNew3[[#This Row],[OG]], "")</f>
        <v/>
      </c>
      <c r="S35" t="str">
        <f>IF(BrewdogNew3[[#This Row],[EBC]]="*", BrewdogNew3[[#This Row],[ABV]], "")</f>
        <v/>
      </c>
      <c r="T35" t="str">
        <f>IF(BrewdogNew3[[#This Row],[EBC]]="*", BrewdogNew3[[#This Row],[PH]], "")</f>
        <v/>
      </c>
      <c r="U35" t="str">
        <f>IF(BrewdogNew3[[#This Row],[EBC]]="*", BrewdogNew3[[#This Row],[AttenuationLevel]], "")</f>
        <v/>
      </c>
      <c r="V35" t="str">
        <f>IF(BrewdogNew3[[#This Row],[EBC]]="*", BrewdogNew3[[#This Row],[FermentationTempCelsius]], "")</f>
        <v/>
      </c>
      <c r="W35" t="str">
        <f>IF(BrewdogNew3[[#This Row],[EBC]]="*", BrewdogNew3[[#This Row],[Yeast]], "")</f>
        <v/>
      </c>
    </row>
    <row r="36" spans="1:23" x14ac:dyDescent="0.25">
      <c r="A36" s="45" t="s">
        <v>101</v>
      </c>
      <c r="B36">
        <v>7.1</v>
      </c>
      <c r="C36" s="2" t="s">
        <v>274</v>
      </c>
      <c r="D36">
        <v>65</v>
      </c>
      <c r="E36">
        <v>1065</v>
      </c>
      <c r="F36">
        <v>13</v>
      </c>
      <c r="G36">
        <f>IF(BrewdogNew3[[#This Row],[EBC]]="*",1,0)</f>
        <v>0</v>
      </c>
      <c r="H36">
        <v>4.4000000000000004</v>
      </c>
      <c r="I36">
        <v>85</v>
      </c>
      <c r="J36">
        <v>9</v>
      </c>
      <c r="K36" s="45" t="s">
        <v>68</v>
      </c>
      <c r="L36" s="45">
        <f>IF(BrewdogNew3[[#This Row],[Yeast]]=BrewdogNew3[[#Headers],[Wyeast 1056 - American Ale]],1,0)</f>
        <v>0</v>
      </c>
      <c r="M36" s="45">
        <f>IF(BrewdogNew3[[#This Row],[Yeast]]=BrewdogNew3[[#Headers],[Wyeast 2007 - Pilsen Lager]],1,0)</f>
        <v>1</v>
      </c>
      <c r="N36" s="45">
        <f>IF(BrewdogNew3[[#This Row],[Yeast]]=BrewdogNew3[[#Headers],[Wyeast 3711 - French Saison]],1,0)</f>
        <v>0</v>
      </c>
      <c r="O36" s="45">
        <f>IF(BrewdogNew3[[#This Row],[Yeast]]=BrewdogNew3[[#Headers],[Wyeast 1272 - American Ale II]],1,0)</f>
        <v>0</v>
      </c>
      <c r="P36" s="45" t="str">
        <f>BrewdogNew3[[#This Row],[Name]]</f>
        <v>Dog Wired (w/8 Wired)</v>
      </c>
      <c r="Q36" t="str">
        <f>IF(BrewdogNew3[[#This Row],[EBC]]="*", BrewdogNew3[[#This Row],[IBU]], "")</f>
        <v/>
      </c>
      <c r="R36" t="str">
        <f>IF(BrewdogNew3[[#This Row],[EBC]]="*", BrewdogNew3[[#This Row],[OG]], "")</f>
        <v/>
      </c>
      <c r="S36" t="str">
        <f>IF(BrewdogNew3[[#This Row],[EBC]]="*", BrewdogNew3[[#This Row],[ABV]], "")</f>
        <v/>
      </c>
      <c r="T36" t="str">
        <f>IF(BrewdogNew3[[#This Row],[EBC]]="*", BrewdogNew3[[#This Row],[PH]], "")</f>
        <v/>
      </c>
      <c r="U36" t="str">
        <f>IF(BrewdogNew3[[#This Row],[EBC]]="*", BrewdogNew3[[#This Row],[AttenuationLevel]], "")</f>
        <v/>
      </c>
      <c r="V36" t="str">
        <f>IF(BrewdogNew3[[#This Row],[EBC]]="*", BrewdogNew3[[#This Row],[FermentationTempCelsius]], "")</f>
        <v/>
      </c>
      <c r="W36" t="str">
        <f>IF(BrewdogNew3[[#This Row],[EBC]]="*", BrewdogNew3[[#This Row],[Yeast]], "")</f>
        <v/>
      </c>
    </row>
    <row r="37" spans="1:23" x14ac:dyDescent="0.25">
      <c r="A37" s="45" t="s">
        <v>102</v>
      </c>
      <c r="B37">
        <v>5</v>
      </c>
      <c r="C37" s="2" t="s">
        <v>274</v>
      </c>
      <c r="D37">
        <v>47</v>
      </c>
      <c r="E37">
        <v>1048.5</v>
      </c>
      <c r="F37">
        <v>65</v>
      </c>
      <c r="G37">
        <f>IF(BrewdogNew3[[#This Row],[EBC]]="*",1,0)</f>
        <v>0</v>
      </c>
      <c r="H37">
        <v>4.4000000000000004</v>
      </c>
      <c r="I37">
        <v>79.400000000000006</v>
      </c>
      <c r="J37">
        <v>19</v>
      </c>
      <c r="K37" s="45" t="s">
        <v>64</v>
      </c>
      <c r="L37" s="45">
        <f>IF(BrewdogNew3[[#This Row],[Yeast]]=BrewdogNew3[[#Headers],[Wyeast 1056 - American Ale]],1,0)</f>
        <v>1</v>
      </c>
      <c r="M37" s="45">
        <f>IF(BrewdogNew3[[#This Row],[Yeast]]=BrewdogNew3[[#Headers],[Wyeast 2007 - Pilsen Lager]],1,0)</f>
        <v>0</v>
      </c>
      <c r="N37" s="45">
        <f>IF(BrewdogNew3[[#This Row],[Yeast]]=BrewdogNew3[[#Headers],[Wyeast 3711 - French Saison]],1,0)</f>
        <v>0</v>
      </c>
      <c r="O37" s="45">
        <f>IF(BrewdogNew3[[#This Row],[Yeast]]=BrewdogNew3[[#Headers],[Wyeast 1272 - American Ale II]],1,0)</f>
        <v>0</v>
      </c>
      <c r="P37" s="45" t="str">
        <f>BrewdogNew3[[#This Row],[Name]]</f>
        <v>The Physics</v>
      </c>
      <c r="Q37" t="str">
        <f>IF(BrewdogNew3[[#This Row],[EBC]]="*", BrewdogNew3[[#This Row],[IBU]], "")</f>
        <v/>
      </c>
      <c r="R37" t="str">
        <f>IF(BrewdogNew3[[#This Row],[EBC]]="*", BrewdogNew3[[#This Row],[OG]], "")</f>
        <v/>
      </c>
      <c r="S37" t="str">
        <f>IF(BrewdogNew3[[#This Row],[EBC]]="*", BrewdogNew3[[#This Row],[ABV]], "")</f>
        <v/>
      </c>
      <c r="T37" t="str">
        <f>IF(BrewdogNew3[[#This Row],[EBC]]="*", BrewdogNew3[[#This Row],[PH]], "")</f>
        <v/>
      </c>
      <c r="U37" t="str">
        <f>IF(BrewdogNew3[[#This Row],[EBC]]="*", BrewdogNew3[[#This Row],[AttenuationLevel]], "")</f>
        <v/>
      </c>
      <c r="V37" t="str">
        <f>IF(BrewdogNew3[[#This Row],[EBC]]="*", BrewdogNew3[[#This Row],[FermentationTempCelsius]], "")</f>
        <v/>
      </c>
      <c r="W37" t="str">
        <f>IF(BrewdogNew3[[#This Row],[EBC]]="*", BrewdogNew3[[#This Row],[Yeast]], "")</f>
        <v/>
      </c>
    </row>
    <row r="38" spans="1:23" x14ac:dyDescent="0.25">
      <c r="A38" s="45" t="s">
        <v>103</v>
      </c>
      <c r="B38">
        <v>16.5</v>
      </c>
      <c r="C38" s="2" t="s">
        <v>274</v>
      </c>
      <c r="D38">
        <v>20.5</v>
      </c>
      <c r="E38">
        <v>1112</v>
      </c>
      <c r="F38">
        <v>20</v>
      </c>
      <c r="G38">
        <f>IF(BrewdogNew3[[#This Row],[EBC]]="*",1,0)</f>
        <v>0</v>
      </c>
      <c r="H38">
        <v>4.4000000000000004</v>
      </c>
      <c r="I38">
        <v>100</v>
      </c>
      <c r="J38">
        <v>20</v>
      </c>
      <c r="K38" s="45" t="s">
        <v>80</v>
      </c>
      <c r="L38" s="45">
        <f>IF(BrewdogNew3[[#This Row],[Yeast]]=BrewdogNew3[[#Headers],[Wyeast 1056 - American Ale]],1,0)</f>
        <v>0</v>
      </c>
      <c r="M38" s="45">
        <f>IF(BrewdogNew3[[#This Row],[Yeast]]=BrewdogNew3[[#Headers],[Wyeast 2007 - Pilsen Lager]],1,0)</f>
        <v>0</v>
      </c>
      <c r="N38" s="45">
        <f>IF(BrewdogNew3[[#This Row],[Yeast]]=BrewdogNew3[[#Headers],[Wyeast 3711 - French Saison]],1,0)</f>
        <v>0</v>
      </c>
      <c r="O38" s="45">
        <f>IF(BrewdogNew3[[#This Row],[Yeast]]=BrewdogNew3[[#Headers],[Wyeast 1272 - American Ale II]],1,0)</f>
        <v>1</v>
      </c>
      <c r="P38" s="45" t="str">
        <f>BrewdogNew3[[#This Row],[Name]]</f>
        <v>Anarchist Alchemist</v>
      </c>
      <c r="Q38" t="str">
        <f>IF(BrewdogNew3[[#This Row],[EBC]]="*", BrewdogNew3[[#This Row],[IBU]], "")</f>
        <v/>
      </c>
      <c r="R38" t="str">
        <f>IF(BrewdogNew3[[#This Row],[EBC]]="*", BrewdogNew3[[#This Row],[OG]], "")</f>
        <v/>
      </c>
      <c r="S38" t="str">
        <f>IF(BrewdogNew3[[#This Row],[EBC]]="*", BrewdogNew3[[#This Row],[ABV]], "")</f>
        <v/>
      </c>
      <c r="T38" t="str">
        <f>IF(BrewdogNew3[[#This Row],[EBC]]="*", BrewdogNew3[[#This Row],[PH]], "")</f>
        <v/>
      </c>
      <c r="U38" t="str">
        <f>IF(BrewdogNew3[[#This Row],[EBC]]="*", BrewdogNew3[[#This Row],[AttenuationLevel]], "")</f>
        <v/>
      </c>
      <c r="V38" t="str">
        <f>IF(BrewdogNew3[[#This Row],[EBC]]="*", BrewdogNew3[[#This Row],[FermentationTempCelsius]], "")</f>
        <v/>
      </c>
      <c r="W38" t="str">
        <f>IF(BrewdogNew3[[#This Row],[EBC]]="*", BrewdogNew3[[#This Row],[Yeast]], "")</f>
        <v/>
      </c>
    </row>
    <row r="39" spans="1:23" x14ac:dyDescent="0.25">
      <c r="A39" s="45" t="s">
        <v>104</v>
      </c>
      <c r="B39">
        <v>12.8</v>
      </c>
      <c r="C39" s="2" t="s">
        <v>274</v>
      </c>
      <c r="D39">
        <v>50</v>
      </c>
      <c r="E39">
        <v>1096</v>
      </c>
      <c r="F39">
        <v>111</v>
      </c>
      <c r="G39">
        <f>IF(BrewdogNew3[[#This Row],[EBC]]="*",1,0)</f>
        <v>0</v>
      </c>
      <c r="H39">
        <v>4.4000000000000004</v>
      </c>
      <c r="I39">
        <v>79.17</v>
      </c>
      <c r="J39">
        <v>21</v>
      </c>
      <c r="K39" s="45" t="s">
        <v>80</v>
      </c>
      <c r="L39" s="45">
        <f>IF(BrewdogNew3[[#This Row],[Yeast]]=BrewdogNew3[[#Headers],[Wyeast 1056 - American Ale]],1,0)</f>
        <v>0</v>
      </c>
      <c r="M39" s="45">
        <f>IF(BrewdogNew3[[#This Row],[Yeast]]=BrewdogNew3[[#Headers],[Wyeast 2007 - Pilsen Lager]],1,0)</f>
        <v>0</v>
      </c>
      <c r="N39" s="45">
        <f>IF(BrewdogNew3[[#This Row],[Yeast]]=BrewdogNew3[[#Headers],[Wyeast 3711 - French Saison]],1,0)</f>
        <v>0</v>
      </c>
      <c r="O39" s="45">
        <f>IF(BrewdogNew3[[#This Row],[Yeast]]=BrewdogNew3[[#Headers],[Wyeast 1272 - American Ale II]],1,0)</f>
        <v>1</v>
      </c>
      <c r="P39" s="45" t="str">
        <f>BrewdogNew3[[#This Row],[Name]]</f>
        <v>AB:15</v>
      </c>
      <c r="Q39" t="str">
        <f>IF(BrewdogNew3[[#This Row],[EBC]]="*", BrewdogNew3[[#This Row],[IBU]], "")</f>
        <v/>
      </c>
      <c r="R39" t="str">
        <f>IF(BrewdogNew3[[#This Row],[EBC]]="*", BrewdogNew3[[#This Row],[OG]], "")</f>
        <v/>
      </c>
      <c r="S39" t="str">
        <f>IF(BrewdogNew3[[#This Row],[EBC]]="*", BrewdogNew3[[#This Row],[ABV]], "")</f>
        <v/>
      </c>
      <c r="T39" t="str">
        <f>IF(BrewdogNew3[[#This Row],[EBC]]="*", BrewdogNew3[[#This Row],[PH]], "")</f>
        <v/>
      </c>
      <c r="U39" t="str">
        <f>IF(BrewdogNew3[[#This Row],[EBC]]="*", BrewdogNew3[[#This Row],[AttenuationLevel]], "")</f>
        <v/>
      </c>
      <c r="V39" t="str">
        <f>IF(BrewdogNew3[[#This Row],[EBC]]="*", BrewdogNew3[[#This Row],[FermentationTempCelsius]], "")</f>
        <v/>
      </c>
      <c r="W39" t="str">
        <f>IF(BrewdogNew3[[#This Row],[EBC]]="*", BrewdogNew3[[#This Row],[Yeast]], "")</f>
        <v/>
      </c>
    </row>
    <row r="40" spans="1:23" x14ac:dyDescent="0.25">
      <c r="A40" s="45" t="s">
        <v>105</v>
      </c>
      <c r="B40">
        <v>6.7</v>
      </c>
      <c r="C40" s="2" t="s">
        <v>274</v>
      </c>
      <c r="D40">
        <v>70</v>
      </c>
      <c r="E40">
        <v>1066</v>
      </c>
      <c r="F40">
        <v>30</v>
      </c>
      <c r="G40">
        <f>IF(BrewdogNew3[[#This Row],[EBC]]="*",1,0)</f>
        <v>0</v>
      </c>
      <c r="H40">
        <v>4.4000000000000004</v>
      </c>
      <c r="I40">
        <v>77.3</v>
      </c>
      <c r="J40">
        <v>19</v>
      </c>
      <c r="K40" s="45" t="s">
        <v>64</v>
      </c>
      <c r="L40" s="45">
        <f>IF(BrewdogNew3[[#This Row],[Yeast]]=BrewdogNew3[[#Headers],[Wyeast 1056 - American Ale]],1,0)</f>
        <v>1</v>
      </c>
      <c r="M40" s="45">
        <f>IF(BrewdogNew3[[#This Row],[Yeast]]=BrewdogNew3[[#Headers],[Wyeast 2007 - Pilsen Lager]],1,0)</f>
        <v>0</v>
      </c>
      <c r="N40" s="45">
        <f>IF(BrewdogNew3[[#This Row],[Yeast]]=BrewdogNew3[[#Headers],[Wyeast 3711 - French Saison]],1,0)</f>
        <v>0</v>
      </c>
      <c r="O40" s="45">
        <f>IF(BrewdogNew3[[#This Row],[Yeast]]=BrewdogNew3[[#Headers],[Wyeast 1272 - American Ale II]],1,0)</f>
        <v>0</v>
      </c>
      <c r="P40" s="45" t="str">
        <f>BrewdogNew3[[#This Row],[Name]]</f>
        <v>Goldings - IPA Is Dead</v>
      </c>
      <c r="Q40" t="str">
        <f>IF(BrewdogNew3[[#This Row],[EBC]]="*", BrewdogNew3[[#This Row],[IBU]], "")</f>
        <v/>
      </c>
      <c r="R40" t="str">
        <f>IF(BrewdogNew3[[#This Row],[EBC]]="*", BrewdogNew3[[#This Row],[OG]], "")</f>
        <v/>
      </c>
      <c r="S40" t="str">
        <f>IF(BrewdogNew3[[#This Row],[EBC]]="*", BrewdogNew3[[#This Row],[ABV]], "")</f>
        <v/>
      </c>
      <c r="T40" t="str">
        <f>IF(BrewdogNew3[[#This Row],[EBC]]="*", BrewdogNew3[[#This Row],[PH]], "")</f>
        <v/>
      </c>
      <c r="U40" t="str">
        <f>IF(BrewdogNew3[[#This Row],[EBC]]="*", BrewdogNew3[[#This Row],[AttenuationLevel]], "")</f>
        <v/>
      </c>
      <c r="V40" t="str">
        <f>IF(BrewdogNew3[[#This Row],[EBC]]="*", BrewdogNew3[[#This Row],[FermentationTempCelsius]], "")</f>
        <v/>
      </c>
      <c r="W40" t="str">
        <f>IF(BrewdogNew3[[#This Row],[EBC]]="*", BrewdogNew3[[#This Row],[Yeast]], "")</f>
        <v/>
      </c>
    </row>
    <row r="41" spans="1:23" x14ac:dyDescent="0.25">
      <c r="A41" s="45" t="s">
        <v>106</v>
      </c>
      <c r="B41">
        <v>10</v>
      </c>
      <c r="C41" s="2" t="s">
        <v>274</v>
      </c>
      <c r="D41">
        <v>35</v>
      </c>
      <c r="E41">
        <v>1080</v>
      </c>
      <c r="F41">
        <v>80</v>
      </c>
      <c r="G41">
        <f>IF(BrewdogNew3[[#This Row],[EBC]]="*",1,0)</f>
        <v>0</v>
      </c>
      <c r="H41">
        <v>4.4000000000000004</v>
      </c>
      <c r="I41">
        <v>85</v>
      </c>
      <c r="J41">
        <v>19</v>
      </c>
      <c r="K41" s="45" t="s">
        <v>80</v>
      </c>
      <c r="L41" s="45">
        <f>IF(BrewdogNew3[[#This Row],[Yeast]]=BrewdogNew3[[#Headers],[Wyeast 1056 - American Ale]],1,0)</f>
        <v>0</v>
      </c>
      <c r="M41" s="45">
        <f>IF(BrewdogNew3[[#This Row],[Yeast]]=BrewdogNew3[[#Headers],[Wyeast 2007 - Pilsen Lager]],1,0)</f>
        <v>0</v>
      </c>
      <c r="N41" s="45">
        <f>IF(BrewdogNew3[[#This Row],[Yeast]]=BrewdogNew3[[#Headers],[Wyeast 3711 - French Saison]],1,0)</f>
        <v>0</v>
      </c>
      <c r="O41" s="45">
        <f>IF(BrewdogNew3[[#This Row],[Yeast]]=BrewdogNew3[[#Headers],[Wyeast 1272 - American Ale II]],1,0)</f>
        <v>1</v>
      </c>
      <c r="P41" s="45" t="str">
        <f>BrewdogNew3[[#This Row],[Name]]</f>
        <v>Lost Dog (w/Lost Abbey)</v>
      </c>
      <c r="Q41" t="str">
        <f>IF(BrewdogNew3[[#This Row],[EBC]]="*", BrewdogNew3[[#This Row],[IBU]], "")</f>
        <v/>
      </c>
      <c r="R41" t="str">
        <f>IF(BrewdogNew3[[#This Row],[EBC]]="*", BrewdogNew3[[#This Row],[OG]], "")</f>
        <v/>
      </c>
      <c r="S41" t="str">
        <f>IF(BrewdogNew3[[#This Row],[EBC]]="*", BrewdogNew3[[#This Row],[ABV]], "")</f>
        <v/>
      </c>
      <c r="T41" t="str">
        <f>IF(BrewdogNew3[[#This Row],[EBC]]="*", BrewdogNew3[[#This Row],[PH]], "")</f>
        <v/>
      </c>
      <c r="U41" t="str">
        <f>IF(BrewdogNew3[[#This Row],[EBC]]="*", BrewdogNew3[[#This Row],[AttenuationLevel]], "")</f>
        <v/>
      </c>
      <c r="V41" t="str">
        <f>IF(BrewdogNew3[[#This Row],[EBC]]="*", BrewdogNew3[[#This Row],[FermentationTempCelsius]], "")</f>
        <v/>
      </c>
      <c r="W41" t="str">
        <f>IF(BrewdogNew3[[#This Row],[EBC]]="*", BrewdogNew3[[#This Row],[Yeast]], "")</f>
        <v/>
      </c>
    </row>
    <row r="42" spans="1:23" x14ac:dyDescent="0.25">
      <c r="A42" s="45" t="s">
        <v>107</v>
      </c>
      <c r="B42" s="31" t="s">
        <v>32</v>
      </c>
      <c r="C42" s="51">
        <v>1</v>
      </c>
      <c r="D42">
        <v>20</v>
      </c>
      <c r="E42">
        <v>1048</v>
      </c>
      <c r="F42">
        <v>14</v>
      </c>
      <c r="G42">
        <f>IF(BrewdogNew3[[#This Row],[EBC]]="*",1,0)</f>
        <v>0</v>
      </c>
      <c r="H42">
        <v>4.2</v>
      </c>
      <c r="I42">
        <v>89.6</v>
      </c>
      <c r="J42">
        <v>22</v>
      </c>
      <c r="K42" s="45" t="s">
        <v>71</v>
      </c>
      <c r="L42" s="45">
        <f>IF(BrewdogNew3[[#This Row],[Yeast]]=BrewdogNew3[[#Headers],[Wyeast 1056 - American Ale]],1,0)</f>
        <v>0</v>
      </c>
      <c r="M42" s="45">
        <f>IF(BrewdogNew3[[#This Row],[Yeast]]=BrewdogNew3[[#Headers],[Wyeast 2007 - Pilsen Lager]],1,0)</f>
        <v>0</v>
      </c>
      <c r="N42" s="45">
        <f>IF(BrewdogNew3[[#This Row],[Yeast]]=BrewdogNew3[[#Headers],[Wyeast 3711 - French Saison]],1,0)</f>
        <v>1</v>
      </c>
      <c r="O42" s="45">
        <f>IF(BrewdogNew3[[#This Row],[Yeast]]=BrewdogNew3[[#Headers],[Wyeast 1272 - American Ale II]],1,0)</f>
        <v>0</v>
      </c>
      <c r="P42" s="45" t="str">
        <f>BrewdogNew3[[#This Row],[Name]]</f>
        <v>TM10</v>
      </c>
      <c r="Q42" t="str">
        <f>IF(BrewdogNew3[[#This Row],[EBC]]="*", BrewdogNew3[[#This Row],[IBU]], "")</f>
        <v/>
      </c>
      <c r="R42" t="str">
        <f>IF(BrewdogNew3[[#This Row],[EBC]]="*", BrewdogNew3[[#This Row],[OG]], "")</f>
        <v/>
      </c>
      <c r="S42" t="str">
        <f>IF(BrewdogNew3[[#This Row],[EBC]]="*", BrewdogNew3[[#This Row],[ABV]], "")</f>
        <v/>
      </c>
      <c r="T42" t="str">
        <f>IF(BrewdogNew3[[#This Row],[EBC]]="*", BrewdogNew3[[#This Row],[PH]], "")</f>
        <v/>
      </c>
      <c r="U42" t="str">
        <f>IF(BrewdogNew3[[#This Row],[EBC]]="*", BrewdogNew3[[#This Row],[AttenuationLevel]], "")</f>
        <v/>
      </c>
      <c r="V42" t="str">
        <f>IF(BrewdogNew3[[#This Row],[EBC]]="*", BrewdogNew3[[#This Row],[FermentationTempCelsius]], "")</f>
        <v/>
      </c>
      <c r="W42" t="str">
        <f>IF(BrewdogNew3[[#This Row],[EBC]]="*", BrewdogNew3[[#This Row],[Yeast]], "")</f>
        <v/>
      </c>
    </row>
    <row r="43" spans="1:23" x14ac:dyDescent="0.25">
      <c r="A43" s="45" t="s">
        <v>108</v>
      </c>
      <c r="B43">
        <v>10</v>
      </c>
      <c r="C43" s="2" t="s">
        <v>274</v>
      </c>
      <c r="D43">
        <v>55</v>
      </c>
      <c r="E43">
        <v>1090</v>
      </c>
      <c r="F43">
        <v>300</v>
      </c>
      <c r="G43">
        <f>IF(BrewdogNew3[[#This Row],[EBC]]="*",1,0)</f>
        <v>0</v>
      </c>
      <c r="H43">
        <v>4.4000000000000004</v>
      </c>
      <c r="I43">
        <v>84.4</v>
      </c>
      <c r="J43">
        <v>21</v>
      </c>
      <c r="K43" s="45" t="s">
        <v>80</v>
      </c>
      <c r="L43" s="45">
        <f>IF(BrewdogNew3[[#This Row],[Yeast]]=BrewdogNew3[[#Headers],[Wyeast 1056 - American Ale]],1,0)</f>
        <v>0</v>
      </c>
      <c r="M43" s="45">
        <f>IF(BrewdogNew3[[#This Row],[Yeast]]=BrewdogNew3[[#Headers],[Wyeast 2007 - Pilsen Lager]],1,0)</f>
        <v>0</v>
      </c>
      <c r="N43" s="45">
        <f>IF(BrewdogNew3[[#This Row],[Yeast]]=BrewdogNew3[[#Headers],[Wyeast 3711 - French Saison]],1,0)</f>
        <v>0</v>
      </c>
      <c r="O43" s="45">
        <f>IF(BrewdogNew3[[#This Row],[Yeast]]=BrewdogNew3[[#Headers],[Wyeast 1272 - American Ale II]],1,0)</f>
        <v>1</v>
      </c>
      <c r="P43" s="45" t="str">
        <f>BrewdogNew3[[#This Row],[Name]]</f>
        <v>Paradox Islay</v>
      </c>
      <c r="Q43" t="str">
        <f>IF(BrewdogNew3[[#This Row],[EBC]]="*", BrewdogNew3[[#This Row],[IBU]], "")</f>
        <v/>
      </c>
      <c r="R43" t="str">
        <f>IF(BrewdogNew3[[#This Row],[EBC]]="*", BrewdogNew3[[#This Row],[OG]], "")</f>
        <v/>
      </c>
      <c r="S43" t="str">
        <f>IF(BrewdogNew3[[#This Row],[EBC]]="*", BrewdogNew3[[#This Row],[ABV]], "")</f>
        <v/>
      </c>
      <c r="T43" t="str">
        <f>IF(BrewdogNew3[[#This Row],[EBC]]="*", BrewdogNew3[[#This Row],[PH]], "")</f>
        <v/>
      </c>
      <c r="U43" t="str">
        <f>IF(BrewdogNew3[[#This Row],[EBC]]="*", BrewdogNew3[[#This Row],[AttenuationLevel]], "")</f>
        <v/>
      </c>
      <c r="V43" t="str">
        <f>IF(BrewdogNew3[[#This Row],[EBC]]="*", BrewdogNew3[[#This Row],[FermentationTempCelsius]], "")</f>
        <v/>
      </c>
      <c r="W43" t="str">
        <f>IF(BrewdogNew3[[#This Row],[EBC]]="*", BrewdogNew3[[#This Row],[Yeast]], "")</f>
        <v/>
      </c>
    </row>
    <row r="44" spans="1:23" x14ac:dyDescent="0.25">
      <c r="A44" s="45" t="s">
        <v>109</v>
      </c>
      <c r="B44">
        <v>4.5</v>
      </c>
      <c r="C44" s="2" t="s">
        <v>274</v>
      </c>
      <c r="D44">
        <v>35</v>
      </c>
      <c r="E44">
        <v>1048</v>
      </c>
      <c r="F44">
        <v>40</v>
      </c>
      <c r="G44">
        <f>IF(BrewdogNew3[[#This Row],[EBC]]="*",1,0)</f>
        <v>0</v>
      </c>
      <c r="H44">
        <v>4.4000000000000004</v>
      </c>
      <c r="I44">
        <v>72.900000000000006</v>
      </c>
      <c r="J44">
        <v>19</v>
      </c>
      <c r="K44" s="45" t="s">
        <v>64</v>
      </c>
      <c r="L44" s="45">
        <f>IF(BrewdogNew3[[#This Row],[Yeast]]=BrewdogNew3[[#Headers],[Wyeast 1056 - American Ale]],1,0)</f>
        <v>1</v>
      </c>
      <c r="M44" s="45">
        <f>IF(BrewdogNew3[[#This Row],[Yeast]]=BrewdogNew3[[#Headers],[Wyeast 2007 - Pilsen Lager]],1,0)</f>
        <v>0</v>
      </c>
      <c r="N44" s="45">
        <f>IF(BrewdogNew3[[#This Row],[Yeast]]=BrewdogNew3[[#Headers],[Wyeast 3711 - French Saison]],1,0)</f>
        <v>0</v>
      </c>
      <c r="O44" s="45">
        <f>IF(BrewdogNew3[[#This Row],[Yeast]]=BrewdogNew3[[#Headers],[Wyeast 1272 - American Ale II]],1,0)</f>
        <v>0</v>
      </c>
      <c r="P44" s="45" t="str">
        <f>BrewdogNew3[[#This Row],[Name]]</f>
        <v>Baby Dogma</v>
      </c>
      <c r="Q44" t="str">
        <f>IF(BrewdogNew3[[#This Row],[EBC]]="*", BrewdogNew3[[#This Row],[IBU]], "")</f>
        <v/>
      </c>
      <c r="R44" t="str">
        <f>IF(BrewdogNew3[[#This Row],[EBC]]="*", BrewdogNew3[[#This Row],[OG]], "")</f>
        <v/>
      </c>
      <c r="S44" t="str">
        <f>IF(BrewdogNew3[[#This Row],[EBC]]="*", BrewdogNew3[[#This Row],[ABV]], "")</f>
        <v/>
      </c>
      <c r="T44" t="str">
        <f>IF(BrewdogNew3[[#This Row],[EBC]]="*", BrewdogNew3[[#This Row],[PH]], "")</f>
        <v/>
      </c>
      <c r="U44" t="str">
        <f>IF(BrewdogNew3[[#This Row],[EBC]]="*", BrewdogNew3[[#This Row],[AttenuationLevel]], "")</f>
        <v/>
      </c>
      <c r="V44" t="str">
        <f>IF(BrewdogNew3[[#This Row],[EBC]]="*", BrewdogNew3[[#This Row],[FermentationTempCelsius]], "")</f>
        <v/>
      </c>
      <c r="W44" t="str">
        <f>IF(BrewdogNew3[[#This Row],[EBC]]="*", BrewdogNew3[[#This Row],[Yeast]], "")</f>
        <v/>
      </c>
    </row>
    <row r="45" spans="1:23" x14ac:dyDescent="0.25">
      <c r="A45" s="45" t="s">
        <v>110</v>
      </c>
      <c r="B45">
        <v>7.4</v>
      </c>
      <c r="C45" s="2" t="s">
        <v>274</v>
      </c>
      <c r="D45">
        <v>65</v>
      </c>
      <c r="E45">
        <v>1069</v>
      </c>
      <c r="F45">
        <v>60</v>
      </c>
      <c r="G45">
        <f>IF(BrewdogNew3[[#This Row],[EBC]]="*",1,0)</f>
        <v>0</v>
      </c>
      <c r="H45">
        <v>4.2</v>
      </c>
      <c r="I45">
        <v>82.6</v>
      </c>
      <c r="J45">
        <v>18</v>
      </c>
      <c r="K45" s="45" t="s">
        <v>64</v>
      </c>
      <c r="L45" s="45">
        <f>IF(BrewdogNew3[[#This Row],[Yeast]]=BrewdogNew3[[#Headers],[Wyeast 1056 - American Ale]],1,0)</f>
        <v>1</v>
      </c>
      <c r="M45" s="45">
        <f>IF(BrewdogNew3[[#This Row],[Yeast]]=BrewdogNew3[[#Headers],[Wyeast 2007 - Pilsen Lager]],1,0)</f>
        <v>0</v>
      </c>
      <c r="N45" s="45">
        <f>IF(BrewdogNew3[[#This Row],[Yeast]]=BrewdogNew3[[#Headers],[Wyeast 3711 - French Saison]],1,0)</f>
        <v>0</v>
      </c>
      <c r="O45" s="45">
        <f>IF(BrewdogNew3[[#This Row],[Yeast]]=BrewdogNew3[[#Headers],[Wyeast 1272 - American Ale II]],1,0)</f>
        <v>0</v>
      </c>
      <c r="P45" s="45" t="str">
        <f>BrewdogNew3[[#This Row],[Name]]</f>
        <v>Albino Squid Assasin</v>
      </c>
      <c r="Q45" t="str">
        <f>IF(BrewdogNew3[[#This Row],[EBC]]="*", BrewdogNew3[[#This Row],[IBU]], "")</f>
        <v/>
      </c>
      <c r="R45" t="str">
        <f>IF(BrewdogNew3[[#This Row],[EBC]]="*", BrewdogNew3[[#This Row],[OG]], "")</f>
        <v/>
      </c>
      <c r="S45" t="str">
        <f>IF(BrewdogNew3[[#This Row],[EBC]]="*", BrewdogNew3[[#This Row],[ABV]], "")</f>
        <v/>
      </c>
      <c r="T45" t="str">
        <f>IF(BrewdogNew3[[#This Row],[EBC]]="*", BrewdogNew3[[#This Row],[PH]], "")</f>
        <v/>
      </c>
      <c r="U45" t="str">
        <f>IF(BrewdogNew3[[#This Row],[EBC]]="*", BrewdogNew3[[#This Row],[AttenuationLevel]], "")</f>
        <v/>
      </c>
      <c r="V45" t="str">
        <f>IF(BrewdogNew3[[#This Row],[EBC]]="*", BrewdogNew3[[#This Row],[FermentationTempCelsius]], "")</f>
        <v/>
      </c>
      <c r="W45" t="str">
        <f>IF(BrewdogNew3[[#This Row],[EBC]]="*", BrewdogNew3[[#This Row],[Yeast]], "")</f>
        <v/>
      </c>
    </row>
    <row r="46" spans="1:23" x14ac:dyDescent="0.25">
      <c r="A46" s="45" t="s">
        <v>111</v>
      </c>
      <c r="B46">
        <v>7.2</v>
      </c>
      <c r="C46" s="2" t="s">
        <v>274</v>
      </c>
      <c r="D46">
        <v>70</v>
      </c>
      <c r="E46">
        <v>1067</v>
      </c>
      <c r="F46">
        <v>30</v>
      </c>
      <c r="G46">
        <f>IF(BrewdogNew3[[#This Row],[EBC]]="*",1,0)</f>
        <v>0</v>
      </c>
      <c r="H46">
        <v>4.4000000000000004</v>
      </c>
      <c r="I46">
        <v>82.1</v>
      </c>
      <c r="J46">
        <v>19</v>
      </c>
      <c r="K46" s="45" t="s">
        <v>64</v>
      </c>
      <c r="L46" s="45">
        <f>IF(BrewdogNew3[[#This Row],[Yeast]]=BrewdogNew3[[#Headers],[Wyeast 1056 - American Ale]],1,0)</f>
        <v>1</v>
      </c>
      <c r="M46" s="45">
        <f>IF(BrewdogNew3[[#This Row],[Yeast]]=BrewdogNew3[[#Headers],[Wyeast 2007 - Pilsen Lager]],1,0)</f>
        <v>0</v>
      </c>
      <c r="N46" s="45">
        <f>IF(BrewdogNew3[[#This Row],[Yeast]]=BrewdogNew3[[#Headers],[Wyeast 3711 - French Saison]],1,0)</f>
        <v>0</v>
      </c>
      <c r="O46" s="45">
        <f>IF(BrewdogNew3[[#This Row],[Yeast]]=BrewdogNew3[[#Headers],[Wyeast 1272 - American Ale II]],1,0)</f>
        <v>0</v>
      </c>
      <c r="P46" s="45" t="str">
        <f>BrewdogNew3[[#This Row],[Name]]</f>
        <v>Amarillo - IPA Is Dead</v>
      </c>
      <c r="Q46" t="str">
        <f>IF(BrewdogNew3[[#This Row],[EBC]]="*", BrewdogNew3[[#This Row],[IBU]], "")</f>
        <v/>
      </c>
      <c r="R46" t="str">
        <f>IF(BrewdogNew3[[#This Row],[EBC]]="*", BrewdogNew3[[#This Row],[OG]], "")</f>
        <v/>
      </c>
      <c r="S46" t="str">
        <f>IF(BrewdogNew3[[#This Row],[EBC]]="*", BrewdogNew3[[#This Row],[ABV]], "")</f>
        <v/>
      </c>
      <c r="T46" t="str">
        <f>IF(BrewdogNew3[[#This Row],[EBC]]="*", BrewdogNew3[[#This Row],[PH]], "")</f>
        <v/>
      </c>
      <c r="U46" t="str">
        <f>IF(BrewdogNew3[[#This Row],[EBC]]="*", BrewdogNew3[[#This Row],[AttenuationLevel]], "")</f>
        <v/>
      </c>
      <c r="V46" t="str">
        <f>IF(BrewdogNew3[[#This Row],[EBC]]="*", BrewdogNew3[[#This Row],[FermentationTempCelsius]], "")</f>
        <v/>
      </c>
      <c r="W46" t="str">
        <f>IF(BrewdogNew3[[#This Row],[EBC]]="*", BrewdogNew3[[#This Row],[Yeast]], "")</f>
        <v/>
      </c>
    </row>
    <row r="47" spans="1:23" x14ac:dyDescent="0.25">
      <c r="A47" s="45" t="s">
        <v>112</v>
      </c>
      <c r="B47">
        <v>9.5</v>
      </c>
      <c r="C47" s="2" t="s">
        <v>274</v>
      </c>
      <c r="D47">
        <v>85</v>
      </c>
      <c r="E47">
        <v>1095</v>
      </c>
      <c r="F47">
        <v>250</v>
      </c>
      <c r="G47">
        <f>IF(BrewdogNew3[[#This Row],[EBC]]="*",1,0)</f>
        <v>0</v>
      </c>
      <c r="H47">
        <v>4.4000000000000004</v>
      </c>
      <c r="I47">
        <v>76.8</v>
      </c>
      <c r="J47">
        <v>18</v>
      </c>
      <c r="K47" s="45" t="s">
        <v>80</v>
      </c>
      <c r="L47" s="45">
        <f>IF(BrewdogNew3[[#This Row],[Yeast]]=BrewdogNew3[[#Headers],[Wyeast 1056 - American Ale]],1,0)</f>
        <v>0</v>
      </c>
      <c r="M47" s="45">
        <f>IF(BrewdogNew3[[#This Row],[Yeast]]=BrewdogNew3[[#Headers],[Wyeast 2007 - Pilsen Lager]],1,0)</f>
        <v>0</v>
      </c>
      <c r="N47" s="45">
        <f>IF(BrewdogNew3[[#This Row],[Yeast]]=BrewdogNew3[[#Headers],[Wyeast 3711 - French Saison]],1,0)</f>
        <v>0</v>
      </c>
      <c r="O47" s="45">
        <f>IF(BrewdogNew3[[#This Row],[Yeast]]=BrewdogNew3[[#Headers],[Wyeast 1272 - American Ale II]],1,0)</f>
        <v>1</v>
      </c>
      <c r="P47" s="45" t="str">
        <f>BrewdogNew3[[#This Row],[Name]]</f>
        <v>Black Eyed King Imp</v>
      </c>
      <c r="Q47" t="str">
        <f>IF(BrewdogNew3[[#This Row],[EBC]]="*", BrewdogNew3[[#This Row],[IBU]], "")</f>
        <v/>
      </c>
      <c r="R47" t="str">
        <f>IF(BrewdogNew3[[#This Row],[EBC]]="*", BrewdogNew3[[#This Row],[OG]], "")</f>
        <v/>
      </c>
      <c r="S47" t="str">
        <f>IF(BrewdogNew3[[#This Row],[EBC]]="*", BrewdogNew3[[#This Row],[ABV]], "")</f>
        <v/>
      </c>
      <c r="T47" t="str">
        <f>IF(BrewdogNew3[[#This Row],[EBC]]="*", BrewdogNew3[[#This Row],[PH]], "")</f>
        <v/>
      </c>
      <c r="U47" t="str">
        <f>IF(BrewdogNew3[[#This Row],[EBC]]="*", BrewdogNew3[[#This Row],[AttenuationLevel]], "")</f>
        <v/>
      </c>
      <c r="V47" t="str">
        <f>IF(BrewdogNew3[[#This Row],[EBC]]="*", BrewdogNew3[[#This Row],[FermentationTempCelsius]], "")</f>
        <v/>
      </c>
      <c r="W47" t="str">
        <f>IF(BrewdogNew3[[#This Row],[EBC]]="*", BrewdogNew3[[#This Row],[Yeast]], "")</f>
        <v/>
      </c>
    </row>
    <row r="48" spans="1:23" x14ac:dyDescent="0.25">
      <c r="A48" s="45" t="s">
        <v>113</v>
      </c>
      <c r="B48">
        <v>9.1999999999999993</v>
      </c>
      <c r="C48" s="2" t="s">
        <v>274</v>
      </c>
      <c r="D48">
        <v>149</v>
      </c>
      <c r="E48">
        <v>1083</v>
      </c>
      <c r="F48">
        <v>19.5</v>
      </c>
      <c r="G48">
        <f>IF(BrewdogNew3[[#This Row],[EBC]]="*",1,0)</f>
        <v>0</v>
      </c>
      <c r="H48">
        <v>4.4000000000000004</v>
      </c>
      <c r="I48">
        <v>83</v>
      </c>
      <c r="J48">
        <v>19</v>
      </c>
      <c r="K48" s="45" t="s">
        <v>80</v>
      </c>
      <c r="L48" s="45">
        <f>IF(BrewdogNew3[[#This Row],[Yeast]]=BrewdogNew3[[#Headers],[Wyeast 1056 - American Ale]],1,0)</f>
        <v>0</v>
      </c>
      <c r="M48" s="45">
        <f>IF(BrewdogNew3[[#This Row],[Yeast]]=BrewdogNew3[[#Headers],[Wyeast 2007 - Pilsen Lager]],1,0)</f>
        <v>0</v>
      </c>
      <c r="N48" s="45">
        <f>IF(BrewdogNew3[[#This Row],[Yeast]]=BrewdogNew3[[#Headers],[Wyeast 3711 - French Saison]],1,0)</f>
        <v>0</v>
      </c>
      <c r="O48" s="45">
        <f>IF(BrewdogNew3[[#This Row],[Yeast]]=BrewdogNew3[[#Headers],[Wyeast 1272 - American Ale II]],1,0)</f>
        <v>1</v>
      </c>
      <c r="P48" s="45" t="str">
        <f>BrewdogNew3[[#This Row],[Name]]</f>
        <v>Prototype 27</v>
      </c>
      <c r="Q48" t="str">
        <f>IF(BrewdogNew3[[#This Row],[EBC]]="*", BrewdogNew3[[#This Row],[IBU]], "")</f>
        <v/>
      </c>
      <c r="R48" t="str">
        <f>IF(BrewdogNew3[[#This Row],[EBC]]="*", BrewdogNew3[[#This Row],[OG]], "")</f>
        <v/>
      </c>
      <c r="S48" t="str">
        <f>IF(BrewdogNew3[[#This Row],[EBC]]="*", BrewdogNew3[[#This Row],[ABV]], "")</f>
        <v/>
      </c>
      <c r="T48" t="str">
        <f>IF(BrewdogNew3[[#This Row],[EBC]]="*", BrewdogNew3[[#This Row],[PH]], "")</f>
        <v/>
      </c>
      <c r="U48" t="str">
        <f>IF(BrewdogNew3[[#This Row],[EBC]]="*", BrewdogNew3[[#This Row],[AttenuationLevel]], "")</f>
        <v/>
      </c>
      <c r="V48" t="str">
        <f>IF(BrewdogNew3[[#This Row],[EBC]]="*", BrewdogNew3[[#This Row],[FermentationTempCelsius]], "")</f>
        <v/>
      </c>
      <c r="W48" t="str">
        <f>IF(BrewdogNew3[[#This Row],[EBC]]="*", BrewdogNew3[[#This Row],[Yeast]], "")</f>
        <v/>
      </c>
    </row>
    <row r="49" spans="1:23" x14ac:dyDescent="0.25">
      <c r="A49" s="45" t="s">
        <v>114</v>
      </c>
      <c r="B49">
        <v>9</v>
      </c>
      <c r="C49" s="2" t="s">
        <v>274</v>
      </c>
      <c r="D49">
        <v>65</v>
      </c>
      <c r="E49">
        <v>1080</v>
      </c>
      <c r="F49">
        <v>97</v>
      </c>
      <c r="G49">
        <f>IF(BrewdogNew3[[#This Row],[EBC]]="*",1,0)</f>
        <v>0</v>
      </c>
      <c r="H49">
        <v>4.4000000000000004</v>
      </c>
      <c r="I49">
        <v>76</v>
      </c>
      <c r="J49">
        <v>19</v>
      </c>
      <c r="K49" s="45" t="s">
        <v>64</v>
      </c>
      <c r="L49" s="45">
        <f>IF(BrewdogNew3[[#This Row],[Yeast]]=BrewdogNew3[[#Headers],[Wyeast 1056 - American Ale]],1,0)</f>
        <v>1</v>
      </c>
      <c r="M49" s="45">
        <f>IF(BrewdogNew3[[#This Row],[Yeast]]=BrewdogNew3[[#Headers],[Wyeast 2007 - Pilsen Lager]],1,0)</f>
        <v>0</v>
      </c>
      <c r="N49" s="45">
        <f>IF(BrewdogNew3[[#This Row],[Yeast]]=BrewdogNew3[[#Headers],[Wyeast 3711 - French Saison]],1,0)</f>
        <v>0</v>
      </c>
      <c r="O49" s="45">
        <f>IF(BrewdogNew3[[#This Row],[Yeast]]=BrewdogNew3[[#Headers],[Wyeast 1272 - American Ale II]],1,0)</f>
        <v>0</v>
      </c>
      <c r="P49" s="45" t="str">
        <f>BrewdogNew3[[#This Row],[Name]]</f>
        <v>Coffee Imperial Stout</v>
      </c>
      <c r="Q49" t="str">
        <f>IF(BrewdogNew3[[#This Row],[EBC]]="*", BrewdogNew3[[#This Row],[IBU]], "")</f>
        <v/>
      </c>
      <c r="R49" t="str">
        <f>IF(BrewdogNew3[[#This Row],[EBC]]="*", BrewdogNew3[[#This Row],[OG]], "")</f>
        <v/>
      </c>
      <c r="S49" t="str">
        <f>IF(BrewdogNew3[[#This Row],[EBC]]="*", BrewdogNew3[[#This Row],[ABV]], "")</f>
        <v/>
      </c>
      <c r="T49" t="str">
        <f>IF(BrewdogNew3[[#This Row],[EBC]]="*", BrewdogNew3[[#This Row],[PH]], "")</f>
        <v/>
      </c>
      <c r="U49" t="str">
        <f>IF(BrewdogNew3[[#This Row],[EBC]]="*", BrewdogNew3[[#This Row],[AttenuationLevel]], "")</f>
        <v/>
      </c>
      <c r="V49" t="str">
        <f>IF(BrewdogNew3[[#This Row],[EBC]]="*", BrewdogNew3[[#This Row],[FermentationTempCelsius]], "")</f>
        <v/>
      </c>
      <c r="W49" t="str">
        <f>IF(BrewdogNew3[[#This Row],[EBC]]="*", BrewdogNew3[[#This Row],[Yeast]], "")</f>
        <v/>
      </c>
    </row>
    <row r="50" spans="1:23" x14ac:dyDescent="0.25">
      <c r="A50" s="45" t="s">
        <v>115</v>
      </c>
      <c r="B50">
        <v>7.2</v>
      </c>
      <c r="C50" s="2" t="s">
        <v>274</v>
      </c>
      <c r="D50">
        <v>100</v>
      </c>
      <c r="E50">
        <v>1064</v>
      </c>
      <c r="F50">
        <v>12</v>
      </c>
      <c r="G50">
        <f>IF(BrewdogNew3[[#This Row],[EBC]]="*",1,0)</f>
        <v>0</v>
      </c>
      <c r="H50">
        <v>4.4000000000000004</v>
      </c>
      <c r="I50">
        <v>84</v>
      </c>
      <c r="J50">
        <v>19</v>
      </c>
      <c r="K50" s="45" t="s">
        <v>64</v>
      </c>
      <c r="L50" s="45">
        <f>IF(BrewdogNew3[[#This Row],[Yeast]]=BrewdogNew3[[#Headers],[Wyeast 1056 - American Ale]],1,0)</f>
        <v>1</v>
      </c>
      <c r="M50" s="45">
        <f>IF(BrewdogNew3[[#This Row],[Yeast]]=BrewdogNew3[[#Headers],[Wyeast 2007 - Pilsen Lager]],1,0)</f>
        <v>0</v>
      </c>
      <c r="N50" s="45">
        <f>IF(BrewdogNew3[[#This Row],[Yeast]]=BrewdogNew3[[#Headers],[Wyeast 3711 - French Saison]],1,0)</f>
        <v>0</v>
      </c>
      <c r="O50" s="45">
        <f>IF(BrewdogNew3[[#This Row],[Yeast]]=BrewdogNew3[[#Headers],[Wyeast 1272 - American Ale II]],1,0)</f>
        <v>0</v>
      </c>
      <c r="P50" s="45" t="str">
        <f>BrewdogNew3[[#This Row],[Name]]</f>
        <v>Mandarina Bavaria - IPA Is Dead</v>
      </c>
      <c r="Q50" t="str">
        <f>IF(BrewdogNew3[[#This Row],[EBC]]="*", BrewdogNew3[[#This Row],[IBU]], "")</f>
        <v/>
      </c>
      <c r="R50" t="str">
        <f>IF(BrewdogNew3[[#This Row],[EBC]]="*", BrewdogNew3[[#This Row],[OG]], "")</f>
        <v/>
      </c>
      <c r="S50" t="str">
        <f>IF(BrewdogNew3[[#This Row],[EBC]]="*", BrewdogNew3[[#This Row],[ABV]], "")</f>
        <v/>
      </c>
      <c r="T50" t="str">
        <f>IF(BrewdogNew3[[#This Row],[EBC]]="*", BrewdogNew3[[#This Row],[PH]], "")</f>
        <v/>
      </c>
      <c r="U50" t="str">
        <f>IF(BrewdogNew3[[#This Row],[EBC]]="*", BrewdogNew3[[#This Row],[AttenuationLevel]], "")</f>
        <v/>
      </c>
      <c r="V50" t="str">
        <f>IF(BrewdogNew3[[#This Row],[EBC]]="*", BrewdogNew3[[#This Row],[FermentationTempCelsius]], "")</f>
        <v/>
      </c>
      <c r="W50" t="str">
        <f>IF(BrewdogNew3[[#This Row],[EBC]]="*", BrewdogNew3[[#This Row],[Yeast]], "")</f>
        <v/>
      </c>
    </row>
    <row r="51" spans="1:23" x14ac:dyDescent="0.25">
      <c r="A51" s="45" t="s">
        <v>116</v>
      </c>
      <c r="B51">
        <v>7.5</v>
      </c>
      <c r="C51" s="2" t="s">
        <v>274</v>
      </c>
      <c r="D51">
        <v>30</v>
      </c>
      <c r="E51">
        <v>1080</v>
      </c>
      <c r="F51">
        <v>46</v>
      </c>
      <c r="G51">
        <f>IF(BrewdogNew3[[#This Row],[EBC]]="*",1,0)</f>
        <v>0</v>
      </c>
      <c r="H51">
        <v>4.5</v>
      </c>
      <c r="I51">
        <v>70</v>
      </c>
      <c r="J51">
        <v>12</v>
      </c>
      <c r="K51" s="45" t="s">
        <v>68</v>
      </c>
      <c r="L51" s="45">
        <f>IF(BrewdogNew3[[#This Row],[Yeast]]=BrewdogNew3[[#Headers],[Wyeast 1056 - American Ale]],1,0)</f>
        <v>0</v>
      </c>
      <c r="M51" s="45">
        <f>IF(BrewdogNew3[[#This Row],[Yeast]]=BrewdogNew3[[#Headers],[Wyeast 2007 - Pilsen Lager]],1,0)</f>
        <v>1</v>
      </c>
      <c r="N51" s="45">
        <f>IF(BrewdogNew3[[#This Row],[Yeast]]=BrewdogNew3[[#Headers],[Wyeast 3711 - French Saison]],1,0)</f>
        <v>0</v>
      </c>
      <c r="O51" s="45">
        <f>IF(BrewdogNew3[[#This Row],[Yeast]]=BrewdogNew3[[#Headers],[Wyeast 1272 - American Ale II]],1,0)</f>
        <v>0</v>
      </c>
      <c r="P51" s="45" t="str">
        <f>BrewdogNew3[[#This Row],[Name]]</f>
        <v>Dogma</v>
      </c>
      <c r="Q51" t="str">
        <f>IF(BrewdogNew3[[#This Row],[EBC]]="*", BrewdogNew3[[#This Row],[IBU]], "")</f>
        <v/>
      </c>
      <c r="R51" t="str">
        <f>IF(BrewdogNew3[[#This Row],[EBC]]="*", BrewdogNew3[[#This Row],[OG]], "")</f>
        <v/>
      </c>
      <c r="S51" t="str">
        <f>IF(BrewdogNew3[[#This Row],[EBC]]="*", BrewdogNew3[[#This Row],[ABV]], "")</f>
        <v/>
      </c>
      <c r="T51" t="str">
        <f>IF(BrewdogNew3[[#This Row],[EBC]]="*", BrewdogNew3[[#This Row],[PH]], "")</f>
        <v/>
      </c>
      <c r="U51" t="str">
        <f>IF(BrewdogNew3[[#This Row],[EBC]]="*", BrewdogNew3[[#This Row],[AttenuationLevel]], "")</f>
        <v/>
      </c>
      <c r="V51" t="str">
        <f>IF(BrewdogNew3[[#This Row],[EBC]]="*", BrewdogNew3[[#This Row],[FermentationTempCelsius]], "")</f>
        <v/>
      </c>
      <c r="W51" t="str">
        <f>IF(BrewdogNew3[[#This Row],[EBC]]="*", BrewdogNew3[[#This Row],[Yeast]], "")</f>
        <v/>
      </c>
    </row>
    <row r="52" spans="1:23" x14ac:dyDescent="0.25">
      <c r="A52" s="45" t="s">
        <v>117</v>
      </c>
      <c r="B52" s="31" t="s">
        <v>32</v>
      </c>
      <c r="C52" s="51">
        <v>1</v>
      </c>
      <c r="D52">
        <v>30</v>
      </c>
      <c r="E52">
        <v>1043</v>
      </c>
      <c r="F52">
        <v>15</v>
      </c>
      <c r="G52">
        <f>IF(BrewdogNew3[[#This Row],[EBC]]="*",1,0)</f>
        <v>0</v>
      </c>
      <c r="H52">
        <v>4.4000000000000004</v>
      </c>
      <c r="I52">
        <v>81.400000000000006</v>
      </c>
      <c r="J52">
        <v>23</v>
      </c>
      <c r="K52" s="45" t="s">
        <v>71</v>
      </c>
      <c r="L52" s="45">
        <f>IF(BrewdogNew3[[#This Row],[Yeast]]=BrewdogNew3[[#Headers],[Wyeast 1056 - American Ale]],1,0)</f>
        <v>0</v>
      </c>
      <c r="M52" s="45">
        <f>IF(BrewdogNew3[[#This Row],[Yeast]]=BrewdogNew3[[#Headers],[Wyeast 2007 - Pilsen Lager]],1,0)</f>
        <v>0</v>
      </c>
      <c r="N52" s="45">
        <f>IF(BrewdogNew3[[#This Row],[Yeast]]=BrewdogNew3[[#Headers],[Wyeast 3711 - French Saison]],1,0)</f>
        <v>1</v>
      </c>
      <c r="O52" s="45">
        <f>IF(BrewdogNew3[[#This Row],[Yeast]]=BrewdogNew3[[#Headers],[Wyeast 1272 - American Ale II]],1,0)</f>
        <v>0</v>
      </c>
      <c r="P52" s="45" t="str">
        <f>BrewdogNew3[[#This Row],[Name]]</f>
        <v>Magic Stone Dog (w/Magic Rock &amp; Stone Brewing Co.)</v>
      </c>
      <c r="Q52" t="str">
        <f>IF(BrewdogNew3[[#This Row],[EBC]]="*", BrewdogNew3[[#This Row],[IBU]], "")</f>
        <v/>
      </c>
      <c r="R52" t="str">
        <f>IF(BrewdogNew3[[#This Row],[EBC]]="*", BrewdogNew3[[#This Row],[OG]], "")</f>
        <v/>
      </c>
      <c r="S52" t="str">
        <f>IF(BrewdogNew3[[#This Row],[EBC]]="*", BrewdogNew3[[#This Row],[ABV]], "")</f>
        <v/>
      </c>
      <c r="T52" t="str">
        <f>IF(BrewdogNew3[[#This Row],[EBC]]="*", BrewdogNew3[[#This Row],[PH]], "")</f>
        <v/>
      </c>
      <c r="U52" t="str">
        <f>IF(BrewdogNew3[[#This Row],[EBC]]="*", BrewdogNew3[[#This Row],[AttenuationLevel]], "")</f>
        <v/>
      </c>
      <c r="V52" t="str">
        <f>IF(BrewdogNew3[[#This Row],[EBC]]="*", BrewdogNew3[[#This Row],[FermentationTempCelsius]], "")</f>
        <v/>
      </c>
      <c r="W52" t="str">
        <f>IF(BrewdogNew3[[#This Row],[EBC]]="*", BrewdogNew3[[#This Row],[Yeast]], "")</f>
        <v/>
      </c>
    </row>
    <row r="53" spans="1:23" x14ac:dyDescent="0.25">
      <c r="A53" s="45" t="s">
        <v>118</v>
      </c>
      <c r="B53">
        <v>10.43</v>
      </c>
      <c r="C53" s="2" t="s">
        <v>274</v>
      </c>
      <c r="D53">
        <v>65</v>
      </c>
      <c r="E53">
        <v>1095</v>
      </c>
      <c r="F53">
        <v>23</v>
      </c>
      <c r="G53">
        <f>IF(BrewdogNew3[[#This Row],[EBC]]="*",1,0)</f>
        <v>0</v>
      </c>
      <c r="H53">
        <v>4.4000000000000004</v>
      </c>
      <c r="I53">
        <v>83.2</v>
      </c>
      <c r="J53">
        <v>21</v>
      </c>
      <c r="K53" s="45" t="s">
        <v>80</v>
      </c>
      <c r="L53" s="45">
        <f>IF(BrewdogNew3[[#This Row],[Yeast]]=BrewdogNew3[[#Headers],[Wyeast 1056 - American Ale]],1,0)</f>
        <v>0</v>
      </c>
      <c r="M53" s="45">
        <f>IF(BrewdogNew3[[#This Row],[Yeast]]=BrewdogNew3[[#Headers],[Wyeast 2007 - Pilsen Lager]],1,0)</f>
        <v>0</v>
      </c>
      <c r="N53" s="45">
        <f>IF(BrewdogNew3[[#This Row],[Yeast]]=BrewdogNew3[[#Headers],[Wyeast 3711 - French Saison]],1,0)</f>
        <v>0</v>
      </c>
      <c r="O53" s="45">
        <f>IF(BrewdogNew3[[#This Row],[Yeast]]=BrewdogNew3[[#Headers],[Wyeast 1272 - American Ale II]],1,0)</f>
        <v>1</v>
      </c>
      <c r="P53" s="45" t="str">
        <f>BrewdogNew3[[#This Row],[Name]]</f>
        <v>AB:08</v>
      </c>
      <c r="Q53" t="str">
        <f>IF(BrewdogNew3[[#This Row],[EBC]]="*", BrewdogNew3[[#This Row],[IBU]], "")</f>
        <v/>
      </c>
      <c r="R53" t="str">
        <f>IF(BrewdogNew3[[#This Row],[EBC]]="*", BrewdogNew3[[#This Row],[OG]], "")</f>
        <v/>
      </c>
      <c r="S53" t="str">
        <f>IF(BrewdogNew3[[#This Row],[EBC]]="*", BrewdogNew3[[#This Row],[ABV]], "")</f>
        <v/>
      </c>
      <c r="T53" t="str">
        <f>IF(BrewdogNew3[[#This Row],[EBC]]="*", BrewdogNew3[[#This Row],[PH]], "")</f>
        <v/>
      </c>
      <c r="U53" t="str">
        <f>IF(BrewdogNew3[[#This Row],[EBC]]="*", BrewdogNew3[[#This Row],[AttenuationLevel]], "")</f>
        <v/>
      </c>
      <c r="V53" t="str">
        <f>IF(BrewdogNew3[[#This Row],[EBC]]="*", BrewdogNew3[[#This Row],[FermentationTempCelsius]], "")</f>
        <v/>
      </c>
      <c r="W53" t="str">
        <f>IF(BrewdogNew3[[#This Row],[EBC]]="*", BrewdogNew3[[#This Row],[Yeast]], "")</f>
        <v/>
      </c>
    </row>
    <row r="54" spans="1:23" x14ac:dyDescent="0.25">
      <c r="A54" s="45" t="s">
        <v>119</v>
      </c>
      <c r="B54">
        <v>7.1</v>
      </c>
      <c r="C54" s="2" t="s">
        <v>274</v>
      </c>
      <c r="D54">
        <v>68</v>
      </c>
      <c r="E54">
        <v>1056</v>
      </c>
      <c r="F54">
        <v>14</v>
      </c>
      <c r="G54">
        <f>IF(BrewdogNew3[[#This Row],[EBC]]="*",1,0)</f>
        <v>0</v>
      </c>
      <c r="H54">
        <v>4.4000000000000004</v>
      </c>
      <c r="I54">
        <v>82.1</v>
      </c>
      <c r="J54">
        <v>10</v>
      </c>
      <c r="K54" s="45" t="s">
        <v>68</v>
      </c>
      <c r="L54" s="45">
        <f>IF(BrewdogNew3[[#This Row],[Yeast]]=BrewdogNew3[[#Headers],[Wyeast 1056 - American Ale]],1,0)</f>
        <v>0</v>
      </c>
      <c r="M54" s="45">
        <f>IF(BrewdogNew3[[#This Row],[Yeast]]=BrewdogNew3[[#Headers],[Wyeast 2007 - Pilsen Lager]],1,0)</f>
        <v>1</v>
      </c>
      <c r="N54" s="45">
        <f>IF(BrewdogNew3[[#This Row],[Yeast]]=BrewdogNew3[[#Headers],[Wyeast 3711 - French Saison]],1,0)</f>
        <v>0</v>
      </c>
      <c r="O54" s="45">
        <f>IF(BrewdogNew3[[#This Row],[Yeast]]=BrewdogNew3[[#Headers],[Wyeast 1272 - American Ale II]],1,0)</f>
        <v>0</v>
      </c>
      <c r="P54" s="45" t="str">
        <f>BrewdogNew3[[#This Row],[Name]]</f>
        <v>Sunk Punk</v>
      </c>
      <c r="Q54" t="str">
        <f>IF(BrewdogNew3[[#This Row],[EBC]]="*", BrewdogNew3[[#This Row],[IBU]], "")</f>
        <v/>
      </c>
      <c r="R54" t="str">
        <f>IF(BrewdogNew3[[#This Row],[EBC]]="*", BrewdogNew3[[#This Row],[OG]], "")</f>
        <v/>
      </c>
      <c r="S54" t="str">
        <f>IF(BrewdogNew3[[#This Row],[EBC]]="*", BrewdogNew3[[#This Row],[ABV]], "")</f>
        <v/>
      </c>
      <c r="T54" t="str">
        <f>IF(BrewdogNew3[[#This Row],[EBC]]="*", BrewdogNew3[[#This Row],[PH]], "")</f>
        <v/>
      </c>
      <c r="U54" t="str">
        <f>IF(BrewdogNew3[[#This Row],[EBC]]="*", BrewdogNew3[[#This Row],[AttenuationLevel]], "")</f>
        <v/>
      </c>
      <c r="V54" t="str">
        <f>IF(BrewdogNew3[[#This Row],[EBC]]="*", BrewdogNew3[[#This Row],[FermentationTempCelsius]], "")</f>
        <v/>
      </c>
      <c r="W54" t="str">
        <f>IF(BrewdogNew3[[#This Row],[EBC]]="*", BrewdogNew3[[#This Row],[Yeast]], "")</f>
        <v/>
      </c>
    </row>
    <row r="55" spans="1:23" x14ac:dyDescent="0.25">
      <c r="A55" s="45" t="s">
        <v>120</v>
      </c>
      <c r="B55">
        <v>8</v>
      </c>
      <c r="C55" s="2" t="s">
        <v>274</v>
      </c>
      <c r="D55">
        <v>35</v>
      </c>
      <c r="E55">
        <v>1077</v>
      </c>
      <c r="F55">
        <v>15</v>
      </c>
      <c r="G55">
        <f>IF(BrewdogNew3[[#This Row],[EBC]]="*",1,0)</f>
        <v>0</v>
      </c>
      <c r="H55">
        <v>4.4000000000000004</v>
      </c>
      <c r="I55">
        <v>79.2</v>
      </c>
      <c r="J55">
        <v>9</v>
      </c>
      <c r="K55" s="45" t="s">
        <v>68</v>
      </c>
      <c r="L55" s="45">
        <f>IF(BrewdogNew3[[#This Row],[Yeast]]=BrewdogNew3[[#Headers],[Wyeast 1056 - American Ale]],1,0)</f>
        <v>0</v>
      </c>
      <c r="M55" s="45">
        <f>IF(BrewdogNew3[[#This Row],[Yeast]]=BrewdogNew3[[#Headers],[Wyeast 2007 - Pilsen Lager]],1,0)</f>
        <v>1</v>
      </c>
      <c r="N55" s="45">
        <f>IF(BrewdogNew3[[#This Row],[Yeast]]=BrewdogNew3[[#Headers],[Wyeast 3711 - French Saison]],1,0)</f>
        <v>0</v>
      </c>
      <c r="O55" s="45">
        <f>IF(BrewdogNew3[[#This Row],[Yeast]]=BrewdogNew3[[#Headers],[Wyeast 1272 - American Ale II]],1,0)</f>
        <v>0</v>
      </c>
      <c r="P55" s="45" t="str">
        <f>BrewdogNew3[[#This Row],[Name]]</f>
        <v>Sub Hop</v>
      </c>
      <c r="Q55" t="str">
        <f>IF(BrewdogNew3[[#This Row],[EBC]]="*", BrewdogNew3[[#This Row],[IBU]], "")</f>
        <v/>
      </c>
      <c r="R55" t="str">
        <f>IF(BrewdogNew3[[#This Row],[EBC]]="*", BrewdogNew3[[#This Row],[OG]], "")</f>
        <v/>
      </c>
      <c r="S55" t="str">
        <f>IF(BrewdogNew3[[#This Row],[EBC]]="*", BrewdogNew3[[#This Row],[ABV]], "")</f>
        <v/>
      </c>
      <c r="T55" t="str">
        <f>IF(BrewdogNew3[[#This Row],[EBC]]="*", BrewdogNew3[[#This Row],[PH]], "")</f>
        <v/>
      </c>
      <c r="U55" t="str">
        <f>IF(BrewdogNew3[[#This Row],[EBC]]="*", BrewdogNew3[[#This Row],[AttenuationLevel]], "")</f>
        <v/>
      </c>
      <c r="V55" t="str">
        <f>IF(BrewdogNew3[[#This Row],[EBC]]="*", BrewdogNew3[[#This Row],[FermentationTempCelsius]], "")</f>
        <v/>
      </c>
      <c r="W55" t="str">
        <f>IF(BrewdogNew3[[#This Row],[EBC]]="*", BrewdogNew3[[#This Row],[Yeast]], "")</f>
        <v/>
      </c>
    </row>
    <row r="56" spans="1:23" x14ac:dyDescent="0.25">
      <c r="A56" s="45" t="s">
        <v>121</v>
      </c>
      <c r="B56">
        <v>5</v>
      </c>
      <c r="C56" s="2" t="s">
        <v>274</v>
      </c>
      <c r="D56">
        <v>50</v>
      </c>
      <c r="E56">
        <v>1049</v>
      </c>
      <c r="F56">
        <v>110</v>
      </c>
      <c r="G56">
        <f>IF(BrewdogNew3[[#This Row],[EBC]]="*",1,0)</f>
        <v>0</v>
      </c>
      <c r="H56">
        <v>4.4000000000000004</v>
      </c>
      <c r="I56">
        <v>79</v>
      </c>
      <c r="J56">
        <v>19</v>
      </c>
      <c r="K56" s="45" t="s">
        <v>64</v>
      </c>
      <c r="L56" s="45">
        <f>IF(BrewdogNew3[[#This Row],[Yeast]]=BrewdogNew3[[#Headers],[Wyeast 1056 - American Ale]],1,0)</f>
        <v>1</v>
      </c>
      <c r="M56" s="45">
        <f>IF(BrewdogNew3[[#This Row],[Yeast]]=BrewdogNew3[[#Headers],[Wyeast 2007 - Pilsen Lager]],1,0)</f>
        <v>0</v>
      </c>
      <c r="N56" s="45">
        <f>IF(BrewdogNew3[[#This Row],[Yeast]]=BrewdogNew3[[#Headers],[Wyeast 3711 - French Saison]],1,0)</f>
        <v>0</v>
      </c>
      <c r="O56" s="45">
        <f>IF(BrewdogNew3[[#This Row],[Yeast]]=BrewdogNew3[[#Headers],[Wyeast 1272 - American Ale II]],1,0)</f>
        <v>0</v>
      </c>
      <c r="P56" s="45" t="str">
        <f>BrewdogNew3[[#This Row],[Name]]</f>
        <v>Bracken's Porter</v>
      </c>
      <c r="Q56" t="str">
        <f>IF(BrewdogNew3[[#This Row],[EBC]]="*", BrewdogNew3[[#This Row],[IBU]], "")</f>
        <v/>
      </c>
      <c r="R56" t="str">
        <f>IF(BrewdogNew3[[#This Row],[EBC]]="*", BrewdogNew3[[#This Row],[OG]], "")</f>
        <v/>
      </c>
      <c r="S56" t="str">
        <f>IF(BrewdogNew3[[#This Row],[EBC]]="*", BrewdogNew3[[#This Row],[ABV]], "")</f>
        <v/>
      </c>
      <c r="T56" t="str">
        <f>IF(BrewdogNew3[[#This Row],[EBC]]="*", BrewdogNew3[[#This Row],[PH]], "")</f>
        <v/>
      </c>
      <c r="U56" t="str">
        <f>IF(BrewdogNew3[[#This Row],[EBC]]="*", BrewdogNew3[[#This Row],[AttenuationLevel]], "")</f>
        <v/>
      </c>
      <c r="V56" t="str">
        <f>IF(BrewdogNew3[[#This Row],[EBC]]="*", BrewdogNew3[[#This Row],[FermentationTempCelsius]], "")</f>
        <v/>
      </c>
      <c r="W56" t="str">
        <f>IF(BrewdogNew3[[#This Row],[EBC]]="*", BrewdogNew3[[#This Row],[Yeast]], "")</f>
        <v/>
      </c>
    </row>
    <row r="57" spans="1:23" x14ac:dyDescent="0.25">
      <c r="A57" s="45" t="s">
        <v>122</v>
      </c>
      <c r="B57">
        <v>5.4</v>
      </c>
      <c r="C57" s="2" t="s">
        <v>274</v>
      </c>
      <c r="D57">
        <v>35</v>
      </c>
      <c r="E57">
        <v>1050</v>
      </c>
      <c r="F57">
        <v>11.5</v>
      </c>
      <c r="G57">
        <f>IF(BrewdogNew3[[#This Row],[EBC]]="*",1,0)</f>
        <v>0</v>
      </c>
      <c r="H57">
        <v>4.4000000000000004</v>
      </c>
      <c r="I57">
        <v>84</v>
      </c>
      <c r="J57">
        <v>19</v>
      </c>
      <c r="K57" s="45" t="s">
        <v>64</v>
      </c>
      <c r="L57" s="45">
        <f>IF(BrewdogNew3[[#This Row],[Yeast]]=BrewdogNew3[[#Headers],[Wyeast 1056 - American Ale]],1,0)</f>
        <v>1</v>
      </c>
      <c r="M57" s="45">
        <f>IF(BrewdogNew3[[#This Row],[Yeast]]=BrewdogNew3[[#Headers],[Wyeast 2007 - Pilsen Lager]],1,0)</f>
        <v>0</v>
      </c>
      <c r="N57" s="45">
        <f>IF(BrewdogNew3[[#This Row],[Yeast]]=BrewdogNew3[[#Headers],[Wyeast 3711 - French Saison]],1,0)</f>
        <v>0</v>
      </c>
      <c r="O57" s="45">
        <f>IF(BrewdogNew3[[#This Row],[Yeast]]=BrewdogNew3[[#Headers],[Wyeast 1272 - American Ale II]],1,0)</f>
        <v>0</v>
      </c>
      <c r="P57" s="45" t="str">
        <f>BrewdogNew3[[#This Row],[Name]]</f>
        <v>Hunter Foundation Pale Ale</v>
      </c>
      <c r="Q57" t="str">
        <f>IF(BrewdogNew3[[#This Row],[EBC]]="*", BrewdogNew3[[#This Row],[IBU]], "")</f>
        <v/>
      </c>
      <c r="R57" t="str">
        <f>IF(BrewdogNew3[[#This Row],[EBC]]="*", BrewdogNew3[[#This Row],[OG]], "")</f>
        <v/>
      </c>
      <c r="S57" t="str">
        <f>IF(BrewdogNew3[[#This Row],[EBC]]="*", BrewdogNew3[[#This Row],[ABV]], "")</f>
        <v/>
      </c>
      <c r="T57" t="str">
        <f>IF(BrewdogNew3[[#This Row],[EBC]]="*", BrewdogNew3[[#This Row],[PH]], "")</f>
        <v/>
      </c>
      <c r="U57" t="str">
        <f>IF(BrewdogNew3[[#This Row],[EBC]]="*", BrewdogNew3[[#This Row],[AttenuationLevel]], "")</f>
        <v/>
      </c>
      <c r="V57" t="str">
        <f>IF(BrewdogNew3[[#This Row],[EBC]]="*", BrewdogNew3[[#This Row],[FermentationTempCelsius]], "")</f>
        <v/>
      </c>
      <c r="W57" t="str">
        <f>IF(BrewdogNew3[[#This Row],[EBC]]="*", BrewdogNew3[[#This Row],[Yeast]], "")</f>
        <v/>
      </c>
    </row>
    <row r="58" spans="1:23" x14ac:dyDescent="0.25">
      <c r="A58" s="45" t="s">
        <v>123</v>
      </c>
      <c r="B58">
        <v>4.0999999999999996</v>
      </c>
      <c r="C58" s="2" t="s">
        <v>274</v>
      </c>
      <c r="D58">
        <v>65</v>
      </c>
      <c r="E58">
        <v>1042</v>
      </c>
      <c r="F58">
        <v>17</v>
      </c>
      <c r="G58">
        <f>IF(BrewdogNew3[[#This Row],[EBC]]="*",1,0)</f>
        <v>0</v>
      </c>
      <c r="H58">
        <v>4.4000000000000004</v>
      </c>
      <c r="I58">
        <v>76.2</v>
      </c>
      <c r="J58">
        <v>19</v>
      </c>
      <c r="K58" s="45" t="s">
        <v>80</v>
      </c>
      <c r="L58" s="45">
        <f>IF(BrewdogNew3[[#This Row],[Yeast]]=BrewdogNew3[[#Headers],[Wyeast 1056 - American Ale]],1,0)</f>
        <v>0</v>
      </c>
      <c r="M58" s="45">
        <f>IF(BrewdogNew3[[#This Row],[Yeast]]=BrewdogNew3[[#Headers],[Wyeast 2007 - Pilsen Lager]],1,0)</f>
        <v>0</v>
      </c>
      <c r="N58" s="45">
        <f>IF(BrewdogNew3[[#This Row],[Yeast]]=BrewdogNew3[[#Headers],[Wyeast 3711 - French Saison]],1,0)</f>
        <v>0</v>
      </c>
      <c r="O58" s="45">
        <f>IF(BrewdogNew3[[#This Row],[Yeast]]=BrewdogNew3[[#Headers],[Wyeast 1272 - American Ale II]],1,0)</f>
        <v>1</v>
      </c>
      <c r="P58" s="45" t="str">
        <f>BrewdogNew3[[#This Row],[Name]]</f>
        <v>Hype</v>
      </c>
      <c r="Q58" t="str">
        <f>IF(BrewdogNew3[[#This Row],[EBC]]="*", BrewdogNew3[[#This Row],[IBU]], "")</f>
        <v/>
      </c>
      <c r="R58" t="str">
        <f>IF(BrewdogNew3[[#This Row],[EBC]]="*", BrewdogNew3[[#This Row],[OG]], "")</f>
        <v/>
      </c>
      <c r="S58" t="str">
        <f>IF(BrewdogNew3[[#This Row],[EBC]]="*", BrewdogNew3[[#This Row],[ABV]], "")</f>
        <v/>
      </c>
      <c r="T58" t="str">
        <f>IF(BrewdogNew3[[#This Row],[EBC]]="*", BrewdogNew3[[#This Row],[PH]], "")</f>
        <v/>
      </c>
      <c r="U58" t="str">
        <f>IF(BrewdogNew3[[#This Row],[EBC]]="*", BrewdogNew3[[#This Row],[AttenuationLevel]], "")</f>
        <v/>
      </c>
      <c r="V58" t="str">
        <f>IF(BrewdogNew3[[#This Row],[EBC]]="*", BrewdogNew3[[#This Row],[FermentationTempCelsius]], "")</f>
        <v/>
      </c>
      <c r="W58" t="str">
        <f>IF(BrewdogNew3[[#This Row],[EBC]]="*", BrewdogNew3[[#This Row],[Yeast]], "")</f>
        <v/>
      </c>
    </row>
    <row r="59" spans="1:23" x14ac:dyDescent="0.25">
      <c r="A59" s="45" t="s">
        <v>124</v>
      </c>
      <c r="B59">
        <v>10.199999999999999</v>
      </c>
      <c r="C59" s="2" t="s">
        <v>274</v>
      </c>
      <c r="D59">
        <v>50</v>
      </c>
      <c r="E59">
        <v>1026</v>
      </c>
      <c r="F59">
        <v>197</v>
      </c>
      <c r="G59">
        <f>IF(BrewdogNew3[[#This Row],[EBC]]="*",1,0)</f>
        <v>0</v>
      </c>
      <c r="H59">
        <v>4.4000000000000004</v>
      </c>
      <c r="I59">
        <v>74.5</v>
      </c>
      <c r="J59">
        <v>21</v>
      </c>
      <c r="K59" s="45" t="s">
        <v>80</v>
      </c>
      <c r="L59" s="45">
        <f>IF(BrewdogNew3[[#This Row],[Yeast]]=BrewdogNew3[[#Headers],[Wyeast 1056 - American Ale]],1,0)</f>
        <v>0</v>
      </c>
      <c r="M59" s="45">
        <f>IF(BrewdogNew3[[#This Row],[Yeast]]=BrewdogNew3[[#Headers],[Wyeast 2007 - Pilsen Lager]],1,0)</f>
        <v>0</v>
      </c>
      <c r="N59" s="45">
        <f>IF(BrewdogNew3[[#This Row],[Yeast]]=BrewdogNew3[[#Headers],[Wyeast 3711 - French Saison]],1,0)</f>
        <v>0</v>
      </c>
      <c r="O59" s="45">
        <f>IF(BrewdogNew3[[#This Row],[Yeast]]=BrewdogNew3[[#Headers],[Wyeast 1272 - American Ale II]],1,0)</f>
        <v>1</v>
      </c>
      <c r="P59" s="45" t="str">
        <f>BrewdogNew3[[#This Row],[Name]]</f>
        <v>Sunmaid Stout</v>
      </c>
      <c r="Q59" t="str">
        <f>IF(BrewdogNew3[[#This Row],[EBC]]="*", BrewdogNew3[[#This Row],[IBU]], "")</f>
        <v/>
      </c>
      <c r="R59" t="str">
        <f>IF(BrewdogNew3[[#This Row],[EBC]]="*", BrewdogNew3[[#This Row],[OG]], "")</f>
        <v/>
      </c>
      <c r="S59" t="str">
        <f>IF(BrewdogNew3[[#This Row],[EBC]]="*", BrewdogNew3[[#This Row],[ABV]], "")</f>
        <v/>
      </c>
      <c r="T59" t="str">
        <f>IF(BrewdogNew3[[#This Row],[EBC]]="*", BrewdogNew3[[#This Row],[PH]], "")</f>
        <v/>
      </c>
      <c r="U59" t="str">
        <f>IF(BrewdogNew3[[#This Row],[EBC]]="*", BrewdogNew3[[#This Row],[AttenuationLevel]], "")</f>
        <v/>
      </c>
      <c r="V59" t="str">
        <f>IF(BrewdogNew3[[#This Row],[EBC]]="*", BrewdogNew3[[#This Row],[FermentationTempCelsius]], "")</f>
        <v/>
      </c>
      <c r="W59" t="str">
        <f>IF(BrewdogNew3[[#This Row],[EBC]]="*", BrewdogNew3[[#This Row],[Yeast]], "")</f>
        <v/>
      </c>
    </row>
    <row r="60" spans="1:23" x14ac:dyDescent="0.25">
      <c r="A60" s="45" t="s">
        <v>125</v>
      </c>
      <c r="B60">
        <v>4</v>
      </c>
      <c r="C60" s="2" t="s">
        <v>274</v>
      </c>
      <c r="D60">
        <v>35</v>
      </c>
      <c r="E60">
        <v>1041</v>
      </c>
      <c r="F60">
        <v>45</v>
      </c>
      <c r="G60">
        <f>IF(BrewdogNew3[[#This Row],[EBC]]="*",1,0)</f>
        <v>0</v>
      </c>
      <c r="H60">
        <v>5.2</v>
      </c>
      <c r="I60">
        <v>75.599999999999994</v>
      </c>
      <c r="J60">
        <v>19</v>
      </c>
      <c r="K60" s="45" t="s">
        <v>64</v>
      </c>
      <c r="L60" s="45">
        <f>IF(BrewdogNew3[[#This Row],[Yeast]]=BrewdogNew3[[#Headers],[Wyeast 1056 - American Ale]],1,0)</f>
        <v>1</v>
      </c>
      <c r="M60" s="45">
        <f>IF(BrewdogNew3[[#This Row],[Yeast]]=BrewdogNew3[[#Headers],[Wyeast 2007 - Pilsen Lager]],1,0)</f>
        <v>0</v>
      </c>
      <c r="N60" s="45">
        <f>IF(BrewdogNew3[[#This Row],[Yeast]]=BrewdogNew3[[#Headers],[Wyeast 3711 - French Saison]],1,0)</f>
        <v>0</v>
      </c>
      <c r="O60" s="45">
        <f>IF(BrewdogNew3[[#This Row],[Yeast]]=BrewdogNew3[[#Headers],[Wyeast 1272 - American Ale II]],1,0)</f>
        <v>0</v>
      </c>
      <c r="P60" s="45" t="str">
        <f>BrewdogNew3[[#This Row],[Name]]</f>
        <v>Pale - Russian Doll</v>
      </c>
      <c r="Q60" t="str">
        <f>IF(BrewdogNew3[[#This Row],[EBC]]="*", BrewdogNew3[[#This Row],[IBU]], "")</f>
        <v/>
      </c>
      <c r="R60" t="str">
        <f>IF(BrewdogNew3[[#This Row],[EBC]]="*", BrewdogNew3[[#This Row],[OG]], "")</f>
        <v/>
      </c>
      <c r="S60" t="str">
        <f>IF(BrewdogNew3[[#This Row],[EBC]]="*", BrewdogNew3[[#This Row],[ABV]], "")</f>
        <v/>
      </c>
      <c r="T60" t="str">
        <f>IF(BrewdogNew3[[#This Row],[EBC]]="*", BrewdogNew3[[#This Row],[PH]], "")</f>
        <v/>
      </c>
      <c r="U60" t="str">
        <f>IF(BrewdogNew3[[#This Row],[EBC]]="*", BrewdogNew3[[#This Row],[AttenuationLevel]], "")</f>
        <v/>
      </c>
      <c r="V60" t="str">
        <f>IF(BrewdogNew3[[#This Row],[EBC]]="*", BrewdogNew3[[#This Row],[FermentationTempCelsius]], "")</f>
        <v/>
      </c>
      <c r="W60" t="str">
        <f>IF(BrewdogNew3[[#This Row],[EBC]]="*", BrewdogNew3[[#This Row],[Yeast]], "")</f>
        <v/>
      </c>
    </row>
    <row r="61" spans="1:23" x14ac:dyDescent="0.25">
      <c r="A61" s="45" t="s">
        <v>126</v>
      </c>
      <c r="B61">
        <v>7</v>
      </c>
      <c r="C61" s="2" t="s">
        <v>274</v>
      </c>
      <c r="D61">
        <v>20</v>
      </c>
      <c r="E61">
        <v>1081</v>
      </c>
      <c r="F61">
        <v>12</v>
      </c>
      <c r="G61">
        <f>IF(BrewdogNew3[[#This Row],[EBC]]="*",1,0)</f>
        <v>0</v>
      </c>
      <c r="H61">
        <v>3.2</v>
      </c>
      <c r="I61">
        <v>74</v>
      </c>
      <c r="J61">
        <v>19</v>
      </c>
      <c r="K61" s="45" t="s">
        <v>80</v>
      </c>
      <c r="L61" s="45">
        <f>IF(BrewdogNew3[[#This Row],[Yeast]]=BrewdogNew3[[#Headers],[Wyeast 1056 - American Ale]],1,0)</f>
        <v>0</v>
      </c>
      <c r="M61" s="45">
        <f>IF(BrewdogNew3[[#This Row],[Yeast]]=BrewdogNew3[[#Headers],[Wyeast 2007 - Pilsen Lager]],1,0)</f>
        <v>0</v>
      </c>
      <c r="N61" s="45">
        <f>IF(BrewdogNew3[[#This Row],[Yeast]]=BrewdogNew3[[#Headers],[Wyeast 3711 - French Saison]],1,0)</f>
        <v>0</v>
      </c>
      <c r="O61" s="45">
        <f>IF(BrewdogNew3[[#This Row],[Yeast]]=BrewdogNew3[[#Headers],[Wyeast 1272 - American Ale II]],1,0)</f>
        <v>1</v>
      </c>
      <c r="P61" s="45" t="str">
        <f>BrewdogNew3[[#This Row],[Name]]</f>
        <v>Whisky Sour - B-Sides</v>
      </c>
      <c r="Q61" t="str">
        <f>IF(BrewdogNew3[[#This Row],[EBC]]="*", BrewdogNew3[[#This Row],[IBU]], "")</f>
        <v/>
      </c>
      <c r="R61" t="str">
        <f>IF(BrewdogNew3[[#This Row],[EBC]]="*", BrewdogNew3[[#This Row],[OG]], "")</f>
        <v/>
      </c>
      <c r="S61" t="str">
        <f>IF(BrewdogNew3[[#This Row],[EBC]]="*", BrewdogNew3[[#This Row],[ABV]], "")</f>
        <v/>
      </c>
      <c r="T61" t="str">
        <f>IF(BrewdogNew3[[#This Row],[EBC]]="*", BrewdogNew3[[#This Row],[PH]], "")</f>
        <v/>
      </c>
      <c r="U61" t="str">
        <f>IF(BrewdogNew3[[#This Row],[EBC]]="*", BrewdogNew3[[#This Row],[AttenuationLevel]], "")</f>
        <v/>
      </c>
      <c r="V61" t="str">
        <f>IF(BrewdogNew3[[#This Row],[EBC]]="*", BrewdogNew3[[#This Row],[FermentationTempCelsius]], "")</f>
        <v/>
      </c>
      <c r="W61" t="str">
        <f>IF(BrewdogNew3[[#This Row],[EBC]]="*", BrewdogNew3[[#This Row],[Yeast]], "")</f>
        <v/>
      </c>
    </row>
    <row r="62" spans="1:23" x14ac:dyDescent="0.25">
      <c r="A62" s="45" t="s">
        <v>127</v>
      </c>
      <c r="B62">
        <v>12.7</v>
      </c>
      <c r="C62" s="2" t="s">
        <v>274</v>
      </c>
      <c r="D62">
        <v>85</v>
      </c>
      <c r="E62">
        <v>1113.5</v>
      </c>
      <c r="F62">
        <v>250</v>
      </c>
      <c r="G62">
        <f>IF(BrewdogNew3[[#This Row],[EBC]]="*",1,0)</f>
        <v>0</v>
      </c>
      <c r="H62">
        <v>5.2</v>
      </c>
      <c r="I62">
        <v>76.8</v>
      </c>
      <c r="J62">
        <v>18</v>
      </c>
      <c r="K62" s="45" t="s">
        <v>80</v>
      </c>
      <c r="L62" s="45">
        <f>IF(BrewdogNew3[[#This Row],[Yeast]]=BrewdogNew3[[#Headers],[Wyeast 1056 - American Ale]],1,0)</f>
        <v>0</v>
      </c>
      <c r="M62" s="45">
        <f>IF(BrewdogNew3[[#This Row],[Yeast]]=BrewdogNew3[[#Headers],[Wyeast 2007 - Pilsen Lager]],1,0)</f>
        <v>0</v>
      </c>
      <c r="N62" s="45">
        <f>IF(BrewdogNew3[[#This Row],[Yeast]]=BrewdogNew3[[#Headers],[Wyeast 3711 - French Saison]],1,0)</f>
        <v>0</v>
      </c>
      <c r="O62" s="45">
        <f>IF(BrewdogNew3[[#This Row],[Yeast]]=BrewdogNew3[[#Headers],[Wyeast 1272 - American Ale II]],1,0)</f>
        <v>1</v>
      </c>
      <c r="P62" s="45" t="str">
        <f>BrewdogNew3[[#This Row],[Name]]</f>
        <v>Black Eyed King Imp - Vietnamese Coffee Edition</v>
      </c>
      <c r="Q62" t="str">
        <f>IF(BrewdogNew3[[#This Row],[EBC]]="*", BrewdogNew3[[#This Row],[IBU]], "")</f>
        <v/>
      </c>
      <c r="R62" t="str">
        <f>IF(BrewdogNew3[[#This Row],[EBC]]="*", BrewdogNew3[[#This Row],[OG]], "")</f>
        <v/>
      </c>
      <c r="S62" t="str">
        <f>IF(BrewdogNew3[[#This Row],[EBC]]="*", BrewdogNew3[[#This Row],[ABV]], "")</f>
        <v/>
      </c>
      <c r="T62" t="str">
        <f>IF(BrewdogNew3[[#This Row],[EBC]]="*", BrewdogNew3[[#This Row],[PH]], "")</f>
        <v/>
      </c>
      <c r="U62" t="str">
        <f>IF(BrewdogNew3[[#This Row],[EBC]]="*", BrewdogNew3[[#This Row],[AttenuationLevel]], "")</f>
        <v/>
      </c>
      <c r="V62" t="str">
        <f>IF(BrewdogNew3[[#This Row],[EBC]]="*", BrewdogNew3[[#This Row],[FermentationTempCelsius]], "")</f>
        <v/>
      </c>
      <c r="W62" t="str">
        <f>IF(BrewdogNew3[[#This Row],[EBC]]="*", BrewdogNew3[[#This Row],[Yeast]], "")</f>
        <v/>
      </c>
    </row>
    <row r="63" spans="1:23" x14ac:dyDescent="0.25">
      <c r="A63" s="45" t="s">
        <v>128</v>
      </c>
      <c r="B63">
        <v>6.5</v>
      </c>
      <c r="C63" s="2" t="s">
        <v>274</v>
      </c>
      <c r="D63">
        <v>35</v>
      </c>
      <c r="E63">
        <v>1050</v>
      </c>
      <c r="F63">
        <v>23</v>
      </c>
      <c r="G63">
        <f>IF(BrewdogNew3[[#This Row],[EBC]]="*",1,0)</f>
        <v>0</v>
      </c>
      <c r="H63">
        <v>4.4000000000000004</v>
      </c>
      <c r="I63">
        <v>76</v>
      </c>
      <c r="J63">
        <v>18</v>
      </c>
      <c r="K63" s="45" t="s">
        <v>64</v>
      </c>
      <c r="L63" s="45">
        <f>IF(BrewdogNew3[[#This Row],[Yeast]]=BrewdogNew3[[#Headers],[Wyeast 1056 - American Ale]],1,0)</f>
        <v>1</v>
      </c>
      <c r="M63" s="45">
        <f>IF(BrewdogNew3[[#This Row],[Yeast]]=BrewdogNew3[[#Headers],[Wyeast 2007 - Pilsen Lager]],1,0)</f>
        <v>0</v>
      </c>
      <c r="N63" s="45">
        <f>IF(BrewdogNew3[[#This Row],[Yeast]]=BrewdogNew3[[#Headers],[Wyeast 3711 - French Saison]],1,0)</f>
        <v>0</v>
      </c>
      <c r="O63" s="45">
        <f>IF(BrewdogNew3[[#This Row],[Yeast]]=BrewdogNew3[[#Headers],[Wyeast 1272 - American Ale II]],1,0)</f>
        <v>0</v>
      </c>
      <c r="P63" s="45" t="str">
        <f>BrewdogNew3[[#This Row],[Name]]</f>
        <v>Never Mind The Anabolics</v>
      </c>
      <c r="Q63" t="str">
        <f>IF(BrewdogNew3[[#This Row],[EBC]]="*", BrewdogNew3[[#This Row],[IBU]], "")</f>
        <v/>
      </c>
      <c r="R63" t="str">
        <f>IF(BrewdogNew3[[#This Row],[EBC]]="*", BrewdogNew3[[#This Row],[OG]], "")</f>
        <v/>
      </c>
      <c r="S63" t="str">
        <f>IF(BrewdogNew3[[#This Row],[EBC]]="*", BrewdogNew3[[#This Row],[ABV]], "")</f>
        <v/>
      </c>
      <c r="T63" t="str">
        <f>IF(BrewdogNew3[[#This Row],[EBC]]="*", BrewdogNew3[[#This Row],[PH]], "")</f>
        <v/>
      </c>
      <c r="U63" t="str">
        <f>IF(BrewdogNew3[[#This Row],[EBC]]="*", BrewdogNew3[[#This Row],[AttenuationLevel]], "")</f>
        <v/>
      </c>
      <c r="V63" t="str">
        <f>IF(BrewdogNew3[[#This Row],[EBC]]="*", BrewdogNew3[[#This Row],[FermentationTempCelsius]], "")</f>
        <v/>
      </c>
      <c r="W63" t="str">
        <f>IF(BrewdogNew3[[#This Row],[EBC]]="*", BrewdogNew3[[#This Row],[Yeast]], "")</f>
        <v/>
      </c>
    </row>
    <row r="64" spans="1:23" x14ac:dyDescent="0.25">
      <c r="A64" s="45" t="s">
        <v>129</v>
      </c>
      <c r="B64">
        <v>7.5</v>
      </c>
      <c r="C64" s="2" t="s">
        <v>274</v>
      </c>
      <c r="D64">
        <v>50</v>
      </c>
      <c r="E64">
        <v>1070</v>
      </c>
      <c r="F64">
        <v>40</v>
      </c>
      <c r="G64">
        <f>IF(BrewdogNew3[[#This Row],[EBC]]="*",1,0)</f>
        <v>0</v>
      </c>
      <c r="H64">
        <v>4.4000000000000004</v>
      </c>
      <c r="I64">
        <v>81.400000000000006</v>
      </c>
      <c r="J64">
        <v>21</v>
      </c>
      <c r="K64" s="45" t="s">
        <v>80</v>
      </c>
      <c r="L64" s="45">
        <f>IF(BrewdogNew3[[#This Row],[Yeast]]=BrewdogNew3[[#Headers],[Wyeast 1056 - American Ale]],1,0)</f>
        <v>0</v>
      </c>
      <c r="M64" s="45">
        <f>IF(BrewdogNew3[[#This Row],[Yeast]]=BrewdogNew3[[#Headers],[Wyeast 2007 - Pilsen Lager]],1,0)</f>
        <v>0</v>
      </c>
      <c r="N64" s="45">
        <f>IF(BrewdogNew3[[#This Row],[Yeast]]=BrewdogNew3[[#Headers],[Wyeast 3711 - French Saison]],1,0)</f>
        <v>0</v>
      </c>
      <c r="O64" s="45">
        <f>IF(BrewdogNew3[[#This Row],[Yeast]]=BrewdogNew3[[#Headers],[Wyeast 1272 - American Ale II]],1,0)</f>
        <v>1</v>
      </c>
      <c r="P64" s="45" t="str">
        <f>BrewdogNew3[[#This Row],[Name]]</f>
        <v>#Mashtag 2013</v>
      </c>
      <c r="Q64" t="str">
        <f>IF(BrewdogNew3[[#This Row],[EBC]]="*", BrewdogNew3[[#This Row],[IBU]], "")</f>
        <v/>
      </c>
      <c r="R64" t="str">
        <f>IF(BrewdogNew3[[#This Row],[EBC]]="*", BrewdogNew3[[#This Row],[OG]], "")</f>
        <v/>
      </c>
      <c r="S64" t="str">
        <f>IF(BrewdogNew3[[#This Row],[EBC]]="*", BrewdogNew3[[#This Row],[ABV]], "")</f>
        <v/>
      </c>
      <c r="T64" t="str">
        <f>IF(BrewdogNew3[[#This Row],[EBC]]="*", BrewdogNew3[[#This Row],[PH]], "")</f>
        <v/>
      </c>
      <c r="U64" t="str">
        <f>IF(BrewdogNew3[[#This Row],[EBC]]="*", BrewdogNew3[[#This Row],[AttenuationLevel]], "")</f>
        <v/>
      </c>
      <c r="V64" t="str">
        <f>IF(BrewdogNew3[[#This Row],[EBC]]="*", BrewdogNew3[[#This Row],[FermentationTempCelsius]], "")</f>
        <v/>
      </c>
      <c r="W64" t="str">
        <f>IF(BrewdogNew3[[#This Row],[EBC]]="*", BrewdogNew3[[#This Row],[Yeast]], "")</f>
        <v/>
      </c>
    </row>
    <row r="65" spans="1:23" x14ac:dyDescent="0.25">
      <c r="A65" s="45" t="s">
        <v>130</v>
      </c>
      <c r="B65">
        <v>4.2</v>
      </c>
      <c r="C65" s="2" t="s">
        <v>274</v>
      </c>
      <c r="D65">
        <v>50</v>
      </c>
      <c r="E65">
        <v>1042</v>
      </c>
      <c r="F65">
        <v>30</v>
      </c>
      <c r="G65">
        <f>IF(BrewdogNew3[[#This Row],[EBC]]="*",1,0)</f>
        <v>0</v>
      </c>
      <c r="H65">
        <v>4.4000000000000004</v>
      </c>
      <c r="I65">
        <v>76.2</v>
      </c>
      <c r="J65">
        <v>19</v>
      </c>
      <c r="K65" s="45" t="s">
        <v>64</v>
      </c>
      <c r="L65" s="45">
        <f>IF(BrewdogNew3[[#This Row],[Yeast]]=BrewdogNew3[[#Headers],[Wyeast 1056 - American Ale]],1,0)</f>
        <v>1</v>
      </c>
      <c r="M65" s="45">
        <f>IF(BrewdogNew3[[#This Row],[Yeast]]=BrewdogNew3[[#Headers],[Wyeast 2007 - Pilsen Lager]],1,0)</f>
        <v>0</v>
      </c>
      <c r="N65" s="45">
        <f>IF(BrewdogNew3[[#This Row],[Yeast]]=BrewdogNew3[[#Headers],[Wyeast 3711 - French Saison]],1,0)</f>
        <v>0</v>
      </c>
      <c r="O65" s="45">
        <f>IF(BrewdogNew3[[#This Row],[Yeast]]=BrewdogNew3[[#Headers],[Wyeast 1272 - American Ale II]],1,0)</f>
        <v>0</v>
      </c>
      <c r="P65" s="45" t="str">
        <f>BrewdogNew3[[#This Row],[Name]]</f>
        <v>Hobo Pop</v>
      </c>
      <c r="Q65" t="str">
        <f>IF(BrewdogNew3[[#This Row],[EBC]]="*", BrewdogNew3[[#This Row],[IBU]], "")</f>
        <v/>
      </c>
      <c r="R65" t="str">
        <f>IF(BrewdogNew3[[#This Row],[EBC]]="*", BrewdogNew3[[#This Row],[OG]], "")</f>
        <v/>
      </c>
      <c r="S65" t="str">
        <f>IF(BrewdogNew3[[#This Row],[EBC]]="*", BrewdogNew3[[#This Row],[ABV]], "")</f>
        <v/>
      </c>
      <c r="T65" t="str">
        <f>IF(BrewdogNew3[[#This Row],[EBC]]="*", BrewdogNew3[[#This Row],[PH]], "")</f>
        <v/>
      </c>
      <c r="U65" t="str">
        <f>IF(BrewdogNew3[[#This Row],[EBC]]="*", BrewdogNew3[[#This Row],[AttenuationLevel]], "")</f>
        <v/>
      </c>
      <c r="V65" t="str">
        <f>IF(BrewdogNew3[[#This Row],[EBC]]="*", BrewdogNew3[[#This Row],[FermentationTempCelsius]], "")</f>
        <v/>
      </c>
      <c r="W65" t="str">
        <f>IF(BrewdogNew3[[#This Row],[EBC]]="*", BrewdogNew3[[#This Row],[Yeast]], "")</f>
        <v/>
      </c>
    </row>
    <row r="66" spans="1:23" x14ac:dyDescent="0.25">
      <c r="A66" s="45" t="s">
        <v>131</v>
      </c>
      <c r="B66">
        <v>11.8</v>
      </c>
      <c r="C66" s="2" t="s">
        <v>274</v>
      </c>
      <c r="D66">
        <v>80</v>
      </c>
      <c r="E66">
        <v>1096</v>
      </c>
      <c r="F66">
        <v>115</v>
      </c>
      <c r="G66">
        <f>IF(BrewdogNew3[[#This Row],[EBC]]="*",1,0)</f>
        <v>0</v>
      </c>
      <c r="H66">
        <v>5.2</v>
      </c>
      <c r="I66">
        <v>79.2</v>
      </c>
      <c r="J66">
        <v>20</v>
      </c>
      <c r="K66" s="45" t="s">
        <v>80</v>
      </c>
      <c r="L66" s="45">
        <f>IF(BrewdogNew3[[#This Row],[Yeast]]=BrewdogNew3[[#Headers],[Wyeast 1056 - American Ale]],1,0)</f>
        <v>0</v>
      </c>
      <c r="M66" s="45">
        <f>IF(BrewdogNew3[[#This Row],[Yeast]]=BrewdogNew3[[#Headers],[Wyeast 2007 - Pilsen Lager]],1,0)</f>
        <v>0</v>
      </c>
      <c r="N66" s="45">
        <f>IF(BrewdogNew3[[#This Row],[Yeast]]=BrewdogNew3[[#Headers],[Wyeast 3711 - French Saison]],1,0)</f>
        <v>0</v>
      </c>
      <c r="O66" s="45">
        <f>IF(BrewdogNew3[[#This Row],[Yeast]]=BrewdogNew3[[#Headers],[Wyeast 1272 - American Ale II]],1,0)</f>
        <v>1</v>
      </c>
      <c r="P66" s="45" t="str">
        <f>BrewdogNew3[[#This Row],[Name]]</f>
        <v>AB:18</v>
      </c>
      <c r="Q66" t="str">
        <f>IF(BrewdogNew3[[#This Row],[EBC]]="*", BrewdogNew3[[#This Row],[IBU]], "")</f>
        <v/>
      </c>
      <c r="R66" t="str">
        <f>IF(BrewdogNew3[[#This Row],[EBC]]="*", BrewdogNew3[[#This Row],[OG]], "")</f>
        <v/>
      </c>
      <c r="S66" t="str">
        <f>IF(BrewdogNew3[[#This Row],[EBC]]="*", BrewdogNew3[[#This Row],[ABV]], "")</f>
        <v/>
      </c>
      <c r="T66" t="str">
        <f>IF(BrewdogNew3[[#This Row],[EBC]]="*", BrewdogNew3[[#This Row],[PH]], "")</f>
        <v/>
      </c>
      <c r="U66" t="str">
        <f>IF(BrewdogNew3[[#This Row],[EBC]]="*", BrewdogNew3[[#This Row],[AttenuationLevel]], "")</f>
        <v/>
      </c>
      <c r="V66" t="str">
        <f>IF(BrewdogNew3[[#This Row],[EBC]]="*", BrewdogNew3[[#This Row],[FermentationTempCelsius]], "")</f>
        <v/>
      </c>
      <c r="W66" t="str">
        <f>IF(BrewdogNew3[[#This Row],[EBC]]="*", BrewdogNew3[[#This Row],[Yeast]], "")</f>
        <v/>
      </c>
    </row>
    <row r="67" spans="1:23" x14ac:dyDescent="0.25">
      <c r="A67" s="45" t="s">
        <v>132</v>
      </c>
      <c r="B67">
        <v>7.6</v>
      </c>
      <c r="C67" s="2" t="s">
        <v>274</v>
      </c>
      <c r="D67">
        <v>70</v>
      </c>
      <c r="E67">
        <v>1073</v>
      </c>
      <c r="F67">
        <v>59</v>
      </c>
      <c r="G67">
        <f>IF(BrewdogNew3[[#This Row],[EBC]]="*",1,0)</f>
        <v>0</v>
      </c>
      <c r="H67">
        <v>4.4000000000000004</v>
      </c>
      <c r="I67">
        <v>79.5</v>
      </c>
      <c r="J67">
        <v>20</v>
      </c>
      <c r="K67" s="45" t="s">
        <v>80</v>
      </c>
      <c r="L67" s="45">
        <f>IF(BrewdogNew3[[#This Row],[Yeast]]=BrewdogNew3[[#Headers],[Wyeast 1056 - American Ale]],1,0)</f>
        <v>0</v>
      </c>
      <c r="M67" s="45">
        <f>IF(BrewdogNew3[[#This Row],[Yeast]]=BrewdogNew3[[#Headers],[Wyeast 2007 - Pilsen Lager]],1,0)</f>
        <v>0</v>
      </c>
      <c r="N67" s="45">
        <f>IF(BrewdogNew3[[#This Row],[Yeast]]=BrewdogNew3[[#Headers],[Wyeast 3711 - French Saison]],1,0)</f>
        <v>0</v>
      </c>
      <c r="O67" s="45">
        <f>IF(BrewdogNew3[[#This Row],[Yeast]]=BrewdogNew3[[#Headers],[Wyeast 1272 - American Ale II]],1,0)</f>
        <v>1</v>
      </c>
      <c r="P67" s="45" t="str">
        <f>BrewdogNew3[[#This Row],[Name]]</f>
        <v>Hops Kill Nazis</v>
      </c>
      <c r="Q67" t="str">
        <f>IF(BrewdogNew3[[#This Row],[EBC]]="*", BrewdogNew3[[#This Row],[IBU]], "")</f>
        <v/>
      </c>
      <c r="R67" t="str">
        <f>IF(BrewdogNew3[[#This Row],[EBC]]="*", BrewdogNew3[[#This Row],[OG]], "")</f>
        <v/>
      </c>
      <c r="S67" t="str">
        <f>IF(BrewdogNew3[[#This Row],[EBC]]="*", BrewdogNew3[[#This Row],[ABV]], "")</f>
        <v/>
      </c>
      <c r="T67" t="str">
        <f>IF(BrewdogNew3[[#This Row],[EBC]]="*", BrewdogNew3[[#This Row],[PH]], "")</f>
        <v/>
      </c>
      <c r="U67" t="str">
        <f>IF(BrewdogNew3[[#This Row],[EBC]]="*", BrewdogNew3[[#This Row],[AttenuationLevel]], "")</f>
        <v/>
      </c>
      <c r="V67" t="str">
        <f>IF(BrewdogNew3[[#This Row],[EBC]]="*", BrewdogNew3[[#This Row],[FermentationTempCelsius]], "")</f>
        <v/>
      </c>
      <c r="W67" t="str">
        <f>IF(BrewdogNew3[[#This Row],[EBC]]="*", BrewdogNew3[[#This Row],[Yeast]], "")</f>
        <v/>
      </c>
    </row>
    <row r="68" spans="1:23" x14ac:dyDescent="0.25">
      <c r="A68" s="45" t="s">
        <v>133</v>
      </c>
      <c r="B68">
        <v>15</v>
      </c>
      <c r="C68" s="2" t="s">
        <v>274</v>
      </c>
      <c r="D68">
        <v>80</v>
      </c>
      <c r="E68">
        <v>1113</v>
      </c>
      <c r="F68">
        <v>400</v>
      </c>
      <c r="G68">
        <f>IF(BrewdogNew3[[#This Row],[EBC]]="*",1,0)</f>
        <v>0</v>
      </c>
      <c r="H68">
        <v>4</v>
      </c>
      <c r="I68">
        <v>84.1</v>
      </c>
      <c r="J68">
        <v>21</v>
      </c>
      <c r="K68" s="45" t="s">
        <v>80</v>
      </c>
      <c r="L68" s="45">
        <f>IF(BrewdogNew3[[#This Row],[Yeast]]=BrewdogNew3[[#Headers],[Wyeast 1056 - American Ale]],1,0)</f>
        <v>0</v>
      </c>
      <c r="M68" s="45">
        <f>IF(BrewdogNew3[[#This Row],[Yeast]]=BrewdogNew3[[#Headers],[Wyeast 2007 - Pilsen Lager]],1,0)</f>
        <v>0</v>
      </c>
      <c r="N68" s="45">
        <f>IF(BrewdogNew3[[#This Row],[Yeast]]=BrewdogNew3[[#Headers],[Wyeast 3711 - French Saison]],1,0)</f>
        <v>0</v>
      </c>
      <c r="O68" s="45">
        <f>IF(BrewdogNew3[[#This Row],[Yeast]]=BrewdogNew3[[#Headers],[Wyeast 1272 - American Ale II]],1,0)</f>
        <v>1</v>
      </c>
      <c r="P68" s="45" t="str">
        <f>BrewdogNew3[[#This Row],[Name]]</f>
        <v>AB:04</v>
      </c>
      <c r="Q68" t="str">
        <f>IF(BrewdogNew3[[#This Row],[EBC]]="*", BrewdogNew3[[#This Row],[IBU]], "")</f>
        <v/>
      </c>
      <c r="R68" t="str">
        <f>IF(BrewdogNew3[[#This Row],[EBC]]="*", BrewdogNew3[[#This Row],[OG]], "")</f>
        <v/>
      </c>
      <c r="S68" t="str">
        <f>IF(BrewdogNew3[[#This Row],[EBC]]="*", BrewdogNew3[[#This Row],[ABV]], "")</f>
        <v/>
      </c>
      <c r="T68" t="str">
        <f>IF(BrewdogNew3[[#This Row],[EBC]]="*", BrewdogNew3[[#This Row],[PH]], "")</f>
        <v/>
      </c>
      <c r="U68" t="str">
        <f>IF(BrewdogNew3[[#This Row],[EBC]]="*", BrewdogNew3[[#This Row],[AttenuationLevel]], "")</f>
        <v/>
      </c>
      <c r="V68" t="str">
        <f>IF(BrewdogNew3[[#This Row],[EBC]]="*", BrewdogNew3[[#This Row],[FermentationTempCelsius]], "")</f>
        <v/>
      </c>
      <c r="W68" t="str">
        <f>IF(BrewdogNew3[[#This Row],[EBC]]="*", BrewdogNew3[[#This Row],[Yeast]], "")</f>
        <v/>
      </c>
    </row>
    <row r="69" spans="1:23" x14ac:dyDescent="0.25">
      <c r="A69" s="45" t="s">
        <v>134</v>
      </c>
      <c r="B69">
        <v>4.4000000000000004</v>
      </c>
      <c r="C69" s="2" t="s">
        <v>274</v>
      </c>
      <c r="D69">
        <v>35</v>
      </c>
      <c r="E69">
        <v>1040</v>
      </c>
      <c r="F69">
        <v>12</v>
      </c>
      <c r="G69">
        <f>IF(BrewdogNew3[[#This Row],[EBC]]="*",1,0)</f>
        <v>0</v>
      </c>
      <c r="H69">
        <v>4.4000000000000004</v>
      </c>
      <c r="I69">
        <v>79.5</v>
      </c>
      <c r="J69">
        <v>10</v>
      </c>
      <c r="K69" s="45" t="s">
        <v>68</v>
      </c>
      <c r="L69" s="45">
        <f>IF(BrewdogNew3[[#This Row],[Yeast]]=BrewdogNew3[[#Headers],[Wyeast 1056 - American Ale]],1,0)</f>
        <v>0</v>
      </c>
      <c r="M69" s="45">
        <f>IF(BrewdogNew3[[#This Row],[Yeast]]=BrewdogNew3[[#Headers],[Wyeast 2007 - Pilsen Lager]],1,0)</f>
        <v>1</v>
      </c>
      <c r="N69" s="45">
        <f>IF(BrewdogNew3[[#This Row],[Yeast]]=BrewdogNew3[[#Headers],[Wyeast 3711 - French Saison]],1,0)</f>
        <v>0</v>
      </c>
      <c r="O69" s="45">
        <f>IF(BrewdogNew3[[#This Row],[Yeast]]=BrewdogNew3[[#Headers],[Wyeast 1272 - American Ale II]],1,0)</f>
        <v>0</v>
      </c>
      <c r="P69" s="45" t="str">
        <f>BrewdogNew3[[#This Row],[Name]]</f>
        <v>India Session Lager - Prototype Challenge</v>
      </c>
      <c r="Q69" t="str">
        <f>IF(BrewdogNew3[[#This Row],[EBC]]="*", BrewdogNew3[[#This Row],[IBU]], "")</f>
        <v/>
      </c>
      <c r="R69" t="str">
        <f>IF(BrewdogNew3[[#This Row],[EBC]]="*", BrewdogNew3[[#This Row],[OG]], "")</f>
        <v/>
      </c>
      <c r="S69" t="str">
        <f>IF(BrewdogNew3[[#This Row],[EBC]]="*", BrewdogNew3[[#This Row],[ABV]], "")</f>
        <v/>
      </c>
      <c r="T69" t="str">
        <f>IF(BrewdogNew3[[#This Row],[EBC]]="*", BrewdogNew3[[#This Row],[PH]], "")</f>
        <v/>
      </c>
      <c r="U69" t="str">
        <f>IF(BrewdogNew3[[#This Row],[EBC]]="*", BrewdogNew3[[#This Row],[AttenuationLevel]], "")</f>
        <v/>
      </c>
      <c r="V69" t="str">
        <f>IF(BrewdogNew3[[#This Row],[EBC]]="*", BrewdogNew3[[#This Row],[FermentationTempCelsius]], "")</f>
        <v/>
      </c>
      <c r="W69" t="str">
        <f>IF(BrewdogNew3[[#This Row],[EBC]]="*", BrewdogNew3[[#This Row],[Yeast]], "")</f>
        <v/>
      </c>
    </row>
    <row r="70" spans="1:23" x14ac:dyDescent="0.25">
      <c r="A70" s="45" t="s">
        <v>135</v>
      </c>
      <c r="B70">
        <v>6.3</v>
      </c>
      <c r="C70" s="2" t="s">
        <v>274</v>
      </c>
      <c r="D70">
        <v>85</v>
      </c>
      <c r="E70">
        <v>1063</v>
      </c>
      <c r="F70">
        <v>24</v>
      </c>
      <c r="G70">
        <f>IF(BrewdogNew3[[#This Row],[EBC]]="*",1,0)</f>
        <v>0</v>
      </c>
      <c r="H70">
        <v>4.2</v>
      </c>
      <c r="I70">
        <v>82.6</v>
      </c>
      <c r="J70">
        <v>19</v>
      </c>
      <c r="K70" s="45" t="s">
        <v>64</v>
      </c>
      <c r="L70" s="45">
        <f>IF(BrewdogNew3[[#This Row],[Yeast]]=BrewdogNew3[[#Headers],[Wyeast 1056 - American Ale]],1,0)</f>
        <v>1</v>
      </c>
      <c r="M70" s="45">
        <f>IF(BrewdogNew3[[#This Row],[Yeast]]=BrewdogNew3[[#Headers],[Wyeast 2007 - Pilsen Lager]],1,0)</f>
        <v>0</v>
      </c>
      <c r="N70" s="45">
        <f>IF(BrewdogNew3[[#This Row],[Yeast]]=BrewdogNew3[[#Headers],[Wyeast 3711 - French Saison]],1,0)</f>
        <v>0</v>
      </c>
      <c r="O70" s="45">
        <f>IF(BrewdogNew3[[#This Row],[Yeast]]=BrewdogNew3[[#Headers],[Wyeast 1272 - American Ale II]],1,0)</f>
        <v>0</v>
      </c>
      <c r="P70" s="45" t="str">
        <f>BrewdogNew3[[#This Row],[Name]]</f>
        <v>Hopped-Up Brown Ale - Prototype Challenge</v>
      </c>
      <c r="Q70" t="str">
        <f>IF(BrewdogNew3[[#This Row],[EBC]]="*", BrewdogNew3[[#This Row],[IBU]], "")</f>
        <v/>
      </c>
      <c r="R70" t="str">
        <f>IF(BrewdogNew3[[#This Row],[EBC]]="*", BrewdogNew3[[#This Row],[OG]], "")</f>
        <v/>
      </c>
      <c r="S70" t="str">
        <f>IF(BrewdogNew3[[#This Row],[EBC]]="*", BrewdogNew3[[#This Row],[ABV]], "")</f>
        <v/>
      </c>
      <c r="T70" t="str">
        <f>IF(BrewdogNew3[[#This Row],[EBC]]="*", BrewdogNew3[[#This Row],[PH]], "")</f>
        <v/>
      </c>
      <c r="U70" t="str">
        <f>IF(BrewdogNew3[[#This Row],[EBC]]="*", BrewdogNew3[[#This Row],[AttenuationLevel]], "")</f>
        <v/>
      </c>
      <c r="V70" t="str">
        <f>IF(BrewdogNew3[[#This Row],[EBC]]="*", BrewdogNew3[[#This Row],[FermentationTempCelsius]], "")</f>
        <v/>
      </c>
      <c r="W70" t="str">
        <f>IF(BrewdogNew3[[#This Row],[EBC]]="*", BrewdogNew3[[#This Row],[Yeast]], "")</f>
        <v/>
      </c>
    </row>
    <row r="71" spans="1:23" x14ac:dyDescent="0.25">
      <c r="A71" s="45" t="s">
        <v>136</v>
      </c>
      <c r="B71">
        <v>7.2</v>
      </c>
      <c r="C71" s="2" t="s">
        <v>274</v>
      </c>
      <c r="D71">
        <v>70</v>
      </c>
      <c r="E71">
        <v>1067</v>
      </c>
      <c r="F71">
        <v>30</v>
      </c>
      <c r="G71">
        <f>IF(BrewdogNew3[[#This Row],[EBC]]="*",1,0)</f>
        <v>0</v>
      </c>
      <c r="H71">
        <v>4.4000000000000004</v>
      </c>
      <c r="I71">
        <v>82.1</v>
      </c>
      <c r="J71">
        <v>19</v>
      </c>
      <c r="K71" s="45" t="s">
        <v>64</v>
      </c>
      <c r="L71" s="45">
        <f>IF(BrewdogNew3[[#This Row],[Yeast]]=BrewdogNew3[[#Headers],[Wyeast 1056 - American Ale]],1,0)</f>
        <v>1</v>
      </c>
      <c r="M71" s="45">
        <f>IF(BrewdogNew3[[#This Row],[Yeast]]=BrewdogNew3[[#Headers],[Wyeast 2007 - Pilsen Lager]],1,0)</f>
        <v>0</v>
      </c>
      <c r="N71" s="45">
        <f>IF(BrewdogNew3[[#This Row],[Yeast]]=BrewdogNew3[[#Headers],[Wyeast 3711 - French Saison]],1,0)</f>
        <v>0</v>
      </c>
      <c r="O71" s="45">
        <f>IF(BrewdogNew3[[#This Row],[Yeast]]=BrewdogNew3[[#Headers],[Wyeast 1272 - American Ale II]],1,0)</f>
        <v>0</v>
      </c>
      <c r="P71" s="45" t="str">
        <f>BrewdogNew3[[#This Row],[Name]]</f>
        <v>Comet</v>
      </c>
      <c r="Q71" t="str">
        <f>IF(BrewdogNew3[[#This Row],[EBC]]="*", BrewdogNew3[[#This Row],[IBU]], "")</f>
        <v/>
      </c>
      <c r="R71" t="str">
        <f>IF(BrewdogNew3[[#This Row],[EBC]]="*", BrewdogNew3[[#This Row],[OG]], "")</f>
        <v/>
      </c>
      <c r="S71" t="str">
        <f>IF(BrewdogNew3[[#This Row],[EBC]]="*", BrewdogNew3[[#This Row],[ABV]], "")</f>
        <v/>
      </c>
      <c r="T71" t="str">
        <f>IF(BrewdogNew3[[#This Row],[EBC]]="*", BrewdogNew3[[#This Row],[PH]], "")</f>
        <v/>
      </c>
      <c r="U71" t="str">
        <f>IF(BrewdogNew3[[#This Row],[EBC]]="*", BrewdogNew3[[#This Row],[AttenuationLevel]], "")</f>
        <v/>
      </c>
      <c r="V71" t="str">
        <f>IF(BrewdogNew3[[#This Row],[EBC]]="*", BrewdogNew3[[#This Row],[FermentationTempCelsius]], "")</f>
        <v/>
      </c>
      <c r="W71" t="str">
        <f>IF(BrewdogNew3[[#This Row],[EBC]]="*", BrewdogNew3[[#This Row],[Yeast]], "")</f>
        <v/>
      </c>
    </row>
    <row r="72" spans="1:23" x14ac:dyDescent="0.25">
      <c r="A72" s="45" t="s">
        <v>137</v>
      </c>
      <c r="B72" s="31" t="s">
        <v>32</v>
      </c>
      <c r="C72" s="51">
        <v>1</v>
      </c>
      <c r="D72">
        <v>9</v>
      </c>
      <c r="E72">
        <v>1032</v>
      </c>
      <c r="F72">
        <v>2</v>
      </c>
      <c r="G72">
        <f>IF(BrewdogNew3[[#This Row],[EBC]]="*",1,0)</f>
        <v>0</v>
      </c>
      <c r="H72">
        <v>4.4000000000000004</v>
      </c>
      <c r="I72">
        <v>88</v>
      </c>
      <c r="J72">
        <v>21</v>
      </c>
      <c r="K72" s="45" t="s">
        <v>71</v>
      </c>
      <c r="L72" s="45">
        <f>IF(BrewdogNew3[[#This Row],[Yeast]]=BrewdogNew3[[#Headers],[Wyeast 1056 - American Ale]],1,0)</f>
        <v>0</v>
      </c>
      <c r="M72" s="45">
        <f>IF(BrewdogNew3[[#This Row],[Yeast]]=BrewdogNew3[[#Headers],[Wyeast 2007 - Pilsen Lager]],1,0)</f>
        <v>0</v>
      </c>
      <c r="N72" s="45">
        <f>IF(BrewdogNew3[[#This Row],[Yeast]]=BrewdogNew3[[#Headers],[Wyeast 3711 - French Saison]],1,0)</f>
        <v>1</v>
      </c>
      <c r="O72" s="45">
        <f>IF(BrewdogNew3[[#This Row],[Yeast]]=BrewdogNew3[[#Headers],[Wyeast 1272 - American Ale II]],1,0)</f>
        <v>0</v>
      </c>
      <c r="P72" s="45" t="str">
        <f>BrewdogNew3[[#This Row],[Name]]</f>
        <v>Baby Saison - B-Sides</v>
      </c>
      <c r="Q72" t="str">
        <f>IF(BrewdogNew3[[#This Row],[EBC]]="*", BrewdogNew3[[#This Row],[IBU]], "")</f>
        <v/>
      </c>
      <c r="R72" t="str">
        <f>IF(BrewdogNew3[[#This Row],[EBC]]="*", BrewdogNew3[[#This Row],[OG]], "")</f>
        <v/>
      </c>
      <c r="S72" t="str">
        <f>IF(BrewdogNew3[[#This Row],[EBC]]="*", BrewdogNew3[[#This Row],[ABV]], "")</f>
        <v/>
      </c>
      <c r="T72" t="str">
        <f>IF(BrewdogNew3[[#This Row],[EBC]]="*", BrewdogNew3[[#This Row],[PH]], "")</f>
        <v/>
      </c>
      <c r="U72" t="str">
        <f>IF(BrewdogNew3[[#This Row],[EBC]]="*", BrewdogNew3[[#This Row],[AttenuationLevel]], "")</f>
        <v/>
      </c>
      <c r="V72" t="str">
        <f>IF(BrewdogNew3[[#This Row],[EBC]]="*", BrewdogNew3[[#This Row],[FermentationTempCelsius]], "")</f>
        <v/>
      </c>
      <c r="W72" t="str">
        <f>IF(BrewdogNew3[[#This Row],[EBC]]="*", BrewdogNew3[[#This Row],[Yeast]], "")</f>
        <v/>
      </c>
    </row>
    <row r="73" spans="1:23" x14ac:dyDescent="0.25">
      <c r="A73" s="45" t="s">
        <v>138</v>
      </c>
      <c r="B73">
        <v>4.5</v>
      </c>
      <c r="C73" s="2" t="s">
        <v>274</v>
      </c>
      <c r="D73">
        <v>35</v>
      </c>
      <c r="E73">
        <v>1048</v>
      </c>
      <c r="F73">
        <v>44</v>
      </c>
      <c r="G73">
        <f>IF(BrewdogNew3[[#This Row],[EBC]]="*",1,0)</f>
        <v>0</v>
      </c>
      <c r="H73">
        <v>4.4000000000000004</v>
      </c>
      <c r="I73">
        <v>72.900000000000006</v>
      </c>
      <c r="J73">
        <v>19</v>
      </c>
      <c r="K73" s="45" t="s">
        <v>64</v>
      </c>
      <c r="L73" s="45">
        <f>IF(BrewdogNew3[[#This Row],[Yeast]]=BrewdogNew3[[#Headers],[Wyeast 1056 - American Ale]],1,0)</f>
        <v>1</v>
      </c>
      <c r="M73" s="45">
        <f>IF(BrewdogNew3[[#This Row],[Yeast]]=BrewdogNew3[[#Headers],[Wyeast 2007 - Pilsen Lager]],1,0)</f>
        <v>0</v>
      </c>
      <c r="N73" s="45">
        <f>IF(BrewdogNew3[[#This Row],[Yeast]]=BrewdogNew3[[#Headers],[Wyeast 3711 - French Saison]],1,0)</f>
        <v>0</v>
      </c>
      <c r="O73" s="45">
        <f>IF(BrewdogNew3[[#This Row],[Yeast]]=BrewdogNew3[[#Headers],[Wyeast 1272 - American Ale II]],1,0)</f>
        <v>0</v>
      </c>
      <c r="P73" s="45" t="str">
        <f>BrewdogNew3[[#This Row],[Name]]</f>
        <v>Santa Paws</v>
      </c>
      <c r="Q73" t="str">
        <f>IF(BrewdogNew3[[#This Row],[EBC]]="*", BrewdogNew3[[#This Row],[IBU]], "")</f>
        <v/>
      </c>
      <c r="R73" t="str">
        <f>IF(BrewdogNew3[[#This Row],[EBC]]="*", BrewdogNew3[[#This Row],[OG]], "")</f>
        <v/>
      </c>
      <c r="S73" t="str">
        <f>IF(BrewdogNew3[[#This Row],[EBC]]="*", BrewdogNew3[[#This Row],[ABV]], "")</f>
        <v/>
      </c>
      <c r="T73" t="str">
        <f>IF(BrewdogNew3[[#This Row],[EBC]]="*", BrewdogNew3[[#This Row],[PH]], "")</f>
        <v/>
      </c>
      <c r="U73" t="str">
        <f>IF(BrewdogNew3[[#This Row],[EBC]]="*", BrewdogNew3[[#This Row],[AttenuationLevel]], "")</f>
        <v/>
      </c>
      <c r="V73" t="str">
        <f>IF(BrewdogNew3[[#This Row],[EBC]]="*", BrewdogNew3[[#This Row],[FermentationTempCelsius]], "")</f>
        <v/>
      </c>
      <c r="W73" t="str">
        <f>IF(BrewdogNew3[[#This Row],[EBC]]="*", BrewdogNew3[[#This Row],[Yeast]], "")</f>
        <v/>
      </c>
    </row>
    <row r="74" spans="1:23" x14ac:dyDescent="0.25">
      <c r="A74" s="45" t="s">
        <v>139</v>
      </c>
      <c r="B74">
        <v>4.5</v>
      </c>
      <c r="C74" s="2" t="s">
        <v>274</v>
      </c>
      <c r="D74">
        <v>30</v>
      </c>
      <c r="E74">
        <v>1045</v>
      </c>
      <c r="F74">
        <v>25</v>
      </c>
      <c r="G74">
        <f>IF(BrewdogNew3[[#This Row],[EBC]]="*",1,0)</f>
        <v>0</v>
      </c>
      <c r="H74">
        <v>4.4000000000000004</v>
      </c>
      <c r="I74">
        <v>75.599999999999994</v>
      </c>
      <c r="J74">
        <v>19</v>
      </c>
      <c r="K74" s="45" t="s">
        <v>64</v>
      </c>
      <c r="L74" s="45">
        <f>IF(BrewdogNew3[[#This Row],[Yeast]]=BrewdogNew3[[#Headers],[Wyeast 1056 - American Ale]],1,0)</f>
        <v>1</v>
      </c>
      <c r="M74" s="45">
        <f>IF(BrewdogNew3[[#This Row],[Yeast]]=BrewdogNew3[[#Headers],[Wyeast 2007 - Pilsen Lager]],1,0)</f>
        <v>0</v>
      </c>
      <c r="N74" s="45">
        <f>IF(BrewdogNew3[[#This Row],[Yeast]]=BrewdogNew3[[#Headers],[Wyeast 3711 - French Saison]],1,0)</f>
        <v>0</v>
      </c>
      <c r="O74" s="45">
        <f>IF(BrewdogNew3[[#This Row],[Yeast]]=BrewdogNew3[[#Headers],[Wyeast 1272 - American Ale II]],1,0)</f>
        <v>0</v>
      </c>
      <c r="P74" s="45" t="str">
        <f>BrewdogNew3[[#This Row],[Name]]</f>
        <v>Alpha Pop</v>
      </c>
      <c r="Q74" t="str">
        <f>IF(BrewdogNew3[[#This Row],[EBC]]="*", BrewdogNew3[[#This Row],[IBU]], "")</f>
        <v/>
      </c>
      <c r="R74" t="str">
        <f>IF(BrewdogNew3[[#This Row],[EBC]]="*", BrewdogNew3[[#This Row],[OG]], "")</f>
        <v/>
      </c>
      <c r="S74" t="str">
        <f>IF(BrewdogNew3[[#This Row],[EBC]]="*", BrewdogNew3[[#This Row],[ABV]], "")</f>
        <v/>
      </c>
      <c r="T74" t="str">
        <f>IF(BrewdogNew3[[#This Row],[EBC]]="*", BrewdogNew3[[#This Row],[PH]], "")</f>
        <v/>
      </c>
      <c r="U74" t="str">
        <f>IF(BrewdogNew3[[#This Row],[EBC]]="*", BrewdogNew3[[#This Row],[AttenuationLevel]], "")</f>
        <v/>
      </c>
      <c r="V74" t="str">
        <f>IF(BrewdogNew3[[#This Row],[EBC]]="*", BrewdogNew3[[#This Row],[FermentationTempCelsius]], "")</f>
        <v/>
      </c>
      <c r="W74" t="str">
        <f>IF(BrewdogNew3[[#This Row],[EBC]]="*", BrewdogNew3[[#This Row],[Yeast]], "")</f>
        <v/>
      </c>
    </row>
    <row r="75" spans="1:23" x14ac:dyDescent="0.25">
      <c r="A75" s="45" t="s">
        <v>140</v>
      </c>
      <c r="B75">
        <v>7.5</v>
      </c>
      <c r="C75" s="2" t="s">
        <v>274</v>
      </c>
      <c r="D75">
        <v>70</v>
      </c>
      <c r="E75">
        <v>1068</v>
      </c>
      <c r="F75">
        <v>30</v>
      </c>
      <c r="G75">
        <f>IF(BrewdogNew3[[#This Row],[EBC]]="*",1,0)</f>
        <v>0</v>
      </c>
      <c r="H75">
        <v>4.4000000000000004</v>
      </c>
      <c r="I75">
        <v>82.1</v>
      </c>
      <c r="J75">
        <v>19</v>
      </c>
      <c r="K75" s="45" t="s">
        <v>64</v>
      </c>
      <c r="L75" s="45">
        <f>IF(BrewdogNew3[[#This Row],[Yeast]]=BrewdogNew3[[#Headers],[Wyeast 1056 - American Ale]],1,0)</f>
        <v>1</v>
      </c>
      <c r="M75" s="45">
        <f>IF(BrewdogNew3[[#This Row],[Yeast]]=BrewdogNew3[[#Headers],[Wyeast 2007 - Pilsen Lager]],1,0)</f>
        <v>0</v>
      </c>
      <c r="N75" s="45">
        <f>IF(BrewdogNew3[[#This Row],[Yeast]]=BrewdogNew3[[#Headers],[Wyeast 3711 - French Saison]],1,0)</f>
        <v>0</v>
      </c>
      <c r="O75" s="45">
        <f>IF(BrewdogNew3[[#This Row],[Yeast]]=BrewdogNew3[[#Headers],[Wyeast 1272 - American Ale II]],1,0)</f>
        <v>0</v>
      </c>
      <c r="P75" s="45" t="str">
        <f>BrewdogNew3[[#This Row],[Name]]</f>
        <v>Citra</v>
      </c>
      <c r="Q75" t="str">
        <f>IF(BrewdogNew3[[#This Row],[EBC]]="*", BrewdogNew3[[#This Row],[IBU]], "")</f>
        <v/>
      </c>
      <c r="R75" t="str">
        <f>IF(BrewdogNew3[[#This Row],[EBC]]="*", BrewdogNew3[[#This Row],[OG]], "")</f>
        <v/>
      </c>
      <c r="S75" t="str">
        <f>IF(BrewdogNew3[[#This Row],[EBC]]="*", BrewdogNew3[[#This Row],[ABV]], "")</f>
        <v/>
      </c>
      <c r="T75" t="str">
        <f>IF(BrewdogNew3[[#This Row],[EBC]]="*", BrewdogNew3[[#This Row],[PH]], "")</f>
        <v/>
      </c>
      <c r="U75" t="str">
        <f>IF(BrewdogNew3[[#This Row],[EBC]]="*", BrewdogNew3[[#This Row],[AttenuationLevel]], "")</f>
        <v/>
      </c>
      <c r="V75" t="str">
        <f>IF(BrewdogNew3[[#This Row],[EBC]]="*", BrewdogNew3[[#This Row],[FermentationTempCelsius]], "")</f>
        <v/>
      </c>
      <c r="W75" t="str">
        <f>IF(BrewdogNew3[[#This Row],[EBC]]="*", BrewdogNew3[[#This Row],[Yeast]], "")</f>
        <v/>
      </c>
    </row>
    <row r="76" spans="1:23" x14ac:dyDescent="0.25">
      <c r="A76" s="45" t="s">
        <v>141</v>
      </c>
      <c r="B76">
        <v>10</v>
      </c>
      <c r="C76" s="2" t="s">
        <v>274</v>
      </c>
      <c r="D76">
        <v>85</v>
      </c>
      <c r="E76">
        <v>1098</v>
      </c>
      <c r="F76">
        <v>130</v>
      </c>
      <c r="G76">
        <f>IF(BrewdogNew3[[#This Row],[EBC]]="*",1,0)</f>
        <v>0</v>
      </c>
      <c r="H76">
        <v>4.4000000000000004</v>
      </c>
      <c r="I76">
        <v>79.599999999999994</v>
      </c>
      <c r="J76">
        <v>21</v>
      </c>
      <c r="K76" s="45" t="s">
        <v>80</v>
      </c>
      <c r="L76" s="45">
        <f>IF(BrewdogNew3[[#This Row],[Yeast]]=BrewdogNew3[[#Headers],[Wyeast 1056 - American Ale]],1,0)</f>
        <v>0</v>
      </c>
      <c r="M76" s="45">
        <f>IF(BrewdogNew3[[#This Row],[Yeast]]=BrewdogNew3[[#Headers],[Wyeast 2007 - Pilsen Lager]],1,0)</f>
        <v>0</v>
      </c>
      <c r="N76" s="45">
        <f>IF(BrewdogNew3[[#This Row],[Yeast]]=BrewdogNew3[[#Headers],[Wyeast 3711 - French Saison]],1,0)</f>
        <v>0</v>
      </c>
      <c r="O76" s="45">
        <f>IF(BrewdogNew3[[#This Row],[Yeast]]=BrewdogNew3[[#Headers],[Wyeast 1272 - American Ale II]],1,0)</f>
        <v>1</v>
      </c>
      <c r="P76" s="45" t="str">
        <f>BrewdogNew3[[#This Row],[Name]]</f>
        <v>#Mashtag 2015</v>
      </c>
      <c r="Q76" t="str">
        <f>IF(BrewdogNew3[[#This Row],[EBC]]="*", BrewdogNew3[[#This Row],[IBU]], "")</f>
        <v/>
      </c>
      <c r="R76" t="str">
        <f>IF(BrewdogNew3[[#This Row],[EBC]]="*", BrewdogNew3[[#This Row],[OG]], "")</f>
        <v/>
      </c>
      <c r="S76" t="str">
        <f>IF(BrewdogNew3[[#This Row],[EBC]]="*", BrewdogNew3[[#This Row],[ABV]], "")</f>
        <v/>
      </c>
      <c r="T76" t="str">
        <f>IF(BrewdogNew3[[#This Row],[EBC]]="*", BrewdogNew3[[#This Row],[PH]], "")</f>
        <v/>
      </c>
      <c r="U76" t="str">
        <f>IF(BrewdogNew3[[#This Row],[EBC]]="*", BrewdogNew3[[#This Row],[AttenuationLevel]], "")</f>
        <v/>
      </c>
      <c r="V76" t="str">
        <f>IF(BrewdogNew3[[#This Row],[EBC]]="*", BrewdogNew3[[#This Row],[FermentationTempCelsius]], "")</f>
        <v/>
      </c>
      <c r="W76" t="str">
        <f>IF(BrewdogNew3[[#This Row],[EBC]]="*", BrewdogNew3[[#This Row],[Yeast]], "")</f>
        <v/>
      </c>
    </row>
    <row r="77" spans="1:23" x14ac:dyDescent="0.25">
      <c r="A77" s="45" t="s">
        <v>142</v>
      </c>
      <c r="B77">
        <v>3.8</v>
      </c>
      <c r="C77" s="2" t="s">
        <v>274</v>
      </c>
      <c r="D77">
        <v>35</v>
      </c>
      <c r="E77">
        <v>1040</v>
      </c>
      <c r="F77">
        <v>25</v>
      </c>
      <c r="G77">
        <f>IF(BrewdogNew3[[#This Row],[EBC]]="*",1,0)</f>
        <v>0</v>
      </c>
      <c r="H77">
        <v>4.4000000000000004</v>
      </c>
      <c r="I77">
        <v>70</v>
      </c>
      <c r="J77">
        <v>19</v>
      </c>
      <c r="K77" s="45" t="s">
        <v>64</v>
      </c>
      <c r="L77" s="45">
        <f>IF(BrewdogNew3[[#This Row],[Yeast]]=BrewdogNew3[[#Headers],[Wyeast 1056 - American Ale]],1,0)</f>
        <v>1</v>
      </c>
      <c r="M77" s="45">
        <f>IF(BrewdogNew3[[#This Row],[Yeast]]=BrewdogNew3[[#Headers],[Wyeast 2007 - Pilsen Lager]],1,0)</f>
        <v>0</v>
      </c>
      <c r="N77" s="45">
        <f>IF(BrewdogNew3[[#This Row],[Yeast]]=BrewdogNew3[[#Headers],[Wyeast 3711 - French Saison]],1,0)</f>
        <v>0</v>
      </c>
      <c r="O77" s="45">
        <f>IF(BrewdogNew3[[#This Row],[Yeast]]=BrewdogNew3[[#Headers],[Wyeast 1272 - American Ale II]],1,0)</f>
        <v>0</v>
      </c>
      <c r="P77" s="45" t="str">
        <f>BrewdogNew3[[#This Row],[Name]]</f>
        <v>Dead Pony Club</v>
      </c>
      <c r="Q77" t="str">
        <f>IF(BrewdogNew3[[#This Row],[EBC]]="*", BrewdogNew3[[#This Row],[IBU]], "")</f>
        <v/>
      </c>
      <c r="R77" t="str">
        <f>IF(BrewdogNew3[[#This Row],[EBC]]="*", BrewdogNew3[[#This Row],[OG]], "")</f>
        <v/>
      </c>
      <c r="S77" t="str">
        <f>IF(BrewdogNew3[[#This Row],[EBC]]="*", BrewdogNew3[[#This Row],[ABV]], "")</f>
        <v/>
      </c>
      <c r="T77" t="str">
        <f>IF(BrewdogNew3[[#This Row],[EBC]]="*", BrewdogNew3[[#This Row],[PH]], "")</f>
        <v/>
      </c>
      <c r="U77" t="str">
        <f>IF(BrewdogNew3[[#This Row],[EBC]]="*", BrewdogNew3[[#This Row],[AttenuationLevel]], "")</f>
        <v/>
      </c>
      <c r="V77" t="str">
        <f>IF(BrewdogNew3[[#This Row],[EBC]]="*", BrewdogNew3[[#This Row],[FermentationTempCelsius]], "")</f>
        <v/>
      </c>
      <c r="W77" t="str">
        <f>IF(BrewdogNew3[[#This Row],[EBC]]="*", BrewdogNew3[[#This Row],[Yeast]], "")</f>
        <v/>
      </c>
    </row>
    <row r="78" spans="1:23" x14ac:dyDescent="0.25">
      <c r="A78" s="45" t="s">
        <v>143</v>
      </c>
      <c r="B78">
        <v>6.4</v>
      </c>
      <c r="C78" s="2" t="s">
        <v>274</v>
      </c>
      <c r="D78">
        <v>40</v>
      </c>
      <c r="E78">
        <v>1057</v>
      </c>
      <c r="F78">
        <v>10</v>
      </c>
      <c r="G78">
        <f>IF(BrewdogNew3[[#This Row],[EBC]]="*",1,0)</f>
        <v>0</v>
      </c>
      <c r="H78">
        <v>3.5</v>
      </c>
      <c r="I78">
        <v>87</v>
      </c>
      <c r="J78">
        <v>20</v>
      </c>
      <c r="K78" s="45" t="s">
        <v>64</v>
      </c>
      <c r="L78" s="45">
        <f>IF(BrewdogNew3[[#This Row],[Yeast]]=BrewdogNew3[[#Headers],[Wyeast 1056 - American Ale]],1,0)</f>
        <v>1</v>
      </c>
      <c r="M78" s="45">
        <f>IF(BrewdogNew3[[#This Row],[Yeast]]=BrewdogNew3[[#Headers],[Wyeast 2007 - Pilsen Lager]],1,0)</f>
        <v>0</v>
      </c>
      <c r="N78" s="45">
        <f>IF(BrewdogNew3[[#This Row],[Yeast]]=BrewdogNew3[[#Headers],[Wyeast 3711 - French Saison]],1,0)</f>
        <v>0</v>
      </c>
      <c r="O78" s="45">
        <f>IF(BrewdogNew3[[#This Row],[Yeast]]=BrewdogNew3[[#Headers],[Wyeast 1272 - American Ale II]],1,0)</f>
        <v>0</v>
      </c>
      <c r="P78" s="45" t="str">
        <f>BrewdogNew3[[#This Row],[Name]]</f>
        <v>Mango Gose - B-Sides</v>
      </c>
      <c r="Q78" t="str">
        <f>IF(BrewdogNew3[[#This Row],[EBC]]="*", BrewdogNew3[[#This Row],[IBU]], "")</f>
        <v/>
      </c>
      <c r="R78" t="str">
        <f>IF(BrewdogNew3[[#This Row],[EBC]]="*", BrewdogNew3[[#This Row],[OG]], "")</f>
        <v/>
      </c>
      <c r="S78" t="str">
        <f>IF(BrewdogNew3[[#This Row],[EBC]]="*", BrewdogNew3[[#This Row],[ABV]], "")</f>
        <v/>
      </c>
      <c r="T78" t="str">
        <f>IF(BrewdogNew3[[#This Row],[EBC]]="*", BrewdogNew3[[#This Row],[PH]], "")</f>
        <v/>
      </c>
      <c r="U78" t="str">
        <f>IF(BrewdogNew3[[#This Row],[EBC]]="*", BrewdogNew3[[#This Row],[AttenuationLevel]], "")</f>
        <v/>
      </c>
      <c r="V78" t="str">
        <f>IF(BrewdogNew3[[#This Row],[EBC]]="*", BrewdogNew3[[#This Row],[FermentationTempCelsius]], "")</f>
        <v/>
      </c>
      <c r="W78" t="str">
        <f>IF(BrewdogNew3[[#This Row],[EBC]]="*", BrewdogNew3[[#This Row],[Yeast]], "")</f>
        <v/>
      </c>
    </row>
    <row r="79" spans="1:23" x14ac:dyDescent="0.25">
      <c r="A79" s="45" t="s">
        <v>144</v>
      </c>
      <c r="B79" s="31" t="s">
        <v>32</v>
      </c>
      <c r="C79" s="51">
        <v>1</v>
      </c>
      <c r="D79">
        <v>45</v>
      </c>
      <c r="E79">
        <v>1081</v>
      </c>
      <c r="F79">
        <v>15</v>
      </c>
      <c r="G79">
        <f>IF(BrewdogNew3[[#This Row],[EBC]]="*",1,0)</f>
        <v>0</v>
      </c>
      <c r="H79">
        <v>4.4000000000000004</v>
      </c>
      <c r="I79">
        <v>93.8</v>
      </c>
      <c r="J79">
        <v>23</v>
      </c>
      <c r="K79" s="45" t="s">
        <v>71</v>
      </c>
      <c r="L79" s="45">
        <f>IF(BrewdogNew3[[#This Row],[Yeast]]=BrewdogNew3[[#Headers],[Wyeast 1056 - American Ale]],1,0)</f>
        <v>0</v>
      </c>
      <c r="M79" s="45">
        <f>IF(BrewdogNew3[[#This Row],[Yeast]]=BrewdogNew3[[#Headers],[Wyeast 2007 - Pilsen Lager]],1,0)</f>
        <v>0</v>
      </c>
      <c r="N79" s="45">
        <f>IF(BrewdogNew3[[#This Row],[Yeast]]=BrewdogNew3[[#Headers],[Wyeast 3711 - French Saison]],1,0)</f>
        <v>1</v>
      </c>
      <c r="O79" s="45">
        <f>IF(BrewdogNew3[[#This Row],[Yeast]]=BrewdogNew3[[#Headers],[Wyeast 1272 - American Ale II]],1,0)</f>
        <v>0</v>
      </c>
      <c r="P79" s="45" t="str">
        <f>BrewdogNew3[[#This Row],[Name]]</f>
        <v>Everday Anarchy</v>
      </c>
      <c r="Q79" t="str">
        <f>IF(BrewdogNew3[[#This Row],[EBC]]="*", BrewdogNew3[[#This Row],[IBU]], "")</f>
        <v/>
      </c>
      <c r="R79" t="str">
        <f>IF(BrewdogNew3[[#This Row],[EBC]]="*", BrewdogNew3[[#This Row],[OG]], "")</f>
        <v/>
      </c>
      <c r="S79" t="str">
        <f>IF(BrewdogNew3[[#This Row],[EBC]]="*", BrewdogNew3[[#This Row],[ABV]], "")</f>
        <v/>
      </c>
      <c r="T79" t="str">
        <f>IF(BrewdogNew3[[#This Row],[EBC]]="*", BrewdogNew3[[#This Row],[PH]], "")</f>
        <v/>
      </c>
      <c r="U79" t="str">
        <f>IF(BrewdogNew3[[#This Row],[EBC]]="*", BrewdogNew3[[#This Row],[AttenuationLevel]], "")</f>
        <v/>
      </c>
      <c r="V79" t="str">
        <f>IF(BrewdogNew3[[#This Row],[EBC]]="*", BrewdogNew3[[#This Row],[FermentationTempCelsius]], "")</f>
        <v/>
      </c>
      <c r="W79" t="str">
        <f>IF(BrewdogNew3[[#This Row],[EBC]]="*", BrewdogNew3[[#This Row],[Yeast]], "")</f>
        <v/>
      </c>
    </row>
    <row r="80" spans="1:23" x14ac:dyDescent="0.25">
      <c r="A80" s="45" t="s">
        <v>145</v>
      </c>
      <c r="B80">
        <v>4</v>
      </c>
      <c r="C80" s="2" t="s">
        <v>274</v>
      </c>
      <c r="D80">
        <v>40</v>
      </c>
      <c r="E80">
        <v>1039</v>
      </c>
      <c r="F80">
        <v>18</v>
      </c>
      <c r="G80">
        <f>IF(BrewdogNew3[[#This Row],[EBC]]="*",1,0)</f>
        <v>0</v>
      </c>
      <c r="H80">
        <v>4.4000000000000004</v>
      </c>
      <c r="I80">
        <v>76.900000000000006</v>
      </c>
      <c r="J80">
        <v>19</v>
      </c>
      <c r="K80" s="45" t="s">
        <v>64</v>
      </c>
      <c r="L80" s="45">
        <f>IF(BrewdogNew3[[#This Row],[Yeast]]=BrewdogNew3[[#Headers],[Wyeast 1056 - American Ale]],1,0)</f>
        <v>1</v>
      </c>
      <c r="M80" s="45">
        <f>IF(BrewdogNew3[[#This Row],[Yeast]]=BrewdogNew3[[#Headers],[Wyeast 2007 - Pilsen Lager]],1,0)</f>
        <v>0</v>
      </c>
      <c r="N80" s="45">
        <f>IF(BrewdogNew3[[#This Row],[Yeast]]=BrewdogNew3[[#Headers],[Wyeast 3711 - French Saison]],1,0)</f>
        <v>0</v>
      </c>
      <c r="O80" s="45">
        <f>IF(BrewdogNew3[[#This Row],[Yeast]]=BrewdogNew3[[#Headers],[Wyeast 1272 - American Ale II]],1,0)</f>
        <v>0</v>
      </c>
      <c r="P80" s="45" t="str">
        <f>BrewdogNew3[[#This Row],[Name]]</f>
        <v>Peroxide Punk</v>
      </c>
      <c r="Q80" t="str">
        <f>IF(BrewdogNew3[[#This Row],[EBC]]="*", BrewdogNew3[[#This Row],[IBU]], "")</f>
        <v/>
      </c>
      <c r="R80" t="str">
        <f>IF(BrewdogNew3[[#This Row],[EBC]]="*", BrewdogNew3[[#This Row],[OG]], "")</f>
        <v/>
      </c>
      <c r="S80" t="str">
        <f>IF(BrewdogNew3[[#This Row],[EBC]]="*", BrewdogNew3[[#This Row],[ABV]], "")</f>
        <v/>
      </c>
      <c r="T80" t="str">
        <f>IF(BrewdogNew3[[#This Row],[EBC]]="*", BrewdogNew3[[#This Row],[PH]], "")</f>
        <v/>
      </c>
      <c r="U80" t="str">
        <f>IF(BrewdogNew3[[#This Row],[EBC]]="*", BrewdogNew3[[#This Row],[AttenuationLevel]], "")</f>
        <v/>
      </c>
      <c r="V80" t="str">
        <f>IF(BrewdogNew3[[#This Row],[EBC]]="*", BrewdogNew3[[#This Row],[FermentationTempCelsius]], "")</f>
        <v/>
      </c>
      <c r="W80" t="str">
        <f>IF(BrewdogNew3[[#This Row],[EBC]]="*", BrewdogNew3[[#This Row],[Yeast]], "")</f>
        <v/>
      </c>
    </row>
    <row r="81" spans="1:23" x14ac:dyDescent="0.25">
      <c r="A81" s="45" t="s">
        <v>146</v>
      </c>
      <c r="B81">
        <v>15.2</v>
      </c>
      <c r="C81" s="2" t="s">
        <v>274</v>
      </c>
      <c r="D81">
        <v>20</v>
      </c>
      <c r="E81">
        <v>1110</v>
      </c>
      <c r="F81">
        <v>158</v>
      </c>
      <c r="G81">
        <f>IF(BrewdogNew3[[#This Row],[EBC]]="*",1,0)</f>
        <v>0</v>
      </c>
      <c r="H81">
        <v>4.4000000000000004</v>
      </c>
      <c r="I81">
        <v>82</v>
      </c>
      <c r="J81">
        <v>21</v>
      </c>
      <c r="K81" s="45" t="s">
        <v>80</v>
      </c>
      <c r="L81" s="45">
        <f>IF(BrewdogNew3[[#This Row],[Yeast]]=BrewdogNew3[[#Headers],[Wyeast 1056 - American Ale]],1,0)</f>
        <v>0</v>
      </c>
      <c r="M81" s="45">
        <f>IF(BrewdogNew3[[#This Row],[Yeast]]=BrewdogNew3[[#Headers],[Wyeast 2007 - Pilsen Lager]],1,0)</f>
        <v>0</v>
      </c>
      <c r="N81" s="45">
        <f>IF(BrewdogNew3[[#This Row],[Yeast]]=BrewdogNew3[[#Headers],[Wyeast 3711 - French Saison]],1,0)</f>
        <v>0</v>
      </c>
      <c r="O81" s="45">
        <f>IF(BrewdogNew3[[#This Row],[Yeast]]=BrewdogNew3[[#Headers],[Wyeast 1272 - American Ale II]],1,0)</f>
        <v>1</v>
      </c>
      <c r="P81" s="45" t="str">
        <f>BrewdogNew3[[#This Row],[Name]]</f>
        <v>Lumberjack Stout</v>
      </c>
      <c r="Q81" t="str">
        <f>IF(BrewdogNew3[[#This Row],[EBC]]="*", BrewdogNew3[[#This Row],[IBU]], "")</f>
        <v/>
      </c>
      <c r="R81" t="str">
        <f>IF(BrewdogNew3[[#This Row],[EBC]]="*", BrewdogNew3[[#This Row],[OG]], "")</f>
        <v/>
      </c>
      <c r="S81" t="str">
        <f>IF(BrewdogNew3[[#This Row],[EBC]]="*", BrewdogNew3[[#This Row],[ABV]], "")</f>
        <v/>
      </c>
      <c r="T81" t="str">
        <f>IF(BrewdogNew3[[#This Row],[EBC]]="*", BrewdogNew3[[#This Row],[PH]], "")</f>
        <v/>
      </c>
      <c r="U81" t="str">
        <f>IF(BrewdogNew3[[#This Row],[EBC]]="*", BrewdogNew3[[#This Row],[AttenuationLevel]], "")</f>
        <v/>
      </c>
      <c r="V81" t="str">
        <f>IF(BrewdogNew3[[#This Row],[EBC]]="*", BrewdogNew3[[#This Row],[FermentationTempCelsius]], "")</f>
        <v/>
      </c>
      <c r="W81" t="str">
        <f>IF(BrewdogNew3[[#This Row],[EBC]]="*", BrewdogNew3[[#This Row],[Yeast]], "")</f>
        <v/>
      </c>
    </row>
    <row r="82" spans="1:23" x14ac:dyDescent="0.25">
      <c r="A82" s="45" t="s">
        <v>147</v>
      </c>
      <c r="B82">
        <v>5.4</v>
      </c>
      <c r="C82" s="2" t="s">
        <v>274</v>
      </c>
      <c r="D82">
        <v>20</v>
      </c>
      <c r="E82">
        <v>1055</v>
      </c>
      <c r="F82">
        <v>30</v>
      </c>
      <c r="G82">
        <f>IF(BrewdogNew3[[#This Row],[EBC]]="*",1,0)</f>
        <v>0</v>
      </c>
      <c r="H82">
        <v>4.4000000000000004</v>
      </c>
      <c r="I82">
        <v>74.599999999999994</v>
      </c>
      <c r="J82">
        <v>19</v>
      </c>
      <c r="K82" s="45" t="s">
        <v>80</v>
      </c>
      <c r="L82" s="45">
        <f>IF(BrewdogNew3[[#This Row],[Yeast]]=BrewdogNew3[[#Headers],[Wyeast 1056 - American Ale]],1,0)</f>
        <v>0</v>
      </c>
      <c r="M82" s="45">
        <f>IF(BrewdogNew3[[#This Row],[Yeast]]=BrewdogNew3[[#Headers],[Wyeast 2007 - Pilsen Lager]],1,0)</f>
        <v>0</v>
      </c>
      <c r="N82" s="45">
        <f>IF(BrewdogNew3[[#This Row],[Yeast]]=BrewdogNew3[[#Headers],[Wyeast 3711 - French Saison]],1,0)</f>
        <v>0</v>
      </c>
      <c r="O82" s="45">
        <f>IF(BrewdogNew3[[#This Row],[Yeast]]=BrewdogNew3[[#Headers],[Wyeast 1272 - American Ale II]],1,0)</f>
        <v>1</v>
      </c>
      <c r="P82" s="45" t="str">
        <f>BrewdogNew3[[#This Row],[Name]]</f>
        <v>Pumpkin King</v>
      </c>
      <c r="Q82" t="str">
        <f>IF(BrewdogNew3[[#This Row],[EBC]]="*", BrewdogNew3[[#This Row],[IBU]], "")</f>
        <v/>
      </c>
      <c r="R82" t="str">
        <f>IF(BrewdogNew3[[#This Row],[EBC]]="*", BrewdogNew3[[#This Row],[OG]], "")</f>
        <v/>
      </c>
      <c r="S82" t="str">
        <f>IF(BrewdogNew3[[#This Row],[EBC]]="*", BrewdogNew3[[#This Row],[ABV]], "")</f>
        <v/>
      </c>
      <c r="T82" t="str">
        <f>IF(BrewdogNew3[[#This Row],[EBC]]="*", BrewdogNew3[[#This Row],[PH]], "")</f>
        <v/>
      </c>
      <c r="U82" t="str">
        <f>IF(BrewdogNew3[[#This Row],[EBC]]="*", BrewdogNew3[[#This Row],[AttenuationLevel]], "")</f>
        <v/>
      </c>
      <c r="V82" t="str">
        <f>IF(BrewdogNew3[[#This Row],[EBC]]="*", BrewdogNew3[[#This Row],[FermentationTempCelsius]], "")</f>
        <v/>
      </c>
      <c r="W82" t="str">
        <f>IF(BrewdogNew3[[#This Row],[EBC]]="*", BrewdogNew3[[#This Row],[Yeast]], "")</f>
        <v/>
      </c>
    </row>
    <row r="83" spans="1:23" x14ac:dyDescent="0.25">
      <c r="A83" s="45" t="s">
        <v>148</v>
      </c>
      <c r="B83">
        <v>8.3000000000000007</v>
      </c>
      <c r="C83" s="2" t="s">
        <v>274</v>
      </c>
      <c r="D83">
        <v>70</v>
      </c>
      <c r="E83">
        <v>1076</v>
      </c>
      <c r="F83">
        <v>30</v>
      </c>
      <c r="G83">
        <f>IF(BrewdogNew3[[#This Row],[EBC]]="*",1,0)</f>
        <v>0</v>
      </c>
      <c r="H83">
        <v>4.4000000000000004</v>
      </c>
      <c r="I83">
        <v>82.9</v>
      </c>
      <c r="J83">
        <v>21</v>
      </c>
      <c r="K83" s="45" t="s">
        <v>80</v>
      </c>
      <c r="L83" s="45">
        <f>IF(BrewdogNew3[[#This Row],[Yeast]]=BrewdogNew3[[#Headers],[Wyeast 1056 - American Ale]],1,0)</f>
        <v>0</v>
      </c>
      <c r="M83" s="45">
        <f>IF(BrewdogNew3[[#This Row],[Yeast]]=BrewdogNew3[[#Headers],[Wyeast 2007 - Pilsen Lager]],1,0)</f>
        <v>0</v>
      </c>
      <c r="N83" s="45">
        <f>IF(BrewdogNew3[[#This Row],[Yeast]]=BrewdogNew3[[#Headers],[Wyeast 3711 - French Saison]],1,0)</f>
        <v>0</v>
      </c>
      <c r="O83" s="45">
        <f>IF(BrewdogNew3[[#This Row],[Yeast]]=BrewdogNew3[[#Headers],[Wyeast 1272 - American Ale II]],1,0)</f>
        <v>1</v>
      </c>
      <c r="P83" s="45" t="str">
        <f>BrewdogNew3[[#This Row],[Name]]</f>
        <v>Hello My Name Is PaÌˆivi</v>
      </c>
      <c r="Q83" t="str">
        <f>IF(BrewdogNew3[[#This Row],[EBC]]="*", BrewdogNew3[[#This Row],[IBU]], "")</f>
        <v/>
      </c>
      <c r="R83" t="str">
        <f>IF(BrewdogNew3[[#This Row],[EBC]]="*", BrewdogNew3[[#This Row],[OG]], "")</f>
        <v/>
      </c>
      <c r="S83" t="str">
        <f>IF(BrewdogNew3[[#This Row],[EBC]]="*", BrewdogNew3[[#This Row],[ABV]], "")</f>
        <v/>
      </c>
      <c r="T83" t="str">
        <f>IF(BrewdogNew3[[#This Row],[EBC]]="*", BrewdogNew3[[#This Row],[PH]], "")</f>
        <v/>
      </c>
      <c r="U83" t="str">
        <f>IF(BrewdogNew3[[#This Row],[EBC]]="*", BrewdogNew3[[#This Row],[AttenuationLevel]], "")</f>
        <v/>
      </c>
      <c r="V83" t="str">
        <f>IF(BrewdogNew3[[#This Row],[EBC]]="*", BrewdogNew3[[#This Row],[FermentationTempCelsius]], "")</f>
        <v/>
      </c>
      <c r="W83" t="str">
        <f>IF(BrewdogNew3[[#This Row],[EBC]]="*", BrewdogNew3[[#This Row],[Yeast]], "")</f>
        <v/>
      </c>
    </row>
    <row r="84" spans="1:23" x14ac:dyDescent="0.25">
      <c r="A84" s="45" t="s">
        <v>149</v>
      </c>
      <c r="B84">
        <v>6.5</v>
      </c>
      <c r="C84" s="2" t="s">
        <v>274</v>
      </c>
      <c r="D84">
        <v>60</v>
      </c>
      <c r="E84">
        <v>1060</v>
      </c>
      <c r="F84">
        <v>25</v>
      </c>
      <c r="G84">
        <f>IF(BrewdogNew3[[#This Row],[EBC]]="*",1,0)</f>
        <v>0</v>
      </c>
      <c r="H84">
        <v>4.4000000000000004</v>
      </c>
      <c r="I84">
        <v>83.3</v>
      </c>
      <c r="J84">
        <v>19</v>
      </c>
      <c r="K84" s="45" t="s">
        <v>64</v>
      </c>
      <c r="L84" s="45">
        <f>IF(BrewdogNew3[[#This Row],[Yeast]]=BrewdogNew3[[#Headers],[Wyeast 1056 - American Ale]],1,0)</f>
        <v>1</v>
      </c>
      <c r="M84" s="45">
        <f>IF(BrewdogNew3[[#This Row],[Yeast]]=BrewdogNew3[[#Headers],[Wyeast 2007 - Pilsen Lager]],1,0)</f>
        <v>0</v>
      </c>
      <c r="N84" s="45">
        <f>IF(BrewdogNew3[[#This Row],[Yeast]]=BrewdogNew3[[#Headers],[Wyeast 3711 - French Saison]],1,0)</f>
        <v>0</v>
      </c>
      <c r="O84" s="45">
        <f>IF(BrewdogNew3[[#This Row],[Yeast]]=BrewdogNew3[[#Headers],[Wyeast 1272 - American Ale II]],1,0)</f>
        <v>0</v>
      </c>
      <c r="P84" s="45" t="str">
        <f>BrewdogNew3[[#This Row],[Name]]</f>
        <v>Elvis Juice V2.0 - Prototype Challenge</v>
      </c>
      <c r="Q84" t="str">
        <f>IF(BrewdogNew3[[#This Row],[EBC]]="*", BrewdogNew3[[#This Row],[IBU]], "")</f>
        <v/>
      </c>
      <c r="R84" t="str">
        <f>IF(BrewdogNew3[[#This Row],[EBC]]="*", BrewdogNew3[[#This Row],[OG]], "")</f>
        <v/>
      </c>
      <c r="S84" t="str">
        <f>IF(BrewdogNew3[[#This Row],[EBC]]="*", BrewdogNew3[[#This Row],[ABV]], "")</f>
        <v/>
      </c>
      <c r="T84" t="str">
        <f>IF(BrewdogNew3[[#This Row],[EBC]]="*", BrewdogNew3[[#This Row],[PH]], "")</f>
        <v/>
      </c>
      <c r="U84" t="str">
        <f>IF(BrewdogNew3[[#This Row],[EBC]]="*", BrewdogNew3[[#This Row],[AttenuationLevel]], "")</f>
        <v/>
      </c>
      <c r="V84" t="str">
        <f>IF(BrewdogNew3[[#This Row],[EBC]]="*", BrewdogNew3[[#This Row],[FermentationTempCelsius]], "")</f>
        <v/>
      </c>
      <c r="W84" t="str">
        <f>IF(BrewdogNew3[[#This Row],[EBC]]="*", BrewdogNew3[[#This Row],[Yeast]], "")</f>
        <v/>
      </c>
    </row>
    <row r="85" spans="1:23" x14ac:dyDescent="0.25">
      <c r="A85" s="45" t="s">
        <v>150</v>
      </c>
      <c r="B85">
        <v>8</v>
      </c>
      <c r="C85" s="2" t="s">
        <v>274</v>
      </c>
      <c r="D85">
        <v>45</v>
      </c>
      <c r="E85">
        <v>1075</v>
      </c>
      <c r="F85">
        <v>240</v>
      </c>
      <c r="G85">
        <f>IF(BrewdogNew3[[#This Row],[EBC]]="*",1,0)</f>
        <v>0</v>
      </c>
      <c r="H85">
        <v>4.4000000000000004</v>
      </c>
      <c r="I85">
        <v>81.3</v>
      </c>
      <c r="J85">
        <v>20</v>
      </c>
      <c r="K85" s="45" t="s">
        <v>80</v>
      </c>
      <c r="L85" s="45">
        <f>IF(BrewdogNew3[[#This Row],[Yeast]]=BrewdogNew3[[#Headers],[Wyeast 1056 - American Ale]],1,0)</f>
        <v>0</v>
      </c>
      <c r="M85" s="45">
        <f>IF(BrewdogNew3[[#This Row],[Yeast]]=BrewdogNew3[[#Headers],[Wyeast 2007 - Pilsen Lager]],1,0)</f>
        <v>0</v>
      </c>
      <c r="N85" s="45">
        <f>IF(BrewdogNew3[[#This Row],[Yeast]]=BrewdogNew3[[#Headers],[Wyeast 3711 - French Saison]],1,0)</f>
        <v>0</v>
      </c>
      <c r="O85" s="45">
        <f>IF(BrewdogNew3[[#This Row],[Yeast]]=BrewdogNew3[[#Headers],[Wyeast 1272 - American Ale II]],1,0)</f>
        <v>1</v>
      </c>
      <c r="P85" s="45" t="str">
        <f>BrewdogNew3[[#This Row],[Name]]</f>
        <v>Riptide</v>
      </c>
      <c r="Q85" t="str">
        <f>IF(BrewdogNew3[[#This Row],[EBC]]="*", BrewdogNew3[[#This Row],[IBU]], "")</f>
        <v/>
      </c>
      <c r="R85" t="str">
        <f>IF(BrewdogNew3[[#This Row],[EBC]]="*", BrewdogNew3[[#This Row],[OG]], "")</f>
        <v/>
      </c>
      <c r="S85" t="str">
        <f>IF(BrewdogNew3[[#This Row],[EBC]]="*", BrewdogNew3[[#This Row],[ABV]], "")</f>
        <v/>
      </c>
      <c r="T85" t="str">
        <f>IF(BrewdogNew3[[#This Row],[EBC]]="*", BrewdogNew3[[#This Row],[PH]], "")</f>
        <v/>
      </c>
      <c r="U85" t="str">
        <f>IF(BrewdogNew3[[#This Row],[EBC]]="*", BrewdogNew3[[#This Row],[AttenuationLevel]], "")</f>
        <v/>
      </c>
      <c r="V85" t="str">
        <f>IF(BrewdogNew3[[#This Row],[EBC]]="*", BrewdogNew3[[#This Row],[FermentationTempCelsius]], "")</f>
        <v/>
      </c>
      <c r="W85" t="str">
        <f>IF(BrewdogNew3[[#This Row],[EBC]]="*", BrewdogNew3[[#This Row],[Yeast]], "")</f>
        <v/>
      </c>
    </row>
    <row r="86" spans="1:23" x14ac:dyDescent="0.25">
      <c r="A86" s="45" t="s">
        <v>151</v>
      </c>
      <c r="B86">
        <v>12</v>
      </c>
      <c r="C86" s="2" t="s">
        <v>274</v>
      </c>
      <c r="D86">
        <v>85</v>
      </c>
      <c r="E86">
        <v>1130</v>
      </c>
      <c r="F86">
        <v>24</v>
      </c>
      <c r="G86">
        <f>IF(BrewdogNew3[[#This Row],[EBC]]="*",1,0)</f>
        <v>0</v>
      </c>
      <c r="H86">
        <v>4.4000000000000004</v>
      </c>
      <c r="I86">
        <v>102.3</v>
      </c>
      <c r="J86">
        <v>21</v>
      </c>
      <c r="K86" s="45" t="s">
        <v>80</v>
      </c>
      <c r="L86" s="45">
        <f>IF(BrewdogNew3[[#This Row],[Yeast]]=BrewdogNew3[[#Headers],[Wyeast 1056 - American Ale]],1,0)</f>
        <v>0</v>
      </c>
      <c r="M86" s="45">
        <f>IF(BrewdogNew3[[#This Row],[Yeast]]=BrewdogNew3[[#Headers],[Wyeast 2007 - Pilsen Lager]],1,0)</f>
        <v>0</v>
      </c>
      <c r="N86" s="45">
        <f>IF(BrewdogNew3[[#This Row],[Yeast]]=BrewdogNew3[[#Headers],[Wyeast 3711 - French Saison]],1,0)</f>
        <v>0</v>
      </c>
      <c r="O86" s="45">
        <f>IF(BrewdogNew3[[#This Row],[Yeast]]=BrewdogNew3[[#Headers],[Wyeast 1272 - American Ale II]],1,0)</f>
        <v>1</v>
      </c>
      <c r="P86" s="45" t="str">
        <f>BrewdogNew3[[#This Row],[Name]]</f>
        <v>Clown King</v>
      </c>
      <c r="Q86" t="str">
        <f>IF(BrewdogNew3[[#This Row],[EBC]]="*", BrewdogNew3[[#This Row],[IBU]], "")</f>
        <v/>
      </c>
      <c r="R86" t="str">
        <f>IF(BrewdogNew3[[#This Row],[EBC]]="*", BrewdogNew3[[#This Row],[OG]], "")</f>
        <v/>
      </c>
      <c r="S86" t="str">
        <f>IF(BrewdogNew3[[#This Row],[EBC]]="*", BrewdogNew3[[#This Row],[ABV]], "")</f>
        <v/>
      </c>
      <c r="T86" t="str">
        <f>IF(BrewdogNew3[[#This Row],[EBC]]="*", BrewdogNew3[[#This Row],[PH]], "")</f>
        <v/>
      </c>
      <c r="U86" t="str">
        <f>IF(BrewdogNew3[[#This Row],[EBC]]="*", BrewdogNew3[[#This Row],[AttenuationLevel]], "")</f>
        <v/>
      </c>
      <c r="V86" t="str">
        <f>IF(BrewdogNew3[[#This Row],[EBC]]="*", BrewdogNew3[[#This Row],[FermentationTempCelsius]], "")</f>
        <v/>
      </c>
      <c r="W86" t="str">
        <f>IF(BrewdogNew3[[#This Row],[EBC]]="*", BrewdogNew3[[#This Row],[Yeast]], "")</f>
        <v/>
      </c>
    </row>
    <row r="87" spans="1:23" x14ac:dyDescent="0.25">
      <c r="A87" s="45" t="s">
        <v>152</v>
      </c>
      <c r="B87">
        <v>8.1999999999999993</v>
      </c>
      <c r="C87" s="2" t="s">
        <v>274</v>
      </c>
      <c r="D87">
        <v>42</v>
      </c>
      <c r="E87">
        <v>1078</v>
      </c>
      <c r="F87">
        <v>90</v>
      </c>
      <c r="G87">
        <f>IF(BrewdogNew3[[#This Row],[EBC]]="*",1,0)</f>
        <v>0</v>
      </c>
      <c r="H87">
        <v>4.4000000000000004</v>
      </c>
      <c r="I87">
        <v>83.3</v>
      </c>
      <c r="J87">
        <v>21</v>
      </c>
      <c r="K87" s="45" t="s">
        <v>80</v>
      </c>
      <c r="L87" s="45">
        <f>IF(BrewdogNew3[[#This Row],[Yeast]]=BrewdogNew3[[#Headers],[Wyeast 1056 - American Ale]],1,0)</f>
        <v>0</v>
      </c>
      <c r="M87" s="45">
        <f>IF(BrewdogNew3[[#This Row],[Yeast]]=BrewdogNew3[[#Headers],[Wyeast 2007 - Pilsen Lager]],1,0)</f>
        <v>0</v>
      </c>
      <c r="N87" s="45">
        <f>IF(BrewdogNew3[[#This Row],[Yeast]]=BrewdogNew3[[#Headers],[Wyeast 3711 - French Saison]],1,0)</f>
        <v>0</v>
      </c>
      <c r="O87" s="45">
        <f>IF(BrewdogNew3[[#This Row],[Yeast]]=BrewdogNew3[[#Headers],[Wyeast 1272 - American Ale II]],1,0)</f>
        <v>1</v>
      </c>
      <c r="P87" s="45" t="str">
        <f>BrewdogNew3[[#This Row],[Name]]</f>
        <v>Hello My Name Is Beastie</v>
      </c>
      <c r="Q87" t="str">
        <f>IF(BrewdogNew3[[#This Row],[EBC]]="*", BrewdogNew3[[#This Row],[IBU]], "")</f>
        <v/>
      </c>
      <c r="R87" t="str">
        <f>IF(BrewdogNew3[[#This Row],[EBC]]="*", BrewdogNew3[[#This Row],[OG]], "")</f>
        <v/>
      </c>
      <c r="S87" t="str">
        <f>IF(BrewdogNew3[[#This Row],[EBC]]="*", BrewdogNew3[[#This Row],[ABV]], "")</f>
        <v/>
      </c>
      <c r="T87" t="str">
        <f>IF(BrewdogNew3[[#This Row],[EBC]]="*", BrewdogNew3[[#This Row],[PH]], "")</f>
        <v/>
      </c>
      <c r="U87" t="str">
        <f>IF(BrewdogNew3[[#This Row],[EBC]]="*", BrewdogNew3[[#This Row],[AttenuationLevel]], "")</f>
        <v/>
      </c>
      <c r="V87" t="str">
        <f>IF(BrewdogNew3[[#This Row],[EBC]]="*", BrewdogNew3[[#This Row],[FermentationTempCelsius]], "")</f>
        <v/>
      </c>
      <c r="W87" t="str">
        <f>IF(BrewdogNew3[[#This Row],[EBC]]="*", BrewdogNew3[[#This Row],[Yeast]], "")</f>
        <v/>
      </c>
    </row>
    <row r="88" spans="1:23" x14ac:dyDescent="0.25">
      <c r="A88" s="45" t="s">
        <v>153</v>
      </c>
      <c r="B88">
        <v>5.6</v>
      </c>
      <c r="C88" s="2" t="s">
        <v>274</v>
      </c>
      <c r="D88">
        <v>40</v>
      </c>
      <c r="E88">
        <v>1055</v>
      </c>
      <c r="F88">
        <v>15</v>
      </c>
      <c r="G88">
        <f>IF(BrewdogNew3[[#This Row],[EBC]]="*",1,0)</f>
        <v>0</v>
      </c>
      <c r="H88">
        <v>4.4000000000000004</v>
      </c>
      <c r="I88">
        <v>78</v>
      </c>
      <c r="J88">
        <v>19</v>
      </c>
      <c r="K88" s="45" t="s">
        <v>64</v>
      </c>
      <c r="L88" s="45">
        <f>IF(BrewdogNew3[[#This Row],[Yeast]]=BrewdogNew3[[#Headers],[Wyeast 1056 - American Ale]],1,0)</f>
        <v>1</v>
      </c>
      <c r="M88" s="45">
        <f>IF(BrewdogNew3[[#This Row],[Yeast]]=BrewdogNew3[[#Headers],[Wyeast 2007 - Pilsen Lager]],1,0)</f>
        <v>0</v>
      </c>
      <c r="N88" s="45">
        <f>IF(BrewdogNew3[[#This Row],[Yeast]]=BrewdogNew3[[#Headers],[Wyeast 3711 - French Saison]],1,0)</f>
        <v>0</v>
      </c>
      <c r="O88" s="45">
        <f>IF(BrewdogNew3[[#This Row],[Yeast]]=BrewdogNew3[[#Headers],[Wyeast 1272 - American Ale II]],1,0)</f>
        <v>0</v>
      </c>
      <c r="P88" s="45" t="str">
        <f>BrewdogNew3[[#This Row],[Name]]</f>
        <v>Punk IPA 2010 - Current</v>
      </c>
      <c r="Q88" t="str">
        <f>IF(BrewdogNew3[[#This Row],[EBC]]="*", BrewdogNew3[[#This Row],[IBU]], "")</f>
        <v/>
      </c>
      <c r="R88" t="str">
        <f>IF(BrewdogNew3[[#This Row],[EBC]]="*", BrewdogNew3[[#This Row],[OG]], "")</f>
        <v/>
      </c>
      <c r="S88" t="str">
        <f>IF(BrewdogNew3[[#This Row],[EBC]]="*", BrewdogNew3[[#This Row],[ABV]], "")</f>
        <v/>
      </c>
      <c r="T88" t="str">
        <f>IF(BrewdogNew3[[#This Row],[EBC]]="*", BrewdogNew3[[#This Row],[PH]], "")</f>
        <v/>
      </c>
      <c r="U88" t="str">
        <f>IF(BrewdogNew3[[#This Row],[EBC]]="*", BrewdogNew3[[#This Row],[AttenuationLevel]], "")</f>
        <v/>
      </c>
      <c r="V88" t="str">
        <f>IF(BrewdogNew3[[#This Row],[EBC]]="*", BrewdogNew3[[#This Row],[FermentationTempCelsius]], "")</f>
        <v/>
      </c>
      <c r="W88" t="str">
        <f>IF(BrewdogNew3[[#This Row],[EBC]]="*", BrewdogNew3[[#This Row],[Yeast]], "")</f>
        <v/>
      </c>
    </row>
    <row r="89" spans="1:23" x14ac:dyDescent="0.25">
      <c r="A89" s="45" t="s">
        <v>154</v>
      </c>
      <c r="B89">
        <v>7.2</v>
      </c>
      <c r="C89" s="2" t="s">
        <v>274</v>
      </c>
      <c r="D89">
        <v>70</v>
      </c>
      <c r="E89">
        <v>1067</v>
      </c>
      <c r="F89">
        <v>30</v>
      </c>
      <c r="G89">
        <f>IF(BrewdogNew3[[#This Row],[EBC]]="*",1,0)</f>
        <v>0</v>
      </c>
      <c r="H89">
        <v>4.4000000000000004</v>
      </c>
      <c r="I89">
        <v>82.1</v>
      </c>
      <c r="J89">
        <v>19</v>
      </c>
      <c r="K89" s="45" t="s">
        <v>64</v>
      </c>
      <c r="L89" s="45">
        <f>IF(BrewdogNew3[[#This Row],[Yeast]]=BrewdogNew3[[#Headers],[Wyeast 1056 - American Ale]],1,0)</f>
        <v>1</v>
      </c>
      <c r="M89" s="45">
        <f>IF(BrewdogNew3[[#This Row],[Yeast]]=BrewdogNew3[[#Headers],[Wyeast 2007 - Pilsen Lager]],1,0)</f>
        <v>0</v>
      </c>
      <c r="N89" s="45">
        <f>IF(BrewdogNew3[[#This Row],[Yeast]]=BrewdogNew3[[#Headers],[Wyeast 3711 - French Saison]],1,0)</f>
        <v>0</v>
      </c>
      <c r="O89" s="45">
        <f>IF(BrewdogNew3[[#This Row],[Yeast]]=BrewdogNew3[[#Headers],[Wyeast 1272 - American Ale II]],1,0)</f>
        <v>0</v>
      </c>
      <c r="P89" s="45" t="str">
        <f>BrewdogNew3[[#This Row],[Name]]</f>
        <v>HBC 366 - IPA Is Dead</v>
      </c>
      <c r="Q89" t="str">
        <f>IF(BrewdogNew3[[#This Row],[EBC]]="*", BrewdogNew3[[#This Row],[IBU]], "")</f>
        <v/>
      </c>
      <c r="R89" t="str">
        <f>IF(BrewdogNew3[[#This Row],[EBC]]="*", BrewdogNew3[[#This Row],[OG]], "")</f>
        <v/>
      </c>
      <c r="S89" t="str">
        <f>IF(BrewdogNew3[[#This Row],[EBC]]="*", BrewdogNew3[[#This Row],[ABV]], "")</f>
        <v/>
      </c>
      <c r="T89" t="str">
        <f>IF(BrewdogNew3[[#This Row],[EBC]]="*", BrewdogNew3[[#This Row],[PH]], "")</f>
        <v/>
      </c>
      <c r="U89" t="str">
        <f>IF(BrewdogNew3[[#This Row],[EBC]]="*", BrewdogNew3[[#This Row],[AttenuationLevel]], "")</f>
        <v/>
      </c>
      <c r="V89" t="str">
        <f>IF(BrewdogNew3[[#This Row],[EBC]]="*", BrewdogNew3[[#This Row],[FermentationTempCelsius]], "")</f>
        <v/>
      </c>
      <c r="W89" t="str">
        <f>IF(BrewdogNew3[[#This Row],[EBC]]="*", BrewdogNew3[[#This Row],[Yeast]], "")</f>
        <v/>
      </c>
    </row>
    <row r="90" spans="1:23" x14ac:dyDescent="0.25">
      <c r="A90" s="45" t="s">
        <v>155</v>
      </c>
      <c r="B90">
        <v>6.3</v>
      </c>
      <c r="C90" s="2" t="s">
        <v>274</v>
      </c>
      <c r="D90">
        <v>55</v>
      </c>
      <c r="E90">
        <v>1060</v>
      </c>
      <c r="F90">
        <v>30</v>
      </c>
      <c r="G90">
        <f>IF(BrewdogNew3[[#This Row],[EBC]]="*",1,0)</f>
        <v>0</v>
      </c>
      <c r="H90">
        <v>4.4000000000000004</v>
      </c>
      <c r="I90">
        <v>80</v>
      </c>
      <c r="J90">
        <v>19</v>
      </c>
      <c r="K90" s="45" t="s">
        <v>80</v>
      </c>
      <c r="L90" s="45">
        <f>IF(BrewdogNew3[[#This Row],[Yeast]]=BrewdogNew3[[#Headers],[Wyeast 1056 - American Ale]],1,0)</f>
        <v>0</v>
      </c>
      <c r="M90" s="45">
        <f>IF(BrewdogNew3[[#This Row],[Yeast]]=BrewdogNew3[[#Headers],[Wyeast 2007 - Pilsen Lager]],1,0)</f>
        <v>0</v>
      </c>
      <c r="N90" s="45">
        <f>IF(BrewdogNew3[[#This Row],[Yeast]]=BrewdogNew3[[#Headers],[Wyeast 3711 - French Saison]],1,0)</f>
        <v>0</v>
      </c>
      <c r="O90" s="45">
        <f>IF(BrewdogNew3[[#This Row],[Yeast]]=BrewdogNew3[[#Headers],[Wyeast 1272 - American Ale II]],1,0)</f>
        <v>1</v>
      </c>
      <c r="P90" s="45" t="str">
        <f>BrewdogNew3[[#This Row],[Name]]</f>
        <v>American Ale</v>
      </c>
      <c r="Q90" t="str">
        <f>IF(BrewdogNew3[[#This Row],[EBC]]="*", BrewdogNew3[[#This Row],[IBU]], "")</f>
        <v/>
      </c>
      <c r="R90" t="str">
        <f>IF(BrewdogNew3[[#This Row],[EBC]]="*", BrewdogNew3[[#This Row],[OG]], "")</f>
        <v/>
      </c>
      <c r="S90" t="str">
        <f>IF(BrewdogNew3[[#This Row],[EBC]]="*", BrewdogNew3[[#This Row],[ABV]], "")</f>
        <v/>
      </c>
      <c r="T90" t="str">
        <f>IF(BrewdogNew3[[#This Row],[EBC]]="*", BrewdogNew3[[#This Row],[PH]], "")</f>
        <v/>
      </c>
      <c r="U90" t="str">
        <f>IF(BrewdogNew3[[#This Row],[EBC]]="*", BrewdogNew3[[#This Row],[AttenuationLevel]], "")</f>
        <v/>
      </c>
      <c r="V90" t="str">
        <f>IF(BrewdogNew3[[#This Row],[EBC]]="*", BrewdogNew3[[#This Row],[FermentationTempCelsius]], "")</f>
        <v/>
      </c>
      <c r="W90" t="str">
        <f>IF(BrewdogNew3[[#This Row],[EBC]]="*", BrewdogNew3[[#This Row],[Yeast]], "")</f>
        <v/>
      </c>
    </row>
    <row r="91" spans="1:23" x14ac:dyDescent="0.25">
      <c r="A91" s="45" t="s">
        <v>156</v>
      </c>
      <c r="B91">
        <v>10</v>
      </c>
      <c r="C91" s="2" t="s">
        <v>274</v>
      </c>
      <c r="D91">
        <v>85</v>
      </c>
      <c r="E91">
        <v>1098</v>
      </c>
      <c r="F91">
        <v>30</v>
      </c>
      <c r="G91">
        <f>IF(BrewdogNew3[[#This Row],[EBC]]="*",1,0)</f>
        <v>0</v>
      </c>
      <c r="H91">
        <v>4.4000000000000004</v>
      </c>
      <c r="I91">
        <v>70</v>
      </c>
      <c r="J91">
        <v>21</v>
      </c>
      <c r="K91" s="45" t="s">
        <v>80</v>
      </c>
      <c r="L91" s="45">
        <f>IF(BrewdogNew3[[#This Row],[Yeast]]=BrewdogNew3[[#Headers],[Wyeast 1056 - American Ale]],1,0)</f>
        <v>0</v>
      </c>
      <c r="M91" s="45">
        <f>IF(BrewdogNew3[[#This Row],[Yeast]]=BrewdogNew3[[#Headers],[Wyeast 2007 - Pilsen Lager]],1,0)</f>
        <v>0</v>
      </c>
      <c r="N91" s="45">
        <f>IF(BrewdogNew3[[#This Row],[Yeast]]=BrewdogNew3[[#Headers],[Wyeast 3711 - French Saison]],1,0)</f>
        <v>0</v>
      </c>
      <c r="O91" s="45">
        <f>IF(BrewdogNew3[[#This Row],[Yeast]]=BrewdogNew3[[#Headers],[Wyeast 1272 - American Ale II]],1,0)</f>
        <v>1</v>
      </c>
      <c r="P91" s="45" t="str">
        <f>BrewdogNew3[[#This Row],[Name]]</f>
        <v>Cocoa Psycho</v>
      </c>
      <c r="Q91" t="str">
        <f>IF(BrewdogNew3[[#This Row],[EBC]]="*", BrewdogNew3[[#This Row],[IBU]], "")</f>
        <v/>
      </c>
      <c r="R91" t="str">
        <f>IF(BrewdogNew3[[#This Row],[EBC]]="*", BrewdogNew3[[#This Row],[OG]], "")</f>
        <v/>
      </c>
      <c r="S91" t="str">
        <f>IF(BrewdogNew3[[#This Row],[EBC]]="*", BrewdogNew3[[#This Row],[ABV]], "")</f>
        <v/>
      </c>
      <c r="T91" t="str">
        <f>IF(BrewdogNew3[[#This Row],[EBC]]="*", BrewdogNew3[[#This Row],[PH]], "")</f>
        <v/>
      </c>
      <c r="U91" t="str">
        <f>IF(BrewdogNew3[[#This Row],[EBC]]="*", BrewdogNew3[[#This Row],[AttenuationLevel]], "")</f>
        <v/>
      </c>
      <c r="V91" t="str">
        <f>IF(BrewdogNew3[[#This Row],[EBC]]="*", BrewdogNew3[[#This Row],[FermentationTempCelsius]], "")</f>
        <v/>
      </c>
      <c r="W91" t="str">
        <f>IF(BrewdogNew3[[#This Row],[EBC]]="*", BrewdogNew3[[#This Row],[Yeast]], "")</f>
        <v/>
      </c>
    </row>
    <row r="92" spans="1:23" x14ac:dyDescent="0.25">
      <c r="A92" s="45" t="s">
        <v>157</v>
      </c>
      <c r="B92">
        <v>5.6</v>
      </c>
      <c r="C92" s="2" t="s">
        <v>274</v>
      </c>
      <c r="D92">
        <v>30</v>
      </c>
      <c r="E92">
        <v>1058</v>
      </c>
      <c r="F92">
        <v>54</v>
      </c>
      <c r="G92">
        <f>IF(BrewdogNew3[[#This Row],[EBC]]="*",1,0)</f>
        <v>0</v>
      </c>
      <c r="H92">
        <v>4.4000000000000004</v>
      </c>
      <c r="I92">
        <v>74</v>
      </c>
      <c r="J92">
        <v>19</v>
      </c>
      <c r="K92" s="45" t="s">
        <v>64</v>
      </c>
      <c r="L92" s="45">
        <f>IF(BrewdogNew3[[#This Row],[Yeast]]=BrewdogNew3[[#Headers],[Wyeast 1056 - American Ale]],1,0)</f>
        <v>1</v>
      </c>
      <c r="M92" s="45">
        <f>IF(BrewdogNew3[[#This Row],[Yeast]]=BrewdogNew3[[#Headers],[Wyeast 2007 - Pilsen Lager]],1,0)</f>
        <v>0</v>
      </c>
      <c r="N92" s="45">
        <f>IF(BrewdogNew3[[#This Row],[Yeast]]=BrewdogNew3[[#Headers],[Wyeast 3711 - French Saison]],1,0)</f>
        <v>0</v>
      </c>
      <c r="O92" s="45">
        <f>IF(BrewdogNew3[[#This Row],[Yeast]]=BrewdogNew3[[#Headers],[Wyeast 1272 - American Ale II]],1,0)</f>
        <v>0</v>
      </c>
      <c r="P92" s="45" t="str">
        <f>BrewdogNew3[[#This Row],[Name]]</f>
        <v>Truffle and Chocolate Stout - B-Sides</v>
      </c>
      <c r="Q92" t="str">
        <f>IF(BrewdogNew3[[#This Row],[EBC]]="*", BrewdogNew3[[#This Row],[IBU]], "")</f>
        <v/>
      </c>
      <c r="R92" t="str">
        <f>IF(BrewdogNew3[[#This Row],[EBC]]="*", BrewdogNew3[[#This Row],[OG]], "")</f>
        <v/>
      </c>
      <c r="S92" t="str">
        <f>IF(BrewdogNew3[[#This Row],[EBC]]="*", BrewdogNew3[[#This Row],[ABV]], "")</f>
        <v/>
      </c>
      <c r="T92" t="str">
        <f>IF(BrewdogNew3[[#This Row],[EBC]]="*", BrewdogNew3[[#This Row],[PH]], "")</f>
        <v/>
      </c>
      <c r="U92" t="str">
        <f>IF(BrewdogNew3[[#This Row],[EBC]]="*", BrewdogNew3[[#This Row],[AttenuationLevel]], "")</f>
        <v/>
      </c>
      <c r="V92" t="str">
        <f>IF(BrewdogNew3[[#This Row],[EBC]]="*", BrewdogNew3[[#This Row],[FermentationTempCelsius]], "")</f>
        <v/>
      </c>
      <c r="W92" t="str">
        <f>IF(BrewdogNew3[[#This Row],[EBC]]="*", BrewdogNew3[[#This Row],[Yeast]], "")</f>
        <v/>
      </c>
    </row>
    <row r="93" spans="1:23" x14ac:dyDescent="0.25">
      <c r="A93" s="45" t="s">
        <v>158</v>
      </c>
      <c r="B93">
        <v>4.5</v>
      </c>
      <c r="C93" s="2" t="s">
        <v>274</v>
      </c>
      <c r="D93">
        <v>55</v>
      </c>
      <c r="E93">
        <v>1046</v>
      </c>
      <c r="F93">
        <v>25</v>
      </c>
      <c r="G93">
        <f>IF(BrewdogNew3[[#This Row],[EBC]]="*",1,0)</f>
        <v>0</v>
      </c>
      <c r="H93">
        <v>4.4000000000000004</v>
      </c>
      <c r="I93">
        <v>73.900000000000006</v>
      </c>
      <c r="J93">
        <v>9</v>
      </c>
      <c r="K93" s="45" t="s">
        <v>68</v>
      </c>
      <c r="L93" s="45">
        <f>IF(BrewdogNew3[[#This Row],[Yeast]]=BrewdogNew3[[#Headers],[Wyeast 1056 - American Ale]],1,0)</f>
        <v>0</v>
      </c>
      <c r="M93" s="45">
        <f>IF(BrewdogNew3[[#This Row],[Yeast]]=BrewdogNew3[[#Headers],[Wyeast 2007 - Pilsen Lager]],1,0)</f>
        <v>1</v>
      </c>
      <c r="N93" s="45">
        <f>IF(BrewdogNew3[[#This Row],[Yeast]]=BrewdogNew3[[#Headers],[Wyeast 3711 - French Saison]],1,0)</f>
        <v>0</v>
      </c>
      <c r="O93" s="45">
        <f>IF(BrewdogNew3[[#This Row],[Yeast]]=BrewdogNew3[[#Headers],[Wyeast 1272 - American Ale II]],1,0)</f>
        <v>0</v>
      </c>
      <c r="P93" s="45" t="str">
        <f>BrewdogNew3[[#This Row],[Name]]</f>
        <v>Vagabond Pilsner</v>
      </c>
      <c r="Q93" t="str">
        <f>IF(BrewdogNew3[[#This Row],[EBC]]="*", BrewdogNew3[[#This Row],[IBU]], "")</f>
        <v/>
      </c>
      <c r="R93" t="str">
        <f>IF(BrewdogNew3[[#This Row],[EBC]]="*", BrewdogNew3[[#This Row],[OG]], "")</f>
        <v/>
      </c>
      <c r="S93" t="str">
        <f>IF(BrewdogNew3[[#This Row],[EBC]]="*", BrewdogNew3[[#This Row],[ABV]], "")</f>
        <v/>
      </c>
      <c r="T93" t="str">
        <f>IF(BrewdogNew3[[#This Row],[EBC]]="*", BrewdogNew3[[#This Row],[PH]], "")</f>
        <v/>
      </c>
      <c r="U93" t="str">
        <f>IF(BrewdogNew3[[#This Row],[EBC]]="*", BrewdogNew3[[#This Row],[AttenuationLevel]], "")</f>
        <v/>
      </c>
      <c r="V93" t="str">
        <f>IF(BrewdogNew3[[#This Row],[EBC]]="*", BrewdogNew3[[#This Row],[FermentationTempCelsius]], "")</f>
        <v/>
      </c>
      <c r="W93" t="str">
        <f>IF(BrewdogNew3[[#This Row],[EBC]]="*", BrewdogNew3[[#This Row],[Yeast]], "")</f>
        <v/>
      </c>
    </row>
    <row r="94" spans="1:23" x14ac:dyDescent="0.25">
      <c r="A94" s="45" t="s">
        <v>159</v>
      </c>
      <c r="B94">
        <v>8.1999999999999993</v>
      </c>
      <c r="C94" s="2" t="s">
        <v>274</v>
      </c>
      <c r="D94">
        <v>42</v>
      </c>
      <c r="E94">
        <v>1078</v>
      </c>
      <c r="F94">
        <v>70</v>
      </c>
      <c r="G94">
        <f>IF(BrewdogNew3[[#This Row],[EBC]]="*",1,0)</f>
        <v>0</v>
      </c>
      <c r="H94">
        <v>4.4000000000000004</v>
      </c>
      <c r="I94">
        <v>83.3</v>
      </c>
      <c r="J94">
        <v>22</v>
      </c>
      <c r="K94" s="45" t="s">
        <v>80</v>
      </c>
      <c r="L94" s="45">
        <f>IF(BrewdogNew3[[#This Row],[Yeast]]=BrewdogNew3[[#Headers],[Wyeast 1056 - American Ale]],1,0)</f>
        <v>0</v>
      </c>
      <c r="M94" s="45">
        <f>IF(BrewdogNew3[[#This Row],[Yeast]]=BrewdogNew3[[#Headers],[Wyeast 2007 - Pilsen Lager]],1,0)</f>
        <v>0</v>
      </c>
      <c r="N94" s="45">
        <f>IF(BrewdogNew3[[#This Row],[Yeast]]=BrewdogNew3[[#Headers],[Wyeast 3711 - French Saison]],1,0)</f>
        <v>0</v>
      </c>
      <c r="O94" s="45">
        <f>IF(BrewdogNew3[[#This Row],[Yeast]]=BrewdogNew3[[#Headers],[Wyeast 1272 - American Ale II]],1,0)</f>
        <v>1</v>
      </c>
      <c r="P94" s="45" t="str">
        <f>BrewdogNew3[[#This Row],[Name]]</f>
        <v>Hello My Name Is Ingrid</v>
      </c>
      <c r="Q94" t="str">
        <f>IF(BrewdogNew3[[#This Row],[EBC]]="*", BrewdogNew3[[#This Row],[IBU]], "")</f>
        <v/>
      </c>
      <c r="R94" t="str">
        <f>IF(BrewdogNew3[[#This Row],[EBC]]="*", BrewdogNew3[[#This Row],[OG]], "")</f>
        <v/>
      </c>
      <c r="S94" t="str">
        <f>IF(BrewdogNew3[[#This Row],[EBC]]="*", BrewdogNew3[[#This Row],[ABV]], "")</f>
        <v/>
      </c>
      <c r="T94" t="str">
        <f>IF(BrewdogNew3[[#This Row],[EBC]]="*", BrewdogNew3[[#This Row],[PH]], "")</f>
        <v/>
      </c>
      <c r="U94" t="str">
        <f>IF(BrewdogNew3[[#This Row],[EBC]]="*", BrewdogNew3[[#This Row],[AttenuationLevel]], "")</f>
        <v/>
      </c>
      <c r="V94" t="str">
        <f>IF(BrewdogNew3[[#This Row],[EBC]]="*", BrewdogNew3[[#This Row],[FermentationTempCelsius]], "")</f>
        <v/>
      </c>
      <c r="W94" t="str">
        <f>IF(BrewdogNew3[[#This Row],[EBC]]="*", BrewdogNew3[[#This Row],[Yeast]], "")</f>
        <v/>
      </c>
    </row>
    <row r="95" spans="1:23" x14ac:dyDescent="0.25">
      <c r="A95" s="45" t="s">
        <v>160</v>
      </c>
      <c r="B95">
        <v>8.4</v>
      </c>
      <c r="C95" s="2" t="s">
        <v>274</v>
      </c>
      <c r="D95">
        <v>50</v>
      </c>
      <c r="E95">
        <v>1080</v>
      </c>
      <c r="F95">
        <v>200</v>
      </c>
      <c r="G95">
        <f>IF(BrewdogNew3[[#This Row],[EBC]]="*",1,0)</f>
        <v>0</v>
      </c>
      <c r="H95">
        <v>4.4000000000000004</v>
      </c>
      <c r="I95">
        <v>81.3</v>
      </c>
      <c r="J95">
        <v>14</v>
      </c>
      <c r="K95" s="45" t="s">
        <v>68</v>
      </c>
      <c r="L95" s="45">
        <f>IF(BrewdogNew3[[#This Row],[Yeast]]=BrewdogNew3[[#Headers],[Wyeast 1056 - American Ale]],1,0)</f>
        <v>0</v>
      </c>
      <c r="M95" s="45">
        <f>IF(BrewdogNew3[[#This Row],[Yeast]]=BrewdogNew3[[#Headers],[Wyeast 2007 - Pilsen Lager]],1,0)</f>
        <v>1</v>
      </c>
      <c r="N95" s="45">
        <f>IF(BrewdogNew3[[#This Row],[Yeast]]=BrewdogNew3[[#Headers],[Wyeast 3711 - French Saison]],1,0)</f>
        <v>0</v>
      </c>
      <c r="O95" s="45">
        <f>IF(BrewdogNew3[[#This Row],[Yeast]]=BrewdogNew3[[#Headers],[Wyeast 1272 - American Ale II]],1,0)</f>
        <v>0</v>
      </c>
      <c r="P95" s="45" t="str">
        <f>BrewdogNew3[[#This Row],[Name]]</f>
        <v>U-Boat (w/ Victory Brewing)</v>
      </c>
      <c r="Q95" t="str">
        <f>IF(BrewdogNew3[[#This Row],[EBC]]="*", BrewdogNew3[[#This Row],[IBU]], "")</f>
        <v/>
      </c>
      <c r="R95" t="str">
        <f>IF(BrewdogNew3[[#This Row],[EBC]]="*", BrewdogNew3[[#This Row],[OG]], "")</f>
        <v/>
      </c>
      <c r="S95" t="str">
        <f>IF(BrewdogNew3[[#This Row],[EBC]]="*", BrewdogNew3[[#This Row],[ABV]], "")</f>
        <v/>
      </c>
      <c r="T95" t="str">
        <f>IF(BrewdogNew3[[#This Row],[EBC]]="*", BrewdogNew3[[#This Row],[PH]], "")</f>
        <v/>
      </c>
      <c r="U95" t="str">
        <f>IF(BrewdogNew3[[#This Row],[EBC]]="*", BrewdogNew3[[#This Row],[AttenuationLevel]], "")</f>
        <v/>
      </c>
      <c r="V95" t="str">
        <f>IF(BrewdogNew3[[#This Row],[EBC]]="*", BrewdogNew3[[#This Row],[FermentationTempCelsius]], "")</f>
        <v/>
      </c>
      <c r="W95" t="str">
        <f>IF(BrewdogNew3[[#This Row],[EBC]]="*", BrewdogNew3[[#This Row],[Yeast]], "")</f>
        <v/>
      </c>
    </row>
    <row r="96" spans="1:23" x14ac:dyDescent="0.25">
      <c r="A96" s="45" t="s">
        <v>161</v>
      </c>
      <c r="B96">
        <v>6</v>
      </c>
      <c r="C96" s="2" t="s">
        <v>274</v>
      </c>
      <c r="D96">
        <v>50</v>
      </c>
      <c r="E96">
        <v>1050</v>
      </c>
      <c r="F96">
        <v>8</v>
      </c>
      <c r="G96">
        <f>IF(BrewdogNew3[[#This Row],[EBC]]="*",1,0)</f>
        <v>0</v>
      </c>
      <c r="H96">
        <v>5.2</v>
      </c>
      <c r="I96">
        <v>87</v>
      </c>
      <c r="J96">
        <v>20</v>
      </c>
      <c r="K96" s="45" t="s">
        <v>64</v>
      </c>
      <c r="L96" s="45">
        <f>IF(BrewdogNew3[[#This Row],[Yeast]]=BrewdogNew3[[#Headers],[Wyeast 1056 - American Ale]],1,0)</f>
        <v>1</v>
      </c>
      <c r="M96" s="45">
        <f>IF(BrewdogNew3[[#This Row],[Yeast]]=BrewdogNew3[[#Headers],[Wyeast 2007 - Pilsen Lager]],1,0)</f>
        <v>0</v>
      </c>
      <c r="N96" s="45">
        <f>IF(BrewdogNew3[[#This Row],[Yeast]]=BrewdogNew3[[#Headers],[Wyeast 3711 - French Saison]],1,0)</f>
        <v>0</v>
      </c>
      <c r="O96" s="45">
        <f>IF(BrewdogNew3[[#This Row],[Yeast]]=BrewdogNew3[[#Headers],[Wyeast 1272 - American Ale II]],1,0)</f>
        <v>0</v>
      </c>
      <c r="P96" s="45" t="str">
        <f>BrewdogNew3[[#This Row],[Name]]</f>
        <v>Melon And Cucumber IPA - B-Sides</v>
      </c>
      <c r="Q96" t="str">
        <f>IF(BrewdogNew3[[#This Row],[EBC]]="*", BrewdogNew3[[#This Row],[IBU]], "")</f>
        <v/>
      </c>
      <c r="R96" t="str">
        <f>IF(BrewdogNew3[[#This Row],[EBC]]="*", BrewdogNew3[[#This Row],[OG]], "")</f>
        <v/>
      </c>
      <c r="S96" t="str">
        <f>IF(BrewdogNew3[[#This Row],[EBC]]="*", BrewdogNew3[[#This Row],[ABV]], "")</f>
        <v/>
      </c>
      <c r="T96" t="str">
        <f>IF(BrewdogNew3[[#This Row],[EBC]]="*", BrewdogNew3[[#This Row],[PH]], "")</f>
        <v/>
      </c>
      <c r="U96" t="str">
        <f>IF(BrewdogNew3[[#This Row],[EBC]]="*", BrewdogNew3[[#This Row],[AttenuationLevel]], "")</f>
        <v/>
      </c>
      <c r="V96" t="str">
        <f>IF(BrewdogNew3[[#This Row],[EBC]]="*", BrewdogNew3[[#This Row],[FermentationTempCelsius]], "")</f>
        <v/>
      </c>
      <c r="W96" t="str">
        <f>IF(BrewdogNew3[[#This Row],[EBC]]="*", BrewdogNew3[[#This Row],[Yeast]], "")</f>
        <v/>
      </c>
    </row>
    <row r="97" spans="1:23" x14ac:dyDescent="0.25">
      <c r="A97" s="45" t="s">
        <v>162</v>
      </c>
      <c r="B97">
        <v>6.7</v>
      </c>
      <c r="C97" s="2" t="s">
        <v>274</v>
      </c>
      <c r="D97">
        <v>40</v>
      </c>
      <c r="E97">
        <v>1063</v>
      </c>
      <c r="F97">
        <v>15</v>
      </c>
      <c r="G97">
        <f>IF(BrewdogNew3[[#This Row],[EBC]]="*",1,0)</f>
        <v>0</v>
      </c>
      <c r="H97">
        <v>5.2</v>
      </c>
      <c r="I97">
        <v>84</v>
      </c>
      <c r="J97">
        <v>19</v>
      </c>
      <c r="K97" s="45" t="s">
        <v>64</v>
      </c>
      <c r="L97" s="45">
        <f>IF(BrewdogNew3[[#This Row],[Yeast]]=BrewdogNew3[[#Headers],[Wyeast 1056 - American Ale]],1,0)</f>
        <v>1</v>
      </c>
      <c r="M97" s="45">
        <f>IF(BrewdogNew3[[#This Row],[Yeast]]=BrewdogNew3[[#Headers],[Wyeast 2007 - Pilsen Lager]],1,0)</f>
        <v>0</v>
      </c>
      <c r="N97" s="45">
        <f>IF(BrewdogNew3[[#This Row],[Yeast]]=BrewdogNew3[[#Headers],[Wyeast 3711 - French Saison]],1,0)</f>
        <v>0</v>
      </c>
      <c r="O97" s="45">
        <f>IF(BrewdogNew3[[#This Row],[Yeast]]=BrewdogNew3[[#Headers],[Wyeast 1272 - American Ale II]],1,0)</f>
        <v>0</v>
      </c>
      <c r="P97" s="45" t="str">
        <f>BrewdogNew3[[#This Row],[Name]]</f>
        <v>Morag's Mojito - B-Sides</v>
      </c>
      <c r="Q97" t="str">
        <f>IF(BrewdogNew3[[#This Row],[EBC]]="*", BrewdogNew3[[#This Row],[IBU]], "")</f>
        <v/>
      </c>
      <c r="R97" t="str">
        <f>IF(BrewdogNew3[[#This Row],[EBC]]="*", BrewdogNew3[[#This Row],[OG]], "")</f>
        <v/>
      </c>
      <c r="S97" t="str">
        <f>IF(BrewdogNew3[[#This Row],[EBC]]="*", BrewdogNew3[[#This Row],[ABV]], "")</f>
        <v/>
      </c>
      <c r="T97" t="str">
        <f>IF(BrewdogNew3[[#This Row],[EBC]]="*", BrewdogNew3[[#This Row],[PH]], "")</f>
        <v/>
      </c>
      <c r="U97" t="str">
        <f>IF(BrewdogNew3[[#This Row],[EBC]]="*", BrewdogNew3[[#This Row],[AttenuationLevel]], "")</f>
        <v/>
      </c>
      <c r="V97" t="str">
        <f>IF(BrewdogNew3[[#This Row],[EBC]]="*", BrewdogNew3[[#This Row],[FermentationTempCelsius]], "")</f>
        <v/>
      </c>
      <c r="W97" t="str">
        <f>IF(BrewdogNew3[[#This Row],[EBC]]="*", BrewdogNew3[[#This Row],[Yeast]], "")</f>
        <v/>
      </c>
    </row>
    <row r="98" spans="1:23" x14ac:dyDescent="0.25">
      <c r="A98" s="45" t="s">
        <v>163</v>
      </c>
      <c r="B98">
        <v>6.5</v>
      </c>
      <c r="C98" s="2" t="s">
        <v>274</v>
      </c>
      <c r="D98">
        <v>35</v>
      </c>
      <c r="E98">
        <v>1068</v>
      </c>
      <c r="F98">
        <v>250</v>
      </c>
      <c r="G98">
        <f>IF(BrewdogNew3[[#This Row],[EBC]]="*",1,0)</f>
        <v>0</v>
      </c>
      <c r="H98">
        <v>4.2</v>
      </c>
      <c r="I98">
        <v>70.599999999999994</v>
      </c>
      <c r="J98">
        <v>19</v>
      </c>
      <c r="K98" s="45" t="s">
        <v>64</v>
      </c>
      <c r="L98" s="45">
        <f>IF(BrewdogNew3[[#This Row],[Yeast]]=BrewdogNew3[[#Headers],[Wyeast 1056 - American Ale]],1,0)</f>
        <v>1</v>
      </c>
      <c r="M98" s="45">
        <f>IF(BrewdogNew3[[#This Row],[Yeast]]=BrewdogNew3[[#Headers],[Wyeast 2007 - Pilsen Lager]],1,0)</f>
        <v>0</v>
      </c>
      <c r="N98" s="45">
        <f>IF(BrewdogNew3[[#This Row],[Yeast]]=BrewdogNew3[[#Headers],[Wyeast 3711 - French Saison]],1,0)</f>
        <v>0</v>
      </c>
      <c r="O98" s="45">
        <f>IF(BrewdogNew3[[#This Row],[Yeast]]=BrewdogNew3[[#Headers],[Wyeast 1272 - American Ale II]],1,0)</f>
        <v>0</v>
      </c>
      <c r="P98" s="45" t="str">
        <f>BrewdogNew3[[#This Row],[Name]]</f>
        <v>Bounty Hunter - Shareholder Brew</v>
      </c>
      <c r="Q98" t="str">
        <f>IF(BrewdogNew3[[#This Row],[EBC]]="*", BrewdogNew3[[#This Row],[IBU]], "")</f>
        <v/>
      </c>
      <c r="R98" t="str">
        <f>IF(BrewdogNew3[[#This Row],[EBC]]="*", BrewdogNew3[[#This Row],[OG]], "")</f>
        <v/>
      </c>
      <c r="S98" t="str">
        <f>IF(BrewdogNew3[[#This Row],[EBC]]="*", BrewdogNew3[[#This Row],[ABV]], "")</f>
        <v/>
      </c>
      <c r="T98" t="str">
        <f>IF(BrewdogNew3[[#This Row],[EBC]]="*", BrewdogNew3[[#This Row],[PH]], "")</f>
        <v/>
      </c>
      <c r="U98" t="str">
        <f>IF(BrewdogNew3[[#This Row],[EBC]]="*", BrewdogNew3[[#This Row],[AttenuationLevel]], "")</f>
        <v/>
      </c>
      <c r="V98" t="str">
        <f>IF(BrewdogNew3[[#This Row],[EBC]]="*", BrewdogNew3[[#This Row],[FermentationTempCelsius]], "")</f>
        <v/>
      </c>
      <c r="W98" t="str">
        <f>IF(BrewdogNew3[[#This Row],[EBC]]="*", BrewdogNew3[[#This Row],[Yeast]], "")</f>
        <v/>
      </c>
    </row>
    <row r="99" spans="1:23" x14ac:dyDescent="0.25">
      <c r="A99" s="45" t="s">
        <v>164</v>
      </c>
      <c r="B99">
        <v>11.5</v>
      </c>
      <c r="C99" s="2" t="s">
        <v>274</v>
      </c>
      <c r="D99">
        <v>80</v>
      </c>
      <c r="E99">
        <v>1096</v>
      </c>
      <c r="F99">
        <v>115</v>
      </c>
      <c r="G99">
        <f>IF(BrewdogNew3[[#This Row],[EBC]]="*",1,0)</f>
        <v>0</v>
      </c>
      <c r="H99">
        <v>4.4000000000000004</v>
      </c>
      <c r="I99">
        <v>79.2</v>
      </c>
      <c r="J99">
        <v>20</v>
      </c>
      <c r="K99" s="45" t="s">
        <v>80</v>
      </c>
      <c r="L99" s="45">
        <f>IF(BrewdogNew3[[#This Row],[Yeast]]=BrewdogNew3[[#Headers],[Wyeast 1056 - American Ale]],1,0)</f>
        <v>0</v>
      </c>
      <c r="M99" s="45">
        <f>IF(BrewdogNew3[[#This Row],[Yeast]]=BrewdogNew3[[#Headers],[Wyeast 2007 - Pilsen Lager]],1,0)</f>
        <v>0</v>
      </c>
      <c r="N99" s="45">
        <f>IF(BrewdogNew3[[#This Row],[Yeast]]=BrewdogNew3[[#Headers],[Wyeast 3711 - French Saison]],1,0)</f>
        <v>0</v>
      </c>
      <c r="O99" s="45">
        <f>IF(BrewdogNew3[[#This Row],[Yeast]]=BrewdogNew3[[#Headers],[Wyeast 1272 - American Ale II]],1,0)</f>
        <v>1</v>
      </c>
      <c r="P99" s="45" t="str">
        <f>BrewdogNew3[[#This Row],[Name]]</f>
        <v>AB:10</v>
      </c>
      <c r="Q99" t="str">
        <f>IF(BrewdogNew3[[#This Row],[EBC]]="*", BrewdogNew3[[#This Row],[IBU]], "")</f>
        <v/>
      </c>
      <c r="R99" t="str">
        <f>IF(BrewdogNew3[[#This Row],[EBC]]="*", BrewdogNew3[[#This Row],[OG]], "")</f>
        <v/>
      </c>
      <c r="S99" t="str">
        <f>IF(BrewdogNew3[[#This Row],[EBC]]="*", BrewdogNew3[[#This Row],[ABV]], "")</f>
        <v/>
      </c>
      <c r="T99" t="str">
        <f>IF(BrewdogNew3[[#This Row],[EBC]]="*", BrewdogNew3[[#This Row],[PH]], "")</f>
        <v/>
      </c>
      <c r="U99" t="str">
        <f>IF(BrewdogNew3[[#This Row],[EBC]]="*", BrewdogNew3[[#This Row],[AttenuationLevel]], "")</f>
        <v/>
      </c>
      <c r="V99" t="str">
        <f>IF(BrewdogNew3[[#This Row],[EBC]]="*", BrewdogNew3[[#This Row],[FermentationTempCelsius]], "")</f>
        <v/>
      </c>
      <c r="W99" t="str">
        <f>IF(BrewdogNew3[[#This Row],[EBC]]="*", BrewdogNew3[[#This Row],[Yeast]], "")</f>
        <v/>
      </c>
    </row>
    <row r="100" spans="1:23" x14ac:dyDescent="0.25">
      <c r="A100" s="45" t="s">
        <v>165</v>
      </c>
      <c r="B100">
        <v>8.5</v>
      </c>
      <c r="C100" s="2" t="s">
        <v>274</v>
      </c>
      <c r="D100">
        <v>65</v>
      </c>
      <c r="E100">
        <v>1078</v>
      </c>
      <c r="F100">
        <v>31.2</v>
      </c>
      <c r="G100">
        <f>IF(BrewdogNew3[[#This Row],[EBC]]="*",1,0)</f>
        <v>0</v>
      </c>
      <c r="H100">
        <v>4.4000000000000004</v>
      </c>
      <c r="I100">
        <v>84.6</v>
      </c>
      <c r="J100">
        <v>18</v>
      </c>
      <c r="K100" s="45" t="s">
        <v>80</v>
      </c>
      <c r="L100" s="45">
        <f>IF(BrewdogNew3[[#This Row],[Yeast]]=BrewdogNew3[[#Headers],[Wyeast 1056 - American Ale]],1,0)</f>
        <v>0</v>
      </c>
      <c r="M100" s="45">
        <f>IF(BrewdogNew3[[#This Row],[Yeast]]=BrewdogNew3[[#Headers],[Wyeast 2007 - Pilsen Lager]],1,0)</f>
        <v>0</v>
      </c>
      <c r="N100" s="45">
        <f>IF(BrewdogNew3[[#This Row],[Yeast]]=BrewdogNew3[[#Headers],[Wyeast 3711 - French Saison]],1,0)</f>
        <v>0</v>
      </c>
      <c r="O100" s="45">
        <f>IF(BrewdogNew3[[#This Row],[Yeast]]=BrewdogNew3[[#Headers],[Wyeast 1272 - American Ale II]],1,0)</f>
        <v>1</v>
      </c>
      <c r="P100" s="45" t="str">
        <f>BrewdogNew3[[#This Row],[Name]]</f>
        <v>Dog Fight (w/ Flying Dog)</v>
      </c>
      <c r="Q100" t="str">
        <f>IF(BrewdogNew3[[#This Row],[EBC]]="*", BrewdogNew3[[#This Row],[IBU]], "")</f>
        <v/>
      </c>
      <c r="R100" t="str">
        <f>IF(BrewdogNew3[[#This Row],[EBC]]="*", BrewdogNew3[[#This Row],[OG]], "")</f>
        <v/>
      </c>
      <c r="S100" t="str">
        <f>IF(BrewdogNew3[[#This Row],[EBC]]="*", BrewdogNew3[[#This Row],[ABV]], "")</f>
        <v/>
      </c>
      <c r="T100" t="str">
        <f>IF(BrewdogNew3[[#This Row],[EBC]]="*", BrewdogNew3[[#This Row],[PH]], "")</f>
        <v/>
      </c>
      <c r="U100" t="str">
        <f>IF(BrewdogNew3[[#This Row],[EBC]]="*", BrewdogNew3[[#This Row],[AttenuationLevel]], "")</f>
        <v/>
      </c>
      <c r="V100" t="str">
        <f>IF(BrewdogNew3[[#This Row],[EBC]]="*", BrewdogNew3[[#This Row],[FermentationTempCelsius]], "")</f>
        <v/>
      </c>
      <c r="W100" t="str">
        <f>IF(BrewdogNew3[[#This Row],[EBC]]="*", BrewdogNew3[[#This Row],[Yeast]], "")</f>
        <v/>
      </c>
    </row>
    <row r="101" spans="1:23" x14ac:dyDescent="0.25">
      <c r="A101" s="45" t="s">
        <v>166</v>
      </c>
      <c r="B101">
        <v>5.2</v>
      </c>
      <c r="C101" s="2" t="s">
        <v>274</v>
      </c>
      <c r="D101">
        <v>45</v>
      </c>
      <c r="E101">
        <v>1049</v>
      </c>
      <c r="F101">
        <v>45</v>
      </c>
      <c r="G101">
        <f>IF(BrewdogNew3[[#This Row],[EBC]]="*",1,0)</f>
        <v>0</v>
      </c>
      <c r="H101">
        <v>4.2</v>
      </c>
      <c r="I101">
        <v>81.599999999999994</v>
      </c>
      <c r="J101">
        <v>14</v>
      </c>
      <c r="K101" s="45" t="s">
        <v>64</v>
      </c>
      <c r="L101" s="45">
        <f>IF(BrewdogNew3[[#This Row],[Yeast]]=BrewdogNew3[[#Headers],[Wyeast 1056 - American Ale]],1,0)</f>
        <v>1</v>
      </c>
      <c r="M101" s="45">
        <f>IF(BrewdogNew3[[#This Row],[Yeast]]=BrewdogNew3[[#Headers],[Wyeast 2007 - Pilsen Lager]],1,0)</f>
        <v>0</v>
      </c>
      <c r="N101" s="45">
        <f>IF(BrewdogNew3[[#This Row],[Yeast]]=BrewdogNew3[[#Headers],[Wyeast 3711 - French Saison]],1,0)</f>
        <v>0</v>
      </c>
      <c r="O101" s="45">
        <f>IF(BrewdogNew3[[#This Row],[Yeast]]=BrewdogNew3[[#Headers],[Wyeast 1272 - American Ale II]],1,0)</f>
        <v>0</v>
      </c>
      <c r="P101" s="45" t="str">
        <f>BrewdogNew3[[#This Row],[Name]]</f>
        <v>Candy Kaiser</v>
      </c>
      <c r="Q101" t="str">
        <f>IF(BrewdogNew3[[#This Row],[EBC]]="*", BrewdogNew3[[#This Row],[IBU]], "")</f>
        <v/>
      </c>
      <c r="R101" t="str">
        <f>IF(BrewdogNew3[[#This Row],[EBC]]="*", BrewdogNew3[[#This Row],[OG]], "")</f>
        <v/>
      </c>
      <c r="S101" t="str">
        <f>IF(BrewdogNew3[[#This Row],[EBC]]="*", BrewdogNew3[[#This Row],[ABV]], "")</f>
        <v/>
      </c>
      <c r="T101" t="str">
        <f>IF(BrewdogNew3[[#This Row],[EBC]]="*", BrewdogNew3[[#This Row],[PH]], "")</f>
        <v/>
      </c>
      <c r="U101" t="str">
        <f>IF(BrewdogNew3[[#This Row],[EBC]]="*", BrewdogNew3[[#This Row],[AttenuationLevel]], "")</f>
        <v/>
      </c>
      <c r="V101" t="str">
        <f>IF(BrewdogNew3[[#This Row],[EBC]]="*", BrewdogNew3[[#This Row],[FermentationTempCelsius]], "")</f>
        <v/>
      </c>
      <c r="W101" t="str">
        <f>IF(BrewdogNew3[[#This Row],[EBC]]="*", BrewdogNew3[[#This Row],[Yeast]], "")</f>
        <v/>
      </c>
    </row>
    <row r="102" spans="1:23" x14ac:dyDescent="0.25">
      <c r="A102" s="45" t="s">
        <v>167</v>
      </c>
      <c r="B102">
        <v>7.1</v>
      </c>
      <c r="C102" s="2" t="s">
        <v>274</v>
      </c>
      <c r="D102">
        <v>90</v>
      </c>
      <c r="E102">
        <v>1067</v>
      </c>
      <c r="F102">
        <v>15</v>
      </c>
      <c r="G102">
        <f>IF(BrewdogNew3[[#This Row],[EBC]]="*",1,0)</f>
        <v>0</v>
      </c>
      <c r="H102">
        <v>4.4000000000000004</v>
      </c>
      <c r="I102">
        <v>80.599999999999994</v>
      </c>
      <c r="J102">
        <v>19</v>
      </c>
      <c r="K102" s="45" t="s">
        <v>64</v>
      </c>
      <c r="L102" s="45">
        <f>IF(BrewdogNew3[[#This Row],[Yeast]]=BrewdogNew3[[#Headers],[Wyeast 1056 - American Ale]],1,0)</f>
        <v>1</v>
      </c>
      <c r="M102" s="45">
        <f>IF(BrewdogNew3[[#This Row],[Yeast]]=BrewdogNew3[[#Headers],[Wyeast 2007 - Pilsen Lager]],1,0)</f>
        <v>0</v>
      </c>
      <c r="N102" s="45">
        <f>IF(BrewdogNew3[[#This Row],[Yeast]]=BrewdogNew3[[#Headers],[Wyeast 3711 - French Saison]],1,0)</f>
        <v>0</v>
      </c>
      <c r="O102" s="45">
        <f>IF(BrewdogNew3[[#This Row],[Yeast]]=BrewdogNew3[[#Headers],[Wyeast 1272 - American Ale II]],1,0)</f>
        <v>0</v>
      </c>
      <c r="P102" s="45" t="str">
        <f>BrewdogNew3[[#This Row],[Name]]</f>
        <v>Chaos Theory</v>
      </c>
      <c r="Q102" t="str">
        <f>IF(BrewdogNew3[[#This Row],[EBC]]="*", BrewdogNew3[[#This Row],[IBU]], "")</f>
        <v/>
      </c>
      <c r="R102" t="str">
        <f>IF(BrewdogNew3[[#This Row],[EBC]]="*", BrewdogNew3[[#This Row],[OG]], "")</f>
        <v/>
      </c>
      <c r="S102" t="str">
        <f>IF(BrewdogNew3[[#This Row],[EBC]]="*", BrewdogNew3[[#This Row],[ABV]], "")</f>
        <v/>
      </c>
      <c r="T102" t="str">
        <f>IF(BrewdogNew3[[#This Row],[EBC]]="*", BrewdogNew3[[#This Row],[PH]], "")</f>
        <v/>
      </c>
      <c r="U102" t="str">
        <f>IF(BrewdogNew3[[#This Row],[EBC]]="*", BrewdogNew3[[#This Row],[AttenuationLevel]], "")</f>
        <v/>
      </c>
      <c r="V102" t="str">
        <f>IF(BrewdogNew3[[#This Row],[EBC]]="*", BrewdogNew3[[#This Row],[FermentationTempCelsius]], "")</f>
        <v/>
      </c>
      <c r="W102" t="str">
        <f>IF(BrewdogNew3[[#This Row],[EBC]]="*", BrewdogNew3[[#This Row],[Yeast]], "")</f>
        <v/>
      </c>
    </row>
    <row r="103" spans="1:23" x14ac:dyDescent="0.25">
      <c r="A103" s="45" t="s">
        <v>168</v>
      </c>
      <c r="B103">
        <v>4.7</v>
      </c>
      <c r="C103" s="2" t="s">
        <v>274</v>
      </c>
      <c r="D103">
        <v>45</v>
      </c>
      <c r="E103">
        <v>1055</v>
      </c>
      <c r="F103">
        <v>200</v>
      </c>
      <c r="G103">
        <f>IF(BrewdogNew3[[#This Row],[EBC]]="*",1,0)</f>
        <v>0</v>
      </c>
      <c r="H103">
        <v>4.4000000000000004</v>
      </c>
      <c r="I103">
        <v>70</v>
      </c>
      <c r="J103">
        <v>19</v>
      </c>
      <c r="K103" s="45" t="s">
        <v>64</v>
      </c>
      <c r="L103" s="45">
        <f>IF(BrewdogNew3[[#This Row],[Yeast]]=BrewdogNew3[[#Headers],[Wyeast 1056 - American Ale]],1,0)</f>
        <v>1</v>
      </c>
      <c r="M103" s="45">
        <f>IF(BrewdogNew3[[#This Row],[Yeast]]=BrewdogNew3[[#Headers],[Wyeast 2007 - Pilsen Lager]],1,0)</f>
        <v>0</v>
      </c>
      <c r="N103" s="45">
        <f>IF(BrewdogNew3[[#This Row],[Yeast]]=BrewdogNew3[[#Headers],[Wyeast 3711 - French Saison]],1,0)</f>
        <v>0</v>
      </c>
      <c r="O103" s="45">
        <f>IF(BrewdogNew3[[#This Row],[Yeast]]=BrewdogNew3[[#Headers],[Wyeast 1272 - American Ale II]],1,0)</f>
        <v>0</v>
      </c>
      <c r="P103" s="45" t="str">
        <f>BrewdogNew3[[#This Row],[Name]]</f>
        <v>Jet Black Heart</v>
      </c>
      <c r="Q103" t="str">
        <f>IF(BrewdogNew3[[#This Row],[EBC]]="*", BrewdogNew3[[#This Row],[IBU]], "")</f>
        <v/>
      </c>
      <c r="R103" t="str">
        <f>IF(BrewdogNew3[[#This Row],[EBC]]="*", BrewdogNew3[[#This Row],[OG]], "")</f>
        <v/>
      </c>
      <c r="S103" t="str">
        <f>IF(BrewdogNew3[[#This Row],[EBC]]="*", BrewdogNew3[[#This Row],[ABV]], "")</f>
        <v/>
      </c>
      <c r="T103" t="str">
        <f>IF(BrewdogNew3[[#This Row],[EBC]]="*", BrewdogNew3[[#This Row],[PH]], "")</f>
        <v/>
      </c>
      <c r="U103" t="str">
        <f>IF(BrewdogNew3[[#This Row],[EBC]]="*", BrewdogNew3[[#This Row],[AttenuationLevel]], "")</f>
        <v/>
      </c>
      <c r="V103" t="str">
        <f>IF(BrewdogNew3[[#This Row],[EBC]]="*", BrewdogNew3[[#This Row],[FermentationTempCelsius]], "")</f>
        <v/>
      </c>
      <c r="W103" t="str">
        <f>IF(BrewdogNew3[[#This Row],[EBC]]="*", BrewdogNew3[[#This Row],[Yeast]], "")</f>
        <v/>
      </c>
    </row>
    <row r="104" spans="1:23" x14ac:dyDescent="0.25">
      <c r="A104" s="45" t="s">
        <v>169</v>
      </c>
      <c r="B104">
        <v>6.7</v>
      </c>
      <c r="C104" s="2" t="s">
        <v>274</v>
      </c>
      <c r="D104">
        <v>67</v>
      </c>
      <c r="E104">
        <v>1013</v>
      </c>
      <c r="F104">
        <v>19</v>
      </c>
      <c r="G104">
        <f>IF(BrewdogNew3[[#This Row],[EBC]]="*",1,0)</f>
        <v>0</v>
      </c>
      <c r="H104">
        <v>4.4000000000000004</v>
      </c>
      <c r="I104">
        <v>79.7</v>
      </c>
      <c r="J104">
        <v>19</v>
      </c>
      <c r="K104" s="45" t="s">
        <v>64</v>
      </c>
      <c r="L104" s="45">
        <f>IF(BrewdogNew3[[#This Row],[Yeast]]=BrewdogNew3[[#Headers],[Wyeast 1056 - American Ale]],1,0)</f>
        <v>1</v>
      </c>
      <c r="M104" s="45">
        <f>IF(BrewdogNew3[[#This Row],[Yeast]]=BrewdogNew3[[#Headers],[Wyeast 2007 - Pilsen Lager]],1,0)</f>
        <v>0</v>
      </c>
      <c r="N104" s="45">
        <f>IF(BrewdogNew3[[#This Row],[Yeast]]=BrewdogNew3[[#Headers],[Wyeast 3711 - French Saison]],1,0)</f>
        <v>0</v>
      </c>
      <c r="O104" s="45">
        <f>IF(BrewdogNew3[[#This Row],[Yeast]]=BrewdogNew3[[#Headers],[Wyeast 1272 - American Ale II]],1,0)</f>
        <v>0</v>
      </c>
      <c r="P104" s="45" t="str">
        <f>BrewdogNew3[[#This Row],[Name]]</f>
        <v>Galaxy</v>
      </c>
      <c r="Q104" t="str">
        <f>IF(BrewdogNew3[[#This Row],[EBC]]="*", BrewdogNew3[[#This Row],[IBU]], "")</f>
        <v/>
      </c>
      <c r="R104" t="str">
        <f>IF(BrewdogNew3[[#This Row],[EBC]]="*", BrewdogNew3[[#This Row],[OG]], "")</f>
        <v/>
      </c>
      <c r="S104" t="str">
        <f>IF(BrewdogNew3[[#This Row],[EBC]]="*", BrewdogNew3[[#This Row],[ABV]], "")</f>
        <v/>
      </c>
      <c r="T104" t="str">
        <f>IF(BrewdogNew3[[#This Row],[EBC]]="*", BrewdogNew3[[#This Row],[PH]], "")</f>
        <v/>
      </c>
      <c r="U104" t="str">
        <f>IF(BrewdogNew3[[#This Row],[EBC]]="*", BrewdogNew3[[#This Row],[AttenuationLevel]], "")</f>
        <v/>
      </c>
      <c r="V104" t="str">
        <f>IF(BrewdogNew3[[#This Row],[EBC]]="*", BrewdogNew3[[#This Row],[FermentationTempCelsius]], "")</f>
        <v/>
      </c>
      <c r="W104" t="str">
        <f>IF(BrewdogNew3[[#This Row],[EBC]]="*", BrewdogNew3[[#This Row],[Yeast]], "")</f>
        <v/>
      </c>
    </row>
    <row r="105" spans="1:23" x14ac:dyDescent="0.25">
      <c r="A105" s="45" t="s">
        <v>170</v>
      </c>
      <c r="B105">
        <v>9</v>
      </c>
      <c r="C105" s="2" t="s">
        <v>274</v>
      </c>
      <c r="D105">
        <v>85</v>
      </c>
      <c r="E105">
        <v>1094</v>
      </c>
      <c r="F105">
        <v>400</v>
      </c>
      <c r="G105">
        <f>IF(BrewdogNew3[[#This Row],[EBC]]="*",1,0)</f>
        <v>0</v>
      </c>
      <c r="H105">
        <v>4.3</v>
      </c>
      <c r="I105">
        <v>73.400000000000006</v>
      </c>
      <c r="J105">
        <v>21</v>
      </c>
      <c r="K105" s="45" t="s">
        <v>80</v>
      </c>
      <c r="L105" s="45">
        <f>IF(BrewdogNew3[[#This Row],[Yeast]]=BrewdogNew3[[#Headers],[Wyeast 1056 - American Ale]],1,0)</f>
        <v>0</v>
      </c>
      <c r="M105" s="45">
        <f>IF(BrewdogNew3[[#This Row],[Yeast]]=BrewdogNew3[[#Headers],[Wyeast 2007 - Pilsen Lager]],1,0)</f>
        <v>0</v>
      </c>
      <c r="N105" s="45">
        <f>IF(BrewdogNew3[[#This Row],[Yeast]]=BrewdogNew3[[#Headers],[Wyeast 3711 - French Saison]],1,0)</f>
        <v>0</v>
      </c>
      <c r="O105" s="45">
        <f>IF(BrewdogNew3[[#This Row],[Yeast]]=BrewdogNew3[[#Headers],[Wyeast 1272 - American Ale II]],1,0)</f>
        <v>1</v>
      </c>
      <c r="P105" s="45" t="str">
        <f>BrewdogNew3[[#This Row],[Name]]</f>
        <v>Hinterland</v>
      </c>
      <c r="Q105" t="str">
        <f>IF(BrewdogNew3[[#This Row],[EBC]]="*", BrewdogNew3[[#This Row],[IBU]], "")</f>
        <v/>
      </c>
      <c r="R105" t="str">
        <f>IF(BrewdogNew3[[#This Row],[EBC]]="*", BrewdogNew3[[#This Row],[OG]], "")</f>
        <v/>
      </c>
      <c r="S105" t="str">
        <f>IF(BrewdogNew3[[#This Row],[EBC]]="*", BrewdogNew3[[#This Row],[ABV]], "")</f>
        <v/>
      </c>
      <c r="T105" t="str">
        <f>IF(BrewdogNew3[[#This Row],[EBC]]="*", BrewdogNew3[[#This Row],[PH]], "")</f>
        <v/>
      </c>
      <c r="U105" t="str">
        <f>IF(BrewdogNew3[[#This Row],[EBC]]="*", BrewdogNew3[[#This Row],[AttenuationLevel]], "")</f>
        <v/>
      </c>
      <c r="V105" t="str">
        <f>IF(BrewdogNew3[[#This Row],[EBC]]="*", BrewdogNew3[[#This Row],[FermentationTempCelsius]], "")</f>
        <v/>
      </c>
      <c r="W105" t="str">
        <f>IF(BrewdogNew3[[#This Row],[EBC]]="*", BrewdogNew3[[#This Row],[Yeast]], "")</f>
        <v/>
      </c>
    </row>
    <row r="106" spans="1:23" x14ac:dyDescent="0.25">
      <c r="A106" s="45" t="s">
        <v>171</v>
      </c>
      <c r="B106">
        <v>6.5</v>
      </c>
      <c r="C106" s="2" t="s">
        <v>274</v>
      </c>
      <c r="D106">
        <v>20</v>
      </c>
      <c r="E106">
        <v>1060</v>
      </c>
      <c r="F106" s="31" t="s">
        <v>32</v>
      </c>
      <c r="G106" s="31">
        <f>IF(BrewdogNew3[[#This Row],[EBC]]="*",1,0)</f>
        <v>1</v>
      </c>
      <c r="H106">
        <v>3.2</v>
      </c>
      <c r="I106">
        <v>87</v>
      </c>
      <c r="J106">
        <v>20</v>
      </c>
      <c r="K106" s="45" t="s">
        <v>64</v>
      </c>
      <c r="L106" s="45">
        <f>IF(BrewdogNew3[[#This Row],[Yeast]]=BrewdogNew3[[#Headers],[Wyeast 1056 - American Ale]],1,0)</f>
        <v>1</v>
      </c>
      <c r="M106" s="45">
        <f>IF(BrewdogNew3[[#This Row],[Yeast]]=BrewdogNew3[[#Headers],[Wyeast 2007 - Pilsen Lager]],1,0)</f>
        <v>0</v>
      </c>
      <c r="N106" s="45">
        <f>IF(BrewdogNew3[[#This Row],[Yeast]]=BrewdogNew3[[#Headers],[Wyeast 3711 - French Saison]],1,0)</f>
        <v>0</v>
      </c>
      <c r="O106" s="45">
        <f>IF(BrewdogNew3[[#This Row],[Yeast]]=BrewdogNew3[[#Headers],[Wyeast 1272 - American Ale II]],1,0)</f>
        <v>0</v>
      </c>
      <c r="P106" s="45" t="str">
        <f>BrewdogNew3[[#This Row],[Name]]</f>
        <v>Spiced Cherry Sour - B-Sides</v>
      </c>
      <c r="Q106">
        <f>IF(BrewdogNew3[[#This Row],[EBC]]="*", BrewdogNew3[[#This Row],[IBU]], "")</f>
        <v>20</v>
      </c>
      <c r="R106">
        <f>IF(BrewdogNew3[[#This Row],[EBC]]="*", BrewdogNew3[[#This Row],[OG]], "")</f>
        <v>1060</v>
      </c>
      <c r="S106">
        <f>IF(BrewdogNew3[[#This Row],[EBC]]="*", BrewdogNew3[[#This Row],[ABV]], "")</f>
        <v>6.5</v>
      </c>
      <c r="T106">
        <f>IF(BrewdogNew3[[#This Row],[EBC]]="*", BrewdogNew3[[#This Row],[PH]], "")</f>
        <v>3.2</v>
      </c>
      <c r="U106">
        <f>IF(BrewdogNew3[[#This Row],[EBC]]="*", BrewdogNew3[[#This Row],[AttenuationLevel]], "")</f>
        <v>87</v>
      </c>
      <c r="V106">
        <f>IF(BrewdogNew3[[#This Row],[EBC]]="*", BrewdogNew3[[#This Row],[FermentationTempCelsius]], "")</f>
        <v>20</v>
      </c>
      <c r="W106" t="str">
        <f>IF(BrewdogNew3[[#This Row],[EBC]]="*", BrewdogNew3[[#This Row],[Yeast]], "")</f>
        <v>Wyeast 1056 - American Ale</v>
      </c>
    </row>
    <row r="107" spans="1:23" x14ac:dyDescent="0.25">
      <c r="A107" s="45" t="s">
        <v>172</v>
      </c>
      <c r="B107">
        <v>6.7</v>
      </c>
      <c r="C107" s="2" t="s">
        <v>274</v>
      </c>
      <c r="D107">
        <v>67</v>
      </c>
      <c r="E107">
        <v>1013</v>
      </c>
      <c r="F107">
        <v>19</v>
      </c>
      <c r="G107">
        <f>IF(BrewdogNew3[[#This Row],[EBC]]="*",1,0)</f>
        <v>0</v>
      </c>
      <c r="H107">
        <v>4.4000000000000004</v>
      </c>
      <c r="I107">
        <v>79.7</v>
      </c>
      <c r="J107">
        <v>19</v>
      </c>
      <c r="K107" s="45" t="s">
        <v>64</v>
      </c>
      <c r="L107" s="45">
        <f>IF(BrewdogNew3[[#This Row],[Yeast]]=BrewdogNew3[[#Headers],[Wyeast 1056 - American Ale]],1,0)</f>
        <v>1</v>
      </c>
      <c r="M107" s="45">
        <f>IF(BrewdogNew3[[#This Row],[Yeast]]=BrewdogNew3[[#Headers],[Wyeast 2007 - Pilsen Lager]],1,0)</f>
        <v>0</v>
      </c>
      <c r="N107" s="45">
        <f>IF(BrewdogNew3[[#This Row],[Yeast]]=BrewdogNew3[[#Headers],[Wyeast 3711 - French Saison]],1,0)</f>
        <v>0</v>
      </c>
      <c r="O107" s="45">
        <f>IF(BrewdogNew3[[#This Row],[Yeast]]=BrewdogNew3[[#Headers],[Wyeast 1272 - American Ale II]],1,0)</f>
        <v>0</v>
      </c>
      <c r="P107" s="45" t="str">
        <f>BrewdogNew3[[#This Row],[Name]]</f>
        <v>Motueka</v>
      </c>
      <c r="Q107" t="str">
        <f>IF(BrewdogNew3[[#This Row],[EBC]]="*", BrewdogNew3[[#This Row],[IBU]], "")</f>
        <v/>
      </c>
      <c r="R107" t="str">
        <f>IF(BrewdogNew3[[#This Row],[EBC]]="*", BrewdogNew3[[#This Row],[OG]], "")</f>
        <v/>
      </c>
      <c r="S107" t="str">
        <f>IF(BrewdogNew3[[#This Row],[EBC]]="*", BrewdogNew3[[#This Row],[ABV]], "")</f>
        <v/>
      </c>
      <c r="T107" t="str">
        <f>IF(BrewdogNew3[[#This Row],[EBC]]="*", BrewdogNew3[[#This Row],[PH]], "")</f>
        <v/>
      </c>
      <c r="U107" t="str">
        <f>IF(BrewdogNew3[[#This Row],[EBC]]="*", BrewdogNew3[[#This Row],[AttenuationLevel]], "")</f>
        <v/>
      </c>
      <c r="V107" t="str">
        <f>IF(BrewdogNew3[[#This Row],[EBC]]="*", BrewdogNew3[[#This Row],[FermentationTempCelsius]], "")</f>
        <v/>
      </c>
      <c r="W107" t="str">
        <f>IF(BrewdogNew3[[#This Row],[EBC]]="*", BrewdogNew3[[#This Row],[Yeast]], "")</f>
        <v/>
      </c>
    </row>
    <row r="108" spans="1:23" x14ac:dyDescent="0.25">
      <c r="A108" s="45" t="s">
        <v>173</v>
      </c>
      <c r="B108">
        <v>5</v>
      </c>
      <c r="C108" s="2" t="s">
        <v>274</v>
      </c>
      <c r="D108">
        <v>30</v>
      </c>
      <c r="E108">
        <v>1050</v>
      </c>
      <c r="F108">
        <v>60</v>
      </c>
      <c r="G108">
        <f>IF(BrewdogNew3[[#This Row],[EBC]]="*",1,0)</f>
        <v>0</v>
      </c>
      <c r="H108">
        <v>4.4000000000000004</v>
      </c>
      <c r="I108">
        <v>76</v>
      </c>
      <c r="J108">
        <v>19</v>
      </c>
      <c r="K108" s="45" t="s">
        <v>64</v>
      </c>
      <c r="L108" s="45">
        <f>IF(BrewdogNew3[[#This Row],[Yeast]]=BrewdogNew3[[#Headers],[Wyeast 1056 - American Ale]],1,0)</f>
        <v>1</v>
      </c>
      <c r="M108" s="45">
        <f>IF(BrewdogNew3[[#This Row],[Yeast]]=BrewdogNew3[[#Headers],[Wyeast 2007 - Pilsen Lager]],1,0)</f>
        <v>0</v>
      </c>
      <c r="N108" s="45">
        <f>IF(BrewdogNew3[[#This Row],[Yeast]]=BrewdogNew3[[#Headers],[Wyeast 3711 - French Saison]],1,0)</f>
        <v>0</v>
      </c>
      <c r="O108" s="45">
        <f>IF(BrewdogNew3[[#This Row],[Yeast]]=BrewdogNew3[[#Headers],[Wyeast 1272 - American Ale II]],1,0)</f>
        <v>0</v>
      </c>
      <c r="P108" s="45" t="str">
        <f>BrewdogNew3[[#This Row],[Name]]</f>
        <v>5am Saint</v>
      </c>
      <c r="Q108" t="str">
        <f>IF(BrewdogNew3[[#This Row],[EBC]]="*", BrewdogNew3[[#This Row],[IBU]], "")</f>
        <v/>
      </c>
      <c r="R108" t="str">
        <f>IF(BrewdogNew3[[#This Row],[EBC]]="*", BrewdogNew3[[#This Row],[OG]], "")</f>
        <v/>
      </c>
      <c r="S108" t="str">
        <f>IF(BrewdogNew3[[#This Row],[EBC]]="*", BrewdogNew3[[#This Row],[ABV]], "")</f>
        <v/>
      </c>
      <c r="T108" t="str">
        <f>IF(BrewdogNew3[[#This Row],[EBC]]="*", BrewdogNew3[[#This Row],[PH]], "")</f>
        <v/>
      </c>
      <c r="U108" t="str">
        <f>IF(BrewdogNew3[[#This Row],[EBC]]="*", BrewdogNew3[[#This Row],[AttenuationLevel]], "")</f>
        <v/>
      </c>
      <c r="V108" t="str">
        <f>IF(BrewdogNew3[[#This Row],[EBC]]="*", BrewdogNew3[[#This Row],[FermentationTempCelsius]], "")</f>
        <v/>
      </c>
      <c r="W108" t="str">
        <f>IF(BrewdogNew3[[#This Row],[EBC]]="*", BrewdogNew3[[#This Row],[Yeast]], "")</f>
        <v/>
      </c>
    </row>
    <row r="109" spans="1:23" x14ac:dyDescent="0.25">
      <c r="A109" s="45" t="s">
        <v>174</v>
      </c>
      <c r="B109">
        <v>5.8</v>
      </c>
      <c r="C109" s="2" t="s">
        <v>274</v>
      </c>
      <c r="D109">
        <v>40</v>
      </c>
      <c r="E109">
        <v>1053</v>
      </c>
      <c r="F109">
        <v>177.3</v>
      </c>
      <c r="G109">
        <f>IF(BrewdogNew3[[#This Row],[EBC]]="*",1,0)</f>
        <v>0</v>
      </c>
      <c r="H109">
        <v>4.4000000000000004</v>
      </c>
      <c r="I109">
        <v>84.9</v>
      </c>
      <c r="J109">
        <v>19</v>
      </c>
      <c r="K109" s="45" t="s">
        <v>64</v>
      </c>
      <c r="L109" s="45">
        <f>IF(BrewdogNew3[[#This Row],[Yeast]]=BrewdogNew3[[#Headers],[Wyeast 1056 - American Ale]],1,0)</f>
        <v>1</v>
      </c>
      <c r="M109" s="45">
        <f>IF(BrewdogNew3[[#This Row],[Yeast]]=BrewdogNew3[[#Headers],[Wyeast 2007 - Pilsen Lager]],1,0)</f>
        <v>0</v>
      </c>
      <c r="N109" s="45">
        <f>IF(BrewdogNew3[[#This Row],[Yeast]]=BrewdogNew3[[#Headers],[Wyeast 3711 - French Saison]],1,0)</f>
        <v>0</v>
      </c>
      <c r="O109" s="45">
        <f>IF(BrewdogNew3[[#This Row],[Yeast]]=BrewdogNew3[[#Headers],[Wyeast 1272 - American Ale II]],1,0)</f>
        <v>0</v>
      </c>
      <c r="P109" s="45" t="str">
        <f>BrewdogNew3[[#This Row],[Name]]</f>
        <v>Black Eye Joe (w/ Stone Brewing Co)</v>
      </c>
      <c r="Q109" t="str">
        <f>IF(BrewdogNew3[[#This Row],[EBC]]="*", BrewdogNew3[[#This Row],[IBU]], "")</f>
        <v/>
      </c>
      <c r="R109" t="str">
        <f>IF(BrewdogNew3[[#This Row],[EBC]]="*", BrewdogNew3[[#This Row],[OG]], "")</f>
        <v/>
      </c>
      <c r="S109" t="str">
        <f>IF(BrewdogNew3[[#This Row],[EBC]]="*", BrewdogNew3[[#This Row],[ABV]], "")</f>
        <v/>
      </c>
      <c r="T109" t="str">
        <f>IF(BrewdogNew3[[#This Row],[EBC]]="*", BrewdogNew3[[#This Row],[PH]], "")</f>
        <v/>
      </c>
      <c r="U109" t="str">
        <f>IF(BrewdogNew3[[#This Row],[EBC]]="*", BrewdogNew3[[#This Row],[AttenuationLevel]], "")</f>
        <v/>
      </c>
      <c r="V109" t="str">
        <f>IF(BrewdogNew3[[#This Row],[EBC]]="*", BrewdogNew3[[#This Row],[FermentationTempCelsius]], "")</f>
        <v/>
      </c>
      <c r="W109" t="str">
        <f>IF(BrewdogNew3[[#This Row],[EBC]]="*", BrewdogNew3[[#This Row],[Yeast]], "")</f>
        <v/>
      </c>
    </row>
    <row r="110" spans="1:23" x14ac:dyDescent="0.25">
      <c r="A110" s="45" t="s">
        <v>175</v>
      </c>
      <c r="B110">
        <v>7.5</v>
      </c>
      <c r="C110" s="2" t="s">
        <v>274</v>
      </c>
      <c r="D110">
        <v>90</v>
      </c>
      <c r="E110">
        <v>1072</v>
      </c>
      <c r="F110">
        <v>200</v>
      </c>
      <c r="G110">
        <f>IF(BrewdogNew3[[#This Row],[EBC]]="*",1,0)</f>
        <v>0</v>
      </c>
      <c r="H110">
        <v>4.4000000000000004</v>
      </c>
      <c r="I110">
        <v>79.2</v>
      </c>
      <c r="J110">
        <v>21</v>
      </c>
      <c r="K110" s="45" t="s">
        <v>80</v>
      </c>
      <c r="L110" s="45">
        <f>IF(BrewdogNew3[[#This Row],[Yeast]]=BrewdogNew3[[#Headers],[Wyeast 1056 - American Ale]],1,0)</f>
        <v>0</v>
      </c>
      <c r="M110" s="45">
        <f>IF(BrewdogNew3[[#This Row],[Yeast]]=BrewdogNew3[[#Headers],[Wyeast 2007 - Pilsen Lager]],1,0)</f>
        <v>0</v>
      </c>
      <c r="N110" s="45">
        <f>IF(BrewdogNew3[[#This Row],[Yeast]]=BrewdogNew3[[#Headers],[Wyeast 3711 - French Saison]],1,0)</f>
        <v>0</v>
      </c>
      <c r="O110" s="45">
        <f>IF(BrewdogNew3[[#This Row],[Yeast]]=BrewdogNew3[[#Headers],[Wyeast 1272 - American Ale II]],1,0)</f>
        <v>1</v>
      </c>
      <c r="P110" s="45" t="str">
        <f>BrewdogNew3[[#This Row],[Name]]</f>
        <v>Mr.Miyagi's Wasabi Stout</v>
      </c>
      <c r="Q110" t="str">
        <f>IF(BrewdogNew3[[#This Row],[EBC]]="*", BrewdogNew3[[#This Row],[IBU]], "")</f>
        <v/>
      </c>
      <c r="R110" t="str">
        <f>IF(BrewdogNew3[[#This Row],[EBC]]="*", BrewdogNew3[[#This Row],[OG]], "")</f>
        <v/>
      </c>
      <c r="S110" t="str">
        <f>IF(BrewdogNew3[[#This Row],[EBC]]="*", BrewdogNew3[[#This Row],[ABV]], "")</f>
        <v/>
      </c>
      <c r="T110" t="str">
        <f>IF(BrewdogNew3[[#This Row],[EBC]]="*", BrewdogNew3[[#This Row],[PH]], "")</f>
        <v/>
      </c>
      <c r="U110" t="str">
        <f>IF(BrewdogNew3[[#This Row],[EBC]]="*", BrewdogNew3[[#This Row],[AttenuationLevel]], "")</f>
        <v/>
      </c>
      <c r="V110" t="str">
        <f>IF(BrewdogNew3[[#This Row],[EBC]]="*", BrewdogNew3[[#This Row],[FermentationTempCelsius]], "")</f>
        <v/>
      </c>
      <c r="W110" t="str">
        <f>IF(BrewdogNew3[[#This Row],[EBC]]="*", BrewdogNew3[[#This Row],[Yeast]], "")</f>
        <v/>
      </c>
    </row>
    <row r="111" spans="1:23" x14ac:dyDescent="0.25">
      <c r="A111" s="45" t="s">
        <v>176</v>
      </c>
      <c r="B111">
        <v>4.5</v>
      </c>
      <c r="C111" s="2" t="s">
        <v>274</v>
      </c>
      <c r="D111">
        <v>38</v>
      </c>
      <c r="E111">
        <v>1042.9000000000001</v>
      </c>
      <c r="F111">
        <v>18</v>
      </c>
      <c r="G111">
        <f>IF(BrewdogNew3[[#This Row],[EBC]]="*",1,0)</f>
        <v>0</v>
      </c>
      <c r="H111">
        <v>4.4000000000000004</v>
      </c>
      <c r="I111">
        <v>81</v>
      </c>
      <c r="J111">
        <v>10</v>
      </c>
      <c r="K111" s="45" t="s">
        <v>68</v>
      </c>
      <c r="L111" s="45">
        <f>IF(BrewdogNew3[[#This Row],[Yeast]]=BrewdogNew3[[#Headers],[Wyeast 1056 - American Ale]],1,0)</f>
        <v>0</v>
      </c>
      <c r="M111" s="45">
        <f>IF(BrewdogNew3[[#This Row],[Yeast]]=BrewdogNew3[[#Headers],[Wyeast 2007 - Pilsen Lager]],1,0)</f>
        <v>1</v>
      </c>
      <c r="N111" s="45">
        <f>IF(BrewdogNew3[[#This Row],[Yeast]]=BrewdogNew3[[#Headers],[Wyeast 3711 - French Saison]],1,0)</f>
        <v>0</v>
      </c>
      <c r="O111" s="45">
        <f>IF(BrewdogNew3[[#This Row],[Yeast]]=BrewdogNew3[[#Headers],[Wyeast 1272 - American Ale II]],1,0)</f>
        <v>0</v>
      </c>
      <c r="P111" s="45" t="str">
        <f>BrewdogNew3[[#This Row],[Name]]</f>
        <v>Growler</v>
      </c>
      <c r="Q111" t="str">
        <f>IF(BrewdogNew3[[#This Row],[EBC]]="*", BrewdogNew3[[#This Row],[IBU]], "")</f>
        <v/>
      </c>
      <c r="R111" t="str">
        <f>IF(BrewdogNew3[[#This Row],[EBC]]="*", BrewdogNew3[[#This Row],[OG]], "")</f>
        <v/>
      </c>
      <c r="S111" t="str">
        <f>IF(BrewdogNew3[[#This Row],[EBC]]="*", BrewdogNew3[[#This Row],[ABV]], "")</f>
        <v/>
      </c>
      <c r="T111" t="str">
        <f>IF(BrewdogNew3[[#This Row],[EBC]]="*", BrewdogNew3[[#This Row],[PH]], "")</f>
        <v/>
      </c>
      <c r="U111" t="str">
        <f>IF(BrewdogNew3[[#This Row],[EBC]]="*", BrewdogNew3[[#This Row],[AttenuationLevel]], "")</f>
        <v/>
      </c>
      <c r="V111" t="str">
        <f>IF(BrewdogNew3[[#This Row],[EBC]]="*", BrewdogNew3[[#This Row],[FermentationTempCelsius]], "")</f>
        <v/>
      </c>
      <c r="W111" t="str">
        <f>IF(BrewdogNew3[[#This Row],[EBC]]="*", BrewdogNew3[[#This Row],[Yeast]], "")</f>
        <v/>
      </c>
    </row>
    <row r="112" spans="1:23" x14ac:dyDescent="0.25">
      <c r="A112" s="45" t="s">
        <v>177</v>
      </c>
      <c r="B112">
        <v>9</v>
      </c>
      <c r="C112" s="2" t="s">
        <v>274</v>
      </c>
      <c r="D112">
        <v>50</v>
      </c>
      <c r="E112">
        <v>1084</v>
      </c>
      <c r="F112">
        <v>20</v>
      </c>
      <c r="G112">
        <f>IF(BrewdogNew3[[#This Row],[EBC]]="*",1,0)</f>
        <v>0</v>
      </c>
      <c r="H112">
        <v>4.4000000000000004</v>
      </c>
      <c r="I112">
        <v>82.1</v>
      </c>
      <c r="J112">
        <v>21</v>
      </c>
      <c r="K112" s="45" t="s">
        <v>80</v>
      </c>
      <c r="L112" s="45">
        <f>IF(BrewdogNew3[[#This Row],[Yeast]]=BrewdogNew3[[#Headers],[Wyeast 1056 - American Ale]],1,0)</f>
        <v>0</v>
      </c>
      <c r="M112" s="45">
        <f>IF(BrewdogNew3[[#This Row],[Yeast]]=BrewdogNew3[[#Headers],[Wyeast 2007 - Pilsen Lager]],1,0)</f>
        <v>0</v>
      </c>
      <c r="N112" s="45">
        <f>IF(BrewdogNew3[[#This Row],[Yeast]]=BrewdogNew3[[#Headers],[Wyeast 3711 - French Saison]],1,0)</f>
        <v>0</v>
      </c>
      <c r="O112" s="45">
        <f>IF(BrewdogNew3[[#This Row],[Yeast]]=BrewdogNew3[[#Headers],[Wyeast 1272 - American Ale II]],1,0)</f>
        <v>1</v>
      </c>
      <c r="P112" s="45" t="str">
        <f>BrewdogNew3[[#This Row],[Name]]</f>
        <v>#Mashtag 2014</v>
      </c>
      <c r="Q112" t="str">
        <f>IF(BrewdogNew3[[#This Row],[EBC]]="*", BrewdogNew3[[#This Row],[IBU]], "")</f>
        <v/>
      </c>
      <c r="R112" t="str">
        <f>IF(BrewdogNew3[[#This Row],[EBC]]="*", BrewdogNew3[[#This Row],[OG]], "")</f>
        <v/>
      </c>
      <c r="S112" t="str">
        <f>IF(BrewdogNew3[[#This Row],[EBC]]="*", BrewdogNew3[[#This Row],[ABV]], "")</f>
        <v/>
      </c>
      <c r="T112" t="str">
        <f>IF(BrewdogNew3[[#This Row],[EBC]]="*", BrewdogNew3[[#This Row],[PH]], "")</f>
        <v/>
      </c>
      <c r="U112" t="str">
        <f>IF(BrewdogNew3[[#This Row],[EBC]]="*", BrewdogNew3[[#This Row],[AttenuationLevel]], "")</f>
        <v/>
      </c>
      <c r="V112" t="str">
        <f>IF(BrewdogNew3[[#This Row],[EBC]]="*", BrewdogNew3[[#This Row],[FermentationTempCelsius]], "")</f>
        <v/>
      </c>
      <c r="W112" t="str">
        <f>IF(BrewdogNew3[[#This Row],[EBC]]="*", BrewdogNew3[[#This Row],[Yeast]], "")</f>
        <v/>
      </c>
    </row>
    <row r="113" spans="1:23" x14ac:dyDescent="0.25">
      <c r="A113" s="45" t="s">
        <v>178</v>
      </c>
      <c r="B113">
        <v>41</v>
      </c>
      <c r="C113" s="2" t="s">
        <v>274</v>
      </c>
      <c r="D113">
        <v>1085</v>
      </c>
      <c r="E113">
        <v>1085</v>
      </c>
      <c r="F113">
        <v>40</v>
      </c>
      <c r="G113">
        <f>IF(BrewdogNew3[[#This Row],[EBC]]="*",1,0)</f>
        <v>0</v>
      </c>
      <c r="H113">
        <v>4.4000000000000004</v>
      </c>
      <c r="I113">
        <v>81.2</v>
      </c>
      <c r="J113">
        <v>21</v>
      </c>
      <c r="K113" s="45" t="s">
        <v>80</v>
      </c>
      <c r="L113" s="45">
        <f>IF(BrewdogNew3[[#This Row],[Yeast]]=BrewdogNew3[[#Headers],[Wyeast 1056 - American Ale]],1,0)</f>
        <v>0</v>
      </c>
      <c r="M113" s="45">
        <f>IF(BrewdogNew3[[#This Row],[Yeast]]=BrewdogNew3[[#Headers],[Wyeast 2007 - Pilsen Lager]],1,0)</f>
        <v>0</v>
      </c>
      <c r="N113" s="45">
        <f>IF(BrewdogNew3[[#This Row],[Yeast]]=BrewdogNew3[[#Headers],[Wyeast 3711 - French Saison]],1,0)</f>
        <v>0</v>
      </c>
      <c r="O113" s="45">
        <f>IF(BrewdogNew3[[#This Row],[Yeast]]=BrewdogNew3[[#Headers],[Wyeast 1272 - American Ale II]],1,0)</f>
        <v>1</v>
      </c>
      <c r="P113" s="45" t="str">
        <f>BrewdogNew3[[#This Row],[Name]]</f>
        <v>Sink The Bismarck!</v>
      </c>
      <c r="Q113" t="str">
        <f>IF(BrewdogNew3[[#This Row],[EBC]]="*", BrewdogNew3[[#This Row],[IBU]], "")</f>
        <v/>
      </c>
      <c r="R113" t="str">
        <f>IF(BrewdogNew3[[#This Row],[EBC]]="*", BrewdogNew3[[#This Row],[OG]], "")</f>
        <v/>
      </c>
      <c r="S113" t="str">
        <f>IF(BrewdogNew3[[#This Row],[EBC]]="*", BrewdogNew3[[#This Row],[ABV]], "")</f>
        <v/>
      </c>
      <c r="T113" t="str">
        <f>IF(BrewdogNew3[[#This Row],[EBC]]="*", BrewdogNew3[[#This Row],[PH]], "")</f>
        <v/>
      </c>
      <c r="U113" t="str">
        <f>IF(BrewdogNew3[[#This Row],[EBC]]="*", BrewdogNew3[[#This Row],[AttenuationLevel]], "")</f>
        <v/>
      </c>
      <c r="V113" t="str">
        <f>IF(BrewdogNew3[[#This Row],[EBC]]="*", BrewdogNew3[[#This Row],[FermentationTempCelsius]], "")</f>
        <v/>
      </c>
      <c r="W113" t="str">
        <f>IF(BrewdogNew3[[#This Row],[EBC]]="*", BrewdogNew3[[#This Row],[Yeast]], "")</f>
        <v/>
      </c>
    </row>
    <row r="114" spans="1:23" x14ac:dyDescent="0.25">
      <c r="A114" s="45" t="s">
        <v>179</v>
      </c>
      <c r="B114">
        <v>15</v>
      </c>
      <c r="C114" s="2" t="s">
        <v>274</v>
      </c>
      <c r="D114">
        <v>90</v>
      </c>
      <c r="E114">
        <v>1120</v>
      </c>
      <c r="F114">
        <v>100</v>
      </c>
      <c r="G114">
        <f>IF(BrewdogNew3[[#This Row],[EBC]]="*",1,0)</f>
        <v>0</v>
      </c>
      <c r="H114">
        <v>4.4000000000000004</v>
      </c>
      <c r="I114">
        <v>98</v>
      </c>
      <c r="J114">
        <v>19</v>
      </c>
      <c r="K114" s="45" t="s">
        <v>80</v>
      </c>
      <c r="L114" s="45">
        <f>IF(BrewdogNew3[[#This Row],[Yeast]]=BrewdogNew3[[#Headers],[Wyeast 1056 - American Ale]],1,0)</f>
        <v>0</v>
      </c>
      <c r="M114" s="45">
        <f>IF(BrewdogNew3[[#This Row],[Yeast]]=BrewdogNew3[[#Headers],[Wyeast 2007 - Pilsen Lager]],1,0)</f>
        <v>0</v>
      </c>
      <c r="N114" s="45">
        <f>IF(BrewdogNew3[[#This Row],[Yeast]]=BrewdogNew3[[#Headers],[Wyeast 3711 - French Saison]],1,0)</f>
        <v>0</v>
      </c>
      <c r="O114" s="45">
        <f>IF(BrewdogNew3[[#This Row],[Yeast]]=BrewdogNew3[[#Headers],[Wyeast 1272 - American Ale II]],1,0)</f>
        <v>1</v>
      </c>
      <c r="P114" s="45" t="str">
        <f>BrewdogNew3[[#This Row],[Name]]</f>
        <v>Dog A</v>
      </c>
      <c r="Q114" t="str">
        <f>IF(BrewdogNew3[[#This Row],[EBC]]="*", BrewdogNew3[[#This Row],[IBU]], "")</f>
        <v/>
      </c>
      <c r="R114" t="str">
        <f>IF(BrewdogNew3[[#This Row],[EBC]]="*", BrewdogNew3[[#This Row],[OG]], "")</f>
        <v/>
      </c>
      <c r="S114" t="str">
        <f>IF(BrewdogNew3[[#This Row],[EBC]]="*", BrewdogNew3[[#This Row],[ABV]], "")</f>
        <v/>
      </c>
      <c r="T114" t="str">
        <f>IF(BrewdogNew3[[#This Row],[EBC]]="*", BrewdogNew3[[#This Row],[PH]], "")</f>
        <v/>
      </c>
      <c r="U114" t="str">
        <f>IF(BrewdogNew3[[#This Row],[EBC]]="*", BrewdogNew3[[#This Row],[AttenuationLevel]], "")</f>
        <v/>
      </c>
      <c r="V114" t="str">
        <f>IF(BrewdogNew3[[#This Row],[EBC]]="*", BrewdogNew3[[#This Row],[FermentationTempCelsius]], "")</f>
        <v/>
      </c>
      <c r="W114" t="str">
        <f>IF(BrewdogNew3[[#This Row],[EBC]]="*", BrewdogNew3[[#This Row],[Yeast]], "")</f>
        <v/>
      </c>
    </row>
    <row r="115" spans="1:23" x14ac:dyDescent="0.25">
      <c r="A115" s="45" t="s">
        <v>180</v>
      </c>
      <c r="B115">
        <v>8.5</v>
      </c>
      <c r="C115" s="2" t="s">
        <v>274</v>
      </c>
      <c r="D115">
        <v>85</v>
      </c>
      <c r="E115">
        <v>1072</v>
      </c>
      <c r="F115">
        <v>15</v>
      </c>
      <c r="G115">
        <f>IF(BrewdogNew3[[#This Row],[EBC]]="*",1,0)</f>
        <v>0</v>
      </c>
      <c r="H115">
        <v>4.4000000000000004</v>
      </c>
      <c r="I115">
        <v>90.3</v>
      </c>
      <c r="J115">
        <v>18</v>
      </c>
      <c r="K115" s="45" t="s">
        <v>80</v>
      </c>
      <c r="L115" s="45">
        <f>IF(BrewdogNew3[[#This Row],[Yeast]]=BrewdogNew3[[#Headers],[Wyeast 1056 - American Ale]],1,0)</f>
        <v>0</v>
      </c>
      <c r="M115" s="45">
        <f>IF(BrewdogNew3[[#This Row],[Yeast]]=BrewdogNew3[[#Headers],[Wyeast 2007 - Pilsen Lager]],1,0)</f>
        <v>0</v>
      </c>
      <c r="N115" s="45">
        <f>IF(BrewdogNew3[[#This Row],[Yeast]]=BrewdogNew3[[#Headers],[Wyeast 3711 - French Saison]],1,0)</f>
        <v>0</v>
      </c>
      <c r="O115" s="45">
        <f>IF(BrewdogNew3[[#This Row],[Yeast]]=BrewdogNew3[[#Headers],[Wyeast 1272 - American Ale II]],1,0)</f>
        <v>1</v>
      </c>
      <c r="P115" s="45" t="str">
        <f>BrewdogNew3[[#This Row],[Name]]</f>
        <v>Born To Die</v>
      </c>
      <c r="Q115" t="str">
        <f>IF(BrewdogNew3[[#This Row],[EBC]]="*", BrewdogNew3[[#This Row],[IBU]], "")</f>
        <v/>
      </c>
      <c r="R115" t="str">
        <f>IF(BrewdogNew3[[#This Row],[EBC]]="*", BrewdogNew3[[#This Row],[OG]], "")</f>
        <v/>
      </c>
      <c r="S115" t="str">
        <f>IF(BrewdogNew3[[#This Row],[EBC]]="*", BrewdogNew3[[#This Row],[ABV]], "")</f>
        <v/>
      </c>
      <c r="T115" t="str">
        <f>IF(BrewdogNew3[[#This Row],[EBC]]="*", BrewdogNew3[[#This Row],[PH]], "")</f>
        <v/>
      </c>
      <c r="U115" t="str">
        <f>IF(BrewdogNew3[[#This Row],[EBC]]="*", BrewdogNew3[[#This Row],[AttenuationLevel]], "")</f>
        <v/>
      </c>
      <c r="V115" t="str">
        <f>IF(BrewdogNew3[[#This Row],[EBC]]="*", BrewdogNew3[[#This Row],[FermentationTempCelsius]], "")</f>
        <v/>
      </c>
      <c r="W115" t="str">
        <f>IF(BrewdogNew3[[#This Row],[EBC]]="*", BrewdogNew3[[#This Row],[Yeast]], "")</f>
        <v/>
      </c>
    </row>
    <row r="116" spans="1:23" x14ac:dyDescent="0.25">
      <c r="A116" s="45" t="s">
        <v>181</v>
      </c>
      <c r="B116">
        <v>7.2</v>
      </c>
      <c r="C116" s="2" t="s">
        <v>274</v>
      </c>
      <c r="D116">
        <v>100</v>
      </c>
      <c r="E116">
        <v>1064</v>
      </c>
      <c r="F116">
        <v>12</v>
      </c>
      <c r="G116">
        <f>IF(BrewdogNew3[[#This Row],[EBC]]="*",1,0)</f>
        <v>0</v>
      </c>
      <c r="H116">
        <v>4.4000000000000004</v>
      </c>
      <c r="I116">
        <v>84</v>
      </c>
      <c r="J116">
        <v>19</v>
      </c>
      <c r="K116" s="45" t="s">
        <v>64</v>
      </c>
      <c r="L116" s="45">
        <f>IF(BrewdogNew3[[#This Row],[Yeast]]=BrewdogNew3[[#Headers],[Wyeast 1056 - American Ale]],1,0)</f>
        <v>1</v>
      </c>
      <c r="M116" s="45">
        <f>IF(BrewdogNew3[[#This Row],[Yeast]]=BrewdogNew3[[#Headers],[Wyeast 2007 - Pilsen Lager]],1,0)</f>
        <v>0</v>
      </c>
      <c r="N116" s="45">
        <f>IF(BrewdogNew3[[#This Row],[Yeast]]=BrewdogNew3[[#Headers],[Wyeast 3711 - French Saison]],1,0)</f>
        <v>0</v>
      </c>
      <c r="O116" s="45">
        <f>IF(BrewdogNew3[[#This Row],[Yeast]]=BrewdogNew3[[#Headers],[Wyeast 1272 - American Ale II]],1,0)</f>
        <v>0</v>
      </c>
      <c r="P116" s="45" t="str">
        <f>BrewdogNew3[[#This Row],[Name]]</f>
        <v>Pioneer - IPA Is Dead</v>
      </c>
      <c r="Q116" t="str">
        <f>IF(BrewdogNew3[[#This Row],[EBC]]="*", BrewdogNew3[[#This Row],[IBU]], "")</f>
        <v/>
      </c>
      <c r="R116" t="str">
        <f>IF(BrewdogNew3[[#This Row],[EBC]]="*", BrewdogNew3[[#This Row],[OG]], "")</f>
        <v/>
      </c>
      <c r="S116" t="str">
        <f>IF(BrewdogNew3[[#This Row],[EBC]]="*", BrewdogNew3[[#This Row],[ABV]], "")</f>
        <v/>
      </c>
      <c r="T116" t="str">
        <f>IF(BrewdogNew3[[#This Row],[EBC]]="*", BrewdogNew3[[#This Row],[PH]], "")</f>
        <v/>
      </c>
      <c r="U116" t="str">
        <f>IF(BrewdogNew3[[#This Row],[EBC]]="*", BrewdogNew3[[#This Row],[AttenuationLevel]], "")</f>
        <v/>
      </c>
      <c r="V116" t="str">
        <f>IF(BrewdogNew3[[#This Row],[EBC]]="*", BrewdogNew3[[#This Row],[FermentationTempCelsius]], "")</f>
        <v/>
      </c>
      <c r="W116" t="str">
        <f>IF(BrewdogNew3[[#This Row],[EBC]]="*", BrewdogNew3[[#This Row],[Yeast]], "")</f>
        <v/>
      </c>
    </row>
    <row r="117" spans="1:23" x14ac:dyDescent="0.25">
      <c r="A117" s="45" t="s">
        <v>182</v>
      </c>
      <c r="B117">
        <v>9</v>
      </c>
      <c r="C117" s="2" t="s">
        <v>274</v>
      </c>
      <c r="D117">
        <v>80</v>
      </c>
      <c r="E117">
        <v>1083</v>
      </c>
      <c r="F117">
        <v>180</v>
      </c>
      <c r="G117">
        <f>IF(BrewdogNew3[[#This Row],[EBC]]="*",1,0)</f>
        <v>0</v>
      </c>
      <c r="H117">
        <v>5.2</v>
      </c>
      <c r="I117">
        <v>83.1</v>
      </c>
      <c r="J117">
        <v>21</v>
      </c>
      <c r="K117" s="45" t="s">
        <v>80</v>
      </c>
      <c r="L117" s="45">
        <f>IF(BrewdogNew3[[#This Row],[Yeast]]=BrewdogNew3[[#Headers],[Wyeast 1056 - American Ale]],1,0)</f>
        <v>0</v>
      </c>
      <c r="M117" s="45">
        <f>IF(BrewdogNew3[[#This Row],[Yeast]]=BrewdogNew3[[#Headers],[Wyeast 2007 - Pilsen Lager]],1,0)</f>
        <v>0</v>
      </c>
      <c r="N117" s="45">
        <f>IF(BrewdogNew3[[#This Row],[Yeast]]=BrewdogNew3[[#Headers],[Wyeast 3711 - French Saison]],1,0)</f>
        <v>0</v>
      </c>
      <c r="O117" s="45">
        <f>IF(BrewdogNew3[[#This Row],[Yeast]]=BrewdogNew3[[#Headers],[Wyeast 1272 - American Ale II]],1,0)</f>
        <v>1</v>
      </c>
      <c r="P117" s="45" t="str">
        <f>BrewdogNew3[[#This Row],[Name]]</f>
        <v>Cap Dog (w/ Cap Brewery)</v>
      </c>
      <c r="Q117" t="str">
        <f>IF(BrewdogNew3[[#This Row],[EBC]]="*", BrewdogNew3[[#This Row],[IBU]], "")</f>
        <v/>
      </c>
      <c r="R117" t="str">
        <f>IF(BrewdogNew3[[#This Row],[EBC]]="*", BrewdogNew3[[#This Row],[OG]], "")</f>
        <v/>
      </c>
      <c r="S117" t="str">
        <f>IF(BrewdogNew3[[#This Row],[EBC]]="*", BrewdogNew3[[#This Row],[ABV]], "")</f>
        <v/>
      </c>
      <c r="T117" t="str">
        <f>IF(BrewdogNew3[[#This Row],[EBC]]="*", BrewdogNew3[[#This Row],[PH]], "")</f>
        <v/>
      </c>
      <c r="U117" t="str">
        <f>IF(BrewdogNew3[[#This Row],[EBC]]="*", BrewdogNew3[[#This Row],[AttenuationLevel]], "")</f>
        <v/>
      </c>
      <c r="V117" t="str">
        <f>IF(BrewdogNew3[[#This Row],[EBC]]="*", BrewdogNew3[[#This Row],[FermentationTempCelsius]], "")</f>
        <v/>
      </c>
      <c r="W117" t="str">
        <f>IF(BrewdogNew3[[#This Row],[EBC]]="*", BrewdogNew3[[#This Row],[Yeast]], "")</f>
        <v/>
      </c>
    </row>
    <row r="118" spans="1:23" x14ac:dyDescent="0.25">
      <c r="A118" s="45" t="s">
        <v>183</v>
      </c>
      <c r="B118">
        <v>3.8</v>
      </c>
      <c r="C118" s="2" t="s">
        <v>274</v>
      </c>
      <c r="D118">
        <v>20</v>
      </c>
      <c r="E118">
        <v>1039</v>
      </c>
      <c r="F118">
        <v>6</v>
      </c>
      <c r="G118">
        <f>IF(BrewdogNew3[[#This Row],[EBC]]="*",1,0)</f>
        <v>0</v>
      </c>
      <c r="H118">
        <v>5.2</v>
      </c>
      <c r="I118">
        <v>87</v>
      </c>
      <c r="J118">
        <v>20</v>
      </c>
      <c r="K118" s="45" t="s">
        <v>64</v>
      </c>
      <c r="L118" s="45">
        <f>IF(BrewdogNew3[[#This Row],[Yeast]]=BrewdogNew3[[#Headers],[Wyeast 1056 - American Ale]],1,0)</f>
        <v>1</v>
      </c>
      <c r="M118" s="45">
        <f>IF(BrewdogNew3[[#This Row],[Yeast]]=BrewdogNew3[[#Headers],[Wyeast 2007 - Pilsen Lager]],1,0)</f>
        <v>0</v>
      </c>
      <c r="N118" s="45">
        <f>IF(BrewdogNew3[[#This Row],[Yeast]]=BrewdogNew3[[#Headers],[Wyeast 3711 - French Saison]],1,0)</f>
        <v>0</v>
      </c>
      <c r="O118" s="45">
        <f>IF(BrewdogNew3[[#This Row],[Yeast]]=BrewdogNew3[[#Headers],[Wyeast 1272 - American Ale II]],1,0)</f>
        <v>0</v>
      </c>
      <c r="P118" s="45" t="str">
        <f>BrewdogNew3[[#This Row],[Name]]</f>
        <v>Orange Blossom - B-Sides</v>
      </c>
      <c r="Q118" t="str">
        <f>IF(BrewdogNew3[[#This Row],[EBC]]="*", BrewdogNew3[[#This Row],[IBU]], "")</f>
        <v/>
      </c>
      <c r="R118" t="str">
        <f>IF(BrewdogNew3[[#This Row],[EBC]]="*", BrewdogNew3[[#This Row],[OG]], "")</f>
        <v/>
      </c>
      <c r="S118" t="str">
        <f>IF(BrewdogNew3[[#This Row],[EBC]]="*", BrewdogNew3[[#This Row],[ABV]], "")</f>
        <v/>
      </c>
      <c r="T118" t="str">
        <f>IF(BrewdogNew3[[#This Row],[EBC]]="*", BrewdogNew3[[#This Row],[PH]], "")</f>
        <v/>
      </c>
      <c r="U118" t="str">
        <f>IF(BrewdogNew3[[#This Row],[EBC]]="*", BrewdogNew3[[#This Row],[AttenuationLevel]], "")</f>
        <v/>
      </c>
      <c r="V118" t="str">
        <f>IF(BrewdogNew3[[#This Row],[EBC]]="*", BrewdogNew3[[#This Row],[FermentationTempCelsius]], "")</f>
        <v/>
      </c>
      <c r="W118" t="str">
        <f>IF(BrewdogNew3[[#This Row],[EBC]]="*", BrewdogNew3[[#This Row],[Yeast]], "")</f>
        <v/>
      </c>
    </row>
    <row r="119" spans="1:23" x14ac:dyDescent="0.25">
      <c r="A119" s="45" t="s">
        <v>184</v>
      </c>
      <c r="B119">
        <v>5.7</v>
      </c>
      <c r="C119" s="2" t="s">
        <v>274</v>
      </c>
      <c r="D119">
        <v>35</v>
      </c>
      <c r="E119">
        <v>1053</v>
      </c>
      <c r="F119">
        <v>25</v>
      </c>
      <c r="G119">
        <f>IF(BrewdogNew3[[#This Row],[EBC]]="*",1,0)</f>
        <v>0</v>
      </c>
      <c r="H119">
        <v>4.4000000000000004</v>
      </c>
      <c r="I119">
        <v>79.3</v>
      </c>
      <c r="J119">
        <v>17</v>
      </c>
      <c r="K119" s="45" t="s">
        <v>64</v>
      </c>
      <c r="L119" s="45">
        <f>IF(BrewdogNew3[[#This Row],[Yeast]]=BrewdogNew3[[#Headers],[Wyeast 1056 - American Ale]],1,0)</f>
        <v>1</v>
      </c>
      <c r="M119" s="45">
        <f>IF(BrewdogNew3[[#This Row],[Yeast]]=BrewdogNew3[[#Headers],[Wyeast 2007 - Pilsen Lager]],1,0)</f>
        <v>0</v>
      </c>
      <c r="N119" s="45">
        <f>IF(BrewdogNew3[[#This Row],[Yeast]]=BrewdogNew3[[#Headers],[Wyeast 3711 - French Saison]],1,0)</f>
        <v>0</v>
      </c>
      <c r="O119" s="45">
        <f>IF(BrewdogNew3[[#This Row],[Yeast]]=BrewdogNew3[[#Headers],[Wyeast 1272 - American Ale II]],1,0)</f>
        <v>0</v>
      </c>
      <c r="P119" s="45" t="str">
        <f>BrewdogNew3[[#This Row],[Name]]</f>
        <v>Lizard Bride - Prototype Challenge</v>
      </c>
      <c r="Q119" t="str">
        <f>IF(BrewdogNew3[[#This Row],[EBC]]="*", BrewdogNew3[[#This Row],[IBU]], "")</f>
        <v/>
      </c>
      <c r="R119" t="str">
        <f>IF(BrewdogNew3[[#This Row],[EBC]]="*", BrewdogNew3[[#This Row],[OG]], "")</f>
        <v/>
      </c>
      <c r="S119" t="str">
        <f>IF(BrewdogNew3[[#This Row],[EBC]]="*", BrewdogNew3[[#This Row],[ABV]], "")</f>
        <v/>
      </c>
      <c r="T119" t="str">
        <f>IF(BrewdogNew3[[#This Row],[EBC]]="*", BrewdogNew3[[#This Row],[PH]], "")</f>
        <v/>
      </c>
      <c r="U119" t="str">
        <f>IF(BrewdogNew3[[#This Row],[EBC]]="*", BrewdogNew3[[#This Row],[AttenuationLevel]], "")</f>
        <v/>
      </c>
      <c r="V119" t="str">
        <f>IF(BrewdogNew3[[#This Row],[EBC]]="*", BrewdogNew3[[#This Row],[FermentationTempCelsius]], "")</f>
        <v/>
      </c>
      <c r="W119" t="str">
        <f>IF(BrewdogNew3[[#This Row],[EBC]]="*", BrewdogNew3[[#This Row],[Yeast]], "")</f>
        <v/>
      </c>
    </row>
    <row r="120" spans="1:23" x14ac:dyDescent="0.25">
      <c r="A120" s="45" t="s">
        <v>185</v>
      </c>
      <c r="B120">
        <v>6.3</v>
      </c>
      <c r="C120" s="2" t="s">
        <v>274</v>
      </c>
      <c r="D120">
        <v>130</v>
      </c>
      <c r="E120">
        <v>1060</v>
      </c>
      <c r="F120">
        <v>14</v>
      </c>
      <c r="G120">
        <f>IF(BrewdogNew3[[#This Row],[EBC]]="*",1,0)</f>
        <v>0</v>
      </c>
      <c r="H120">
        <v>5.2</v>
      </c>
      <c r="I120">
        <v>83</v>
      </c>
      <c r="J120">
        <v>20</v>
      </c>
      <c r="K120" s="45" t="s">
        <v>64</v>
      </c>
      <c r="L120" s="45">
        <f>IF(BrewdogNew3[[#This Row],[Yeast]]=BrewdogNew3[[#Headers],[Wyeast 1056 - American Ale]],1,0)</f>
        <v>1</v>
      </c>
      <c r="M120" s="45">
        <f>IF(BrewdogNew3[[#This Row],[Yeast]]=BrewdogNew3[[#Headers],[Wyeast 2007 - Pilsen Lager]],1,0)</f>
        <v>0</v>
      </c>
      <c r="N120" s="45">
        <f>IF(BrewdogNew3[[#This Row],[Yeast]]=BrewdogNew3[[#Headers],[Wyeast 3711 - French Saison]],1,0)</f>
        <v>0</v>
      </c>
      <c r="O120" s="45">
        <f>IF(BrewdogNew3[[#This Row],[Yeast]]=BrewdogNew3[[#Headers],[Wyeast 1272 - American Ale II]],1,0)</f>
        <v>0</v>
      </c>
      <c r="P120" s="45" t="str">
        <f>BrewdogNew3[[#This Row],[Name]]</f>
        <v>Sorachi Bitter - B-Sides</v>
      </c>
      <c r="Q120" t="str">
        <f>IF(BrewdogNew3[[#This Row],[EBC]]="*", BrewdogNew3[[#This Row],[IBU]], "")</f>
        <v/>
      </c>
      <c r="R120" t="str">
        <f>IF(BrewdogNew3[[#This Row],[EBC]]="*", BrewdogNew3[[#This Row],[OG]], "")</f>
        <v/>
      </c>
      <c r="S120" t="str">
        <f>IF(BrewdogNew3[[#This Row],[EBC]]="*", BrewdogNew3[[#This Row],[ABV]], "")</f>
        <v/>
      </c>
      <c r="T120" t="str">
        <f>IF(BrewdogNew3[[#This Row],[EBC]]="*", BrewdogNew3[[#This Row],[PH]], "")</f>
        <v/>
      </c>
      <c r="U120" t="str">
        <f>IF(BrewdogNew3[[#This Row],[EBC]]="*", BrewdogNew3[[#This Row],[AttenuationLevel]], "")</f>
        <v/>
      </c>
      <c r="V120" t="str">
        <f>IF(BrewdogNew3[[#This Row],[EBC]]="*", BrewdogNew3[[#This Row],[FermentationTempCelsius]], "")</f>
        <v/>
      </c>
      <c r="W120" t="str">
        <f>IF(BrewdogNew3[[#This Row],[EBC]]="*", BrewdogNew3[[#This Row],[Yeast]], "")</f>
        <v/>
      </c>
    </row>
    <row r="121" spans="1:23" x14ac:dyDescent="0.25">
      <c r="A121" s="45" t="s">
        <v>186</v>
      </c>
      <c r="B121">
        <v>7.5</v>
      </c>
      <c r="C121" s="2" t="s">
        <v>274</v>
      </c>
      <c r="D121">
        <v>75</v>
      </c>
      <c r="E121">
        <v>1068</v>
      </c>
      <c r="F121">
        <v>30</v>
      </c>
      <c r="G121">
        <f>IF(BrewdogNew3[[#This Row],[EBC]]="*",1,0)</f>
        <v>0</v>
      </c>
      <c r="H121">
        <v>4.4000000000000004</v>
      </c>
      <c r="I121">
        <v>82.1</v>
      </c>
      <c r="J121">
        <v>19</v>
      </c>
      <c r="K121" s="45" t="s">
        <v>64</v>
      </c>
      <c r="L121" s="45">
        <f>IF(BrewdogNew3[[#This Row],[Yeast]]=BrewdogNew3[[#Headers],[Wyeast 1056 - American Ale]],1,0)</f>
        <v>1</v>
      </c>
      <c r="M121" s="45">
        <f>IF(BrewdogNew3[[#This Row],[Yeast]]=BrewdogNew3[[#Headers],[Wyeast 2007 - Pilsen Lager]],1,0)</f>
        <v>0</v>
      </c>
      <c r="N121" s="45">
        <f>IF(BrewdogNew3[[#This Row],[Yeast]]=BrewdogNew3[[#Headers],[Wyeast 3711 - French Saison]],1,0)</f>
        <v>0</v>
      </c>
      <c r="O121" s="45">
        <f>IF(BrewdogNew3[[#This Row],[Yeast]]=BrewdogNew3[[#Headers],[Wyeast 1272 - American Ale II]],1,0)</f>
        <v>0</v>
      </c>
      <c r="P121" s="45" t="str">
        <f>BrewdogNew3[[#This Row],[Name]]</f>
        <v>Nelson Sauvin</v>
      </c>
      <c r="Q121" t="str">
        <f>IF(BrewdogNew3[[#This Row],[EBC]]="*", BrewdogNew3[[#This Row],[IBU]], "")</f>
        <v/>
      </c>
      <c r="R121" t="str">
        <f>IF(BrewdogNew3[[#This Row],[EBC]]="*", BrewdogNew3[[#This Row],[OG]], "")</f>
        <v/>
      </c>
      <c r="S121" t="str">
        <f>IF(BrewdogNew3[[#This Row],[EBC]]="*", BrewdogNew3[[#This Row],[ABV]], "")</f>
        <v/>
      </c>
      <c r="T121" t="str">
        <f>IF(BrewdogNew3[[#This Row],[EBC]]="*", BrewdogNew3[[#This Row],[PH]], "")</f>
        <v/>
      </c>
      <c r="U121" t="str">
        <f>IF(BrewdogNew3[[#This Row],[EBC]]="*", BrewdogNew3[[#This Row],[AttenuationLevel]], "")</f>
        <v/>
      </c>
      <c r="V121" t="str">
        <f>IF(BrewdogNew3[[#This Row],[EBC]]="*", BrewdogNew3[[#This Row],[FermentationTempCelsius]], "")</f>
        <v/>
      </c>
      <c r="W121" t="str">
        <f>IF(BrewdogNew3[[#This Row],[EBC]]="*", BrewdogNew3[[#This Row],[Yeast]], "")</f>
        <v/>
      </c>
    </row>
    <row r="122" spans="1:23" x14ac:dyDescent="0.25">
      <c r="A122" s="45" t="s">
        <v>187</v>
      </c>
      <c r="B122">
        <v>4.4000000000000004</v>
      </c>
      <c r="C122" s="2" t="s">
        <v>274</v>
      </c>
      <c r="D122">
        <v>35</v>
      </c>
      <c r="E122">
        <v>1045</v>
      </c>
      <c r="F122">
        <v>30</v>
      </c>
      <c r="G122">
        <f>IF(BrewdogNew3[[#This Row],[EBC]]="*",1,0)</f>
        <v>0</v>
      </c>
      <c r="H122">
        <v>4.4000000000000004</v>
      </c>
      <c r="I122">
        <v>73.3</v>
      </c>
      <c r="J122">
        <v>19</v>
      </c>
      <c r="K122" s="45" t="s">
        <v>64</v>
      </c>
      <c r="L122" s="45">
        <f>IF(BrewdogNew3[[#This Row],[Yeast]]=BrewdogNew3[[#Headers],[Wyeast 1056 - American Ale]],1,0)</f>
        <v>1</v>
      </c>
      <c r="M122" s="45">
        <f>IF(BrewdogNew3[[#This Row],[Yeast]]=BrewdogNew3[[#Headers],[Wyeast 2007 - Pilsen Lager]],1,0)</f>
        <v>0</v>
      </c>
      <c r="N122" s="45">
        <f>IF(BrewdogNew3[[#This Row],[Yeast]]=BrewdogNew3[[#Headers],[Wyeast 3711 - French Saison]],1,0)</f>
        <v>0</v>
      </c>
      <c r="O122" s="45">
        <f>IF(BrewdogNew3[[#This Row],[Yeast]]=BrewdogNew3[[#Headers],[Wyeast 1272 - American Ale II]],1,0)</f>
        <v>0</v>
      </c>
      <c r="P122" s="45" t="str">
        <f>BrewdogNew3[[#This Row],[Name]]</f>
        <v>Hello My Name Is Little Ingrid</v>
      </c>
      <c r="Q122" t="str">
        <f>IF(BrewdogNew3[[#This Row],[EBC]]="*", BrewdogNew3[[#This Row],[IBU]], "")</f>
        <v/>
      </c>
      <c r="R122" t="str">
        <f>IF(BrewdogNew3[[#This Row],[EBC]]="*", BrewdogNew3[[#This Row],[OG]], "")</f>
        <v/>
      </c>
      <c r="S122" t="str">
        <f>IF(BrewdogNew3[[#This Row],[EBC]]="*", BrewdogNew3[[#This Row],[ABV]], "")</f>
        <v/>
      </c>
      <c r="T122" t="str">
        <f>IF(BrewdogNew3[[#This Row],[EBC]]="*", BrewdogNew3[[#This Row],[PH]], "")</f>
        <v/>
      </c>
      <c r="U122" t="str">
        <f>IF(BrewdogNew3[[#This Row],[EBC]]="*", BrewdogNew3[[#This Row],[AttenuationLevel]], "")</f>
        <v/>
      </c>
      <c r="V122" t="str">
        <f>IF(BrewdogNew3[[#This Row],[EBC]]="*", BrewdogNew3[[#This Row],[FermentationTempCelsius]], "")</f>
        <v/>
      </c>
      <c r="W122" t="str">
        <f>IF(BrewdogNew3[[#This Row],[EBC]]="*", BrewdogNew3[[#This Row],[Yeast]], "")</f>
        <v/>
      </c>
    </row>
    <row r="123" spans="1:23" x14ac:dyDescent="0.25">
      <c r="A123" s="45" t="s">
        <v>188</v>
      </c>
      <c r="B123">
        <v>18</v>
      </c>
      <c r="C123" s="2" t="s">
        <v>274</v>
      </c>
      <c r="D123">
        <v>70</v>
      </c>
      <c r="E123">
        <v>1150</v>
      </c>
      <c r="F123">
        <v>57</v>
      </c>
      <c r="G123">
        <f>IF(BrewdogNew3[[#This Row],[EBC]]="*",1,0)</f>
        <v>0</v>
      </c>
      <c r="H123">
        <v>4.4000000000000004</v>
      </c>
      <c r="I123">
        <v>93.3</v>
      </c>
      <c r="J123">
        <v>22</v>
      </c>
      <c r="K123" s="45" t="s">
        <v>80</v>
      </c>
      <c r="L123" s="45">
        <f>IF(BrewdogNew3[[#This Row],[Yeast]]=BrewdogNew3[[#Headers],[Wyeast 1056 - American Ale]],1,0)</f>
        <v>0</v>
      </c>
      <c r="M123" s="45">
        <f>IF(BrewdogNew3[[#This Row],[Yeast]]=BrewdogNew3[[#Headers],[Wyeast 2007 - Pilsen Lager]],1,0)</f>
        <v>0</v>
      </c>
      <c r="N123" s="45">
        <f>IF(BrewdogNew3[[#This Row],[Yeast]]=BrewdogNew3[[#Headers],[Wyeast 3711 - French Saison]],1,0)</f>
        <v>0</v>
      </c>
      <c r="O123" s="45">
        <f>IF(BrewdogNew3[[#This Row],[Yeast]]=BrewdogNew3[[#Headers],[Wyeast 1272 - American Ale II]],1,0)</f>
        <v>1</v>
      </c>
      <c r="P123" s="45" t="str">
        <f>BrewdogNew3[[#This Row],[Name]]</f>
        <v>AB:02</v>
      </c>
      <c r="Q123" t="str">
        <f>IF(BrewdogNew3[[#This Row],[EBC]]="*", BrewdogNew3[[#This Row],[IBU]], "")</f>
        <v/>
      </c>
      <c r="R123" t="str">
        <f>IF(BrewdogNew3[[#This Row],[EBC]]="*", BrewdogNew3[[#This Row],[OG]], "")</f>
        <v/>
      </c>
      <c r="S123" t="str">
        <f>IF(BrewdogNew3[[#This Row],[EBC]]="*", BrewdogNew3[[#This Row],[ABV]], "")</f>
        <v/>
      </c>
      <c r="T123" t="str">
        <f>IF(BrewdogNew3[[#This Row],[EBC]]="*", BrewdogNew3[[#This Row],[PH]], "")</f>
        <v/>
      </c>
      <c r="U123" t="str">
        <f>IF(BrewdogNew3[[#This Row],[EBC]]="*", BrewdogNew3[[#This Row],[AttenuationLevel]], "")</f>
        <v/>
      </c>
      <c r="V123" t="str">
        <f>IF(BrewdogNew3[[#This Row],[EBC]]="*", BrewdogNew3[[#This Row],[FermentationTempCelsius]], "")</f>
        <v/>
      </c>
      <c r="W123" t="str">
        <f>IF(BrewdogNew3[[#This Row],[EBC]]="*", BrewdogNew3[[#This Row],[Yeast]], "")</f>
        <v/>
      </c>
    </row>
    <row r="124" spans="1:23" x14ac:dyDescent="0.25">
      <c r="A124" s="45" t="s">
        <v>189</v>
      </c>
      <c r="B124">
        <v>10.5</v>
      </c>
      <c r="C124" s="2" t="s">
        <v>274</v>
      </c>
      <c r="D124">
        <v>14</v>
      </c>
      <c r="E124">
        <v>1093</v>
      </c>
      <c r="F124" s="31" t="s">
        <v>32</v>
      </c>
      <c r="G124" s="31">
        <f>IF(BrewdogNew3[[#This Row],[EBC]]="*",1,0)</f>
        <v>1</v>
      </c>
      <c r="H124">
        <v>4.4000000000000004</v>
      </c>
      <c r="I124">
        <v>80</v>
      </c>
      <c r="J124">
        <v>19</v>
      </c>
      <c r="K124" s="45" t="s">
        <v>64</v>
      </c>
      <c r="L124" s="45">
        <f>IF(BrewdogNew3[[#This Row],[Yeast]]=BrewdogNew3[[#Headers],[Wyeast 1056 - American Ale]],1,0)</f>
        <v>1</v>
      </c>
      <c r="M124" s="45">
        <f>IF(BrewdogNew3[[#This Row],[Yeast]]=BrewdogNew3[[#Headers],[Wyeast 2007 - Pilsen Lager]],1,0)</f>
        <v>0</v>
      </c>
      <c r="N124" s="45">
        <f>IF(BrewdogNew3[[#This Row],[Yeast]]=BrewdogNew3[[#Headers],[Wyeast 3711 - French Saison]],1,0)</f>
        <v>0</v>
      </c>
      <c r="O124" s="45">
        <f>IF(BrewdogNew3[[#This Row],[Yeast]]=BrewdogNew3[[#Headers],[Wyeast 1272 - American Ale II]],1,0)</f>
        <v>0</v>
      </c>
      <c r="P124" s="45" t="str">
        <f>BrewdogNew3[[#This Row],[Name]]</f>
        <v>AB:03</v>
      </c>
      <c r="Q124">
        <f>IF(BrewdogNew3[[#This Row],[EBC]]="*", BrewdogNew3[[#This Row],[IBU]], "")</f>
        <v>14</v>
      </c>
      <c r="R124">
        <f>IF(BrewdogNew3[[#This Row],[EBC]]="*", BrewdogNew3[[#This Row],[OG]], "")</f>
        <v>1093</v>
      </c>
      <c r="S124">
        <f>IF(BrewdogNew3[[#This Row],[EBC]]="*", BrewdogNew3[[#This Row],[ABV]], "")</f>
        <v>10.5</v>
      </c>
      <c r="T124">
        <f>IF(BrewdogNew3[[#This Row],[EBC]]="*", BrewdogNew3[[#This Row],[PH]], "")</f>
        <v>4.4000000000000004</v>
      </c>
      <c r="U124">
        <f>IF(BrewdogNew3[[#This Row],[EBC]]="*", BrewdogNew3[[#This Row],[AttenuationLevel]], "")</f>
        <v>80</v>
      </c>
      <c r="V124">
        <f>IF(BrewdogNew3[[#This Row],[EBC]]="*", BrewdogNew3[[#This Row],[FermentationTempCelsius]], "")</f>
        <v>19</v>
      </c>
      <c r="W124" t="str">
        <f>IF(BrewdogNew3[[#This Row],[EBC]]="*", BrewdogNew3[[#This Row],[Yeast]], "")</f>
        <v>Wyeast 1056 - American Ale</v>
      </c>
    </row>
    <row r="125" spans="1:23" x14ac:dyDescent="0.25">
      <c r="A125" s="45" t="s">
        <v>190</v>
      </c>
      <c r="B125">
        <v>11.3</v>
      </c>
      <c r="C125" s="2" t="s">
        <v>274</v>
      </c>
      <c r="D125">
        <v>50</v>
      </c>
      <c r="E125">
        <v>1098</v>
      </c>
      <c r="F125">
        <v>164</v>
      </c>
      <c r="G125">
        <f>IF(BrewdogNew3[[#This Row],[EBC]]="*",1,0)</f>
        <v>0</v>
      </c>
      <c r="H125">
        <v>4.4000000000000004</v>
      </c>
      <c r="I125">
        <v>79.599999999999994</v>
      </c>
      <c r="J125">
        <v>20</v>
      </c>
      <c r="K125" s="45" t="s">
        <v>80</v>
      </c>
      <c r="L125" s="45">
        <f>IF(BrewdogNew3[[#This Row],[Yeast]]=BrewdogNew3[[#Headers],[Wyeast 1056 - American Ale]],1,0)</f>
        <v>0</v>
      </c>
      <c r="M125" s="45">
        <f>IF(BrewdogNew3[[#This Row],[Yeast]]=BrewdogNew3[[#Headers],[Wyeast 2007 - Pilsen Lager]],1,0)</f>
        <v>0</v>
      </c>
      <c r="N125" s="45">
        <f>IF(BrewdogNew3[[#This Row],[Yeast]]=BrewdogNew3[[#Headers],[Wyeast 3711 - French Saison]],1,0)</f>
        <v>0</v>
      </c>
      <c r="O125" s="45">
        <f>IF(BrewdogNew3[[#This Row],[Yeast]]=BrewdogNew3[[#Headers],[Wyeast 1272 - American Ale II]],1,0)</f>
        <v>1</v>
      </c>
      <c r="P125" s="45" t="str">
        <f>BrewdogNew3[[#This Row],[Name]]</f>
        <v>AB:13</v>
      </c>
      <c r="Q125" t="str">
        <f>IF(BrewdogNew3[[#This Row],[EBC]]="*", BrewdogNew3[[#This Row],[IBU]], "")</f>
        <v/>
      </c>
      <c r="R125" t="str">
        <f>IF(BrewdogNew3[[#This Row],[EBC]]="*", BrewdogNew3[[#This Row],[OG]], "")</f>
        <v/>
      </c>
      <c r="S125" t="str">
        <f>IF(BrewdogNew3[[#This Row],[EBC]]="*", BrewdogNew3[[#This Row],[ABV]], "")</f>
        <v/>
      </c>
      <c r="T125" t="str">
        <f>IF(BrewdogNew3[[#This Row],[EBC]]="*", BrewdogNew3[[#This Row],[PH]], "")</f>
        <v/>
      </c>
      <c r="U125" t="str">
        <f>IF(BrewdogNew3[[#This Row],[EBC]]="*", BrewdogNew3[[#This Row],[AttenuationLevel]], "")</f>
        <v/>
      </c>
      <c r="V125" t="str">
        <f>IF(BrewdogNew3[[#This Row],[EBC]]="*", BrewdogNew3[[#This Row],[FermentationTempCelsius]], "")</f>
        <v/>
      </c>
      <c r="W125" t="str">
        <f>IF(BrewdogNew3[[#This Row],[EBC]]="*", BrewdogNew3[[#This Row],[Yeast]], "")</f>
        <v/>
      </c>
    </row>
    <row r="126" spans="1:23" x14ac:dyDescent="0.25">
      <c r="A126" s="45" t="s">
        <v>191</v>
      </c>
      <c r="B126" s="31" t="s">
        <v>32</v>
      </c>
      <c r="C126" s="51">
        <v>1</v>
      </c>
      <c r="D126">
        <v>25</v>
      </c>
      <c r="E126">
        <v>1052</v>
      </c>
      <c r="F126">
        <v>10</v>
      </c>
      <c r="G126">
        <f>IF(BrewdogNew3[[#This Row],[EBC]]="*",1,0)</f>
        <v>0</v>
      </c>
      <c r="H126">
        <v>5.2</v>
      </c>
      <c r="I126">
        <v>87</v>
      </c>
      <c r="J126">
        <v>20</v>
      </c>
      <c r="K126" s="45" t="s">
        <v>71</v>
      </c>
      <c r="L126" s="45">
        <f>IF(BrewdogNew3[[#This Row],[Yeast]]=BrewdogNew3[[#Headers],[Wyeast 1056 - American Ale]],1,0)</f>
        <v>0</v>
      </c>
      <c r="M126" s="45">
        <f>IF(BrewdogNew3[[#This Row],[Yeast]]=BrewdogNew3[[#Headers],[Wyeast 2007 - Pilsen Lager]],1,0)</f>
        <v>0</v>
      </c>
      <c r="N126" s="45">
        <f>IF(BrewdogNew3[[#This Row],[Yeast]]=BrewdogNew3[[#Headers],[Wyeast 3711 - French Saison]],1,0)</f>
        <v>1</v>
      </c>
      <c r="O126" s="45">
        <f>IF(BrewdogNew3[[#This Row],[Yeast]]=BrewdogNew3[[#Headers],[Wyeast 1272 - American Ale II]],1,0)</f>
        <v>0</v>
      </c>
      <c r="P126" s="45" t="str">
        <f>BrewdogNew3[[#This Row],[Name]]</f>
        <v>Rhubarb Saison - B-Sides</v>
      </c>
      <c r="Q126" t="str">
        <f>IF(BrewdogNew3[[#This Row],[EBC]]="*", BrewdogNew3[[#This Row],[IBU]], "")</f>
        <v/>
      </c>
      <c r="R126" t="str">
        <f>IF(BrewdogNew3[[#This Row],[EBC]]="*", BrewdogNew3[[#This Row],[OG]], "")</f>
        <v/>
      </c>
      <c r="S126" t="str">
        <f>IF(BrewdogNew3[[#This Row],[EBC]]="*", BrewdogNew3[[#This Row],[ABV]], "")</f>
        <v/>
      </c>
      <c r="T126" t="str">
        <f>IF(BrewdogNew3[[#This Row],[EBC]]="*", BrewdogNew3[[#This Row],[PH]], "")</f>
        <v/>
      </c>
      <c r="U126" t="str">
        <f>IF(BrewdogNew3[[#This Row],[EBC]]="*", BrewdogNew3[[#This Row],[AttenuationLevel]], "")</f>
        <v/>
      </c>
      <c r="V126" t="str">
        <f>IF(BrewdogNew3[[#This Row],[EBC]]="*", BrewdogNew3[[#This Row],[FermentationTempCelsius]], "")</f>
        <v/>
      </c>
      <c r="W126" t="str">
        <f>IF(BrewdogNew3[[#This Row],[EBC]]="*", BrewdogNew3[[#This Row],[Yeast]], "")</f>
        <v/>
      </c>
    </row>
    <row r="127" spans="1:23" x14ac:dyDescent="0.25">
      <c r="A127" s="45" t="s">
        <v>192</v>
      </c>
      <c r="B127">
        <v>5.2</v>
      </c>
      <c r="C127" s="2" t="s">
        <v>274</v>
      </c>
      <c r="D127">
        <v>65</v>
      </c>
      <c r="E127">
        <v>1048</v>
      </c>
      <c r="F127">
        <v>16</v>
      </c>
      <c r="G127">
        <f>IF(BrewdogNew3[[#This Row],[EBC]]="*",1,0)</f>
        <v>0</v>
      </c>
      <c r="H127">
        <v>5.2</v>
      </c>
      <c r="I127">
        <v>79</v>
      </c>
      <c r="J127">
        <v>19</v>
      </c>
      <c r="K127" s="45" t="s">
        <v>64</v>
      </c>
      <c r="L127" s="45">
        <f>IF(BrewdogNew3[[#This Row],[Yeast]]=BrewdogNew3[[#Headers],[Wyeast 1056 - American Ale]],1,0)</f>
        <v>1</v>
      </c>
      <c r="M127" s="45">
        <f>IF(BrewdogNew3[[#This Row],[Yeast]]=BrewdogNew3[[#Headers],[Wyeast 2007 - Pilsen Lager]],1,0)</f>
        <v>0</v>
      </c>
      <c r="N127" s="45">
        <f>IF(BrewdogNew3[[#This Row],[Yeast]]=BrewdogNew3[[#Headers],[Wyeast 3711 - French Saison]],1,0)</f>
        <v>0</v>
      </c>
      <c r="O127" s="45">
        <f>IF(BrewdogNew3[[#This Row],[Yeast]]=BrewdogNew3[[#Headers],[Wyeast 1272 - American Ale II]],1,0)</f>
        <v>0</v>
      </c>
      <c r="P127" s="45" t="str">
        <f>BrewdogNew3[[#This Row],[Name]]</f>
        <v>Deaf Mermaid - B-Sides</v>
      </c>
      <c r="Q127" t="str">
        <f>IF(BrewdogNew3[[#This Row],[EBC]]="*", BrewdogNew3[[#This Row],[IBU]], "")</f>
        <v/>
      </c>
      <c r="R127" t="str">
        <f>IF(BrewdogNew3[[#This Row],[EBC]]="*", BrewdogNew3[[#This Row],[OG]], "")</f>
        <v/>
      </c>
      <c r="S127" t="str">
        <f>IF(BrewdogNew3[[#This Row],[EBC]]="*", BrewdogNew3[[#This Row],[ABV]], "")</f>
        <v/>
      </c>
      <c r="T127" t="str">
        <f>IF(BrewdogNew3[[#This Row],[EBC]]="*", BrewdogNew3[[#This Row],[PH]], "")</f>
        <v/>
      </c>
      <c r="U127" t="str">
        <f>IF(BrewdogNew3[[#This Row],[EBC]]="*", BrewdogNew3[[#This Row],[AttenuationLevel]], "")</f>
        <v/>
      </c>
      <c r="V127" t="str">
        <f>IF(BrewdogNew3[[#This Row],[EBC]]="*", BrewdogNew3[[#This Row],[FermentationTempCelsius]], "")</f>
        <v/>
      </c>
      <c r="W127" t="str">
        <f>IF(BrewdogNew3[[#This Row],[EBC]]="*", BrewdogNew3[[#This Row],[Yeast]], "")</f>
        <v/>
      </c>
    </row>
    <row r="128" spans="1:23" x14ac:dyDescent="0.25">
      <c r="A128" s="45" t="s">
        <v>193</v>
      </c>
      <c r="B128">
        <v>4.5</v>
      </c>
      <c r="C128" s="2" t="s">
        <v>274</v>
      </c>
      <c r="D128">
        <v>25</v>
      </c>
      <c r="E128">
        <v>1043</v>
      </c>
      <c r="F128">
        <v>10</v>
      </c>
      <c r="G128">
        <f>IF(BrewdogNew3[[#This Row],[EBC]]="*",1,0)</f>
        <v>0</v>
      </c>
      <c r="H128">
        <v>4.2</v>
      </c>
      <c r="I128">
        <v>79.099999999999994</v>
      </c>
      <c r="J128">
        <v>15</v>
      </c>
      <c r="K128" s="45" t="s">
        <v>64</v>
      </c>
      <c r="L128" s="45">
        <f>IF(BrewdogNew3[[#This Row],[Yeast]]=BrewdogNew3[[#Headers],[Wyeast 1056 - American Ale]],1,0)</f>
        <v>1</v>
      </c>
      <c r="M128" s="45">
        <f>IF(BrewdogNew3[[#This Row],[Yeast]]=BrewdogNew3[[#Headers],[Wyeast 2007 - Pilsen Lager]],1,0)</f>
        <v>0</v>
      </c>
      <c r="N128" s="45">
        <f>IF(BrewdogNew3[[#This Row],[Yeast]]=BrewdogNew3[[#Headers],[Wyeast 3711 - French Saison]],1,0)</f>
        <v>0</v>
      </c>
      <c r="O128" s="45">
        <f>IF(BrewdogNew3[[#This Row],[Yeast]]=BrewdogNew3[[#Headers],[Wyeast 1272 - American Ale II]],1,0)</f>
        <v>0</v>
      </c>
      <c r="P128" s="45" t="str">
        <f>BrewdogNew3[[#This Row],[Name]]</f>
        <v>No Label</v>
      </c>
      <c r="Q128" t="str">
        <f>IF(BrewdogNew3[[#This Row],[EBC]]="*", BrewdogNew3[[#This Row],[IBU]], "")</f>
        <v/>
      </c>
      <c r="R128" t="str">
        <f>IF(BrewdogNew3[[#This Row],[EBC]]="*", BrewdogNew3[[#This Row],[OG]], "")</f>
        <v/>
      </c>
      <c r="S128" t="str">
        <f>IF(BrewdogNew3[[#This Row],[EBC]]="*", BrewdogNew3[[#This Row],[ABV]], "")</f>
        <v/>
      </c>
      <c r="T128" t="str">
        <f>IF(BrewdogNew3[[#This Row],[EBC]]="*", BrewdogNew3[[#This Row],[PH]], "")</f>
        <v/>
      </c>
      <c r="U128" t="str">
        <f>IF(BrewdogNew3[[#This Row],[EBC]]="*", BrewdogNew3[[#This Row],[AttenuationLevel]], "")</f>
        <v/>
      </c>
      <c r="V128" t="str">
        <f>IF(BrewdogNew3[[#This Row],[EBC]]="*", BrewdogNew3[[#This Row],[FermentationTempCelsius]], "")</f>
        <v/>
      </c>
      <c r="W128" t="str">
        <f>IF(BrewdogNew3[[#This Row],[EBC]]="*", BrewdogNew3[[#This Row],[Yeast]], "")</f>
        <v/>
      </c>
    </row>
    <row r="129" spans="1:23" x14ac:dyDescent="0.25">
      <c r="A129" s="45" t="s">
        <v>194</v>
      </c>
      <c r="B129">
        <v>9.5</v>
      </c>
      <c r="C129" s="2" t="s">
        <v>274</v>
      </c>
      <c r="D129">
        <v>80</v>
      </c>
      <c r="E129">
        <v>1075</v>
      </c>
      <c r="F129">
        <v>195</v>
      </c>
      <c r="G129">
        <f>IF(BrewdogNew3[[#This Row],[EBC]]="*",1,0)</f>
        <v>0</v>
      </c>
      <c r="H129">
        <v>4.5</v>
      </c>
      <c r="I129">
        <v>81.3</v>
      </c>
      <c r="J129">
        <v>19</v>
      </c>
      <c r="K129" s="45" t="s">
        <v>80</v>
      </c>
      <c r="L129" s="45">
        <f>IF(BrewdogNew3[[#This Row],[Yeast]]=BrewdogNew3[[#Headers],[Wyeast 1056 - American Ale]],1,0)</f>
        <v>0</v>
      </c>
      <c r="M129" s="45">
        <f>IF(BrewdogNew3[[#This Row],[Yeast]]=BrewdogNew3[[#Headers],[Wyeast 2007 - Pilsen Lager]],1,0)</f>
        <v>0</v>
      </c>
      <c r="N129" s="45">
        <f>IF(BrewdogNew3[[#This Row],[Yeast]]=BrewdogNew3[[#Headers],[Wyeast 3711 - French Saison]],1,0)</f>
        <v>0</v>
      </c>
      <c r="O129" s="45">
        <f>IF(BrewdogNew3[[#This Row],[Yeast]]=BrewdogNew3[[#Headers],[Wyeast 1272 - American Ale II]],1,0)</f>
        <v>1</v>
      </c>
      <c r="P129" s="45" t="str">
        <f>BrewdogNew3[[#This Row],[Name]]</f>
        <v>Old World Russian Imperial Stout</v>
      </c>
      <c r="Q129" t="str">
        <f>IF(BrewdogNew3[[#This Row],[EBC]]="*", BrewdogNew3[[#This Row],[IBU]], "")</f>
        <v/>
      </c>
      <c r="R129" t="str">
        <f>IF(BrewdogNew3[[#This Row],[EBC]]="*", BrewdogNew3[[#This Row],[OG]], "")</f>
        <v/>
      </c>
      <c r="S129" t="str">
        <f>IF(BrewdogNew3[[#This Row],[EBC]]="*", BrewdogNew3[[#This Row],[ABV]], "")</f>
        <v/>
      </c>
      <c r="T129" t="str">
        <f>IF(BrewdogNew3[[#This Row],[EBC]]="*", BrewdogNew3[[#This Row],[PH]], "")</f>
        <v/>
      </c>
      <c r="U129" t="str">
        <f>IF(BrewdogNew3[[#This Row],[EBC]]="*", BrewdogNew3[[#This Row],[AttenuationLevel]], "")</f>
        <v/>
      </c>
      <c r="V129" t="str">
        <f>IF(BrewdogNew3[[#This Row],[EBC]]="*", BrewdogNew3[[#This Row],[FermentationTempCelsius]], "")</f>
        <v/>
      </c>
      <c r="W129" t="str">
        <f>IF(BrewdogNew3[[#This Row],[EBC]]="*", BrewdogNew3[[#This Row],[Yeast]], "")</f>
        <v/>
      </c>
    </row>
    <row r="130" spans="1:23" x14ac:dyDescent="0.25">
      <c r="A130" s="45" t="s">
        <v>195</v>
      </c>
      <c r="B130">
        <v>7.2</v>
      </c>
      <c r="C130" s="2" t="s">
        <v>274</v>
      </c>
      <c r="D130">
        <v>70</v>
      </c>
      <c r="E130">
        <v>1067</v>
      </c>
      <c r="F130">
        <v>30</v>
      </c>
      <c r="G130">
        <f>IF(BrewdogNew3[[#This Row],[EBC]]="*",1,0)</f>
        <v>0</v>
      </c>
      <c r="H130">
        <v>4.4000000000000004</v>
      </c>
      <c r="I130">
        <v>82.1</v>
      </c>
      <c r="J130">
        <v>19</v>
      </c>
      <c r="K130" s="45" t="s">
        <v>64</v>
      </c>
      <c r="L130" s="45">
        <f>IF(BrewdogNew3[[#This Row],[Yeast]]=BrewdogNew3[[#Headers],[Wyeast 1056 - American Ale]],1,0)</f>
        <v>1</v>
      </c>
      <c r="M130" s="45">
        <f>IF(BrewdogNew3[[#This Row],[Yeast]]=BrewdogNew3[[#Headers],[Wyeast 2007 - Pilsen Lager]],1,0)</f>
        <v>0</v>
      </c>
      <c r="N130" s="45">
        <f>IF(BrewdogNew3[[#This Row],[Yeast]]=BrewdogNew3[[#Headers],[Wyeast 3711 - French Saison]],1,0)</f>
        <v>0</v>
      </c>
      <c r="O130" s="45">
        <f>IF(BrewdogNew3[[#This Row],[Yeast]]=BrewdogNew3[[#Headers],[Wyeast 1272 - American Ale II]],1,0)</f>
        <v>0</v>
      </c>
      <c r="P130" s="45" t="str">
        <f>BrewdogNew3[[#This Row],[Name]]</f>
        <v>Hoppy Christmas</v>
      </c>
      <c r="Q130" t="str">
        <f>IF(BrewdogNew3[[#This Row],[EBC]]="*", BrewdogNew3[[#This Row],[IBU]], "")</f>
        <v/>
      </c>
      <c r="R130" t="str">
        <f>IF(BrewdogNew3[[#This Row],[EBC]]="*", BrewdogNew3[[#This Row],[OG]], "")</f>
        <v/>
      </c>
      <c r="S130" t="str">
        <f>IF(BrewdogNew3[[#This Row],[EBC]]="*", BrewdogNew3[[#This Row],[ABV]], "")</f>
        <v/>
      </c>
      <c r="T130" t="str">
        <f>IF(BrewdogNew3[[#This Row],[EBC]]="*", BrewdogNew3[[#This Row],[PH]], "")</f>
        <v/>
      </c>
      <c r="U130" t="str">
        <f>IF(BrewdogNew3[[#This Row],[EBC]]="*", BrewdogNew3[[#This Row],[AttenuationLevel]], "")</f>
        <v/>
      </c>
      <c r="V130" t="str">
        <f>IF(BrewdogNew3[[#This Row],[EBC]]="*", BrewdogNew3[[#This Row],[FermentationTempCelsius]], "")</f>
        <v/>
      </c>
      <c r="W130" t="str">
        <f>IF(BrewdogNew3[[#This Row],[EBC]]="*", BrewdogNew3[[#This Row],[Yeast]], "")</f>
        <v/>
      </c>
    </row>
    <row r="131" spans="1:23" x14ac:dyDescent="0.25">
      <c r="A131" s="45" t="s">
        <v>196</v>
      </c>
      <c r="B131">
        <v>2.7</v>
      </c>
      <c r="C131" s="2" t="s">
        <v>274</v>
      </c>
      <c r="D131">
        <v>36</v>
      </c>
      <c r="E131">
        <v>1033</v>
      </c>
      <c r="F131">
        <v>57</v>
      </c>
      <c r="G131">
        <f>IF(BrewdogNew3[[#This Row],[EBC]]="*",1,0)</f>
        <v>0</v>
      </c>
      <c r="H131">
        <v>4.4000000000000004</v>
      </c>
      <c r="I131">
        <v>70.8</v>
      </c>
      <c r="J131">
        <v>19</v>
      </c>
      <c r="K131" s="45" t="s">
        <v>64</v>
      </c>
      <c r="L131" s="45">
        <f>IF(BrewdogNew3[[#This Row],[Yeast]]=BrewdogNew3[[#Headers],[Wyeast 1056 - American Ale]],1,0)</f>
        <v>1</v>
      </c>
      <c r="M131" s="45">
        <f>IF(BrewdogNew3[[#This Row],[Yeast]]=BrewdogNew3[[#Headers],[Wyeast 2007 - Pilsen Lager]],1,0)</f>
        <v>0</v>
      </c>
      <c r="N131" s="45">
        <f>IF(BrewdogNew3[[#This Row],[Yeast]]=BrewdogNew3[[#Headers],[Wyeast 3711 - French Saison]],1,0)</f>
        <v>0</v>
      </c>
      <c r="O131" s="45">
        <f>IF(BrewdogNew3[[#This Row],[Yeast]]=BrewdogNew3[[#Headers],[Wyeast 1272 - American Ale II]],1,0)</f>
        <v>0</v>
      </c>
      <c r="P131" s="45" t="str">
        <f>BrewdogNew3[[#This Row],[Name]]</f>
        <v>Edge</v>
      </c>
      <c r="Q131" t="str">
        <f>IF(BrewdogNew3[[#This Row],[EBC]]="*", BrewdogNew3[[#This Row],[IBU]], "")</f>
        <v/>
      </c>
      <c r="R131" t="str">
        <f>IF(BrewdogNew3[[#This Row],[EBC]]="*", BrewdogNew3[[#This Row],[OG]], "")</f>
        <v/>
      </c>
      <c r="S131" t="str">
        <f>IF(BrewdogNew3[[#This Row],[EBC]]="*", BrewdogNew3[[#This Row],[ABV]], "")</f>
        <v/>
      </c>
      <c r="T131" t="str">
        <f>IF(BrewdogNew3[[#This Row],[EBC]]="*", BrewdogNew3[[#This Row],[PH]], "")</f>
        <v/>
      </c>
      <c r="U131" t="str">
        <f>IF(BrewdogNew3[[#This Row],[EBC]]="*", BrewdogNew3[[#This Row],[AttenuationLevel]], "")</f>
        <v/>
      </c>
      <c r="V131" t="str">
        <f>IF(BrewdogNew3[[#This Row],[EBC]]="*", BrewdogNew3[[#This Row],[FermentationTempCelsius]], "")</f>
        <v/>
      </c>
      <c r="W131" t="str">
        <f>IF(BrewdogNew3[[#This Row],[EBC]]="*", BrewdogNew3[[#This Row],[Yeast]], "")</f>
        <v/>
      </c>
    </row>
    <row r="132" spans="1:23" x14ac:dyDescent="0.25">
      <c r="A132" s="45" t="s">
        <v>197</v>
      </c>
      <c r="B132">
        <v>6.4</v>
      </c>
      <c r="C132" s="2" t="s">
        <v>274</v>
      </c>
      <c r="D132">
        <v>50</v>
      </c>
      <c r="E132">
        <v>1061</v>
      </c>
      <c r="F132">
        <v>20</v>
      </c>
      <c r="G132">
        <f>IF(BrewdogNew3[[#This Row],[EBC]]="*",1,0)</f>
        <v>0</v>
      </c>
      <c r="H132">
        <v>4.4000000000000004</v>
      </c>
      <c r="I132">
        <v>80.3</v>
      </c>
      <c r="J132">
        <v>19</v>
      </c>
      <c r="K132" s="45" t="s">
        <v>64</v>
      </c>
      <c r="L132" s="45">
        <f>IF(BrewdogNew3[[#This Row],[Yeast]]=BrewdogNew3[[#Headers],[Wyeast 1056 - American Ale]],1,0)</f>
        <v>1</v>
      </c>
      <c r="M132" s="45">
        <f>IF(BrewdogNew3[[#This Row],[Yeast]]=BrewdogNew3[[#Headers],[Wyeast 2007 - Pilsen Lager]],1,0)</f>
        <v>0</v>
      </c>
      <c r="N132" s="45">
        <f>IF(BrewdogNew3[[#This Row],[Yeast]]=BrewdogNew3[[#Headers],[Wyeast 3711 - French Saison]],1,0)</f>
        <v>0</v>
      </c>
      <c r="O132" s="45">
        <f>IF(BrewdogNew3[[#This Row],[Yeast]]=BrewdogNew3[[#Headers],[Wyeast 1272 - American Ale II]],1,0)</f>
        <v>0</v>
      </c>
      <c r="P132" s="45" t="str">
        <f>BrewdogNew3[[#This Row],[Name]]</f>
        <v>Hello My Name Is ZeÌ (w/ 2CabecÌ§as)</v>
      </c>
      <c r="Q132" t="str">
        <f>IF(BrewdogNew3[[#This Row],[EBC]]="*", BrewdogNew3[[#This Row],[IBU]], "")</f>
        <v/>
      </c>
      <c r="R132" t="str">
        <f>IF(BrewdogNew3[[#This Row],[EBC]]="*", BrewdogNew3[[#This Row],[OG]], "")</f>
        <v/>
      </c>
      <c r="S132" t="str">
        <f>IF(BrewdogNew3[[#This Row],[EBC]]="*", BrewdogNew3[[#This Row],[ABV]], "")</f>
        <v/>
      </c>
      <c r="T132" t="str">
        <f>IF(BrewdogNew3[[#This Row],[EBC]]="*", BrewdogNew3[[#This Row],[PH]], "")</f>
        <v/>
      </c>
      <c r="U132" t="str">
        <f>IF(BrewdogNew3[[#This Row],[EBC]]="*", BrewdogNew3[[#This Row],[AttenuationLevel]], "")</f>
        <v/>
      </c>
      <c r="V132" t="str">
        <f>IF(BrewdogNew3[[#This Row],[EBC]]="*", BrewdogNew3[[#This Row],[FermentationTempCelsius]], "")</f>
        <v/>
      </c>
      <c r="W132" t="str">
        <f>IF(BrewdogNew3[[#This Row],[EBC]]="*", BrewdogNew3[[#This Row],[Yeast]], "")</f>
        <v/>
      </c>
    </row>
    <row r="133" spans="1:23" x14ac:dyDescent="0.25">
      <c r="A133" s="45" t="s">
        <v>198</v>
      </c>
      <c r="B133">
        <v>17.2</v>
      </c>
      <c r="C133" s="2" t="s">
        <v>274</v>
      </c>
      <c r="D133">
        <v>75</v>
      </c>
      <c r="E133">
        <v>1156</v>
      </c>
      <c r="F133">
        <v>128</v>
      </c>
      <c r="G133">
        <f>IF(BrewdogNew3[[#This Row],[EBC]]="*",1,0)</f>
        <v>0</v>
      </c>
      <c r="H133">
        <v>4.4000000000000004</v>
      </c>
      <c r="I133">
        <v>80.8</v>
      </c>
      <c r="J133">
        <v>21</v>
      </c>
      <c r="K133" s="45" t="s">
        <v>80</v>
      </c>
      <c r="L133" s="45">
        <f>IF(BrewdogNew3[[#This Row],[Yeast]]=BrewdogNew3[[#Headers],[Wyeast 1056 - American Ale]],1,0)</f>
        <v>0</v>
      </c>
      <c r="M133" s="45">
        <f>IF(BrewdogNew3[[#This Row],[Yeast]]=BrewdogNew3[[#Headers],[Wyeast 2007 - Pilsen Lager]],1,0)</f>
        <v>0</v>
      </c>
      <c r="N133" s="45">
        <f>IF(BrewdogNew3[[#This Row],[Yeast]]=BrewdogNew3[[#Headers],[Wyeast 3711 - French Saison]],1,0)</f>
        <v>0</v>
      </c>
      <c r="O133" s="45">
        <f>IF(BrewdogNew3[[#This Row],[Yeast]]=BrewdogNew3[[#Headers],[Wyeast 1272 - American Ale II]],1,0)</f>
        <v>1</v>
      </c>
      <c r="P133" s="45" t="str">
        <f>BrewdogNew3[[#This Row],[Name]]</f>
        <v>Black Tokyo Horizon (w/NÃ¸gne Ã˜ &amp; Mikkeller)</v>
      </c>
      <c r="Q133" t="str">
        <f>IF(BrewdogNew3[[#This Row],[EBC]]="*", BrewdogNew3[[#This Row],[IBU]], "")</f>
        <v/>
      </c>
      <c r="R133" t="str">
        <f>IF(BrewdogNew3[[#This Row],[EBC]]="*", BrewdogNew3[[#This Row],[OG]], "")</f>
        <v/>
      </c>
      <c r="S133" t="str">
        <f>IF(BrewdogNew3[[#This Row],[EBC]]="*", BrewdogNew3[[#This Row],[ABV]], "")</f>
        <v/>
      </c>
      <c r="T133" t="str">
        <f>IF(BrewdogNew3[[#This Row],[EBC]]="*", BrewdogNew3[[#This Row],[PH]], "")</f>
        <v/>
      </c>
      <c r="U133" t="str">
        <f>IF(BrewdogNew3[[#This Row],[EBC]]="*", BrewdogNew3[[#This Row],[AttenuationLevel]], "")</f>
        <v/>
      </c>
      <c r="V133" t="str">
        <f>IF(BrewdogNew3[[#This Row],[EBC]]="*", BrewdogNew3[[#This Row],[FermentationTempCelsius]], "")</f>
        <v/>
      </c>
      <c r="W133" t="str">
        <f>IF(BrewdogNew3[[#This Row],[EBC]]="*", BrewdogNew3[[#This Row],[Yeast]], "")</f>
        <v/>
      </c>
    </row>
    <row r="134" spans="1:23" x14ac:dyDescent="0.25">
      <c r="A134" s="45" t="s">
        <v>199</v>
      </c>
      <c r="B134">
        <v>8.5</v>
      </c>
      <c r="C134" s="2" t="s">
        <v>274</v>
      </c>
      <c r="D134">
        <v>100</v>
      </c>
      <c r="E134">
        <v>1068</v>
      </c>
      <c r="F134">
        <v>15</v>
      </c>
      <c r="G134">
        <f>IF(BrewdogNew3[[#This Row],[EBC]]="*",1,0)</f>
        <v>0</v>
      </c>
      <c r="H134">
        <v>4.4000000000000004</v>
      </c>
      <c r="I134">
        <v>95.6</v>
      </c>
      <c r="J134">
        <v>21</v>
      </c>
      <c r="K134" s="45" t="s">
        <v>80</v>
      </c>
      <c r="L134" s="45">
        <f>IF(BrewdogNew3[[#This Row],[Yeast]]=BrewdogNew3[[#Headers],[Wyeast 1056 - American Ale]],1,0)</f>
        <v>0</v>
      </c>
      <c r="M134" s="45">
        <f>IF(BrewdogNew3[[#This Row],[Yeast]]=BrewdogNew3[[#Headers],[Wyeast 2007 - Pilsen Lager]],1,0)</f>
        <v>0</v>
      </c>
      <c r="N134" s="45">
        <f>IF(BrewdogNew3[[#This Row],[Yeast]]=BrewdogNew3[[#Headers],[Wyeast 3711 - French Saison]],1,0)</f>
        <v>0</v>
      </c>
      <c r="O134" s="45">
        <f>IF(BrewdogNew3[[#This Row],[Yeast]]=BrewdogNew3[[#Headers],[Wyeast 1272 - American Ale II]],1,0)</f>
        <v>1</v>
      </c>
      <c r="P134" s="45" t="str">
        <f>BrewdogNew3[[#This Row],[Name]]</f>
        <v>Restorative Beverage For Invalids And Convalescents</v>
      </c>
      <c r="Q134" t="str">
        <f>IF(BrewdogNew3[[#This Row],[EBC]]="*", BrewdogNew3[[#This Row],[IBU]], "")</f>
        <v/>
      </c>
      <c r="R134" t="str">
        <f>IF(BrewdogNew3[[#This Row],[EBC]]="*", BrewdogNew3[[#This Row],[OG]], "")</f>
        <v/>
      </c>
      <c r="S134" t="str">
        <f>IF(BrewdogNew3[[#This Row],[EBC]]="*", BrewdogNew3[[#This Row],[ABV]], "")</f>
        <v/>
      </c>
      <c r="T134" t="str">
        <f>IF(BrewdogNew3[[#This Row],[EBC]]="*", BrewdogNew3[[#This Row],[PH]], "")</f>
        <v/>
      </c>
      <c r="U134" t="str">
        <f>IF(BrewdogNew3[[#This Row],[EBC]]="*", BrewdogNew3[[#This Row],[AttenuationLevel]], "")</f>
        <v/>
      </c>
      <c r="V134" t="str">
        <f>IF(BrewdogNew3[[#This Row],[EBC]]="*", BrewdogNew3[[#This Row],[FermentationTempCelsius]], "")</f>
        <v/>
      </c>
      <c r="W134" t="str">
        <f>IF(BrewdogNew3[[#This Row],[EBC]]="*", BrewdogNew3[[#This Row],[Yeast]], "")</f>
        <v/>
      </c>
    </row>
    <row r="135" spans="1:23" x14ac:dyDescent="0.25">
      <c r="A135" s="45" t="s">
        <v>200</v>
      </c>
      <c r="B135">
        <v>4.9000000000000004</v>
      </c>
      <c r="C135" s="2" t="s">
        <v>274</v>
      </c>
      <c r="D135">
        <v>30</v>
      </c>
      <c r="E135">
        <v>1047</v>
      </c>
      <c r="F135">
        <v>12</v>
      </c>
      <c r="G135">
        <f>IF(BrewdogNew3[[#This Row],[EBC]]="*",1,0)</f>
        <v>0</v>
      </c>
      <c r="H135">
        <v>4.4000000000000004</v>
      </c>
      <c r="I135">
        <v>80.7</v>
      </c>
      <c r="J135">
        <v>10</v>
      </c>
      <c r="K135" s="45" t="s">
        <v>68</v>
      </c>
      <c r="L135" s="45">
        <f>IF(BrewdogNew3[[#This Row],[Yeast]]=BrewdogNew3[[#Headers],[Wyeast 1056 - American Ale]],1,0)</f>
        <v>0</v>
      </c>
      <c r="M135" s="45">
        <f>IF(BrewdogNew3[[#This Row],[Yeast]]=BrewdogNew3[[#Headers],[Wyeast 2007 - Pilsen Lager]],1,0)</f>
        <v>1</v>
      </c>
      <c r="N135" s="45">
        <f>IF(BrewdogNew3[[#This Row],[Yeast]]=BrewdogNew3[[#Headers],[Wyeast 3711 - French Saison]],1,0)</f>
        <v>0</v>
      </c>
      <c r="O135" s="45">
        <f>IF(BrewdogNew3[[#This Row],[Yeast]]=BrewdogNew3[[#Headers],[Wyeast 1272 - American Ale II]],1,0)</f>
        <v>0</v>
      </c>
      <c r="P135" s="45" t="str">
        <f>BrewdogNew3[[#This Row],[Name]]</f>
        <v>77 Lager</v>
      </c>
      <c r="Q135" t="str">
        <f>IF(BrewdogNew3[[#This Row],[EBC]]="*", BrewdogNew3[[#This Row],[IBU]], "")</f>
        <v/>
      </c>
      <c r="R135" t="str">
        <f>IF(BrewdogNew3[[#This Row],[EBC]]="*", BrewdogNew3[[#This Row],[OG]], "")</f>
        <v/>
      </c>
      <c r="S135" t="str">
        <f>IF(BrewdogNew3[[#This Row],[EBC]]="*", BrewdogNew3[[#This Row],[ABV]], "")</f>
        <v/>
      </c>
      <c r="T135" t="str">
        <f>IF(BrewdogNew3[[#This Row],[EBC]]="*", BrewdogNew3[[#This Row],[PH]], "")</f>
        <v/>
      </c>
      <c r="U135" t="str">
        <f>IF(BrewdogNew3[[#This Row],[EBC]]="*", BrewdogNew3[[#This Row],[AttenuationLevel]], "")</f>
        <v/>
      </c>
      <c r="V135" t="str">
        <f>IF(BrewdogNew3[[#This Row],[EBC]]="*", BrewdogNew3[[#This Row],[FermentationTempCelsius]], "")</f>
        <v/>
      </c>
      <c r="W135" t="str">
        <f>IF(BrewdogNew3[[#This Row],[EBC]]="*", BrewdogNew3[[#This Row],[Yeast]], "")</f>
        <v/>
      </c>
    </row>
    <row r="136" spans="1:23" x14ac:dyDescent="0.25">
      <c r="A136" s="45" t="s">
        <v>201</v>
      </c>
      <c r="B136">
        <v>4.7</v>
      </c>
      <c r="C136" s="2" t="s">
        <v>274</v>
      </c>
      <c r="D136">
        <v>37</v>
      </c>
      <c r="E136">
        <v>1043</v>
      </c>
      <c r="F136">
        <v>10</v>
      </c>
      <c r="G136">
        <f>IF(BrewdogNew3[[#This Row],[EBC]]="*",1,0)</f>
        <v>0</v>
      </c>
      <c r="H136">
        <v>4.2</v>
      </c>
      <c r="I136">
        <v>83.7</v>
      </c>
      <c r="J136">
        <v>12</v>
      </c>
      <c r="K136" s="45" t="s">
        <v>68</v>
      </c>
      <c r="L136" s="45">
        <f>IF(BrewdogNew3[[#This Row],[Yeast]]=BrewdogNew3[[#Headers],[Wyeast 1056 - American Ale]],1,0)</f>
        <v>0</v>
      </c>
      <c r="M136" s="45">
        <f>IF(BrewdogNew3[[#This Row],[Yeast]]=BrewdogNew3[[#Headers],[Wyeast 2007 - Pilsen Lager]],1,0)</f>
        <v>1</v>
      </c>
      <c r="N136" s="45">
        <f>IF(BrewdogNew3[[#This Row],[Yeast]]=BrewdogNew3[[#Headers],[Wyeast 3711 - French Saison]],1,0)</f>
        <v>0</v>
      </c>
      <c r="O136" s="45">
        <f>IF(BrewdogNew3[[#This Row],[Yeast]]=BrewdogNew3[[#Headers],[Wyeast 1272 - American Ale II]],1,0)</f>
        <v>0</v>
      </c>
      <c r="P136" s="45" t="str">
        <f>BrewdogNew3[[#This Row],[Name]]</f>
        <v>This. Is. Lager</v>
      </c>
      <c r="Q136" t="str">
        <f>IF(BrewdogNew3[[#This Row],[EBC]]="*", BrewdogNew3[[#This Row],[IBU]], "")</f>
        <v/>
      </c>
      <c r="R136" t="str">
        <f>IF(BrewdogNew3[[#This Row],[EBC]]="*", BrewdogNew3[[#This Row],[OG]], "")</f>
        <v/>
      </c>
      <c r="S136" t="str">
        <f>IF(BrewdogNew3[[#This Row],[EBC]]="*", BrewdogNew3[[#This Row],[ABV]], "")</f>
        <v/>
      </c>
      <c r="T136" t="str">
        <f>IF(BrewdogNew3[[#This Row],[EBC]]="*", BrewdogNew3[[#This Row],[PH]], "")</f>
        <v/>
      </c>
      <c r="U136" t="str">
        <f>IF(BrewdogNew3[[#This Row],[EBC]]="*", BrewdogNew3[[#This Row],[AttenuationLevel]], "")</f>
        <v/>
      </c>
      <c r="V136" t="str">
        <f>IF(BrewdogNew3[[#This Row],[EBC]]="*", BrewdogNew3[[#This Row],[FermentationTempCelsius]], "")</f>
        <v/>
      </c>
      <c r="W136" t="str">
        <f>IF(BrewdogNew3[[#This Row],[EBC]]="*", BrewdogNew3[[#This Row],[Yeast]], "")</f>
        <v/>
      </c>
    </row>
    <row r="137" spans="1:23" x14ac:dyDescent="0.25">
      <c r="A137" s="45" t="s">
        <v>202</v>
      </c>
      <c r="B137">
        <v>7.2</v>
      </c>
      <c r="C137" s="2" t="s">
        <v>274</v>
      </c>
      <c r="D137">
        <v>100</v>
      </c>
      <c r="E137">
        <v>1064</v>
      </c>
      <c r="F137">
        <v>12</v>
      </c>
      <c r="G137">
        <f>IF(BrewdogNew3[[#This Row],[EBC]]="*",1,0)</f>
        <v>0</v>
      </c>
      <c r="H137">
        <v>4.4000000000000004</v>
      </c>
      <c r="I137">
        <v>84</v>
      </c>
      <c r="J137">
        <v>19</v>
      </c>
      <c r="K137" s="45" t="s">
        <v>64</v>
      </c>
      <c r="L137" s="45">
        <f>IF(BrewdogNew3[[#This Row],[Yeast]]=BrewdogNew3[[#Headers],[Wyeast 1056 - American Ale]],1,0)</f>
        <v>1</v>
      </c>
      <c r="M137" s="45">
        <f>IF(BrewdogNew3[[#This Row],[Yeast]]=BrewdogNew3[[#Headers],[Wyeast 2007 - Pilsen Lager]],1,0)</f>
        <v>0</v>
      </c>
      <c r="N137" s="45">
        <f>IF(BrewdogNew3[[#This Row],[Yeast]]=BrewdogNew3[[#Headers],[Wyeast 3711 - French Saison]],1,0)</f>
        <v>0</v>
      </c>
      <c r="O137" s="45">
        <f>IF(BrewdogNew3[[#This Row],[Yeast]]=BrewdogNew3[[#Headers],[Wyeast 1272 - American Ale II]],1,0)</f>
        <v>0</v>
      </c>
      <c r="P137" s="45" t="str">
        <f>BrewdogNew3[[#This Row],[Name]]</f>
        <v>Ella - IPA Is Dead</v>
      </c>
      <c r="Q137" t="str">
        <f>IF(BrewdogNew3[[#This Row],[EBC]]="*", BrewdogNew3[[#This Row],[IBU]], "")</f>
        <v/>
      </c>
      <c r="R137" t="str">
        <f>IF(BrewdogNew3[[#This Row],[EBC]]="*", BrewdogNew3[[#This Row],[OG]], "")</f>
        <v/>
      </c>
      <c r="S137" t="str">
        <f>IF(BrewdogNew3[[#This Row],[EBC]]="*", BrewdogNew3[[#This Row],[ABV]], "")</f>
        <v/>
      </c>
      <c r="T137" t="str">
        <f>IF(BrewdogNew3[[#This Row],[EBC]]="*", BrewdogNew3[[#This Row],[PH]], "")</f>
        <v/>
      </c>
      <c r="U137" t="str">
        <f>IF(BrewdogNew3[[#This Row],[EBC]]="*", BrewdogNew3[[#This Row],[AttenuationLevel]], "")</f>
        <v/>
      </c>
      <c r="V137" t="str">
        <f>IF(BrewdogNew3[[#This Row],[EBC]]="*", BrewdogNew3[[#This Row],[FermentationTempCelsius]], "")</f>
        <v/>
      </c>
      <c r="W137" t="str">
        <f>IF(BrewdogNew3[[#This Row],[EBC]]="*", BrewdogNew3[[#This Row],[Yeast]], "")</f>
        <v/>
      </c>
    </row>
    <row r="138" spans="1:23" x14ac:dyDescent="0.25">
      <c r="A138" s="45" t="s">
        <v>203</v>
      </c>
      <c r="B138">
        <v>10</v>
      </c>
      <c r="C138" s="2" t="s">
        <v>274</v>
      </c>
      <c r="D138">
        <v>80</v>
      </c>
      <c r="E138">
        <v>1097</v>
      </c>
      <c r="F138">
        <v>65</v>
      </c>
      <c r="G138">
        <f>IF(BrewdogNew3[[#This Row],[EBC]]="*",1,0)</f>
        <v>0</v>
      </c>
      <c r="H138">
        <v>4.4000000000000004</v>
      </c>
      <c r="I138">
        <v>79.400000000000006</v>
      </c>
      <c r="J138">
        <v>21</v>
      </c>
      <c r="K138" s="45" t="s">
        <v>80</v>
      </c>
      <c r="L138" s="45">
        <f>IF(BrewdogNew3[[#This Row],[Yeast]]=BrewdogNew3[[#Headers],[Wyeast 1056 - American Ale]],1,0)</f>
        <v>0</v>
      </c>
      <c r="M138" s="45">
        <f>IF(BrewdogNew3[[#This Row],[Yeast]]=BrewdogNew3[[#Headers],[Wyeast 2007 - Pilsen Lager]],1,0)</f>
        <v>0</v>
      </c>
      <c r="N138" s="45">
        <f>IF(BrewdogNew3[[#This Row],[Yeast]]=BrewdogNew3[[#Headers],[Wyeast 3711 - French Saison]],1,0)</f>
        <v>0</v>
      </c>
      <c r="O138" s="45">
        <f>IF(BrewdogNew3[[#This Row],[Yeast]]=BrewdogNew3[[#Headers],[Wyeast 1272 - American Ale II]],1,0)</f>
        <v>1</v>
      </c>
      <c r="P138" s="45" t="str">
        <f>BrewdogNew3[[#This Row],[Name]]</f>
        <v>Barley Wine - Russian Doll</v>
      </c>
      <c r="Q138" t="str">
        <f>IF(BrewdogNew3[[#This Row],[EBC]]="*", BrewdogNew3[[#This Row],[IBU]], "")</f>
        <v/>
      </c>
      <c r="R138" t="str">
        <f>IF(BrewdogNew3[[#This Row],[EBC]]="*", BrewdogNew3[[#This Row],[OG]], "")</f>
        <v/>
      </c>
      <c r="S138" t="str">
        <f>IF(BrewdogNew3[[#This Row],[EBC]]="*", BrewdogNew3[[#This Row],[ABV]], "")</f>
        <v/>
      </c>
      <c r="T138" t="str">
        <f>IF(BrewdogNew3[[#This Row],[EBC]]="*", BrewdogNew3[[#This Row],[PH]], "")</f>
        <v/>
      </c>
      <c r="U138" t="str">
        <f>IF(BrewdogNew3[[#This Row],[EBC]]="*", BrewdogNew3[[#This Row],[AttenuationLevel]], "")</f>
        <v/>
      </c>
      <c r="V138" t="str">
        <f>IF(BrewdogNew3[[#This Row],[EBC]]="*", BrewdogNew3[[#This Row],[FermentationTempCelsius]], "")</f>
        <v/>
      </c>
      <c r="W138" t="str">
        <f>IF(BrewdogNew3[[#This Row],[EBC]]="*", BrewdogNew3[[#This Row],[Yeast]], "")</f>
        <v/>
      </c>
    </row>
    <row r="139" spans="1:23" x14ac:dyDescent="0.25">
      <c r="A139" s="45" t="s">
        <v>204</v>
      </c>
      <c r="B139">
        <v>4.5</v>
      </c>
      <c r="C139" s="2" t="s">
        <v>274</v>
      </c>
      <c r="D139">
        <v>55</v>
      </c>
      <c r="E139">
        <v>1045</v>
      </c>
      <c r="F139">
        <v>20</v>
      </c>
      <c r="G139">
        <f>IF(BrewdogNew3[[#This Row],[EBC]]="*",1,0)</f>
        <v>0</v>
      </c>
      <c r="H139">
        <v>4.2</v>
      </c>
      <c r="I139">
        <v>73.900000000000006</v>
      </c>
      <c r="J139">
        <v>19</v>
      </c>
      <c r="K139" s="45" t="s">
        <v>64</v>
      </c>
      <c r="L139" s="45">
        <f>IF(BrewdogNew3[[#This Row],[Yeast]]=BrewdogNew3[[#Headers],[Wyeast 1056 - American Ale]],1,0)</f>
        <v>1</v>
      </c>
      <c r="M139" s="45">
        <f>IF(BrewdogNew3[[#This Row],[Yeast]]=BrewdogNew3[[#Headers],[Wyeast 2007 - Pilsen Lager]],1,0)</f>
        <v>0</v>
      </c>
      <c r="N139" s="45">
        <f>IF(BrewdogNew3[[#This Row],[Yeast]]=BrewdogNew3[[#Headers],[Wyeast 3711 - French Saison]],1,0)</f>
        <v>0</v>
      </c>
      <c r="O139" s="45">
        <f>IF(BrewdogNew3[[#This Row],[Yeast]]=BrewdogNew3[[#Headers],[Wyeast 1272 - American Ale II]],1,0)</f>
        <v>0</v>
      </c>
      <c r="P139" s="45" t="str">
        <f>BrewdogNew3[[#This Row],[Name]]</f>
        <v>Vagabond Pale ALe - Prototype Challenge</v>
      </c>
      <c r="Q139" t="str">
        <f>IF(BrewdogNew3[[#This Row],[EBC]]="*", BrewdogNew3[[#This Row],[IBU]], "")</f>
        <v/>
      </c>
      <c r="R139" t="str">
        <f>IF(BrewdogNew3[[#This Row],[EBC]]="*", BrewdogNew3[[#This Row],[OG]], "")</f>
        <v/>
      </c>
      <c r="S139" t="str">
        <f>IF(BrewdogNew3[[#This Row],[EBC]]="*", BrewdogNew3[[#This Row],[ABV]], "")</f>
        <v/>
      </c>
      <c r="T139" t="str">
        <f>IF(BrewdogNew3[[#This Row],[EBC]]="*", BrewdogNew3[[#This Row],[PH]], "")</f>
        <v/>
      </c>
      <c r="U139" t="str">
        <f>IF(BrewdogNew3[[#This Row],[EBC]]="*", BrewdogNew3[[#This Row],[AttenuationLevel]], "")</f>
        <v/>
      </c>
      <c r="V139" t="str">
        <f>IF(BrewdogNew3[[#This Row],[EBC]]="*", BrewdogNew3[[#This Row],[FermentationTempCelsius]], "")</f>
        <v/>
      </c>
      <c r="W139" t="str">
        <f>IF(BrewdogNew3[[#This Row],[EBC]]="*", BrewdogNew3[[#This Row],[Yeast]], "")</f>
        <v/>
      </c>
    </row>
    <row r="140" spans="1:23" x14ac:dyDescent="0.25">
      <c r="A140" s="45" t="s">
        <v>205</v>
      </c>
      <c r="B140">
        <v>7.2</v>
      </c>
      <c r="C140" s="2" t="s">
        <v>274</v>
      </c>
      <c r="D140">
        <v>50</v>
      </c>
      <c r="E140">
        <v>1068</v>
      </c>
      <c r="F140">
        <v>150</v>
      </c>
      <c r="G140">
        <f>IF(BrewdogNew3[[#This Row],[EBC]]="*",1,0)</f>
        <v>0</v>
      </c>
      <c r="H140">
        <v>4.4000000000000004</v>
      </c>
      <c r="I140">
        <v>78.599999999999994</v>
      </c>
      <c r="J140">
        <v>19</v>
      </c>
      <c r="K140" s="45" t="s">
        <v>80</v>
      </c>
      <c r="L140" s="45">
        <f>IF(BrewdogNew3[[#This Row],[Yeast]]=BrewdogNew3[[#Headers],[Wyeast 1056 - American Ale]],1,0)</f>
        <v>0</v>
      </c>
      <c r="M140" s="45">
        <f>IF(BrewdogNew3[[#This Row],[Yeast]]=BrewdogNew3[[#Headers],[Wyeast 2007 - Pilsen Lager]],1,0)</f>
        <v>0</v>
      </c>
      <c r="N140" s="45">
        <f>IF(BrewdogNew3[[#This Row],[Yeast]]=BrewdogNew3[[#Headers],[Wyeast 3711 - French Saison]],1,0)</f>
        <v>0</v>
      </c>
      <c r="O140" s="45">
        <f>IF(BrewdogNew3[[#This Row],[Yeast]]=BrewdogNew3[[#Headers],[Wyeast 1272 - American Ale II]],1,0)</f>
        <v>1</v>
      </c>
      <c r="P140" s="45" t="str">
        <f>BrewdogNew3[[#This Row],[Name]]</f>
        <v>Libertine Black Ale</v>
      </c>
      <c r="Q140" t="str">
        <f>IF(BrewdogNew3[[#This Row],[EBC]]="*", BrewdogNew3[[#This Row],[IBU]], "")</f>
        <v/>
      </c>
      <c r="R140" t="str">
        <f>IF(BrewdogNew3[[#This Row],[EBC]]="*", BrewdogNew3[[#This Row],[OG]], "")</f>
        <v/>
      </c>
      <c r="S140" t="str">
        <f>IF(BrewdogNew3[[#This Row],[EBC]]="*", BrewdogNew3[[#This Row],[ABV]], "")</f>
        <v/>
      </c>
      <c r="T140" t="str">
        <f>IF(BrewdogNew3[[#This Row],[EBC]]="*", BrewdogNew3[[#This Row],[PH]], "")</f>
        <v/>
      </c>
      <c r="U140" t="str">
        <f>IF(BrewdogNew3[[#This Row],[EBC]]="*", BrewdogNew3[[#This Row],[AttenuationLevel]], "")</f>
        <v/>
      </c>
      <c r="V140" t="str">
        <f>IF(BrewdogNew3[[#This Row],[EBC]]="*", BrewdogNew3[[#This Row],[FermentationTempCelsius]], "")</f>
        <v/>
      </c>
      <c r="W140" t="str">
        <f>IF(BrewdogNew3[[#This Row],[EBC]]="*", BrewdogNew3[[#This Row],[Yeast]], "")</f>
        <v/>
      </c>
    </row>
    <row r="141" spans="1:23" x14ac:dyDescent="0.25">
      <c r="A141" s="45" t="s">
        <v>206</v>
      </c>
      <c r="B141">
        <v>7.2</v>
      </c>
      <c r="C141" s="2" t="s">
        <v>274</v>
      </c>
      <c r="D141">
        <v>250</v>
      </c>
      <c r="E141">
        <v>1065</v>
      </c>
      <c r="F141">
        <v>15</v>
      </c>
      <c r="G141">
        <f>IF(BrewdogNew3[[#This Row],[EBC]]="*",1,0)</f>
        <v>0</v>
      </c>
      <c r="H141">
        <v>4.4000000000000004</v>
      </c>
      <c r="I141">
        <v>84.6</v>
      </c>
      <c r="J141">
        <v>21</v>
      </c>
      <c r="K141" s="45" t="s">
        <v>80</v>
      </c>
      <c r="L141" s="45">
        <f>IF(BrewdogNew3[[#This Row],[Yeast]]=BrewdogNew3[[#Headers],[Wyeast 1056 - American Ale]],1,0)</f>
        <v>0</v>
      </c>
      <c r="M141" s="45">
        <f>IF(BrewdogNew3[[#This Row],[Yeast]]=BrewdogNew3[[#Headers],[Wyeast 2007 - Pilsen Lager]],1,0)</f>
        <v>0</v>
      </c>
      <c r="N141" s="45">
        <f>IF(BrewdogNew3[[#This Row],[Yeast]]=BrewdogNew3[[#Headers],[Wyeast 3711 - French Saison]],1,0)</f>
        <v>0</v>
      </c>
      <c r="O141" s="45">
        <f>IF(BrewdogNew3[[#This Row],[Yeast]]=BrewdogNew3[[#Headers],[Wyeast 1272 - American Ale II]],1,0)</f>
        <v>1</v>
      </c>
      <c r="P141" s="45" t="str">
        <f>BrewdogNew3[[#This Row],[Name]]</f>
        <v>Jack Hammer</v>
      </c>
      <c r="Q141" t="str">
        <f>IF(BrewdogNew3[[#This Row],[EBC]]="*", BrewdogNew3[[#This Row],[IBU]], "")</f>
        <v/>
      </c>
      <c r="R141" t="str">
        <f>IF(BrewdogNew3[[#This Row],[EBC]]="*", BrewdogNew3[[#This Row],[OG]], "")</f>
        <v/>
      </c>
      <c r="S141" t="str">
        <f>IF(BrewdogNew3[[#This Row],[EBC]]="*", BrewdogNew3[[#This Row],[ABV]], "")</f>
        <v/>
      </c>
      <c r="T141" t="str">
        <f>IF(BrewdogNew3[[#This Row],[EBC]]="*", BrewdogNew3[[#This Row],[PH]], "")</f>
        <v/>
      </c>
      <c r="U141" t="str">
        <f>IF(BrewdogNew3[[#This Row],[EBC]]="*", BrewdogNew3[[#This Row],[AttenuationLevel]], "")</f>
        <v/>
      </c>
      <c r="V141" t="str">
        <f>IF(BrewdogNew3[[#This Row],[EBC]]="*", BrewdogNew3[[#This Row],[FermentationTempCelsius]], "")</f>
        <v/>
      </c>
      <c r="W141" t="str">
        <f>IF(BrewdogNew3[[#This Row],[EBC]]="*", BrewdogNew3[[#This Row],[Yeast]], "")</f>
        <v/>
      </c>
    </row>
    <row r="142" spans="1:23" x14ac:dyDescent="0.25">
      <c r="A142" s="45" t="s">
        <v>207</v>
      </c>
      <c r="B142">
        <v>6.7</v>
      </c>
      <c r="C142" s="2" t="s">
        <v>274</v>
      </c>
      <c r="D142">
        <v>67</v>
      </c>
      <c r="E142">
        <v>1064</v>
      </c>
      <c r="F142">
        <v>19</v>
      </c>
      <c r="G142">
        <f>IF(BrewdogNew3[[#This Row],[EBC]]="*",1,0)</f>
        <v>0</v>
      </c>
      <c r="H142">
        <v>4.4000000000000004</v>
      </c>
      <c r="I142">
        <v>79.7</v>
      </c>
      <c r="J142">
        <v>19</v>
      </c>
      <c r="K142" s="45" t="s">
        <v>64</v>
      </c>
      <c r="L142" s="45">
        <f>IF(BrewdogNew3[[#This Row],[Yeast]]=BrewdogNew3[[#Headers],[Wyeast 1056 - American Ale]],1,0)</f>
        <v>1</v>
      </c>
      <c r="M142" s="45">
        <f>IF(BrewdogNew3[[#This Row],[Yeast]]=BrewdogNew3[[#Headers],[Wyeast 2007 - Pilsen Lager]],1,0)</f>
        <v>0</v>
      </c>
      <c r="N142" s="45">
        <f>IF(BrewdogNew3[[#This Row],[Yeast]]=BrewdogNew3[[#Headers],[Wyeast 3711 - French Saison]],1,0)</f>
        <v>0</v>
      </c>
      <c r="O142" s="45">
        <f>IF(BrewdogNew3[[#This Row],[Yeast]]=BrewdogNew3[[#Headers],[Wyeast 1272 - American Ale II]],1,0)</f>
        <v>0</v>
      </c>
      <c r="P142" s="45" t="str">
        <f>BrewdogNew3[[#This Row],[Name]]</f>
        <v>Challenger</v>
      </c>
      <c r="Q142" t="str">
        <f>IF(BrewdogNew3[[#This Row],[EBC]]="*", BrewdogNew3[[#This Row],[IBU]], "")</f>
        <v/>
      </c>
      <c r="R142" t="str">
        <f>IF(BrewdogNew3[[#This Row],[EBC]]="*", BrewdogNew3[[#This Row],[OG]], "")</f>
        <v/>
      </c>
      <c r="S142" t="str">
        <f>IF(BrewdogNew3[[#This Row],[EBC]]="*", BrewdogNew3[[#This Row],[ABV]], "")</f>
        <v/>
      </c>
      <c r="T142" t="str">
        <f>IF(BrewdogNew3[[#This Row],[EBC]]="*", BrewdogNew3[[#This Row],[PH]], "")</f>
        <v/>
      </c>
      <c r="U142" t="str">
        <f>IF(BrewdogNew3[[#This Row],[EBC]]="*", BrewdogNew3[[#This Row],[AttenuationLevel]], "")</f>
        <v/>
      </c>
      <c r="V142" t="str">
        <f>IF(BrewdogNew3[[#This Row],[EBC]]="*", BrewdogNew3[[#This Row],[FermentationTempCelsius]], "")</f>
        <v/>
      </c>
      <c r="W142" t="str">
        <f>IF(BrewdogNew3[[#This Row],[EBC]]="*", BrewdogNew3[[#This Row],[Yeast]], "")</f>
        <v/>
      </c>
    </row>
    <row r="143" spans="1:23" x14ac:dyDescent="0.25">
      <c r="A143" s="45" t="s">
        <v>208</v>
      </c>
      <c r="B143">
        <v>7.2</v>
      </c>
      <c r="C143" s="2" t="s">
        <v>274</v>
      </c>
      <c r="D143">
        <v>100</v>
      </c>
      <c r="E143">
        <v>1064</v>
      </c>
      <c r="F143">
        <v>12</v>
      </c>
      <c r="G143">
        <f>IF(BrewdogNew3[[#This Row],[EBC]]="*",1,0)</f>
        <v>0</v>
      </c>
      <c r="H143">
        <v>4.4000000000000004</v>
      </c>
      <c r="I143">
        <v>84</v>
      </c>
      <c r="J143">
        <v>19</v>
      </c>
      <c r="K143" s="45" t="s">
        <v>64</v>
      </c>
      <c r="L143" s="45">
        <f>IF(BrewdogNew3[[#This Row],[Yeast]]=BrewdogNew3[[#Headers],[Wyeast 1056 - American Ale]],1,0)</f>
        <v>1</v>
      </c>
      <c r="M143" s="45">
        <f>IF(BrewdogNew3[[#This Row],[Yeast]]=BrewdogNew3[[#Headers],[Wyeast 2007 - Pilsen Lager]],1,0)</f>
        <v>0</v>
      </c>
      <c r="N143" s="45">
        <f>IF(BrewdogNew3[[#This Row],[Yeast]]=BrewdogNew3[[#Headers],[Wyeast 3711 - French Saison]],1,0)</f>
        <v>0</v>
      </c>
      <c r="O143" s="45">
        <f>IF(BrewdogNew3[[#This Row],[Yeast]]=BrewdogNew3[[#Headers],[Wyeast 1272 - American Ale II]],1,0)</f>
        <v>0</v>
      </c>
      <c r="P143" s="45" t="str">
        <f>BrewdogNew3[[#This Row],[Name]]</f>
        <v>Chinook - IPA Is Dead</v>
      </c>
      <c r="Q143" t="str">
        <f>IF(BrewdogNew3[[#This Row],[EBC]]="*", BrewdogNew3[[#This Row],[IBU]], "")</f>
        <v/>
      </c>
      <c r="R143" t="str">
        <f>IF(BrewdogNew3[[#This Row],[EBC]]="*", BrewdogNew3[[#This Row],[OG]], "")</f>
        <v/>
      </c>
      <c r="S143" t="str">
        <f>IF(BrewdogNew3[[#This Row],[EBC]]="*", BrewdogNew3[[#This Row],[ABV]], "")</f>
        <v/>
      </c>
      <c r="T143" t="str">
        <f>IF(BrewdogNew3[[#This Row],[EBC]]="*", BrewdogNew3[[#This Row],[PH]], "")</f>
        <v/>
      </c>
      <c r="U143" t="str">
        <f>IF(BrewdogNew3[[#This Row],[EBC]]="*", BrewdogNew3[[#This Row],[AttenuationLevel]], "")</f>
        <v/>
      </c>
      <c r="V143" t="str">
        <f>IF(BrewdogNew3[[#This Row],[EBC]]="*", BrewdogNew3[[#This Row],[FermentationTempCelsius]], "")</f>
        <v/>
      </c>
      <c r="W143" t="str">
        <f>IF(BrewdogNew3[[#This Row],[EBC]]="*", BrewdogNew3[[#This Row],[Yeast]], "")</f>
        <v/>
      </c>
    </row>
    <row r="144" spans="1:23" x14ac:dyDescent="0.25">
      <c r="A144" s="45" t="s">
        <v>209</v>
      </c>
      <c r="B144">
        <v>4.4000000000000004</v>
      </c>
      <c r="C144" s="2" t="s">
        <v>274</v>
      </c>
      <c r="D144">
        <v>70</v>
      </c>
      <c r="E144">
        <v>1045</v>
      </c>
      <c r="F144">
        <v>30</v>
      </c>
      <c r="G144">
        <f>IF(BrewdogNew3[[#This Row],[EBC]]="*",1,0)</f>
        <v>0</v>
      </c>
      <c r="H144">
        <v>4.4000000000000004</v>
      </c>
      <c r="I144">
        <v>82.9</v>
      </c>
      <c r="J144">
        <v>20</v>
      </c>
      <c r="K144" s="45" t="s">
        <v>80</v>
      </c>
      <c r="L144" s="45">
        <f>IF(BrewdogNew3[[#This Row],[Yeast]]=BrewdogNew3[[#Headers],[Wyeast 1056 - American Ale]],1,0)</f>
        <v>0</v>
      </c>
      <c r="M144" s="45">
        <f>IF(BrewdogNew3[[#This Row],[Yeast]]=BrewdogNew3[[#Headers],[Wyeast 2007 - Pilsen Lager]],1,0)</f>
        <v>0</v>
      </c>
      <c r="N144" s="45">
        <f>IF(BrewdogNew3[[#This Row],[Yeast]]=BrewdogNew3[[#Headers],[Wyeast 3711 - French Saison]],1,0)</f>
        <v>0</v>
      </c>
      <c r="O144" s="45">
        <f>IF(BrewdogNew3[[#This Row],[Yeast]]=BrewdogNew3[[#Headers],[Wyeast 1272 - American Ale II]],1,0)</f>
        <v>1</v>
      </c>
      <c r="P144" s="45" t="str">
        <f>BrewdogNew3[[#This Row],[Name]]</f>
        <v>Konnichiwa Kitsune</v>
      </c>
      <c r="Q144" t="str">
        <f>IF(BrewdogNew3[[#This Row],[EBC]]="*", BrewdogNew3[[#This Row],[IBU]], "")</f>
        <v/>
      </c>
      <c r="R144" t="str">
        <f>IF(BrewdogNew3[[#This Row],[EBC]]="*", BrewdogNew3[[#This Row],[OG]], "")</f>
        <v/>
      </c>
      <c r="S144" t="str">
        <f>IF(BrewdogNew3[[#This Row],[EBC]]="*", BrewdogNew3[[#This Row],[ABV]], "")</f>
        <v/>
      </c>
      <c r="T144" t="str">
        <f>IF(BrewdogNew3[[#This Row],[EBC]]="*", BrewdogNew3[[#This Row],[PH]], "")</f>
        <v/>
      </c>
      <c r="U144" t="str">
        <f>IF(BrewdogNew3[[#This Row],[EBC]]="*", BrewdogNew3[[#This Row],[AttenuationLevel]], "")</f>
        <v/>
      </c>
      <c r="V144" t="str">
        <f>IF(BrewdogNew3[[#This Row],[EBC]]="*", BrewdogNew3[[#This Row],[FermentationTempCelsius]], "")</f>
        <v/>
      </c>
      <c r="W144" t="str">
        <f>IF(BrewdogNew3[[#This Row],[EBC]]="*", BrewdogNew3[[#This Row],[Yeast]], "")</f>
        <v/>
      </c>
    </row>
    <row r="145" spans="1:23" x14ac:dyDescent="0.25">
      <c r="A145" s="45" t="s">
        <v>210</v>
      </c>
      <c r="B145">
        <v>9</v>
      </c>
      <c r="C145" s="2" t="s">
        <v>274</v>
      </c>
      <c r="D145">
        <v>70</v>
      </c>
      <c r="E145">
        <v>1090</v>
      </c>
      <c r="F145">
        <v>190</v>
      </c>
      <c r="G145">
        <f>IF(BrewdogNew3[[#This Row],[EBC]]="*",1,0)</f>
        <v>0</v>
      </c>
      <c r="H145">
        <v>4.4000000000000004</v>
      </c>
      <c r="I145">
        <v>80</v>
      </c>
      <c r="J145">
        <v>21</v>
      </c>
      <c r="K145" s="45" t="s">
        <v>80</v>
      </c>
      <c r="L145" s="45">
        <f>IF(BrewdogNew3[[#This Row],[Yeast]]=BrewdogNew3[[#Headers],[Wyeast 1056 - American Ale]],1,0)</f>
        <v>0</v>
      </c>
      <c r="M145" s="45">
        <f>IF(BrewdogNew3[[#This Row],[Yeast]]=BrewdogNew3[[#Headers],[Wyeast 2007 - Pilsen Lager]],1,0)</f>
        <v>0</v>
      </c>
      <c r="N145" s="45">
        <f>IF(BrewdogNew3[[#This Row],[Yeast]]=BrewdogNew3[[#Headers],[Wyeast 3711 - French Saison]],1,0)</f>
        <v>0</v>
      </c>
      <c r="O145" s="45">
        <f>IF(BrewdogNew3[[#This Row],[Yeast]]=BrewdogNew3[[#Headers],[Wyeast 1272 - American Ale II]],1,0)</f>
        <v>1</v>
      </c>
      <c r="P145" s="45" t="str">
        <f>BrewdogNew3[[#This Row],[Name]]</f>
        <v>San Diego Scotch Ale (w/Ballast Point)</v>
      </c>
      <c r="Q145" t="str">
        <f>IF(BrewdogNew3[[#This Row],[EBC]]="*", BrewdogNew3[[#This Row],[IBU]], "")</f>
        <v/>
      </c>
      <c r="R145" t="str">
        <f>IF(BrewdogNew3[[#This Row],[EBC]]="*", BrewdogNew3[[#This Row],[OG]], "")</f>
        <v/>
      </c>
      <c r="S145" t="str">
        <f>IF(BrewdogNew3[[#This Row],[EBC]]="*", BrewdogNew3[[#This Row],[ABV]], "")</f>
        <v/>
      </c>
      <c r="T145" t="str">
        <f>IF(BrewdogNew3[[#This Row],[EBC]]="*", BrewdogNew3[[#This Row],[PH]], "")</f>
        <v/>
      </c>
      <c r="U145" t="str">
        <f>IF(BrewdogNew3[[#This Row],[EBC]]="*", BrewdogNew3[[#This Row],[AttenuationLevel]], "")</f>
        <v/>
      </c>
      <c r="V145" t="str">
        <f>IF(BrewdogNew3[[#This Row],[EBC]]="*", BrewdogNew3[[#This Row],[FermentationTempCelsius]], "")</f>
        <v/>
      </c>
      <c r="W145" t="str">
        <f>IF(BrewdogNew3[[#This Row],[EBC]]="*", BrewdogNew3[[#This Row],[Yeast]], "")</f>
        <v/>
      </c>
    </row>
    <row r="146" spans="1:23" x14ac:dyDescent="0.25">
      <c r="A146" s="45" t="s">
        <v>211</v>
      </c>
      <c r="B146">
        <v>7.5</v>
      </c>
      <c r="C146" s="2" t="s">
        <v>274</v>
      </c>
      <c r="D146">
        <v>80</v>
      </c>
      <c r="E146">
        <v>1069</v>
      </c>
      <c r="F146">
        <v>50</v>
      </c>
      <c r="G146">
        <f>IF(BrewdogNew3[[#This Row],[EBC]]="*",1,0)</f>
        <v>0</v>
      </c>
      <c r="H146">
        <v>4.4000000000000004</v>
      </c>
      <c r="I146">
        <v>82.6</v>
      </c>
      <c r="J146">
        <v>22</v>
      </c>
      <c r="K146" s="45" t="s">
        <v>80</v>
      </c>
      <c r="L146" s="45">
        <f>IF(BrewdogNew3[[#This Row],[Yeast]]=BrewdogNew3[[#Headers],[Wyeast 1056 - American Ale]],1,0)</f>
        <v>0</v>
      </c>
      <c r="M146" s="45">
        <f>IF(BrewdogNew3[[#This Row],[Yeast]]=BrewdogNew3[[#Headers],[Wyeast 2007 - Pilsen Lager]],1,0)</f>
        <v>0</v>
      </c>
      <c r="N146" s="45">
        <f>IF(BrewdogNew3[[#This Row],[Yeast]]=BrewdogNew3[[#Headers],[Wyeast 3711 - French Saison]],1,0)</f>
        <v>0</v>
      </c>
      <c r="O146" s="45">
        <f>IF(BrewdogNew3[[#This Row],[Yeast]]=BrewdogNew3[[#Headers],[Wyeast 1272 - American Ale II]],1,0)</f>
        <v>1</v>
      </c>
      <c r="P146" s="45" t="str">
        <f>BrewdogNew3[[#This Row],[Name]]</f>
        <v>Old World India Pale Ale</v>
      </c>
      <c r="Q146" t="str">
        <f>IF(BrewdogNew3[[#This Row],[EBC]]="*", BrewdogNew3[[#This Row],[IBU]], "")</f>
        <v/>
      </c>
      <c r="R146" t="str">
        <f>IF(BrewdogNew3[[#This Row],[EBC]]="*", BrewdogNew3[[#This Row],[OG]], "")</f>
        <v/>
      </c>
      <c r="S146" t="str">
        <f>IF(BrewdogNew3[[#This Row],[EBC]]="*", BrewdogNew3[[#This Row],[ABV]], "")</f>
        <v/>
      </c>
      <c r="T146" t="str">
        <f>IF(BrewdogNew3[[#This Row],[EBC]]="*", BrewdogNew3[[#This Row],[PH]], "")</f>
        <v/>
      </c>
      <c r="U146" t="str">
        <f>IF(BrewdogNew3[[#This Row],[EBC]]="*", BrewdogNew3[[#This Row],[AttenuationLevel]], "")</f>
        <v/>
      </c>
      <c r="V146" t="str">
        <f>IF(BrewdogNew3[[#This Row],[EBC]]="*", BrewdogNew3[[#This Row],[FermentationTempCelsius]], "")</f>
        <v/>
      </c>
      <c r="W146" t="str">
        <f>IF(BrewdogNew3[[#This Row],[EBC]]="*", BrewdogNew3[[#This Row],[Yeast]], "")</f>
        <v/>
      </c>
    </row>
    <row r="147" spans="1:23" x14ac:dyDescent="0.25">
      <c r="A147" s="45" t="s">
        <v>212</v>
      </c>
      <c r="B147">
        <v>16.100000000000001</v>
      </c>
      <c r="C147" s="2" t="s">
        <v>274</v>
      </c>
      <c r="D147">
        <v>85</v>
      </c>
      <c r="E147">
        <v>1125</v>
      </c>
      <c r="F147">
        <v>400</v>
      </c>
      <c r="G147">
        <f>IF(BrewdogNew3[[#This Row],[EBC]]="*",1,0)</f>
        <v>0</v>
      </c>
      <c r="H147">
        <v>4.3</v>
      </c>
      <c r="I147">
        <v>84</v>
      </c>
      <c r="J147">
        <v>21</v>
      </c>
      <c r="K147" s="45" t="s">
        <v>80</v>
      </c>
      <c r="L147" s="45">
        <f>IF(BrewdogNew3[[#This Row],[Yeast]]=BrewdogNew3[[#Headers],[Wyeast 1056 - American Ale]],1,0)</f>
        <v>0</v>
      </c>
      <c r="M147" s="45">
        <f>IF(BrewdogNew3[[#This Row],[Yeast]]=BrewdogNew3[[#Headers],[Wyeast 2007 - Pilsen Lager]],1,0)</f>
        <v>0</v>
      </c>
      <c r="N147" s="45">
        <f>IF(BrewdogNew3[[#This Row],[Yeast]]=BrewdogNew3[[#Headers],[Wyeast 3711 - French Saison]],1,0)</f>
        <v>0</v>
      </c>
      <c r="O147" s="45">
        <f>IF(BrewdogNew3[[#This Row],[Yeast]]=BrewdogNew3[[#Headers],[Wyeast 1272 - American Ale II]],1,0)</f>
        <v>1</v>
      </c>
      <c r="P147" s="45" t="str">
        <f>BrewdogNew3[[#This Row],[Name]]</f>
        <v>Dog D</v>
      </c>
      <c r="Q147" t="str">
        <f>IF(BrewdogNew3[[#This Row],[EBC]]="*", BrewdogNew3[[#This Row],[IBU]], "")</f>
        <v/>
      </c>
      <c r="R147" t="str">
        <f>IF(BrewdogNew3[[#This Row],[EBC]]="*", BrewdogNew3[[#This Row],[OG]], "")</f>
        <v/>
      </c>
      <c r="S147" t="str">
        <f>IF(BrewdogNew3[[#This Row],[EBC]]="*", BrewdogNew3[[#This Row],[ABV]], "")</f>
        <v/>
      </c>
      <c r="T147" t="str">
        <f>IF(BrewdogNew3[[#This Row],[EBC]]="*", BrewdogNew3[[#This Row],[PH]], "")</f>
        <v/>
      </c>
      <c r="U147" t="str">
        <f>IF(BrewdogNew3[[#This Row],[EBC]]="*", BrewdogNew3[[#This Row],[AttenuationLevel]], "")</f>
        <v/>
      </c>
      <c r="V147" t="str">
        <f>IF(BrewdogNew3[[#This Row],[EBC]]="*", BrewdogNew3[[#This Row],[FermentationTempCelsius]], "")</f>
        <v/>
      </c>
      <c r="W147" t="str">
        <f>IF(BrewdogNew3[[#This Row],[EBC]]="*", BrewdogNew3[[#This Row],[Yeast]], "")</f>
        <v/>
      </c>
    </row>
    <row r="148" spans="1:23" x14ac:dyDescent="0.25">
      <c r="A148" s="45" t="s">
        <v>213</v>
      </c>
      <c r="B148">
        <v>6.7</v>
      </c>
      <c r="C148" s="2" t="s">
        <v>274</v>
      </c>
      <c r="D148">
        <v>70</v>
      </c>
      <c r="E148">
        <v>1063</v>
      </c>
      <c r="F148">
        <v>30</v>
      </c>
      <c r="G148">
        <f>IF(BrewdogNew3[[#This Row],[EBC]]="*",1,0)</f>
        <v>0</v>
      </c>
      <c r="H148">
        <v>4.4000000000000004</v>
      </c>
      <c r="I148">
        <v>81</v>
      </c>
      <c r="J148">
        <v>99</v>
      </c>
      <c r="K148" s="45" t="s">
        <v>64</v>
      </c>
      <c r="L148" s="45">
        <f>IF(BrewdogNew3[[#This Row],[Yeast]]=BrewdogNew3[[#Headers],[Wyeast 1056 - American Ale]],1,0)</f>
        <v>1</v>
      </c>
      <c r="M148" s="45">
        <f>IF(BrewdogNew3[[#This Row],[Yeast]]=BrewdogNew3[[#Headers],[Wyeast 2007 - Pilsen Lager]],1,0)</f>
        <v>0</v>
      </c>
      <c r="N148" s="45">
        <f>IF(BrewdogNew3[[#This Row],[Yeast]]=BrewdogNew3[[#Headers],[Wyeast 3711 - French Saison]],1,0)</f>
        <v>0</v>
      </c>
      <c r="O148" s="45">
        <f>IF(BrewdogNew3[[#This Row],[Yeast]]=BrewdogNew3[[#Headers],[Wyeast 1272 - American Ale II]],1,0)</f>
        <v>0</v>
      </c>
      <c r="P148" s="45" t="str">
        <f>BrewdogNew3[[#This Row],[Name]]</f>
        <v>Simcoe</v>
      </c>
      <c r="Q148" t="str">
        <f>IF(BrewdogNew3[[#This Row],[EBC]]="*", BrewdogNew3[[#This Row],[IBU]], "")</f>
        <v/>
      </c>
      <c r="R148" t="str">
        <f>IF(BrewdogNew3[[#This Row],[EBC]]="*", BrewdogNew3[[#This Row],[OG]], "")</f>
        <v/>
      </c>
      <c r="S148" t="str">
        <f>IF(BrewdogNew3[[#This Row],[EBC]]="*", BrewdogNew3[[#This Row],[ABV]], "")</f>
        <v/>
      </c>
      <c r="T148" t="str">
        <f>IF(BrewdogNew3[[#This Row],[EBC]]="*", BrewdogNew3[[#This Row],[PH]], "")</f>
        <v/>
      </c>
      <c r="U148" t="str">
        <f>IF(BrewdogNew3[[#This Row],[EBC]]="*", BrewdogNew3[[#This Row],[AttenuationLevel]], "")</f>
        <v/>
      </c>
      <c r="V148" t="str">
        <f>IF(BrewdogNew3[[#This Row],[EBC]]="*", BrewdogNew3[[#This Row],[FermentationTempCelsius]], "")</f>
        <v/>
      </c>
      <c r="W148" t="str">
        <f>IF(BrewdogNew3[[#This Row],[EBC]]="*", BrewdogNew3[[#This Row],[Yeast]], "")</f>
        <v/>
      </c>
    </row>
    <row r="149" spans="1:23" x14ac:dyDescent="0.25">
      <c r="A149" s="45" t="s">
        <v>214</v>
      </c>
      <c r="B149">
        <v>2.5</v>
      </c>
      <c r="C149" s="2" t="s">
        <v>274</v>
      </c>
      <c r="D149">
        <v>35</v>
      </c>
      <c r="E149">
        <v>1027</v>
      </c>
      <c r="F149">
        <v>10</v>
      </c>
      <c r="G149">
        <f>IF(BrewdogNew3[[#This Row],[EBC]]="*",1,0)</f>
        <v>0</v>
      </c>
      <c r="H149">
        <v>4.2</v>
      </c>
      <c r="I149">
        <v>70.400000000000006</v>
      </c>
      <c r="J149">
        <v>19</v>
      </c>
      <c r="K149" s="45" t="s">
        <v>64</v>
      </c>
      <c r="L149" s="45">
        <f>IF(BrewdogNew3[[#This Row],[Yeast]]=BrewdogNew3[[#Headers],[Wyeast 1056 - American Ale]],1,0)</f>
        <v>1</v>
      </c>
      <c r="M149" s="45">
        <f>IF(BrewdogNew3[[#This Row],[Yeast]]=BrewdogNew3[[#Headers],[Wyeast 2007 - Pilsen Lager]],1,0)</f>
        <v>0</v>
      </c>
      <c r="N149" s="45">
        <f>IF(BrewdogNew3[[#This Row],[Yeast]]=BrewdogNew3[[#Headers],[Wyeast 3711 - French Saison]],1,0)</f>
        <v>0</v>
      </c>
      <c r="O149" s="45">
        <f>IF(BrewdogNew3[[#This Row],[Yeast]]=BrewdogNew3[[#Headers],[Wyeast 1272 - American Ale II]],1,0)</f>
        <v>0</v>
      </c>
      <c r="P149" s="45" t="str">
        <f>BrewdogNew3[[#This Row],[Name]]</f>
        <v>Doodlebug</v>
      </c>
      <c r="Q149" t="str">
        <f>IF(BrewdogNew3[[#This Row],[EBC]]="*", BrewdogNew3[[#This Row],[IBU]], "")</f>
        <v/>
      </c>
      <c r="R149" t="str">
        <f>IF(BrewdogNew3[[#This Row],[EBC]]="*", BrewdogNew3[[#This Row],[OG]], "")</f>
        <v/>
      </c>
      <c r="S149" t="str">
        <f>IF(BrewdogNew3[[#This Row],[EBC]]="*", BrewdogNew3[[#This Row],[ABV]], "")</f>
        <v/>
      </c>
      <c r="T149" t="str">
        <f>IF(BrewdogNew3[[#This Row],[EBC]]="*", BrewdogNew3[[#This Row],[PH]], "")</f>
        <v/>
      </c>
      <c r="U149" t="str">
        <f>IF(BrewdogNew3[[#This Row],[EBC]]="*", BrewdogNew3[[#This Row],[AttenuationLevel]], "")</f>
        <v/>
      </c>
      <c r="V149" t="str">
        <f>IF(BrewdogNew3[[#This Row],[EBC]]="*", BrewdogNew3[[#This Row],[FermentationTempCelsius]], "")</f>
        <v/>
      </c>
      <c r="W149" t="str">
        <f>IF(BrewdogNew3[[#This Row],[EBC]]="*", BrewdogNew3[[#This Row],[Yeast]], "")</f>
        <v/>
      </c>
    </row>
    <row r="150" spans="1:23" x14ac:dyDescent="0.25">
      <c r="A150" s="45" t="s">
        <v>215</v>
      </c>
      <c r="B150">
        <v>7.4</v>
      </c>
      <c r="C150" s="2" t="s">
        <v>274</v>
      </c>
      <c r="D150">
        <v>70</v>
      </c>
      <c r="E150">
        <v>1069</v>
      </c>
      <c r="F150">
        <v>30</v>
      </c>
      <c r="G150">
        <f>IF(BrewdogNew3[[#This Row],[EBC]]="*",1,0)</f>
        <v>0</v>
      </c>
      <c r="H150">
        <v>4.4000000000000004</v>
      </c>
      <c r="I150">
        <v>82.6</v>
      </c>
      <c r="J150">
        <v>19</v>
      </c>
      <c r="K150" s="45" t="s">
        <v>64</v>
      </c>
      <c r="L150" s="45">
        <f>IF(BrewdogNew3[[#This Row],[Yeast]]=BrewdogNew3[[#Headers],[Wyeast 1056 - American Ale]],1,0)</f>
        <v>1</v>
      </c>
      <c r="M150" s="45">
        <f>IF(BrewdogNew3[[#This Row],[Yeast]]=BrewdogNew3[[#Headers],[Wyeast 2007 - Pilsen Lager]],1,0)</f>
        <v>0</v>
      </c>
      <c r="N150" s="45">
        <f>IF(BrewdogNew3[[#This Row],[Yeast]]=BrewdogNew3[[#Headers],[Wyeast 3711 - French Saison]],1,0)</f>
        <v>0</v>
      </c>
      <c r="O150" s="45">
        <f>IF(BrewdogNew3[[#This Row],[Yeast]]=BrewdogNew3[[#Headers],[Wyeast 1272 - American Ale II]],1,0)</f>
        <v>0</v>
      </c>
      <c r="P150" s="45" t="str">
        <f>BrewdogNew3[[#This Row],[Name]]</f>
        <v>Vic Secret</v>
      </c>
      <c r="Q150" t="str">
        <f>IF(BrewdogNew3[[#This Row],[EBC]]="*", BrewdogNew3[[#This Row],[IBU]], "")</f>
        <v/>
      </c>
      <c r="R150" t="str">
        <f>IF(BrewdogNew3[[#This Row],[EBC]]="*", BrewdogNew3[[#This Row],[OG]], "")</f>
        <v/>
      </c>
      <c r="S150" t="str">
        <f>IF(BrewdogNew3[[#This Row],[EBC]]="*", BrewdogNew3[[#This Row],[ABV]], "")</f>
        <v/>
      </c>
      <c r="T150" t="str">
        <f>IF(BrewdogNew3[[#This Row],[EBC]]="*", BrewdogNew3[[#This Row],[PH]], "")</f>
        <v/>
      </c>
      <c r="U150" t="str">
        <f>IF(BrewdogNew3[[#This Row],[EBC]]="*", BrewdogNew3[[#This Row],[AttenuationLevel]], "")</f>
        <v/>
      </c>
      <c r="V150" t="str">
        <f>IF(BrewdogNew3[[#This Row],[EBC]]="*", BrewdogNew3[[#This Row],[FermentationTempCelsius]], "")</f>
        <v/>
      </c>
      <c r="W150" t="str">
        <f>IF(BrewdogNew3[[#This Row],[EBC]]="*", BrewdogNew3[[#This Row],[Yeast]], "")</f>
        <v/>
      </c>
    </row>
    <row r="151" spans="1:23" x14ac:dyDescent="0.25">
      <c r="A151" s="45" t="s">
        <v>216</v>
      </c>
      <c r="B151">
        <v>2.8</v>
      </c>
      <c r="C151" s="2" t="s">
        <v>274</v>
      </c>
      <c r="D151">
        <v>30</v>
      </c>
      <c r="E151">
        <v>1032.5</v>
      </c>
      <c r="F151">
        <v>42</v>
      </c>
      <c r="G151">
        <f>IF(BrewdogNew3[[#This Row],[EBC]]="*",1,0)</f>
        <v>0</v>
      </c>
      <c r="H151">
        <v>4.4000000000000004</v>
      </c>
      <c r="I151">
        <v>63.1</v>
      </c>
      <c r="J151">
        <v>22</v>
      </c>
      <c r="K151" s="45" t="s">
        <v>64</v>
      </c>
      <c r="L151" s="45">
        <f>IF(BrewdogNew3[[#This Row],[Yeast]]=BrewdogNew3[[#Headers],[Wyeast 1056 - American Ale]],1,0)</f>
        <v>1</v>
      </c>
      <c r="M151" s="45">
        <f>IF(BrewdogNew3[[#This Row],[Yeast]]=BrewdogNew3[[#Headers],[Wyeast 2007 - Pilsen Lager]],1,0)</f>
        <v>0</v>
      </c>
      <c r="N151" s="45">
        <f>IF(BrewdogNew3[[#This Row],[Yeast]]=BrewdogNew3[[#Headers],[Wyeast 3711 - French Saison]],1,0)</f>
        <v>0</v>
      </c>
      <c r="O151" s="45">
        <f>IF(BrewdogNew3[[#This Row],[Yeast]]=BrewdogNew3[[#Headers],[Wyeast 1272 - American Ale II]],1,0)</f>
        <v>0</v>
      </c>
      <c r="P151" s="45" t="str">
        <f>BrewdogNew3[[#This Row],[Name]]</f>
        <v>All Day Long - Prototype Challenge</v>
      </c>
      <c r="Q151" t="str">
        <f>IF(BrewdogNew3[[#This Row],[EBC]]="*", BrewdogNew3[[#This Row],[IBU]], "")</f>
        <v/>
      </c>
      <c r="R151" t="str">
        <f>IF(BrewdogNew3[[#This Row],[EBC]]="*", BrewdogNew3[[#This Row],[OG]], "")</f>
        <v/>
      </c>
      <c r="S151" t="str">
        <f>IF(BrewdogNew3[[#This Row],[EBC]]="*", BrewdogNew3[[#This Row],[ABV]], "")</f>
        <v/>
      </c>
      <c r="T151" t="str">
        <f>IF(BrewdogNew3[[#This Row],[EBC]]="*", BrewdogNew3[[#This Row],[PH]], "")</f>
        <v/>
      </c>
      <c r="U151" t="str">
        <f>IF(BrewdogNew3[[#This Row],[EBC]]="*", BrewdogNew3[[#This Row],[AttenuationLevel]], "")</f>
        <v/>
      </c>
      <c r="V151" t="str">
        <f>IF(BrewdogNew3[[#This Row],[EBC]]="*", BrewdogNew3[[#This Row],[FermentationTempCelsius]], "")</f>
        <v/>
      </c>
      <c r="W151" t="str">
        <f>IF(BrewdogNew3[[#This Row],[EBC]]="*", BrewdogNew3[[#This Row],[Yeast]], "")</f>
        <v/>
      </c>
    </row>
    <row r="152" spans="1:23" x14ac:dyDescent="0.25">
      <c r="A152" s="45" t="s">
        <v>217</v>
      </c>
      <c r="B152">
        <v>4.2</v>
      </c>
      <c r="C152" s="2" t="s">
        <v>274</v>
      </c>
      <c r="D152">
        <v>25</v>
      </c>
      <c r="E152">
        <v>1044</v>
      </c>
      <c r="F152">
        <v>19</v>
      </c>
      <c r="G152">
        <f>IF(BrewdogNew3[[#This Row],[EBC]]="*",1,0)</f>
        <v>0</v>
      </c>
      <c r="H152">
        <v>4.4000000000000004</v>
      </c>
      <c r="I152">
        <v>72.7</v>
      </c>
      <c r="J152">
        <v>16</v>
      </c>
      <c r="K152" s="45" t="s">
        <v>68</v>
      </c>
      <c r="L152" s="45">
        <f>IF(BrewdogNew3[[#This Row],[Yeast]]=BrewdogNew3[[#Headers],[Wyeast 1056 - American Ale]],1,0)</f>
        <v>0</v>
      </c>
      <c r="M152" s="45">
        <f>IF(BrewdogNew3[[#This Row],[Yeast]]=BrewdogNew3[[#Headers],[Wyeast 2007 - Pilsen Lager]],1,0)</f>
        <v>1</v>
      </c>
      <c r="N152" s="45">
        <f>IF(BrewdogNew3[[#This Row],[Yeast]]=BrewdogNew3[[#Headers],[Wyeast 3711 - French Saison]],1,0)</f>
        <v>0</v>
      </c>
      <c r="O152" s="45">
        <f>IF(BrewdogNew3[[#This Row],[Yeast]]=BrewdogNew3[[#Headers],[Wyeast 1272 - American Ale II]],1,0)</f>
        <v>0</v>
      </c>
      <c r="P152" s="45" t="str">
        <f>BrewdogNew3[[#This Row],[Name]]</f>
        <v>Nuns With Guns</v>
      </c>
      <c r="Q152" t="str">
        <f>IF(BrewdogNew3[[#This Row],[EBC]]="*", BrewdogNew3[[#This Row],[IBU]], "")</f>
        <v/>
      </c>
      <c r="R152" t="str">
        <f>IF(BrewdogNew3[[#This Row],[EBC]]="*", BrewdogNew3[[#This Row],[OG]], "")</f>
        <v/>
      </c>
      <c r="S152" t="str">
        <f>IF(BrewdogNew3[[#This Row],[EBC]]="*", BrewdogNew3[[#This Row],[ABV]], "")</f>
        <v/>
      </c>
      <c r="T152" t="str">
        <f>IF(BrewdogNew3[[#This Row],[EBC]]="*", BrewdogNew3[[#This Row],[PH]], "")</f>
        <v/>
      </c>
      <c r="U152" t="str">
        <f>IF(BrewdogNew3[[#This Row],[EBC]]="*", BrewdogNew3[[#This Row],[AttenuationLevel]], "")</f>
        <v/>
      </c>
      <c r="V152" t="str">
        <f>IF(BrewdogNew3[[#This Row],[EBC]]="*", BrewdogNew3[[#This Row],[FermentationTempCelsius]], "")</f>
        <v/>
      </c>
      <c r="W152" t="str">
        <f>IF(BrewdogNew3[[#This Row],[EBC]]="*", BrewdogNew3[[#This Row],[Yeast]], "")</f>
        <v/>
      </c>
    </row>
    <row r="153" spans="1:23" x14ac:dyDescent="0.25">
      <c r="A153" s="45" t="s">
        <v>218</v>
      </c>
      <c r="B153">
        <v>5.8</v>
      </c>
      <c r="C153" s="2" t="s">
        <v>274</v>
      </c>
      <c r="D153">
        <v>40</v>
      </c>
      <c r="E153">
        <v>1060</v>
      </c>
      <c r="F153">
        <v>35</v>
      </c>
      <c r="G153">
        <f>IF(BrewdogNew3[[#This Row],[EBC]]="*",1,0)</f>
        <v>0</v>
      </c>
      <c r="H153">
        <v>4.4000000000000004</v>
      </c>
      <c r="I153">
        <v>76.7</v>
      </c>
      <c r="J153">
        <v>19</v>
      </c>
      <c r="K153" s="45" t="s">
        <v>64</v>
      </c>
      <c r="L153" s="45">
        <f>IF(BrewdogNew3[[#This Row],[Yeast]]=BrewdogNew3[[#Headers],[Wyeast 1056 - American Ale]],1,0)</f>
        <v>1</v>
      </c>
      <c r="M153" s="45">
        <f>IF(BrewdogNew3[[#This Row],[Yeast]]=BrewdogNew3[[#Headers],[Wyeast 2007 - Pilsen Lager]],1,0)</f>
        <v>0</v>
      </c>
      <c r="N153" s="45">
        <f>IF(BrewdogNew3[[#This Row],[Yeast]]=BrewdogNew3[[#Headers],[Wyeast 3711 - French Saison]],1,0)</f>
        <v>0</v>
      </c>
      <c r="O153" s="45">
        <f>IF(BrewdogNew3[[#This Row],[Yeast]]=BrewdogNew3[[#Headers],[Wyeast 1272 - American Ale II]],1,0)</f>
        <v>0</v>
      </c>
      <c r="P153" s="45" t="str">
        <f>BrewdogNew3[[#This Row],[Name]]</f>
        <v>Jasmine IPA</v>
      </c>
      <c r="Q153" t="str">
        <f>IF(BrewdogNew3[[#This Row],[EBC]]="*", BrewdogNew3[[#This Row],[IBU]], "")</f>
        <v/>
      </c>
      <c r="R153" t="str">
        <f>IF(BrewdogNew3[[#This Row],[EBC]]="*", BrewdogNew3[[#This Row],[OG]], "")</f>
        <v/>
      </c>
      <c r="S153" t="str">
        <f>IF(BrewdogNew3[[#This Row],[EBC]]="*", BrewdogNew3[[#This Row],[ABV]], "")</f>
        <v/>
      </c>
      <c r="T153" t="str">
        <f>IF(BrewdogNew3[[#This Row],[EBC]]="*", BrewdogNew3[[#This Row],[PH]], "")</f>
        <v/>
      </c>
      <c r="U153" t="str">
        <f>IF(BrewdogNew3[[#This Row],[EBC]]="*", BrewdogNew3[[#This Row],[AttenuationLevel]], "")</f>
        <v/>
      </c>
      <c r="V153" t="str">
        <f>IF(BrewdogNew3[[#This Row],[EBC]]="*", BrewdogNew3[[#This Row],[FermentationTempCelsius]], "")</f>
        <v/>
      </c>
      <c r="W153" t="str">
        <f>IF(BrewdogNew3[[#This Row],[EBC]]="*", BrewdogNew3[[#This Row],[Yeast]], "")</f>
        <v/>
      </c>
    </row>
    <row r="154" spans="1:23" x14ac:dyDescent="0.25">
      <c r="A154" s="45" t="s">
        <v>219</v>
      </c>
      <c r="B154">
        <v>5.2</v>
      </c>
      <c r="C154" s="2" t="s">
        <v>274</v>
      </c>
      <c r="D154">
        <v>50</v>
      </c>
      <c r="E154">
        <v>1050</v>
      </c>
      <c r="F154">
        <v>17</v>
      </c>
      <c r="G154">
        <f>IF(BrewdogNew3[[#This Row],[EBC]]="*",1,0)</f>
        <v>0</v>
      </c>
      <c r="H154">
        <v>4.4000000000000004</v>
      </c>
      <c r="I154">
        <v>80</v>
      </c>
      <c r="J154">
        <v>19</v>
      </c>
      <c r="K154" s="45" t="s">
        <v>64</v>
      </c>
      <c r="L154" s="45">
        <f>IF(BrewdogNew3[[#This Row],[Yeast]]=BrewdogNew3[[#Headers],[Wyeast 1056 - American Ale]],1,0)</f>
        <v>1</v>
      </c>
      <c r="M154" s="45">
        <f>IF(BrewdogNew3[[#This Row],[Yeast]]=BrewdogNew3[[#Headers],[Wyeast 2007 - Pilsen Lager]],1,0)</f>
        <v>0</v>
      </c>
      <c r="N154" s="45">
        <f>IF(BrewdogNew3[[#This Row],[Yeast]]=BrewdogNew3[[#Headers],[Wyeast 3711 - French Saison]],1,0)</f>
        <v>0</v>
      </c>
      <c r="O154" s="45">
        <f>IF(BrewdogNew3[[#This Row],[Yeast]]=BrewdogNew3[[#Headers],[Wyeast 1272 - American Ale II]],1,0)</f>
        <v>0</v>
      </c>
      <c r="P154" s="45" t="str">
        <f>BrewdogNew3[[#This Row],[Name]]</f>
        <v>Lichtenstein Pale Ale</v>
      </c>
      <c r="Q154" t="str">
        <f>IF(BrewdogNew3[[#This Row],[EBC]]="*", BrewdogNew3[[#This Row],[IBU]], "")</f>
        <v/>
      </c>
      <c r="R154" t="str">
        <f>IF(BrewdogNew3[[#This Row],[EBC]]="*", BrewdogNew3[[#This Row],[OG]], "")</f>
        <v/>
      </c>
      <c r="S154" t="str">
        <f>IF(BrewdogNew3[[#This Row],[EBC]]="*", BrewdogNew3[[#This Row],[ABV]], "")</f>
        <v/>
      </c>
      <c r="T154" t="str">
        <f>IF(BrewdogNew3[[#This Row],[EBC]]="*", BrewdogNew3[[#This Row],[PH]], "")</f>
        <v/>
      </c>
      <c r="U154" t="str">
        <f>IF(BrewdogNew3[[#This Row],[EBC]]="*", BrewdogNew3[[#This Row],[AttenuationLevel]], "")</f>
        <v/>
      </c>
      <c r="V154" t="str">
        <f>IF(BrewdogNew3[[#This Row],[EBC]]="*", BrewdogNew3[[#This Row],[FermentationTempCelsius]], "")</f>
        <v/>
      </c>
      <c r="W154" t="str">
        <f>IF(BrewdogNew3[[#This Row],[EBC]]="*", BrewdogNew3[[#This Row],[Yeast]], "")</f>
        <v/>
      </c>
    </row>
    <row r="155" spans="1:23" x14ac:dyDescent="0.25">
      <c r="A155" s="45" t="s">
        <v>220</v>
      </c>
      <c r="B155">
        <v>10</v>
      </c>
      <c r="C155" s="2" t="s">
        <v>274</v>
      </c>
      <c r="D155">
        <v>55</v>
      </c>
      <c r="E155">
        <v>1128</v>
      </c>
      <c r="F155">
        <v>300</v>
      </c>
      <c r="G155">
        <f>IF(BrewdogNew3[[#This Row],[EBC]]="*",1,0)</f>
        <v>0</v>
      </c>
      <c r="H155">
        <v>4.4000000000000004</v>
      </c>
      <c r="I155">
        <v>89</v>
      </c>
      <c r="J155">
        <v>21</v>
      </c>
      <c r="K155" s="45" t="s">
        <v>80</v>
      </c>
      <c r="L155" s="45">
        <f>IF(BrewdogNew3[[#This Row],[Yeast]]=BrewdogNew3[[#Headers],[Wyeast 1056 - American Ale]],1,0)</f>
        <v>0</v>
      </c>
      <c r="M155" s="45">
        <f>IF(BrewdogNew3[[#This Row],[Yeast]]=BrewdogNew3[[#Headers],[Wyeast 2007 - Pilsen Lager]],1,0)</f>
        <v>0</v>
      </c>
      <c r="N155" s="45">
        <f>IF(BrewdogNew3[[#This Row],[Yeast]]=BrewdogNew3[[#Headers],[Wyeast 3711 - French Saison]],1,0)</f>
        <v>0</v>
      </c>
      <c r="O155" s="45">
        <f>IF(BrewdogNew3[[#This Row],[Yeast]]=BrewdogNew3[[#Headers],[Wyeast 1272 - American Ale II]],1,0)</f>
        <v>1</v>
      </c>
      <c r="P155" s="45" t="str">
        <f>BrewdogNew3[[#This Row],[Name]]</f>
        <v>Paradox Jura</v>
      </c>
      <c r="Q155" t="str">
        <f>IF(BrewdogNew3[[#This Row],[EBC]]="*", BrewdogNew3[[#This Row],[IBU]], "")</f>
        <v/>
      </c>
      <c r="R155" t="str">
        <f>IF(BrewdogNew3[[#This Row],[EBC]]="*", BrewdogNew3[[#This Row],[OG]], "")</f>
        <v/>
      </c>
      <c r="S155" t="str">
        <f>IF(BrewdogNew3[[#This Row],[EBC]]="*", BrewdogNew3[[#This Row],[ABV]], "")</f>
        <v/>
      </c>
      <c r="T155" t="str">
        <f>IF(BrewdogNew3[[#This Row],[EBC]]="*", BrewdogNew3[[#This Row],[PH]], "")</f>
        <v/>
      </c>
      <c r="U155" t="str">
        <f>IF(BrewdogNew3[[#This Row],[EBC]]="*", BrewdogNew3[[#This Row],[AttenuationLevel]], "")</f>
        <v/>
      </c>
      <c r="V155" t="str">
        <f>IF(BrewdogNew3[[#This Row],[EBC]]="*", BrewdogNew3[[#This Row],[FermentationTempCelsius]], "")</f>
        <v/>
      </c>
      <c r="W155" t="str">
        <f>IF(BrewdogNew3[[#This Row],[EBC]]="*", BrewdogNew3[[#This Row],[Yeast]], "")</f>
        <v/>
      </c>
    </row>
    <row r="156" spans="1:23" x14ac:dyDescent="0.25">
      <c r="A156" s="45" t="s">
        <v>221</v>
      </c>
      <c r="B156">
        <v>12.8</v>
      </c>
      <c r="C156" s="2" t="s">
        <v>274</v>
      </c>
      <c r="D156">
        <v>70</v>
      </c>
      <c r="E156">
        <v>1108</v>
      </c>
      <c r="F156">
        <v>79</v>
      </c>
      <c r="G156">
        <f>IF(BrewdogNew3[[#This Row],[EBC]]="*",1,0)</f>
        <v>0</v>
      </c>
      <c r="H156">
        <v>4.4000000000000004</v>
      </c>
      <c r="I156">
        <v>81.5</v>
      </c>
      <c r="J156">
        <v>18</v>
      </c>
      <c r="K156" s="45" t="s">
        <v>80</v>
      </c>
      <c r="L156" s="45">
        <f>IF(BrewdogNew3[[#This Row],[Yeast]]=BrewdogNew3[[#Headers],[Wyeast 1056 - American Ale]],1,0)</f>
        <v>0</v>
      </c>
      <c r="M156" s="45">
        <f>IF(BrewdogNew3[[#This Row],[Yeast]]=BrewdogNew3[[#Headers],[Wyeast 2007 - Pilsen Lager]],1,0)</f>
        <v>0</v>
      </c>
      <c r="N156" s="45">
        <f>IF(BrewdogNew3[[#This Row],[Yeast]]=BrewdogNew3[[#Headers],[Wyeast 3711 - French Saison]],1,0)</f>
        <v>0</v>
      </c>
      <c r="O156" s="45">
        <f>IF(BrewdogNew3[[#This Row],[Yeast]]=BrewdogNew3[[#Headers],[Wyeast 1272 - American Ale II]],1,0)</f>
        <v>1</v>
      </c>
      <c r="P156" s="45" t="str">
        <f>BrewdogNew3[[#This Row],[Name]]</f>
        <v>AB:11</v>
      </c>
      <c r="Q156" t="str">
        <f>IF(BrewdogNew3[[#This Row],[EBC]]="*", BrewdogNew3[[#This Row],[IBU]], "")</f>
        <v/>
      </c>
      <c r="R156" t="str">
        <f>IF(BrewdogNew3[[#This Row],[EBC]]="*", BrewdogNew3[[#This Row],[OG]], "")</f>
        <v/>
      </c>
      <c r="S156" t="str">
        <f>IF(BrewdogNew3[[#This Row],[EBC]]="*", BrewdogNew3[[#This Row],[ABV]], "")</f>
        <v/>
      </c>
      <c r="T156" t="str">
        <f>IF(BrewdogNew3[[#This Row],[EBC]]="*", BrewdogNew3[[#This Row],[PH]], "")</f>
        <v/>
      </c>
      <c r="U156" t="str">
        <f>IF(BrewdogNew3[[#This Row],[EBC]]="*", BrewdogNew3[[#This Row],[AttenuationLevel]], "")</f>
        <v/>
      </c>
      <c r="V156" t="str">
        <f>IF(BrewdogNew3[[#This Row],[EBC]]="*", BrewdogNew3[[#This Row],[FermentationTempCelsius]], "")</f>
        <v/>
      </c>
      <c r="W156" t="str">
        <f>IF(BrewdogNew3[[#This Row],[EBC]]="*", BrewdogNew3[[#This Row],[Yeast]], "")</f>
        <v/>
      </c>
    </row>
    <row r="157" spans="1:23" x14ac:dyDescent="0.25">
      <c r="A157" s="45" t="s">
        <v>222</v>
      </c>
      <c r="B157">
        <v>8.3000000000000007</v>
      </c>
      <c r="C157" s="2" t="s">
        <v>274</v>
      </c>
      <c r="D157">
        <v>70</v>
      </c>
      <c r="E157">
        <v>1076</v>
      </c>
      <c r="F157">
        <v>30</v>
      </c>
      <c r="G157">
        <f>IF(BrewdogNew3[[#This Row],[EBC]]="*",1,0)</f>
        <v>0</v>
      </c>
      <c r="H157">
        <v>4.4000000000000004</v>
      </c>
      <c r="I157">
        <v>82.9</v>
      </c>
      <c r="J157">
        <v>21</v>
      </c>
      <c r="K157" s="45" t="s">
        <v>80</v>
      </c>
      <c r="L157" s="45">
        <f>IF(BrewdogNew3[[#This Row],[Yeast]]=BrewdogNew3[[#Headers],[Wyeast 1056 - American Ale]],1,0)</f>
        <v>0</v>
      </c>
      <c r="M157" s="45">
        <f>IF(BrewdogNew3[[#This Row],[Yeast]]=BrewdogNew3[[#Headers],[Wyeast 2007 - Pilsen Lager]],1,0)</f>
        <v>0</v>
      </c>
      <c r="N157" s="45">
        <f>IF(BrewdogNew3[[#This Row],[Yeast]]=BrewdogNew3[[#Headers],[Wyeast 3711 - French Saison]],1,0)</f>
        <v>0</v>
      </c>
      <c r="O157" s="45">
        <f>IF(BrewdogNew3[[#This Row],[Yeast]]=BrewdogNew3[[#Headers],[Wyeast 1272 - American Ale II]],1,0)</f>
        <v>1</v>
      </c>
      <c r="P157" s="45" t="str">
        <f>BrewdogNew3[[#This Row],[Name]]</f>
        <v>Hello My Name is Sonja (w/ Evil Twin)</v>
      </c>
      <c r="Q157" t="str">
        <f>IF(BrewdogNew3[[#This Row],[EBC]]="*", BrewdogNew3[[#This Row],[IBU]], "")</f>
        <v/>
      </c>
      <c r="R157" t="str">
        <f>IF(BrewdogNew3[[#This Row],[EBC]]="*", BrewdogNew3[[#This Row],[OG]], "")</f>
        <v/>
      </c>
      <c r="S157" t="str">
        <f>IF(BrewdogNew3[[#This Row],[EBC]]="*", BrewdogNew3[[#This Row],[ABV]], "")</f>
        <v/>
      </c>
      <c r="T157" t="str">
        <f>IF(BrewdogNew3[[#This Row],[EBC]]="*", BrewdogNew3[[#This Row],[PH]], "")</f>
        <v/>
      </c>
      <c r="U157" t="str">
        <f>IF(BrewdogNew3[[#This Row],[EBC]]="*", BrewdogNew3[[#This Row],[AttenuationLevel]], "")</f>
        <v/>
      </c>
      <c r="V157" t="str">
        <f>IF(BrewdogNew3[[#This Row],[EBC]]="*", BrewdogNew3[[#This Row],[FermentationTempCelsius]], "")</f>
        <v/>
      </c>
      <c r="W157" t="str">
        <f>IF(BrewdogNew3[[#This Row],[EBC]]="*", BrewdogNew3[[#This Row],[Yeast]], "")</f>
        <v/>
      </c>
    </row>
    <row r="158" spans="1:23" x14ac:dyDescent="0.25">
      <c r="A158" s="45" t="s">
        <v>223</v>
      </c>
      <c r="B158">
        <v>6.5</v>
      </c>
      <c r="C158" s="2" t="s">
        <v>274</v>
      </c>
      <c r="D158">
        <v>55</v>
      </c>
      <c r="E158">
        <v>1059</v>
      </c>
      <c r="F158">
        <v>50</v>
      </c>
      <c r="G158">
        <f>IF(BrewdogNew3[[#This Row],[EBC]]="*",1,0)</f>
        <v>0</v>
      </c>
      <c r="H158">
        <v>4.4000000000000004</v>
      </c>
      <c r="I158">
        <v>81.400000000000006</v>
      </c>
      <c r="J158">
        <v>19</v>
      </c>
      <c r="K158" s="45" t="s">
        <v>64</v>
      </c>
      <c r="L158" s="45">
        <f>IF(BrewdogNew3[[#This Row],[Yeast]]=BrewdogNew3[[#Headers],[Wyeast 1056 - American Ale]],1,0)</f>
        <v>1</v>
      </c>
      <c r="M158" s="45">
        <f>IF(BrewdogNew3[[#This Row],[Yeast]]=BrewdogNew3[[#Headers],[Wyeast 2007 - Pilsen Lager]],1,0)</f>
        <v>0</v>
      </c>
      <c r="N158" s="45">
        <f>IF(BrewdogNew3[[#This Row],[Yeast]]=BrewdogNew3[[#Headers],[Wyeast 3711 - French Saison]],1,0)</f>
        <v>0</v>
      </c>
      <c r="O158" s="45">
        <f>IF(BrewdogNew3[[#This Row],[Yeast]]=BrewdogNew3[[#Headers],[Wyeast 1272 - American Ale II]],1,0)</f>
        <v>0</v>
      </c>
      <c r="P158" s="45" t="str">
        <f>BrewdogNew3[[#This Row],[Name]]</f>
        <v>Interstellar</v>
      </c>
      <c r="Q158" t="str">
        <f>IF(BrewdogNew3[[#This Row],[EBC]]="*", BrewdogNew3[[#This Row],[IBU]], "")</f>
        <v/>
      </c>
      <c r="R158" t="str">
        <f>IF(BrewdogNew3[[#This Row],[EBC]]="*", BrewdogNew3[[#This Row],[OG]], "")</f>
        <v/>
      </c>
      <c r="S158" t="str">
        <f>IF(BrewdogNew3[[#This Row],[EBC]]="*", BrewdogNew3[[#This Row],[ABV]], "")</f>
        <v/>
      </c>
      <c r="T158" t="str">
        <f>IF(BrewdogNew3[[#This Row],[EBC]]="*", BrewdogNew3[[#This Row],[PH]], "")</f>
        <v/>
      </c>
      <c r="U158" t="str">
        <f>IF(BrewdogNew3[[#This Row],[EBC]]="*", BrewdogNew3[[#This Row],[AttenuationLevel]], "")</f>
        <v/>
      </c>
      <c r="V158" t="str">
        <f>IF(BrewdogNew3[[#This Row],[EBC]]="*", BrewdogNew3[[#This Row],[FermentationTempCelsius]], "")</f>
        <v/>
      </c>
      <c r="W158" t="str">
        <f>IF(BrewdogNew3[[#This Row],[EBC]]="*", BrewdogNew3[[#This Row],[Yeast]], "")</f>
        <v/>
      </c>
    </row>
    <row r="159" spans="1:23" x14ac:dyDescent="0.25">
      <c r="A159" s="45" t="s">
        <v>224</v>
      </c>
      <c r="B159">
        <v>6</v>
      </c>
      <c r="C159" s="2" t="s">
        <v>274</v>
      </c>
      <c r="D159">
        <v>60</v>
      </c>
      <c r="E159">
        <v>1056</v>
      </c>
      <c r="F159">
        <v>17</v>
      </c>
      <c r="G159">
        <f>IF(BrewdogNew3[[#This Row],[EBC]]="*",1,0)</f>
        <v>0</v>
      </c>
      <c r="H159">
        <v>4.4000000000000004</v>
      </c>
      <c r="I159">
        <v>82.14</v>
      </c>
      <c r="J159">
        <v>19</v>
      </c>
      <c r="K159" s="45" t="s">
        <v>64</v>
      </c>
      <c r="L159" s="45">
        <f>IF(BrewdogNew3[[#This Row],[Yeast]]=BrewdogNew3[[#Headers],[Wyeast 1056 - American Ale]],1,0)</f>
        <v>1</v>
      </c>
      <c r="M159" s="45">
        <f>IF(BrewdogNew3[[#This Row],[Yeast]]=BrewdogNew3[[#Headers],[Wyeast 2007 - Pilsen Lager]],1,0)</f>
        <v>0</v>
      </c>
      <c r="N159" s="45">
        <f>IF(BrewdogNew3[[#This Row],[Yeast]]=BrewdogNew3[[#Headers],[Wyeast 3711 - French Saison]],1,0)</f>
        <v>0</v>
      </c>
      <c r="O159" s="45">
        <f>IF(BrewdogNew3[[#This Row],[Yeast]]=BrewdogNew3[[#Headers],[Wyeast 1272 - American Ale II]],1,0)</f>
        <v>0</v>
      </c>
      <c r="P159" s="45" t="str">
        <f>BrewdogNew3[[#This Row],[Name]]</f>
        <v>Punk IPA 2007 - 2010</v>
      </c>
      <c r="Q159" t="str">
        <f>IF(BrewdogNew3[[#This Row],[EBC]]="*", BrewdogNew3[[#This Row],[IBU]], "")</f>
        <v/>
      </c>
      <c r="R159" t="str">
        <f>IF(BrewdogNew3[[#This Row],[EBC]]="*", BrewdogNew3[[#This Row],[OG]], "")</f>
        <v/>
      </c>
      <c r="S159" t="str">
        <f>IF(BrewdogNew3[[#This Row],[EBC]]="*", BrewdogNew3[[#This Row],[ABV]], "")</f>
        <v/>
      </c>
      <c r="T159" t="str">
        <f>IF(BrewdogNew3[[#This Row],[EBC]]="*", BrewdogNew3[[#This Row],[PH]], "")</f>
        <v/>
      </c>
      <c r="U159" t="str">
        <f>IF(BrewdogNew3[[#This Row],[EBC]]="*", BrewdogNew3[[#This Row],[AttenuationLevel]], "")</f>
        <v/>
      </c>
      <c r="V159" t="str">
        <f>IF(BrewdogNew3[[#This Row],[EBC]]="*", BrewdogNew3[[#This Row],[FermentationTempCelsius]], "")</f>
        <v/>
      </c>
      <c r="W159" t="str">
        <f>IF(BrewdogNew3[[#This Row],[EBC]]="*", BrewdogNew3[[#This Row],[Yeast]], "")</f>
        <v/>
      </c>
    </row>
    <row r="160" spans="1:23" x14ac:dyDescent="0.25">
      <c r="A160" s="45" t="s">
        <v>225</v>
      </c>
      <c r="B160">
        <v>3</v>
      </c>
      <c r="C160" s="2" t="s">
        <v>274</v>
      </c>
      <c r="D160">
        <v>8</v>
      </c>
      <c r="E160">
        <v>1007</v>
      </c>
      <c r="F160">
        <v>9</v>
      </c>
      <c r="G160">
        <f>IF(BrewdogNew3[[#This Row],[EBC]]="*",1,0)</f>
        <v>0</v>
      </c>
      <c r="H160">
        <v>3.2</v>
      </c>
      <c r="I160">
        <v>82.5</v>
      </c>
      <c r="J160">
        <v>19</v>
      </c>
      <c r="K160" s="45" t="s">
        <v>64</v>
      </c>
      <c r="L160" s="45">
        <f>IF(BrewdogNew3[[#This Row],[Yeast]]=BrewdogNew3[[#Headers],[Wyeast 1056 - American Ale]],1,0)</f>
        <v>1</v>
      </c>
      <c r="M160" s="45">
        <f>IF(BrewdogNew3[[#This Row],[Yeast]]=BrewdogNew3[[#Headers],[Wyeast 2007 - Pilsen Lager]],1,0)</f>
        <v>0</v>
      </c>
      <c r="N160" s="45">
        <f>IF(BrewdogNew3[[#This Row],[Yeast]]=BrewdogNew3[[#Headers],[Wyeast 3711 - French Saison]],1,0)</f>
        <v>0</v>
      </c>
      <c r="O160" s="45">
        <f>IF(BrewdogNew3[[#This Row],[Yeast]]=BrewdogNew3[[#Headers],[Wyeast 1272 - American Ale II]],1,0)</f>
        <v>0</v>
      </c>
      <c r="P160" s="45" t="str">
        <f>BrewdogNew3[[#This Row],[Name]]</f>
        <v>Blitz Berliner Weisse</v>
      </c>
      <c r="Q160" t="str">
        <f>IF(BrewdogNew3[[#This Row],[EBC]]="*", BrewdogNew3[[#This Row],[IBU]], "")</f>
        <v/>
      </c>
      <c r="R160" t="str">
        <f>IF(BrewdogNew3[[#This Row],[EBC]]="*", BrewdogNew3[[#This Row],[OG]], "")</f>
        <v/>
      </c>
      <c r="S160" t="str">
        <f>IF(BrewdogNew3[[#This Row],[EBC]]="*", BrewdogNew3[[#This Row],[ABV]], "")</f>
        <v/>
      </c>
      <c r="T160" t="str">
        <f>IF(BrewdogNew3[[#This Row],[EBC]]="*", BrewdogNew3[[#This Row],[PH]], "")</f>
        <v/>
      </c>
      <c r="U160" t="str">
        <f>IF(BrewdogNew3[[#This Row],[EBC]]="*", BrewdogNew3[[#This Row],[AttenuationLevel]], "")</f>
        <v/>
      </c>
      <c r="V160" t="str">
        <f>IF(BrewdogNew3[[#This Row],[EBC]]="*", BrewdogNew3[[#This Row],[FermentationTempCelsius]], "")</f>
        <v/>
      </c>
      <c r="W160" t="str">
        <f>IF(BrewdogNew3[[#This Row],[EBC]]="*", BrewdogNew3[[#This Row],[Yeast]], "")</f>
        <v/>
      </c>
    </row>
    <row r="161" spans="1:23" x14ac:dyDescent="0.25">
      <c r="A161" s="45" t="s">
        <v>226</v>
      </c>
      <c r="B161">
        <v>7.6</v>
      </c>
      <c r="C161" s="2" t="s">
        <v>274</v>
      </c>
      <c r="D161">
        <v>175</v>
      </c>
      <c r="E161">
        <v>1072</v>
      </c>
      <c r="F161">
        <v>40</v>
      </c>
      <c r="G161">
        <f>IF(BrewdogNew3[[#This Row],[EBC]]="*",1,0)</f>
        <v>0</v>
      </c>
      <c r="H161">
        <v>4.4000000000000004</v>
      </c>
      <c r="I161">
        <v>80.599999999999994</v>
      </c>
      <c r="J161">
        <v>21</v>
      </c>
      <c r="K161" s="45" t="s">
        <v>80</v>
      </c>
      <c r="L161" s="45">
        <f>IF(BrewdogNew3[[#This Row],[Yeast]]=BrewdogNew3[[#Headers],[Wyeast 1056 - American Ale]],1,0)</f>
        <v>0</v>
      </c>
      <c r="M161" s="45">
        <f>IF(BrewdogNew3[[#This Row],[Yeast]]=BrewdogNew3[[#Headers],[Wyeast 2007 - Pilsen Lager]],1,0)</f>
        <v>0</v>
      </c>
      <c r="N161" s="45">
        <f>IF(BrewdogNew3[[#This Row],[Yeast]]=BrewdogNew3[[#Headers],[Wyeast 3711 - French Saison]],1,0)</f>
        <v>0</v>
      </c>
      <c r="O161" s="45">
        <f>IF(BrewdogNew3[[#This Row],[Yeast]]=BrewdogNew3[[#Headers],[Wyeast 1272 - American Ale II]],1,0)</f>
        <v>1</v>
      </c>
      <c r="P161" s="45" t="str">
        <f>BrewdogNew3[[#This Row],[Name]]</f>
        <v>Hardkogt IPA</v>
      </c>
      <c r="Q161" t="str">
        <f>IF(BrewdogNew3[[#This Row],[EBC]]="*", BrewdogNew3[[#This Row],[IBU]], "")</f>
        <v/>
      </c>
      <c r="R161" t="str">
        <f>IF(BrewdogNew3[[#This Row],[EBC]]="*", BrewdogNew3[[#This Row],[OG]], "")</f>
        <v/>
      </c>
      <c r="S161" t="str">
        <f>IF(BrewdogNew3[[#This Row],[EBC]]="*", BrewdogNew3[[#This Row],[ABV]], "")</f>
        <v/>
      </c>
      <c r="T161" t="str">
        <f>IF(BrewdogNew3[[#This Row],[EBC]]="*", BrewdogNew3[[#This Row],[PH]], "")</f>
        <v/>
      </c>
      <c r="U161" t="str">
        <f>IF(BrewdogNew3[[#This Row],[EBC]]="*", BrewdogNew3[[#This Row],[AttenuationLevel]], "")</f>
        <v/>
      </c>
      <c r="V161" t="str">
        <f>IF(BrewdogNew3[[#This Row],[EBC]]="*", BrewdogNew3[[#This Row],[FermentationTempCelsius]], "")</f>
        <v/>
      </c>
      <c r="W161" t="str">
        <f>IF(BrewdogNew3[[#This Row],[EBC]]="*", BrewdogNew3[[#This Row],[Yeast]], "")</f>
        <v/>
      </c>
    </row>
    <row r="162" spans="1:23" x14ac:dyDescent="0.25">
      <c r="A162" s="45" t="s">
        <v>227</v>
      </c>
      <c r="B162">
        <v>5.5</v>
      </c>
      <c r="C162" s="2" t="s">
        <v>274</v>
      </c>
      <c r="D162">
        <v>35</v>
      </c>
      <c r="E162">
        <v>1053</v>
      </c>
      <c r="F162">
        <v>25</v>
      </c>
      <c r="G162">
        <f>IF(BrewdogNew3[[#This Row],[EBC]]="*",1,0)</f>
        <v>0</v>
      </c>
      <c r="H162">
        <v>4.4000000000000004</v>
      </c>
      <c r="I162">
        <v>79.3</v>
      </c>
      <c r="J162">
        <v>17</v>
      </c>
      <c r="K162" s="45" t="s">
        <v>64</v>
      </c>
      <c r="L162" s="45">
        <f>IF(BrewdogNew3[[#This Row],[Yeast]]=BrewdogNew3[[#Headers],[Wyeast 1056 - American Ale]],1,0)</f>
        <v>1</v>
      </c>
      <c r="M162" s="45">
        <f>IF(BrewdogNew3[[#This Row],[Yeast]]=BrewdogNew3[[#Headers],[Wyeast 2007 - Pilsen Lager]],1,0)</f>
        <v>0</v>
      </c>
      <c r="N162" s="45">
        <f>IF(BrewdogNew3[[#This Row],[Yeast]]=BrewdogNew3[[#Headers],[Wyeast 3711 - French Saison]],1,0)</f>
        <v>0</v>
      </c>
      <c r="O162" s="45">
        <f>IF(BrewdogNew3[[#This Row],[Yeast]]=BrewdogNew3[[#Headers],[Wyeast 1272 - American Ale II]],1,0)</f>
        <v>0</v>
      </c>
      <c r="P162" s="45" t="str">
        <f>BrewdogNew3[[#This Row],[Name]]</f>
        <v>Hello My Name Is Holy Moose</v>
      </c>
      <c r="Q162" t="str">
        <f>IF(BrewdogNew3[[#This Row],[EBC]]="*", BrewdogNew3[[#This Row],[IBU]], "")</f>
        <v/>
      </c>
      <c r="R162" t="str">
        <f>IF(BrewdogNew3[[#This Row],[EBC]]="*", BrewdogNew3[[#This Row],[OG]], "")</f>
        <v/>
      </c>
      <c r="S162" t="str">
        <f>IF(BrewdogNew3[[#This Row],[EBC]]="*", BrewdogNew3[[#This Row],[ABV]], "")</f>
        <v/>
      </c>
      <c r="T162" t="str">
        <f>IF(BrewdogNew3[[#This Row],[EBC]]="*", BrewdogNew3[[#This Row],[PH]], "")</f>
        <v/>
      </c>
      <c r="U162" t="str">
        <f>IF(BrewdogNew3[[#This Row],[EBC]]="*", BrewdogNew3[[#This Row],[AttenuationLevel]], "")</f>
        <v/>
      </c>
      <c r="V162" t="str">
        <f>IF(BrewdogNew3[[#This Row],[EBC]]="*", BrewdogNew3[[#This Row],[FermentationTempCelsius]], "")</f>
        <v/>
      </c>
      <c r="W162" t="str">
        <f>IF(BrewdogNew3[[#This Row],[EBC]]="*", BrewdogNew3[[#This Row],[Yeast]], "")</f>
        <v/>
      </c>
    </row>
    <row r="163" spans="1:23" x14ac:dyDescent="0.25">
      <c r="A163" s="45" t="s">
        <v>228</v>
      </c>
      <c r="B163">
        <v>8.8000000000000007</v>
      </c>
      <c r="C163" s="2" t="s">
        <v>274</v>
      </c>
      <c r="D163">
        <v>40</v>
      </c>
      <c r="E163">
        <v>1084</v>
      </c>
      <c r="F163">
        <v>190</v>
      </c>
      <c r="G163">
        <f>IF(BrewdogNew3[[#This Row],[EBC]]="*",1,0)</f>
        <v>0</v>
      </c>
      <c r="H163">
        <v>4.5</v>
      </c>
      <c r="I163">
        <v>79.8</v>
      </c>
      <c r="J163">
        <v>21</v>
      </c>
      <c r="K163" s="45" t="s">
        <v>80</v>
      </c>
      <c r="L163" s="45">
        <f>IF(BrewdogNew3[[#This Row],[Yeast]]=BrewdogNew3[[#Headers],[Wyeast 1056 - American Ale]],1,0)</f>
        <v>0</v>
      </c>
      <c r="M163" s="45">
        <f>IF(BrewdogNew3[[#This Row],[Yeast]]=BrewdogNew3[[#Headers],[Wyeast 2007 - Pilsen Lager]],1,0)</f>
        <v>0</v>
      </c>
      <c r="N163" s="45">
        <f>IF(BrewdogNew3[[#This Row],[Yeast]]=BrewdogNew3[[#Headers],[Wyeast 3711 - French Saison]],1,0)</f>
        <v>0</v>
      </c>
      <c r="O163" s="45">
        <f>IF(BrewdogNew3[[#This Row],[Yeast]]=BrewdogNew3[[#Headers],[Wyeast 1272 - American Ale II]],1,0)</f>
        <v>1</v>
      </c>
      <c r="P163" s="45" t="str">
        <f>BrewdogNew3[[#This Row],[Name]]</f>
        <v>Catherine's Pony (w/ Beavertown)</v>
      </c>
      <c r="Q163" t="str">
        <f>IF(BrewdogNew3[[#This Row],[EBC]]="*", BrewdogNew3[[#This Row],[IBU]], "")</f>
        <v/>
      </c>
      <c r="R163" t="str">
        <f>IF(BrewdogNew3[[#This Row],[EBC]]="*", BrewdogNew3[[#This Row],[OG]], "")</f>
        <v/>
      </c>
      <c r="S163" t="str">
        <f>IF(BrewdogNew3[[#This Row],[EBC]]="*", BrewdogNew3[[#This Row],[ABV]], "")</f>
        <v/>
      </c>
      <c r="T163" t="str">
        <f>IF(BrewdogNew3[[#This Row],[EBC]]="*", BrewdogNew3[[#This Row],[PH]], "")</f>
        <v/>
      </c>
      <c r="U163" t="str">
        <f>IF(BrewdogNew3[[#This Row],[EBC]]="*", BrewdogNew3[[#This Row],[AttenuationLevel]], "")</f>
        <v/>
      </c>
      <c r="V163" t="str">
        <f>IF(BrewdogNew3[[#This Row],[EBC]]="*", BrewdogNew3[[#This Row],[FermentationTempCelsius]], "")</f>
        <v/>
      </c>
      <c r="W163" t="str">
        <f>IF(BrewdogNew3[[#This Row],[EBC]]="*", BrewdogNew3[[#This Row],[Yeast]], "")</f>
        <v/>
      </c>
    </row>
    <row r="164" spans="1:23" x14ac:dyDescent="0.25">
      <c r="A164" s="45" t="s">
        <v>229</v>
      </c>
      <c r="B164">
        <v>5.2</v>
      </c>
      <c r="C164" s="2" t="s">
        <v>274</v>
      </c>
      <c r="D164">
        <v>45</v>
      </c>
      <c r="E164">
        <v>1048</v>
      </c>
      <c r="F164">
        <v>35</v>
      </c>
      <c r="G164">
        <f>IF(BrewdogNew3[[#This Row],[EBC]]="*",1,0)</f>
        <v>0</v>
      </c>
      <c r="H164">
        <v>4.4000000000000004</v>
      </c>
      <c r="I164">
        <v>77.099999999999994</v>
      </c>
      <c r="J164">
        <v>19</v>
      </c>
      <c r="K164" s="45" t="s">
        <v>64</v>
      </c>
      <c r="L164" s="45">
        <f>IF(BrewdogNew3[[#This Row],[Yeast]]=BrewdogNew3[[#Headers],[Wyeast 1056 - American Ale]],1,0)</f>
        <v>1</v>
      </c>
      <c r="M164" s="45">
        <f>IF(BrewdogNew3[[#This Row],[Yeast]]=BrewdogNew3[[#Headers],[Wyeast 2007 - Pilsen Lager]],1,0)</f>
        <v>0</v>
      </c>
      <c r="N164" s="45">
        <f>IF(BrewdogNew3[[#This Row],[Yeast]]=BrewdogNew3[[#Headers],[Wyeast 3711 - French Saison]],1,0)</f>
        <v>0</v>
      </c>
      <c r="O164" s="45">
        <f>IF(BrewdogNew3[[#This Row],[Yeast]]=BrewdogNew3[[#Headers],[Wyeast 1272 - American Ale II]],1,0)</f>
        <v>0</v>
      </c>
      <c r="P164" s="45" t="str">
        <f>BrewdogNew3[[#This Row],[Name]]</f>
        <v>Moshi Moshi 15</v>
      </c>
      <c r="Q164" t="str">
        <f>IF(BrewdogNew3[[#This Row],[EBC]]="*", BrewdogNew3[[#This Row],[IBU]], "")</f>
        <v/>
      </c>
      <c r="R164" t="str">
        <f>IF(BrewdogNew3[[#This Row],[EBC]]="*", BrewdogNew3[[#This Row],[OG]], "")</f>
        <v/>
      </c>
      <c r="S164" t="str">
        <f>IF(BrewdogNew3[[#This Row],[EBC]]="*", BrewdogNew3[[#This Row],[ABV]], "")</f>
        <v/>
      </c>
      <c r="T164" t="str">
        <f>IF(BrewdogNew3[[#This Row],[EBC]]="*", BrewdogNew3[[#This Row],[PH]], "")</f>
        <v/>
      </c>
      <c r="U164" t="str">
        <f>IF(BrewdogNew3[[#This Row],[EBC]]="*", BrewdogNew3[[#This Row],[AttenuationLevel]], "")</f>
        <v/>
      </c>
      <c r="V164" t="str">
        <f>IF(BrewdogNew3[[#This Row],[EBC]]="*", BrewdogNew3[[#This Row],[FermentationTempCelsius]], "")</f>
        <v/>
      </c>
      <c r="W164" t="str">
        <f>IF(BrewdogNew3[[#This Row],[EBC]]="*", BrewdogNew3[[#This Row],[Yeast]], "")</f>
        <v/>
      </c>
    </row>
    <row r="165" spans="1:23" x14ac:dyDescent="0.25">
      <c r="A165" s="45" t="s">
        <v>230</v>
      </c>
      <c r="B165">
        <v>5.2</v>
      </c>
      <c r="C165" s="2" t="s">
        <v>274</v>
      </c>
      <c r="D165">
        <v>55</v>
      </c>
      <c r="E165">
        <v>1053</v>
      </c>
      <c r="F165">
        <v>165</v>
      </c>
      <c r="G165">
        <f>IF(BrewdogNew3[[#This Row],[EBC]]="*",1,0)</f>
        <v>0</v>
      </c>
      <c r="H165">
        <v>5.2</v>
      </c>
      <c r="I165">
        <v>75.5</v>
      </c>
      <c r="J165">
        <v>19</v>
      </c>
      <c r="K165" s="45" t="s">
        <v>64</v>
      </c>
      <c r="L165" s="45">
        <f>IF(BrewdogNew3[[#This Row],[Yeast]]=BrewdogNew3[[#Headers],[Wyeast 1056 - American Ale]],1,0)</f>
        <v>1</v>
      </c>
      <c r="M165" s="45">
        <f>IF(BrewdogNew3[[#This Row],[Yeast]]=BrewdogNew3[[#Headers],[Wyeast 2007 - Pilsen Lager]],1,0)</f>
        <v>0</v>
      </c>
      <c r="N165" s="45">
        <f>IF(BrewdogNew3[[#This Row],[Yeast]]=BrewdogNew3[[#Headers],[Wyeast 3711 - French Saison]],1,0)</f>
        <v>0</v>
      </c>
      <c r="O165" s="45">
        <f>IF(BrewdogNew3[[#This Row],[Yeast]]=BrewdogNew3[[#Headers],[Wyeast 1272 - American Ale II]],1,0)</f>
        <v>0</v>
      </c>
      <c r="P165" s="45" t="str">
        <f>BrewdogNew3[[#This Row],[Name]]</f>
        <v>Alice Porter</v>
      </c>
      <c r="Q165" t="str">
        <f>IF(BrewdogNew3[[#This Row],[EBC]]="*", BrewdogNew3[[#This Row],[IBU]], "")</f>
        <v/>
      </c>
      <c r="R165" t="str">
        <f>IF(BrewdogNew3[[#This Row],[EBC]]="*", BrewdogNew3[[#This Row],[OG]], "")</f>
        <v/>
      </c>
      <c r="S165" t="str">
        <f>IF(BrewdogNew3[[#This Row],[EBC]]="*", BrewdogNew3[[#This Row],[ABV]], "")</f>
        <v/>
      </c>
      <c r="T165" t="str">
        <f>IF(BrewdogNew3[[#This Row],[EBC]]="*", BrewdogNew3[[#This Row],[PH]], "")</f>
        <v/>
      </c>
      <c r="U165" t="str">
        <f>IF(BrewdogNew3[[#This Row],[EBC]]="*", BrewdogNew3[[#This Row],[AttenuationLevel]], "")</f>
        <v/>
      </c>
      <c r="V165" t="str">
        <f>IF(BrewdogNew3[[#This Row],[EBC]]="*", BrewdogNew3[[#This Row],[FermentationTempCelsius]], "")</f>
        <v/>
      </c>
      <c r="W165" t="str">
        <f>IF(BrewdogNew3[[#This Row],[EBC]]="*", BrewdogNew3[[#This Row],[Yeast]], "")</f>
        <v/>
      </c>
    </row>
    <row r="166" spans="1:23" x14ac:dyDescent="0.25">
      <c r="A166" s="45" t="s">
        <v>231</v>
      </c>
      <c r="B166">
        <v>8</v>
      </c>
      <c r="C166" s="2" t="s">
        <v>274</v>
      </c>
      <c r="D166">
        <v>85</v>
      </c>
      <c r="E166">
        <v>1074</v>
      </c>
      <c r="F166">
        <v>35</v>
      </c>
      <c r="G166">
        <f>IF(BrewdogNew3[[#This Row],[EBC]]="*",1,0)</f>
        <v>0</v>
      </c>
      <c r="H166">
        <v>5.2</v>
      </c>
      <c r="I166">
        <v>82.4</v>
      </c>
      <c r="J166">
        <v>19</v>
      </c>
      <c r="K166" s="45" t="s">
        <v>64</v>
      </c>
      <c r="L166" s="45">
        <f>IF(BrewdogNew3[[#This Row],[Yeast]]=BrewdogNew3[[#Headers],[Wyeast 1056 - American Ale]],1,0)</f>
        <v>1</v>
      </c>
      <c r="M166" s="45">
        <f>IF(BrewdogNew3[[#This Row],[Yeast]]=BrewdogNew3[[#Headers],[Wyeast 2007 - Pilsen Lager]],1,0)</f>
        <v>0</v>
      </c>
      <c r="N166" s="45">
        <f>IF(BrewdogNew3[[#This Row],[Yeast]]=BrewdogNew3[[#Headers],[Wyeast 3711 - French Saison]],1,0)</f>
        <v>0</v>
      </c>
      <c r="O166" s="45">
        <f>IF(BrewdogNew3[[#This Row],[Yeast]]=BrewdogNew3[[#Headers],[Wyeast 1272 - American Ale II]],1,0)</f>
        <v>0</v>
      </c>
      <c r="P166" s="45" t="str">
        <f>BrewdogNew3[[#This Row],[Name]]</f>
        <v>Double IPA - Russian Doll</v>
      </c>
      <c r="Q166" t="str">
        <f>IF(BrewdogNew3[[#This Row],[EBC]]="*", BrewdogNew3[[#This Row],[IBU]], "")</f>
        <v/>
      </c>
      <c r="R166" t="str">
        <f>IF(BrewdogNew3[[#This Row],[EBC]]="*", BrewdogNew3[[#This Row],[OG]], "")</f>
        <v/>
      </c>
      <c r="S166" t="str">
        <f>IF(BrewdogNew3[[#This Row],[EBC]]="*", BrewdogNew3[[#This Row],[ABV]], "")</f>
        <v/>
      </c>
      <c r="T166" t="str">
        <f>IF(BrewdogNew3[[#This Row],[EBC]]="*", BrewdogNew3[[#This Row],[PH]], "")</f>
        <v/>
      </c>
      <c r="U166" t="str">
        <f>IF(BrewdogNew3[[#This Row],[EBC]]="*", BrewdogNew3[[#This Row],[AttenuationLevel]], "")</f>
        <v/>
      </c>
      <c r="V166" t="str">
        <f>IF(BrewdogNew3[[#This Row],[EBC]]="*", BrewdogNew3[[#This Row],[FermentationTempCelsius]], "")</f>
        <v/>
      </c>
      <c r="W166" t="str">
        <f>IF(BrewdogNew3[[#This Row],[EBC]]="*", BrewdogNew3[[#This Row],[Yeast]], "")</f>
        <v/>
      </c>
    </row>
    <row r="167" spans="1:23" x14ac:dyDescent="0.25">
      <c r="A167" s="45" t="s">
        <v>232</v>
      </c>
      <c r="B167">
        <v>6.7</v>
      </c>
      <c r="C167" s="2" t="s">
        <v>274</v>
      </c>
      <c r="D167">
        <v>70</v>
      </c>
      <c r="E167">
        <v>1066</v>
      </c>
      <c r="F167">
        <v>30</v>
      </c>
      <c r="G167">
        <f>IF(BrewdogNew3[[#This Row],[EBC]]="*",1,0)</f>
        <v>0</v>
      </c>
      <c r="H167">
        <v>4.4000000000000004</v>
      </c>
      <c r="I167">
        <v>77.3</v>
      </c>
      <c r="J167">
        <v>19</v>
      </c>
      <c r="K167" s="45" t="s">
        <v>64</v>
      </c>
      <c r="L167" s="45">
        <f>IF(BrewdogNew3[[#This Row],[Yeast]]=BrewdogNew3[[#Headers],[Wyeast 1056 - American Ale]],1,0)</f>
        <v>1</v>
      </c>
      <c r="M167" s="45">
        <f>IF(BrewdogNew3[[#This Row],[Yeast]]=BrewdogNew3[[#Headers],[Wyeast 2007 - Pilsen Lager]],1,0)</f>
        <v>0</v>
      </c>
      <c r="N167" s="45">
        <f>IF(BrewdogNew3[[#This Row],[Yeast]]=BrewdogNew3[[#Headers],[Wyeast 3711 - French Saison]],1,0)</f>
        <v>0</v>
      </c>
      <c r="O167" s="45">
        <f>IF(BrewdogNew3[[#This Row],[Yeast]]=BrewdogNew3[[#Headers],[Wyeast 1272 - American Ale II]],1,0)</f>
        <v>0</v>
      </c>
      <c r="P167" s="45" t="str">
        <f>BrewdogNew3[[#This Row],[Name]]</f>
        <v>Waimea - IPA Is Dead</v>
      </c>
      <c r="Q167" t="str">
        <f>IF(BrewdogNew3[[#This Row],[EBC]]="*", BrewdogNew3[[#This Row],[IBU]], "")</f>
        <v/>
      </c>
      <c r="R167" t="str">
        <f>IF(BrewdogNew3[[#This Row],[EBC]]="*", BrewdogNew3[[#This Row],[OG]], "")</f>
        <v/>
      </c>
      <c r="S167" t="str">
        <f>IF(BrewdogNew3[[#This Row],[EBC]]="*", BrewdogNew3[[#This Row],[ABV]], "")</f>
        <v/>
      </c>
      <c r="T167" t="str">
        <f>IF(BrewdogNew3[[#This Row],[EBC]]="*", BrewdogNew3[[#This Row],[PH]], "")</f>
        <v/>
      </c>
      <c r="U167" t="str">
        <f>IF(BrewdogNew3[[#This Row],[EBC]]="*", BrewdogNew3[[#This Row],[AttenuationLevel]], "")</f>
        <v/>
      </c>
      <c r="V167" t="str">
        <f>IF(BrewdogNew3[[#This Row],[EBC]]="*", BrewdogNew3[[#This Row],[FermentationTempCelsius]], "")</f>
        <v/>
      </c>
      <c r="W167" t="str">
        <f>IF(BrewdogNew3[[#This Row],[EBC]]="*", BrewdogNew3[[#This Row],[Yeast]], "")</f>
        <v/>
      </c>
    </row>
    <row r="168" spans="1:23" x14ac:dyDescent="0.25">
      <c r="A168" s="45" t="s">
        <v>233</v>
      </c>
      <c r="B168">
        <v>15</v>
      </c>
      <c r="C168" s="2" t="s">
        <v>274</v>
      </c>
      <c r="D168">
        <v>90</v>
      </c>
      <c r="E168">
        <v>1120</v>
      </c>
      <c r="F168">
        <v>100</v>
      </c>
      <c r="G168">
        <f>IF(BrewdogNew3[[#This Row],[EBC]]="*",1,0)</f>
        <v>0</v>
      </c>
      <c r="H168">
        <v>4.4000000000000004</v>
      </c>
      <c r="I168">
        <v>98</v>
      </c>
      <c r="J168">
        <v>19</v>
      </c>
      <c r="K168" s="45" t="s">
        <v>64</v>
      </c>
      <c r="L168" s="45">
        <f>IF(BrewdogNew3[[#This Row],[Yeast]]=BrewdogNew3[[#Headers],[Wyeast 1056 - American Ale]],1,0)</f>
        <v>1</v>
      </c>
      <c r="M168" s="45">
        <f>IF(BrewdogNew3[[#This Row],[Yeast]]=BrewdogNew3[[#Headers],[Wyeast 2007 - Pilsen Lager]],1,0)</f>
        <v>0</v>
      </c>
      <c r="N168" s="45">
        <f>IF(BrewdogNew3[[#This Row],[Yeast]]=BrewdogNew3[[#Headers],[Wyeast 3711 - French Saison]],1,0)</f>
        <v>0</v>
      </c>
      <c r="O168" s="45">
        <f>IF(BrewdogNew3[[#This Row],[Yeast]]=BrewdogNew3[[#Headers],[Wyeast 1272 - American Ale II]],1,0)</f>
        <v>0</v>
      </c>
      <c r="P168" s="45" t="str">
        <f>BrewdogNew3[[#This Row],[Name]]</f>
        <v>Dog C</v>
      </c>
      <c r="Q168" t="str">
        <f>IF(BrewdogNew3[[#This Row],[EBC]]="*", BrewdogNew3[[#This Row],[IBU]], "")</f>
        <v/>
      </c>
      <c r="R168" t="str">
        <f>IF(BrewdogNew3[[#This Row],[EBC]]="*", BrewdogNew3[[#This Row],[OG]], "")</f>
        <v/>
      </c>
      <c r="S168" t="str">
        <f>IF(BrewdogNew3[[#This Row],[EBC]]="*", BrewdogNew3[[#This Row],[ABV]], "")</f>
        <v/>
      </c>
      <c r="T168" t="str">
        <f>IF(BrewdogNew3[[#This Row],[EBC]]="*", BrewdogNew3[[#This Row],[PH]], "")</f>
        <v/>
      </c>
      <c r="U168" t="str">
        <f>IF(BrewdogNew3[[#This Row],[EBC]]="*", BrewdogNew3[[#This Row],[AttenuationLevel]], "")</f>
        <v/>
      </c>
      <c r="V168" t="str">
        <f>IF(BrewdogNew3[[#This Row],[EBC]]="*", BrewdogNew3[[#This Row],[FermentationTempCelsius]], "")</f>
        <v/>
      </c>
      <c r="W168" t="str">
        <f>IF(BrewdogNew3[[#This Row],[EBC]]="*", BrewdogNew3[[#This Row],[Yeast]], "")</f>
        <v/>
      </c>
    </row>
    <row r="169" spans="1:23" x14ac:dyDescent="0.25">
      <c r="A169" s="45" t="s">
        <v>234</v>
      </c>
      <c r="B169">
        <v>11.5</v>
      </c>
      <c r="C169" s="2" t="s">
        <v>274</v>
      </c>
      <c r="D169">
        <v>50</v>
      </c>
      <c r="E169">
        <v>1104</v>
      </c>
      <c r="F169">
        <v>38</v>
      </c>
      <c r="G169">
        <f>IF(BrewdogNew3[[#This Row],[EBC]]="*",1,0)</f>
        <v>0</v>
      </c>
      <c r="H169">
        <v>4.4000000000000004</v>
      </c>
      <c r="I169">
        <v>85</v>
      </c>
      <c r="J169">
        <v>21</v>
      </c>
      <c r="K169" s="45" t="s">
        <v>80</v>
      </c>
      <c r="L169" s="45">
        <f>IF(BrewdogNew3[[#This Row],[Yeast]]=BrewdogNew3[[#Headers],[Wyeast 1056 - American Ale]],1,0)</f>
        <v>0</v>
      </c>
      <c r="M169" s="45">
        <f>IF(BrewdogNew3[[#This Row],[Yeast]]=BrewdogNew3[[#Headers],[Wyeast 2007 - Pilsen Lager]],1,0)</f>
        <v>0</v>
      </c>
      <c r="N169" s="45">
        <f>IF(BrewdogNew3[[#This Row],[Yeast]]=BrewdogNew3[[#Headers],[Wyeast 3711 - French Saison]],1,0)</f>
        <v>0</v>
      </c>
      <c r="O169" s="45">
        <f>IF(BrewdogNew3[[#This Row],[Yeast]]=BrewdogNew3[[#Headers],[Wyeast 1272 - American Ale II]],1,0)</f>
        <v>1</v>
      </c>
      <c r="P169" s="45" t="str">
        <f>BrewdogNew3[[#This Row],[Name]]</f>
        <v>Bitch Please (w/ 3 Floyds)</v>
      </c>
      <c r="Q169" t="str">
        <f>IF(BrewdogNew3[[#This Row],[EBC]]="*", BrewdogNew3[[#This Row],[IBU]], "")</f>
        <v/>
      </c>
      <c r="R169" t="str">
        <f>IF(BrewdogNew3[[#This Row],[EBC]]="*", BrewdogNew3[[#This Row],[OG]], "")</f>
        <v/>
      </c>
      <c r="S169" t="str">
        <f>IF(BrewdogNew3[[#This Row],[EBC]]="*", BrewdogNew3[[#This Row],[ABV]], "")</f>
        <v/>
      </c>
      <c r="T169" t="str">
        <f>IF(BrewdogNew3[[#This Row],[EBC]]="*", BrewdogNew3[[#This Row],[PH]], "")</f>
        <v/>
      </c>
      <c r="U169" t="str">
        <f>IF(BrewdogNew3[[#This Row],[EBC]]="*", BrewdogNew3[[#This Row],[AttenuationLevel]], "")</f>
        <v/>
      </c>
      <c r="V169" t="str">
        <f>IF(BrewdogNew3[[#This Row],[EBC]]="*", BrewdogNew3[[#This Row],[FermentationTempCelsius]], "")</f>
        <v/>
      </c>
      <c r="W169" t="str">
        <f>IF(BrewdogNew3[[#This Row],[EBC]]="*", BrewdogNew3[[#This Row],[Yeast]], "")</f>
        <v/>
      </c>
    </row>
    <row r="170" spans="1:23" x14ac:dyDescent="0.25">
      <c r="A170" s="45" t="s">
        <v>235</v>
      </c>
      <c r="B170">
        <v>7.1</v>
      </c>
      <c r="C170" s="2" t="s">
        <v>274</v>
      </c>
      <c r="D170">
        <v>80</v>
      </c>
      <c r="E170">
        <v>1067</v>
      </c>
      <c r="F170">
        <v>71</v>
      </c>
      <c r="G170">
        <f>IF(BrewdogNew3[[#This Row],[EBC]]="*",1,0)</f>
        <v>0</v>
      </c>
      <c r="H170">
        <v>4.4000000000000004</v>
      </c>
      <c r="I170">
        <v>79</v>
      </c>
      <c r="J170">
        <v>19</v>
      </c>
      <c r="K170" s="45" t="s">
        <v>64</v>
      </c>
      <c r="L170" s="45">
        <f>IF(BrewdogNew3[[#This Row],[Yeast]]=BrewdogNew3[[#Headers],[Wyeast 1056 - American Ale]],1,0)</f>
        <v>1</v>
      </c>
      <c r="M170" s="45">
        <f>IF(BrewdogNew3[[#This Row],[Yeast]]=BrewdogNew3[[#Headers],[Wyeast 2007 - Pilsen Lager]],1,0)</f>
        <v>0</v>
      </c>
      <c r="N170" s="45">
        <f>IF(BrewdogNew3[[#This Row],[Yeast]]=BrewdogNew3[[#Headers],[Wyeast 3711 - French Saison]],1,0)</f>
        <v>0</v>
      </c>
      <c r="O170" s="45">
        <f>IF(BrewdogNew3[[#This Row],[Yeast]]=BrewdogNew3[[#Headers],[Wyeast 1272 - American Ale II]],1,0)</f>
        <v>0</v>
      </c>
      <c r="P170" s="45" t="str">
        <f>BrewdogNew3[[#This Row],[Name]]</f>
        <v>Shareholder Black IPA 2011</v>
      </c>
      <c r="Q170" t="str">
        <f>IF(BrewdogNew3[[#This Row],[EBC]]="*", BrewdogNew3[[#This Row],[IBU]], "")</f>
        <v/>
      </c>
      <c r="R170" t="str">
        <f>IF(BrewdogNew3[[#This Row],[EBC]]="*", BrewdogNew3[[#This Row],[OG]], "")</f>
        <v/>
      </c>
      <c r="S170" t="str">
        <f>IF(BrewdogNew3[[#This Row],[EBC]]="*", BrewdogNew3[[#This Row],[ABV]], "")</f>
        <v/>
      </c>
      <c r="T170" t="str">
        <f>IF(BrewdogNew3[[#This Row],[EBC]]="*", BrewdogNew3[[#This Row],[PH]], "")</f>
        <v/>
      </c>
      <c r="U170" t="str">
        <f>IF(BrewdogNew3[[#This Row],[EBC]]="*", BrewdogNew3[[#This Row],[AttenuationLevel]], "")</f>
        <v/>
      </c>
      <c r="V170" t="str">
        <f>IF(BrewdogNew3[[#This Row],[EBC]]="*", BrewdogNew3[[#This Row],[FermentationTempCelsius]], "")</f>
        <v/>
      </c>
      <c r="W170" t="str">
        <f>IF(BrewdogNew3[[#This Row],[EBC]]="*", BrewdogNew3[[#This Row],[Yeast]], "")</f>
        <v/>
      </c>
    </row>
    <row r="171" spans="1:23" x14ac:dyDescent="0.25">
      <c r="A171" s="45" t="s">
        <v>236</v>
      </c>
      <c r="B171" s="31" t="s">
        <v>32</v>
      </c>
      <c r="C171" s="51">
        <v>1</v>
      </c>
      <c r="D171">
        <v>45</v>
      </c>
      <c r="E171">
        <v>1089</v>
      </c>
      <c r="F171">
        <v>15</v>
      </c>
      <c r="G171">
        <f>IF(BrewdogNew3[[#This Row],[EBC]]="*",1,0)</f>
        <v>0</v>
      </c>
      <c r="H171">
        <v>4.4000000000000004</v>
      </c>
      <c r="I171">
        <v>94.4</v>
      </c>
      <c r="J171">
        <v>23</v>
      </c>
      <c r="K171" s="45" t="s">
        <v>71</v>
      </c>
      <c r="L171" s="45">
        <f>IF(BrewdogNew3[[#This Row],[Yeast]]=BrewdogNew3[[#Headers],[Wyeast 1056 - American Ale]],1,0)</f>
        <v>0</v>
      </c>
      <c r="M171" s="45">
        <f>IF(BrewdogNew3[[#This Row],[Yeast]]=BrewdogNew3[[#Headers],[Wyeast 2007 - Pilsen Lager]],1,0)</f>
        <v>0</v>
      </c>
      <c r="N171" s="45">
        <f>IF(BrewdogNew3[[#This Row],[Yeast]]=BrewdogNew3[[#Headers],[Wyeast 3711 - French Saison]],1,0)</f>
        <v>1</v>
      </c>
      <c r="O171" s="45">
        <f>IF(BrewdogNew3[[#This Row],[Yeast]]=BrewdogNew3[[#Headers],[Wyeast 1272 - American Ale II]],1,0)</f>
        <v>0</v>
      </c>
      <c r="P171" s="45" t="str">
        <f>BrewdogNew3[[#This Row],[Name]]</f>
        <v>Black Jacques</v>
      </c>
      <c r="Q171" t="str">
        <f>IF(BrewdogNew3[[#This Row],[EBC]]="*", BrewdogNew3[[#This Row],[IBU]], "")</f>
        <v/>
      </c>
      <c r="R171" t="str">
        <f>IF(BrewdogNew3[[#This Row],[EBC]]="*", BrewdogNew3[[#This Row],[OG]], "")</f>
        <v/>
      </c>
      <c r="S171" t="str">
        <f>IF(BrewdogNew3[[#This Row],[EBC]]="*", BrewdogNew3[[#This Row],[ABV]], "")</f>
        <v/>
      </c>
      <c r="T171" t="str">
        <f>IF(BrewdogNew3[[#This Row],[EBC]]="*", BrewdogNew3[[#This Row],[PH]], "")</f>
        <v/>
      </c>
      <c r="U171" t="str">
        <f>IF(BrewdogNew3[[#This Row],[EBC]]="*", BrewdogNew3[[#This Row],[AttenuationLevel]], "")</f>
        <v/>
      </c>
      <c r="V171" t="str">
        <f>IF(BrewdogNew3[[#This Row],[EBC]]="*", BrewdogNew3[[#This Row],[FermentationTempCelsius]], "")</f>
        <v/>
      </c>
      <c r="W171" t="str">
        <f>IF(BrewdogNew3[[#This Row],[EBC]]="*", BrewdogNew3[[#This Row],[Yeast]], "")</f>
        <v/>
      </c>
    </row>
    <row r="172" spans="1:23" x14ac:dyDescent="0.25">
      <c r="A172" s="45" t="s">
        <v>237</v>
      </c>
      <c r="B172">
        <v>7.5</v>
      </c>
      <c r="C172" s="2" t="s">
        <v>274</v>
      </c>
      <c r="D172">
        <v>0</v>
      </c>
      <c r="E172">
        <v>1069</v>
      </c>
      <c r="F172">
        <v>50</v>
      </c>
      <c r="G172">
        <f>IF(BrewdogNew3[[#This Row],[EBC]]="*",1,0)</f>
        <v>0</v>
      </c>
      <c r="H172">
        <v>4.4000000000000004</v>
      </c>
      <c r="I172">
        <v>81.099999999999994</v>
      </c>
      <c r="J172">
        <v>19</v>
      </c>
      <c r="K172" s="45" t="s">
        <v>64</v>
      </c>
      <c r="L172" s="45">
        <f>IF(BrewdogNew3[[#This Row],[Yeast]]=BrewdogNew3[[#Headers],[Wyeast 1056 - American Ale]],1,0)</f>
        <v>1</v>
      </c>
      <c r="M172" s="45">
        <f>IF(BrewdogNew3[[#This Row],[Yeast]]=BrewdogNew3[[#Headers],[Wyeast 2007 - Pilsen Lager]],1,0)</f>
        <v>0</v>
      </c>
      <c r="N172" s="45">
        <f>IF(BrewdogNew3[[#This Row],[Yeast]]=BrewdogNew3[[#Headers],[Wyeast 3711 - French Saison]],1,0)</f>
        <v>0</v>
      </c>
      <c r="O172" s="45">
        <f>IF(BrewdogNew3[[#This Row],[Yeast]]=BrewdogNew3[[#Headers],[Wyeast 1272 - American Ale II]],1,0)</f>
        <v>0</v>
      </c>
      <c r="P172" s="45" t="str">
        <f>BrewdogNew3[[#This Row],[Name]]</f>
        <v>International Arms Race (w/ Flying Dog)</v>
      </c>
      <c r="Q172" t="str">
        <f>IF(BrewdogNew3[[#This Row],[EBC]]="*", BrewdogNew3[[#This Row],[IBU]], "")</f>
        <v/>
      </c>
      <c r="R172" t="str">
        <f>IF(BrewdogNew3[[#This Row],[EBC]]="*", BrewdogNew3[[#This Row],[OG]], "")</f>
        <v/>
      </c>
      <c r="S172" t="str">
        <f>IF(BrewdogNew3[[#This Row],[EBC]]="*", BrewdogNew3[[#This Row],[ABV]], "")</f>
        <v/>
      </c>
      <c r="T172" t="str">
        <f>IF(BrewdogNew3[[#This Row],[EBC]]="*", BrewdogNew3[[#This Row],[PH]], "")</f>
        <v/>
      </c>
      <c r="U172" t="str">
        <f>IF(BrewdogNew3[[#This Row],[EBC]]="*", BrewdogNew3[[#This Row],[AttenuationLevel]], "")</f>
        <v/>
      </c>
      <c r="V172" t="str">
        <f>IF(BrewdogNew3[[#This Row],[EBC]]="*", BrewdogNew3[[#This Row],[FermentationTempCelsius]], "")</f>
        <v/>
      </c>
      <c r="W172" t="str">
        <f>IF(BrewdogNew3[[#This Row],[EBC]]="*", BrewdogNew3[[#This Row],[Yeast]], "")</f>
        <v/>
      </c>
    </row>
    <row r="173" spans="1:23" x14ac:dyDescent="0.25">
      <c r="A173" s="45" t="s">
        <v>238</v>
      </c>
      <c r="B173">
        <v>7.2</v>
      </c>
      <c r="C173" s="2" t="s">
        <v>274</v>
      </c>
      <c r="D173">
        <v>130</v>
      </c>
      <c r="E173">
        <v>1065</v>
      </c>
      <c r="F173">
        <v>14</v>
      </c>
      <c r="G173">
        <f>IF(BrewdogNew3[[#This Row],[EBC]]="*",1,0)</f>
        <v>0</v>
      </c>
      <c r="H173">
        <v>5.2</v>
      </c>
      <c r="I173">
        <v>87</v>
      </c>
      <c r="J173">
        <v>20</v>
      </c>
      <c r="K173" s="45" t="s">
        <v>64</v>
      </c>
      <c r="L173" s="45">
        <f>IF(BrewdogNew3[[#This Row],[Yeast]]=BrewdogNew3[[#Headers],[Wyeast 1056 - American Ale]],1,0)</f>
        <v>1</v>
      </c>
      <c r="M173" s="45">
        <f>IF(BrewdogNew3[[#This Row],[Yeast]]=BrewdogNew3[[#Headers],[Wyeast 2007 - Pilsen Lager]],1,0)</f>
        <v>0</v>
      </c>
      <c r="N173" s="45">
        <f>IF(BrewdogNew3[[#This Row],[Yeast]]=BrewdogNew3[[#Headers],[Wyeast 3711 - French Saison]],1,0)</f>
        <v>0</v>
      </c>
      <c r="O173" s="45">
        <f>IF(BrewdogNew3[[#This Row],[Yeast]]=BrewdogNew3[[#Headers],[Wyeast 1272 - American Ale II]],1,0)</f>
        <v>0</v>
      </c>
      <c r="P173" s="45" t="str">
        <f>BrewdogNew3[[#This Row],[Name]]</f>
        <v>Sunshine On Rye - B-Sides</v>
      </c>
      <c r="Q173" t="str">
        <f>IF(BrewdogNew3[[#This Row],[EBC]]="*", BrewdogNew3[[#This Row],[IBU]], "")</f>
        <v/>
      </c>
      <c r="R173" t="str">
        <f>IF(BrewdogNew3[[#This Row],[EBC]]="*", BrewdogNew3[[#This Row],[OG]], "")</f>
        <v/>
      </c>
      <c r="S173" t="str">
        <f>IF(BrewdogNew3[[#This Row],[EBC]]="*", BrewdogNew3[[#This Row],[ABV]], "")</f>
        <v/>
      </c>
      <c r="T173" t="str">
        <f>IF(BrewdogNew3[[#This Row],[EBC]]="*", BrewdogNew3[[#This Row],[PH]], "")</f>
        <v/>
      </c>
      <c r="U173" t="str">
        <f>IF(BrewdogNew3[[#This Row],[EBC]]="*", BrewdogNew3[[#This Row],[AttenuationLevel]], "")</f>
        <v/>
      </c>
      <c r="V173" t="str">
        <f>IF(BrewdogNew3[[#This Row],[EBC]]="*", BrewdogNew3[[#This Row],[FermentationTempCelsius]], "")</f>
        <v/>
      </c>
      <c r="W173" t="str">
        <f>IF(BrewdogNew3[[#This Row],[EBC]]="*", BrewdogNew3[[#This Row],[Yeast]], "")</f>
        <v/>
      </c>
    </row>
    <row r="174" spans="1:23" x14ac:dyDescent="0.25">
      <c r="A174" s="45" t="s">
        <v>239</v>
      </c>
      <c r="B174">
        <v>5.2</v>
      </c>
      <c r="C174" s="2" t="s">
        <v>274</v>
      </c>
      <c r="D174">
        <v>55</v>
      </c>
      <c r="E174">
        <v>1052</v>
      </c>
      <c r="F174">
        <v>200</v>
      </c>
      <c r="G174">
        <f>IF(BrewdogNew3[[#This Row],[EBC]]="*",1,0)</f>
        <v>0</v>
      </c>
      <c r="H174">
        <v>5.2</v>
      </c>
      <c r="I174">
        <v>73.099999999999994</v>
      </c>
      <c r="J174">
        <v>19</v>
      </c>
      <c r="K174" s="45" t="s">
        <v>64</v>
      </c>
      <c r="L174" s="45">
        <f>IF(BrewdogNew3[[#This Row],[Yeast]]=BrewdogNew3[[#Headers],[Wyeast 1056 - American Ale]],1,0)</f>
        <v>1</v>
      </c>
      <c r="M174" s="45">
        <f>IF(BrewdogNew3[[#This Row],[Yeast]]=BrewdogNew3[[#Headers],[Wyeast 2007 - Pilsen Lager]],1,0)</f>
        <v>0</v>
      </c>
      <c r="N174" s="45">
        <f>IF(BrewdogNew3[[#This Row],[Yeast]]=BrewdogNew3[[#Headers],[Wyeast 3711 - French Saison]],1,0)</f>
        <v>0</v>
      </c>
      <c r="O174" s="45">
        <f>IF(BrewdogNew3[[#This Row],[Yeast]]=BrewdogNew3[[#Headers],[Wyeast 1272 - American Ale II]],1,0)</f>
        <v>0</v>
      </c>
      <c r="P174" s="45" t="str">
        <f>BrewdogNew3[[#This Row],[Name]]</f>
        <v>Stereo Wolf Stout - Prototype Challenge</v>
      </c>
      <c r="Q174" t="str">
        <f>IF(BrewdogNew3[[#This Row],[EBC]]="*", BrewdogNew3[[#This Row],[IBU]], "")</f>
        <v/>
      </c>
      <c r="R174" t="str">
        <f>IF(BrewdogNew3[[#This Row],[EBC]]="*", BrewdogNew3[[#This Row],[OG]], "")</f>
        <v/>
      </c>
      <c r="S174" t="str">
        <f>IF(BrewdogNew3[[#This Row],[EBC]]="*", BrewdogNew3[[#This Row],[ABV]], "")</f>
        <v/>
      </c>
      <c r="T174" t="str">
        <f>IF(BrewdogNew3[[#This Row],[EBC]]="*", BrewdogNew3[[#This Row],[PH]], "")</f>
        <v/>
      </c>
      <c r="U174" t="str">
        <f>IF(BrewdogNew3[[#This Row],[EBC]]="*", BrewdogNew3[[#This Row],[AttenuationLevel]], "")</f>
        <v/>
      </c>
      <c r="V174" t="str">
        <f>IF(BrewdogNew3[[#This Row],[EBC]]="*", BrewdogNew3[[#This Row],[FermentationTempCelsius]], "")</f>
        <v/>
      </c>
      <c r="W174" t="str">
        <f>IF(BrewdogNew3[[#This Row],[EBC]]="*", BrewdogNew3[[#This Row],[Yeast]], "")</f>
        <v/>
      </c>
    </row>
    <row r="175" spans="1:23" x14ac:dyDescent="0.25">
      <c r="A175" s="45" t="s">
        <v>240</v>
      </c>
      <c r="B175">
        <v>6.8</v>
      </c>
      <c r="C175" s="2" t="s">
        <v>274</v>
      </c>
      <c r="D175">
        <v>30</v>
      </c>
      <c r="E175">
        <v>1068</v>
      </c>
      <c r="F175">
        <v>86</v>
      </c>
      <c r="G175">
        <f>IF(BrewdogNew3[[#This Row],[EBC]]="*",1,0)</f>
        <v>0</v>
      </c>
      <c r="H175">
        <v>4.4000000000000004</v>
      </c>
      <c r="I175">
        <v>76.5</v>
      </c>
      <c r="J175">
        <v>19</v>
      </c>
      <c r="K175" s="45" t="s">
        <v>64</v>
      </c>
      <c r="L175" s="45">
        <f>IF(BrewdogNew3[[#This Row],[Yeast]]=BrewdogNew3[[#Headers],[Wyeast 1056 - American Ale]],1,0)</f>
        <v>1</v>
      </c>
      <c r="M175" s="45">
        <f>IF(BrewdogNew3[[#This Row],[Yeast]]=BrewdogNew3[[#Headers],[Wyeast 2007 - Pilsen Lager]],1,0)</f>
        <v>0</v>
      </c>
      <c r="N175" s="45">
        <f>IF(BrewdogNew3[[#This Row],[Yeast]]=BrewdogNew3[[#Headers],[Wyeast 3711 - French Saison]],1,0)</f>
        <v>0</v>
      </c>
      <c r="O175" s="45">
        <f>IF(BrewdogNew3[[#This Row],[Yeast]]=BrewdogNew3[[#Headers],[Wyeast 1272 - American Ale II]],1,0)</f>
        <v>0</v>
      </c>
      <c r="P175" s="45" t="str">
        <f>BrewdogNew3[[#This Row],[Name]]</f>
        <v>Dead Metaphor</v>
      </c>
      <c r="Q175" t="str">
        <f>IF(BrewdogNew3[[#This Row],[EBC]]="*", BrewdogNew3[[#This Row],[IBU]], "")</f>
        <v/>
      </c>
      <c r="R175" t="str">
        <f>IF(BrewdogNew3[[#This Row],[EBC]]="*", BrewdogNew3[[#This Row],[OG]], "")</f>
        <v/>
      </c>
      <c r="S175" t="str">
        <f>IF(BrewdogNew3[[#This Row],[EBC]]="*", BrewdogNew3[[#This Row],[ABV]], "")</f>
        <v/>
      </c>
      <c r="T175" t="str">
        <f>IF(BrewdogNew3[[#This Row],[EBC]]="*", BrewdogNew3[[#This Row],[PH]], "")</f>
        <v/>
      </c>
      <c r="U175" t="str">
        <f>IF(BrewdogNew3[[#This Row],[EBC]]="*", BrewdogNew3[[#This Row],[AttenuationLevel]], "")</f>
        <v/>
      </c>
      <c r="V175" t="str">
        <f>IF(BrewdogNew3[[#This Row],[EBC]]="*", BrewdogNew3[[#This Row],[FermentationTempCelsius]], "")</f>
        <v/>
      </c>
      <c r="W175" t="str">
        <f>IF(BrewdogNew3[[#This Row],[EBC]]="*", BrewdogNew3[[#This Row],[Yeast]], "")</f>
        <v/>
      </c>
    </row>
    <row r="176" spans="1:23" x14ac:dyDescent="0.25">
      <c r="A176" s="45" t="s">
        <v>241</v>
      </c>
      <c r="B176">
        <v>5.5</v>
      </c>
      <c r="C176" s="2" t="s">
        <v>274</v>
      </c>
      <c r="D176">
        <v>60</v>
      </c>
      <c r="E176">
        <v>1062</v>
      </c>
      <c r="F176">
        <v>230</v>
      </c>
      <c r="G176">
        <f>IF(BrewdogNew3[[#This Row],[EBC]]="*",1,0)</f>
        <v>0</v>
      </c>
      <c r="H176">
        <v>4.4000000000000004</v>
      </c>
      <c r="I176">
        <v>67.7</v>
      </c>
      <c r="J176">
        <v>19</v>
      </c>
      <c r="K176" s="45" t="s">
        <v>64</v>
      </c>
      <c r="L176" s="45">
        <f>IF(BrewdogNew3[[#This Row],[Yeast]]=BrewdogNew3[[#Headers],[Wyeast 1056 - American Ale]],1,0)</f>
        <v>1</v>
      </c>
      <c r="M176" s="45">
        <f>IF(BrewdogNew3[[#This Row],[Yeast]]=BrewdogNew3[[#Headers],[Wyeast 2007 - Pilsen Lager]],1,0)</f>
        <v>0</v>
      </c>
      <c r="N176" s="45">
        <f>IF(BrewdogNew3[[#This Row],[Yeast]]=BrewdogNew3[[#Headers],[Wyeast 3711 - French Saison]],1,0)</f>
        <v>0</v>
      </c>
      <c r="O176" s="45">
        <f>IF(BrewdogNew3[[#This Row],[Yeast]]=BrewdogNew3[[#Headers],[Wyeast 1272 - American Ale II]],1,0)</f>
        <v>0</v>
      </c>
      <c r="P176" s="45" t="str">
        <f>BrewdogNew3[[#This Row],[Name]]</f>
        <v>Black Dog</v>
      </c>
      <c r="Q176" t="str">
        <f>IF(BrewdogNew3[[#This Row],[EBC]]="*", BrewdogNew3[[#This Row],[IBU]], "")</f>
        <v/>
      </c>
      <c r="R176" t="str">
        <f>IF(BrewdogNew3[[#This Row],[EBC]]="*", BrewdogNew3[[#This Row],[OG]], "")</f>
        <v/>
      </c>
      <c r="S176" t="str">
        <f>IF(BrewdogNew3[[#This Row],[EBC]]="*", BrewdogNew3[[#This Row],[ABV]], "")</f>
        <v/>
      </c>
      <c r="T176" t="str">
        <f>IF(BrewdogNew3[[#This Row],[EBC]]="*", BrewdogNew3[[#This Row],[PH]], "")</f>
        <v/>
      </c>
      <c r="U176" t="str">
        <f>IF(BrewdogNew3[[#This Row],[EBC]]="*", BrewdogNew3[[#This Row],[AttenuationLevel]], "")</f>
        <v/>
      </c>
      <c r="V176" t="str">
        <f>IF(BrewdogNew3[[#This Row],[EBC]]="*", BrewdogNew3[[#This Row],[FermentationTempCelsius]], "")</f>
        <v/>
      </c>
      <c r="W176" t="str">
        <f>IF(BrewdogNew3[[#This Row],[EBC]]="*", BrewdogNew3[[#This Row],[Yeast]], "")</f>
        <v/>
      </c>
    </row>
    <row r="177" spans="1:23" x14ac:dyDescent="0.25">
      <c r="A177" s="45" t="s">
        <v>242</v>
      </c>
      <c r="B177">
        <v>5.2</v>
      </c>
      <c r="C177" s="2" t="s">
        <v>274</v>
      </c>
      <c r="D177">
        <v>40</v>
      </c>
      <c r="E177">
        <v>1048</v>
      </c>
      <c r="F177">
        <v>13</v>
      </c>
      <c r="G177">
        <f>IF(BrewdogNew3[[#This Row],[EBC]]="*",1,0)</f>
        <v>0</v>
      </c>
      <c r="H177">
        <v>4.4000000000000004</v>
      </c>
      <c r="I177">
        <v>79.2</v>
      </c>
      <c r="J177">
        <v>19</v>
      </c>
      <c r="K177" s="45" t="s">
        <v>64</v>
      </c>
      <c r="L177" s="45">
        <f>IF(BrewdogNew3[[#This Row],[Yeast]]=BrewdogNew3[[#Headers],[Wyeast 1056 - American Ale]],1,0)</f>
        <v>1</v>
      </c>
      <c r="M177" s="45">
        <f>IF(BrewdogNew3[[#This Row],[Yeast]]=BrewdogNew3[[#Headers],[Wyeast 2007 - Pilsen Lager]],1,0)</f>
        <v>0</v>
      </c>
      <c r="N177" s="45">
        <f>IF(BrewdogNew3[[#This Row],[Yeast]]=BrewdogNew3[[#Headers],[Wyeast 3711 - French Saison]],1,0)</f>
        <v>0</v>
      </c>
      <c r="O177" s="45">
        <f>IF(BrewdogNew3[[#This Row],[Yeast]]=BrewdogNew3[[#Headers],[Wyeast 1272 - American Ale II]],1,0)</f>
        <v>0</v>
      </c>
      <c r="P177" s="45" t="str">
        <f>BrewdogNew3[[#This Row],[Name]]</f>
        <v>Hop Fiction - Prototype Challenge</v>
      </c>
      <c r="Q177" t="str">
        <f>IF(BrewdogNew3[[#This Row],[EBC]]="*", BrewdogNew3[[#This Row],[IBU]], "")</f>
        <v/>
      </c>
      <c r="R177" t="str">
        <f>IF(BrewdogNew3[[#This Row],[EBC]]="*", BrewdogNew3[[#This Row],[OG]], "")</f>
        <v/>
      </c>
      <c r="S177" t="str">
        <f>IF(BrewdogNew3[[#This Row],[EBC]]="*", BrewdogNew3[[#This Row],[ABV]], "")</f>
        <v/>
      </c>
      <c r="T177" t="str">
        <f>IF(BrewdogNew3[[#This Row],[EBC]]="*", BrewdogNew3[[#This Row],[PH]], "")</f>
        <v/>
      </c>
      <c r="U177" t="str">
        <f>IF(BrewdogNew3[[#This Row],[EBC]]="*", BrewdogNew3[[#This Row],[AttenuationLevel]], "")</f>
        <v/>
      </c>
      <c r="V177" t="str">
        <f>IF(BrewdogNew3[[#This Row],[EBC]]="*", BrewdogNew3[[#This Row],[FermentationTempCelsius]], "")</f>
        <v/>
      </c>
      <c r="W177" t="str">
        <f>IF(BrewdogNew3[[#This Row],[EBC]]="*", BrewdogNew3[[#This Row],[Yeast]], "")</f>
        <v/>
      </c>
    </row>
    <row r="178" spans="1:23" x14ac:dyDescent="0.25">
      <c r="A178" s="45" t="s">
        <v>243</v>
      </c>
      <c r="B178">
        <v>6.7</v>
      </c>
      <c r="C178" s="2" t="s">
        <v>274</v>
      </c>
      <c r="D178">
        <v>70</v>
      </c>
      <c r="E178">
        <v>1066</v>
      </c>
      <c r="F178">
        <v>30</v>
      </c>
      <c r="G178">
        <f>IF(BrewdogNew3[[#This Row],[EBC]]="*",1,0)</f>
        <v>0</v>
      </c>
      <c r="H178">
        <v>4.4000000000000004</v>
      </c>
      <c r="I178">
        <v>77.3</v>
      </c>
      <c r="J178">
        <v>19</v>
      </c>
      <c r="K178" s="45" t="s">
        <v>64</v>
      </c>
      <c r="L178" s="45">
        <f>IF(BrewdogNew3[[#This Row],[Yeast]]=BrewdogNew3[[#Headers],[Wyeast 1056 - American Ale]],1,0)</f>
        <v>1</v>
      </c>
      <c r="M178" s="45">
        <f>IF(BrewdogNew3[[#This Row],[Yeast]]=BrewdogNew3[[#Headers],[Wyeast 2007 - Pilsen Lager]],1,0)</f>
        <v>0</v>
      </c>
      <c r="N178" s="45">
        <f>IF(BrewdogNew3[[#This Row],[Yeast]]=BrewdogNew3[[#Headers],[Wyeast 3711 - French Saison]],1,0)</f>
        <v>0</v>
      </c>
      <c r="O178" s="45">
        <f>IF(BrewdogNew3[[#This Row],[Yeast]]=BrewdogNew3[[#Headers],[Wyeast 1272 - American Ale II]],1,0)</f>
        <v>0</v>
      </c>
      <c r="P178" s="45" t="str">
        <f>BrewdogNew3[[#This Row],[Name]]</f>
        <v>El Dorado - IPA Is Dead</v>
      </c>
      <c r="Q178" t="str">
        <f>IF(BrewdogNew3[[#This Row],[EBC]]="*", BrewdogNew3[[#This Row],[IBU]], "")</f>
        <v/>
      </c>
      <c r="R178" t="str">
        <f>IF(BrewdogNew3[[#This Row],[EBC]]="*", BrewdogNew3[[#This Row],[OG]], "")</f>
        <v/>
      </c>
      <c r="S178" t="str">
        <f>IF(BrewdogNew3[[#This Row],[EBC]]="*", BrewdogNew3[[#This Row],[ABV]], "")</f>
        <v/>
      </c>
      <c r="T178" t="str">
        <f>IF(BrewdogNew3[[#This Row],[EBC]]="*", BrewdogNew3[[#This Row],[PH]], "")</f>
        <v/>
      </c>
      <c r="U178" t="str">
        <f>IF(BrewdogNew3[[#This Row],[EBC]]="*", BrewdogNew3[[#This Row],[AttenuationLevel]], "")</f>
        <v/>
      </c>
      <c r="V178" t="str">
        <f>IF(BrewdogNew3[[#This Row],[EBC]]="*", BrewdogNew3[[#This Row],[FermentationTempCelsius]], "")</f>
        <v/>
      </c>
      <c r="W178" t="str">
        <f>IF(BrewdogNew3[[#This Row],[EBC]]="*", BrewdogNew3[[#This Row],[Yeast]], "")</f>
        <v/>
      </c>
    </row>
    <row r="179" spans="1:23" x14ac:dyDescent="0.25">
      <c r="A179" s="45" t="s">
        <v>244</v>
      </c>
      <c r="B179">
        <v>5</v>
      </c>
      <c r="C179" s="2" t="s">
        <v>274</v>
      </c>
      <c r="D179">
        <v>50</v>
      </c>
      <c r="E179">
        <v>1053</v>
      </c>
      <c r="F179">
        <v>200</v>
      </c>
      <c r="G179">
        <f>IF(BrewdogNew3[[#This Row],[EBC]]="*",1,0)</f>
        <v>0</v>
      </c>
      <c r="H179">
        <v>4.4000000000000004</v>
      </c>
      <c r="I179">
        <v>73.599999999999994</v>
      </c>
      <c r="J179">
        <v>19</v>
      </c>
      <c r="K179" s="45" t="s">
        <v>64</v>
      </c>
      <c r="L179" s="45">
        <f>IF(BrewdogNew3[[#This Row],[Yeast]]=BrewdogNew3[[#Headers],[Wyeast 1056 - American Ale]],1,0)</f>
        <v>1</v>
      </c>
      <c r="M179" s="45">
        <f>IF(BrewdogNew3[[#This Row],[Yeast]]=BrewdogNew3[[#Headers],[Wyeast 2007 - Pilsen Lager]],1,0)</f>
        <v>0</v>
      </c>
      <c r="N179" s="45">
        <f>IF(BrewdogNew3[[#This Row],[Yeast]]=BrewdogNew3[[#Headers],[Wyeast 3711 - French Saison]],1,0)</f>
        <v>0</v>
      </c>
      <c r="O179" s="45">
        <f>IF(BrewdogNew3[[#This Row],[Yeast]]=BrewdogNew3[[#Headers],[Wyeast 1272 - American Ale II]],1,0)</f>
        <v>0</v>
      </c>
      <c r="P179" s="45" t="str">
        <f>BrewdogNew3[[#This Row],[Name]]</f>
        <v>Brixton Porter</v>
      </c>
      <c r="Q179" t="str">
        <f>IF(BrewdogNew3[[#This Row],[EBC]]="*", BrewdogNew3[[#This Row],[IBU]], "")</f>
        <v/>
      </c>
      <c r="R179" t="str">
        <f>IF(BrewdogNew3[[#This Row],[EBC]]="*", BrewdogNew3[[#This Row],[OG]], "")</f>
        <v/>
      </c>
      <c r="S179" t="str">
        <f>IF(BrewdogNew3[[#This Row],[EBC]]="*", BrewdogNew3[[#This Row],[ABV]], "")</f>
        <v/>
      </c>
      <c r="T179" t="str">
        <f>IF(BrewdogNew3[[#This Row],[EBC]]="*", BrewdogNew3[[#This Row],[PH]], "")</f>
        <v/>
      </c>
      <c r="U179" t="str">
        <f>IF(BrewdogNew3[[#This Row],[EBC]]="*", BrewdogNew3[[#This Row],[AttenuationLevel]], "")</f>
        <v/>
      </c>
      <c r="V179" t="str">
        <f>IF(BrewdogNew3[[#This Row],[EBC]]="*", BrewdogNew3[[#This Row],[FermentationTempCelsius]], "")</f>
        <v/>
      </c>
      <c r="W179" t="str">
        <f>IF(BrewdogNew3[[#This Row],[EBC]]="*", BrewdogNew3[[#This Row],[Yeast]], "")</f>
        <v/>
      </c>
    </row>
    <row r="180" spans="1:23" x14ac:dyDescent="0.25">
      <c r="A180" s="45" t="s">
        <v>245</v>
      </c>
      <c r="B180">
        <v>9</v>
      </c>
      <c r="C180" s="2" t="s">
        <v>274</v>
      </c>
      <c r="D180">
        <v>85</v>
      </c>
      <c r="E180">
        <v>1094</v>
      </c>
      <c r="F180">
        <v>400</v>
      </c>
      <c r="G180">
        <f>IF(BrewdogNew3[[#This Row],[EBC]]="*",1,0)</f>
        <v>0</v>
      </c>
      <c r="H180">
        <v>4.3</v>
      </c>
      <c r="I180">
        <v>73.400000000000006</v>
      </c>
      <c r="J180">
        <v>21</v>
      </c>
      <c r="K180" s="45" t="s">
        <v>80</v>
      </c>
      <c r="L180" s="45">
        <f>IF(BrewdogNew3[[#This Row],[Yeast]]=BrewdogNew3[[#Headers],[Wyeast 1056 - American Ale]],1,0)</f>
        <v>0</v>
      </c>
      <c r="M180" s="45">
        <f>IF(BrewdogNew3[[#This Row],[Yeast]]=BrewdogNew3[[#Headers],[Wyeast 2007 - Pilsen Lager]],1,0)</f>
        <v>0</v>
      </c>
      <c r="N180" s="45">
        <f>IF(BrewdogNew3[[#This Row],[Yeast]]=BrewdogNew3[[#Headers],[Wyeast 3711 - French Saison]],1,0)</f>
        <v>0</v>
      </c>
      <c r="O180" s="45">
        <f>IF(BrewdogNew3[[#This Row],[Yeast]]=BrewdogNew3[[#Headers],[Wyeast 1272 - American Ale II]],1,0)</f>
        <v>1</v>
      </c>
      <c r="P180" s="45" t="str">
        <f>BrewdogNew3[[#This Row],[Name]]</f>
        <v>Barrel Aged Hinterland</v>
      </c>
      <c r="Q180" t="str">
        <f>IF(BrewdogNew3[[#This Row],[EBC]]="*", BrewdogNew3[[#This Row],[IBU]], "")</f>
        <v/>
      </c>
      <c r="R180" t="str">
        <f>IF(BrewdogNew3[[#This Row],[EBC]]="*", BrewdogNew3[[#This Row],[OG]], "")</f>
        <v/>
      </c>
      <c r="S180" t="str">
        <f>IF(BrewdogNew3[[#This Row],[EBC]]="*", BrewdogNew3[[#This Row],[ABV]], "")</f>
        <v/>
      </c>
      <c r="T180" t="str">
        <f>IF(BrewdogNew3[[#This Row],[EBC]]="*", BrewdogNew3[[#This Row],[PH]], "")</f>
        <v/>
      </c>
      <c r="U180" t="str">
        <f>IF(BrewdogNew3[[#This Row],[EBC]]="*", BrewdogNew3[[#This Row],[AttenuationLevel]], "")</f>
        <v/>
      </c>
      <c r="V180" t="str">
        <f>IF(BrewdogNew3[[#This Row],[EBC]]="*", BrewdogNew3[[#This Row],[FermentationTempCelsius]], "")</f>
        <v/>
      </c>
      <c r="W180" t="str">
        <f>IF(BrewdogNew3[[#This Row],[EBC]]="*", BrewdogNew3[[#This Row],[Yeast]], "")</f>
        <v/>
      </c>
    </row>
    <row r="181" spans="1:23" x14ac:dyDescent="0.25">
      <c r="A181" s="45" t="s">
        <v>246</v>
      </c>
      <c r="B181">
        <v>9.1999999999999993</v>
      </c>
      <c r="C181" s="2" t="s">
        <v>274</v>
      </c>
      <c r="D181">
        <v>65</v>
      </c>
      <c r="E181">
        <v>1069</v>
      </c>
      <c r="F181">
        <v>60</v>
      </c>
      <c r="G181">
        <f>IF(BrewdogNew3[[#This Row],[EBC]]="*",1,0)</f>
        <v>0</v>
      </c>
      <c r="H181">
        <v>4.2</v>
      </c>
      <c r="I181">
        <v>82.6</v>
      </c>
      <c r="J181">
        <v>18</v>
      </c>
      <c r="K181" s="45" t="s">
        <v>64</v>
      </c>
      <c r="L181" s="45">
        <f>IF(BrewdogNew3[[#This Row],[Yeast]]=BrewdogNew3[[#Headers],[Wyeast 1056 - American Ale]],1,0)</f>
        <v>1</v>
      </c>
      <c r="M181" s="45">
        <f>IF(BrewdogNew3[[#This Row],[Yeast]]=BrewdogNew3[[#Headers],[Wyeast 2007 - Pilsen Lager]],1,0)</f>
        <v>0</v>
      </c>
      <c r="N181" s="45">
        <f>IF(BrewdogNew3[[#This Row],[Yeast]]=BrewdogNew3[[#Headers],[Wyeast 3711 - French Saison]],1,0)</f>
        <v>0</v>
      </c>
      <c r="O181" s="45">
        <f>IF(BrewdogNew3[[#This Row],[Yeast]]=BrewdogNew3[[#Headers],[Wyeast 1272 - American Ale II]],1,0)</f>
        <v>0</v>
      </c>
      <c r="P181" s="45" t="str">
        <f>BrewdogNew3[[#This Row],[Name]]</f>
        <v>Barrel Aged Albino Squid Assassin</v>
      </c>
      <c r="Q181" t="str">
        <f>IF(BrewdogNew3[[#This Row],[EBC]]="*", BrewdogNew3[[#This Row],[IBU]], "")</f>
        <v/>
      </c>
      <c r="R181" t="str">
        <f>IF(BrewdogNew3[[#This Row],[EBC]]="*", BrewdogNew3[[#This Row],[OG]], "")</f>
        <v/>
      </c>
      <c r="S181" t="str">
        <f>IF(BrewdogNew3[[#This Row],[EBC]]="*", BrewdogNew3[[#This Row],[ABV]], "")</f>
        <v/>
      </c>
      <c r="T181" t="str">
        <f>IF(BrewdogNew3[[#This Row],[EBC]]="*", BrewdogNew3[[#This Row],[PH]], "")</f>
        <v/>
      </c>
      <c r="U181" t="str">
        <f>IF(BrewdogNew3[[#This Row],[EBC]]="*", BrewdogNew3[[#This Row],[AttenuationLevel]], "")</f>
        <v/>
      </c>
      <c r="V181" t="str">
        <f>IF(BrewdogNew3[[#This Row],[EBC]]="*", BrewdogNew3[[#This Row],[FermentationTempCelsius]], "")</f>
        <v/>
      </c>
      <c r="W181" t="str">
        <f>IF(BrewdogNew3[[#This Row],[EBC]]="*", BrewdogNew3[[#This Row],[Yeast]], "")</f>
        <v/>
      </c>
    </row>
    <row r="182" spans="1:23" x14ac:dyDescent="0.25">
      <c r="A182" s="45" t="s">
        <v>247</v>
      </c>
      <c r="B182">
        <v>13.8</v>
      </c>
      <c r="C182" s="2" t="s">
        <v>274</v>
      </c>
      <c r="D182">
        <v>60</v>
      </c>
      <c r="E182">
        <v>1088</v>
      </c>
      <c r="F182">
        <v>25</v>
      </c>
      <c r="G182">
        <f>IF(BrewdogNew3[[#This Row],[EBC]]="*",1,0)</f>
        <v>0</v>
      </c>
      <c r="H182">
        <v>4.4000000000000004</v>
      </c>
      <c r="I182">
        <v>83</v>
      </c>
      <c r="J182">
        <v>21</v>
      </c>
      <c r="K182" s="45" t="s">
        <v>80</v>
      </c>
      <c r="L182" s="45">
        <f>IF(BrewdogNew3[[#This Row],[Yeast]]=BrewdogNew3[[#Headers],[Wyeast 1056 - American Ale]],1,0)</f>
        <v>0</v>
      </c>
      <c r="M182" s="45">
        <f>IF(BrewdogNew3[[#This Row],[Yeast]]=BrewdogNew3[[#Headers],[Wyeast 2007 - Pilsen Lager]],1,0)</f>
        <v>0</v>
      </c>
      <c r="N182" s="45">
        <f>IF(BrewdogNew3[[#This Row],[Yeast]]=BrewdogNew3[[#Headers],[Wyeast 3711 - French Saison]],1,0)</f>
        <v>0</v>
      </c>
      <c r="O182" s="45">
        <f>IF(BrewdogNew3[[#This Row],[Yeast]]=BrewdogNew3[[#Headers],[Wyeast 1272 - American Ale II]],1,0)</f>
        <v>1</v>
      </c>
      <c r="P182" s="45" t="str">
        <f>BrewdogNew3[[#This Row],[Name]]</f>
        <v>Ship Wreck</v>
      </c>
      <c r="Q182" t="str">
        <f>IF(BrewdogNew3[[#This Row],[EBC]]="*", BrewdogNew3[[#This Row],[IBU]], "")</f>
        <v/>
      </c>
      <c r="R182" t="str">
        <f>IF(BrewdogNew3[[#This Row],[EBC]]="*", BrewdogNew3[[#This Row],[OG]], "")</f>
        <v/>
      </c>
      <c r="S182" t="str">
        <f>IF(BrewdogNew3[[#This Row],[EBC]]="*", BrewdogNew3[[#This Row],[ABV]], "")</f>
        <v/>
      </c>
      <c r="T182" t="str">
        <f>IF(BrewdogNew3[[#This Row],[EBC]]="*", BrewdogNew3[[#This Row],[PH]], "")</f>
        <v/>
      </c>
      <c r="U182" t="str">
        <f>IF(BrewdogNew3[[#This Row],[EBC]]="*", BrewdogNew3[[#This Row],[AttenuationLevel]], "")</f>
        <v/>
      </c>
      <c r="V182" t="str">
        <f>IF(BrewdogNew3[[#This Row],[EBC]]="*", BrewdogNew3[[#This Row],[FermentationTempCelsius]], "")</f>
        <v/>
      </c>
      <c r="W182" t="str">
        <f>IF(BrewdogNew3[[#This Row],[EBC]]="*", BrewdogNew3[[#This Row],[Yeast]], "")</f>
        <v/>
      </c>
    </row>
    <row r="183" spans="1:23" x14ac:dyDescent="0.25">
      <c r="A183" s="45" t="s">
        <v>248</v>
      </c>
      <c r="B183">
        <v>4.5</v>
      </c>
      <c r="C183" s="2" t="s">
        <v>274</v>
      </c>
      <c r="D183">
        <v>40</v>
      </c>
      <c r="E183">
        <v>1045</v>
      </c>
      <c r="F183">
        <v>18</v>
      </c>
      <c r="G183">
        <f>IF(BrewdogNew3[[#This Row],[EBC]]="*",1,0)</f>
        <v>0</v>
      </c>
      <c r="H183">
        <v>4.2</v>
      </c>
      <c r="I183">
        <v>75.599999999999994</v>
      </c>
      <c r="J183">
        <v>19</v>
      </c>
      <c r="K183" s="45" t="s">
        <v>64</v>
      </c>
      <c r="L183" s="45">
        <f>IF(BrewdogNew3[[#This Row],[Yeast]]=BrewdogNew3[[#Headers],[Wyeast 1056 - American Ale]],1,0)</f>
        <v>1</v>
      </c>
      <c r="M183" s="45">
        <f>IF(BrewdogNew3[[#This Row],[Yeast]]=BrewdogNew3[[#Headers],[Wyeast 2007 - Pilsen Lager]],1,0)</f>
        <v>0</v>
      </c>
      <c r="N183" s="45">
        <f>IF(BrewdogNew3[[#This Row],[Yeast]]=BrewdogNew3[[#Headers],[Wyeast 3711 - French Saison]],1,0)</f>
        <v>0</v>
      </c>
      <c r="O183" s="45">
        <f>IF(BrewdogNew3[[#This Row],[Yeast]]=BrewdogNew3[[#Headers],[Wyeast 1272 - American Ale II]],1,0)</f>
        <v>0</v>
      </c>
      <c r="P183" s="45" t="str">
        <f>BrewdogNew3[[#This Row],[Name]]</f>
        <v>Ace Of Simcoe</v>
      </c>
      <c r="Q183" t="str">
        <f>IF(BrewdogNew3[[#This Row],[EBC]]="*", BrewdogNew3[[#This Row],[IBU]], "")</f>
        <v/>
      </c>
      <c r="R183" t="str">
        <f>IF(BrewdogNew3[[#This Row],[EBC]]="*", BrewdogNew3[[#This Row],[OG]], "")</f>
        <v/>
      </c>
      <c r="S183" t="str">
        <f>IF(BrewdogNew3[[#This Row],[EBC]]="*", BrewdogNew3[[#This Row],[ABV]], "")</f>
        <v/>
      </c>
      <c r="T183" t="str">
        <f>IF(BrewdogNew3[[#This Row],[EBC]]="*", BrewdogNew3[[#This Row],[PH]], "")</f>
        <v/>
      </c>
      <c r="U183" t="str">
        <f>IF(BrewdogNew3[[#This Row],[EBC]]="*", BrewdogNew3[[#This Row],[AttenuationLevel]], "")</f>
        <v/>
      </c>
      <c r="V183" t="str">
        <f>IF(BrewdogNew3[[#This Row],[EBC]]="*", BrewdogNew3[[#This Row],[FermentationTempCelsius]], "")</f>
        <v/>
      </c>
      <c r="W183" t="str">
        <f>IF(BrewdogNew3[[#This Row],[EBC]]="*", BrewdogNew3[[#This Row],[Yeast]], "")</f>
        <v/>
      </c>
    </row>
    <row r="184" spans="1:23" x14ac:dyDescent="0.25">
      <c r="A184" s="45" t="s">
        <v>249</v>
      </c>
      <c r="B184">
        <v>3.2</v>
      </c>
      <c r="C184" s="2" t="s">
        <v>274</v>
      </c>
      <c r="D184">
        <v>8</v>
      </c>
      <c r="E184">
        <v>1007</v>
      </c>
      <c r="F184">
        <v>8</v>
      </c>
      <c r="G184">
        <f>IF(BrewdogNew3[[#This Row],[EBC]]="*",1,0)</f>
        <v>0</v>
      </c>
      <c r="H184">
        <v>3.2</v>
      </c>
      <c r="I184">
        <v>78</v>
      </c>
      <c r="J184">
        <v>21</v>
      </c>
      <c r="K184" s="45" t="s">
        <v>64</v>
      </c>
      <c r="L184" s="45">
        <f>IF(BrewdogNew3[[#This Row],[Yeast]]=BrewdogNew3[[#Headers],[Wyeast 1056 - American Ale]],1,0)</f>
        <v>1</v>
      </c>
      <c r="M184" s="45">
        <f>IF(BrewdogNew3[[#This Row],[Yeast]]=BrewdogNew3[[#Headers],[Wyeast 2007 - Pilsen Lager]],1,0)</f>
        <v>0</v>
      </c>
      <c r="N184" s="45">
        <f>IF(BrewdogNew3[[#This Row],[Yeast]]=BrewdogNew3[[#Headers],[Wyeast 3711 - French Saison]],1,0)</f>
        <v>0</v>
      </c>
      <c r="O184" s="45">
        <f>IF(BrewdogNew3[[#This Row],[Yeast]]=BrewdogNew3[[#Headers],[Wyeast 1272 - American Ale II]],1,0)</f>
        <v>0</v>
      </c>
      <c r="P184" s="45" t="str">
        <f>BrewdogNew3[[#This Row],[Name]]</f>
        <v>Blitz Series</v>
      </c>
      <c r="Q184" t="str">
        <f>IF(BrewdogNew3[[#This Row],[EBC]]="*", BrewdogNew3[[#This Row],[IBU]], "")</f>
        <v/>
      </c>
      <c r="R184" t="str">
        <f>IF(BrewdogNew3[[#This Row],[EBC]]="*", BrewdogNew3[[#This Row],[OG]], "")</f>
        <v/>
      </c>
      <c r="S184" t="str">
        <f>IF(BrewdogNew3[[#This Row],[EBC]]="*", BrewdogNew3[[#This Row],[ABV]], "")</f>
        <v/>
      </c>
      <c r="T184" t="str">
        <f>IF(BrewdogNew3[[#This Row],[EBC]]="*", BrewdogNew3[[#This Row],[PH]], "")</f>
        <v/>
      </c>
      <c r="U184" t="str">
        <f>IF(BrewdogNew3[[#This Row],[EBC]]="*", BrewdogNew3[[#This Row],[AttenuationLevel]], "")</f>
        <v/>
      </c>
      <c r="V184" t="str">
        <f>IF(BrewdogNew3[[#This Row],[EBC]]="*", BrewdogNew3[[#This Row],[FermentationTempCelsius]], "")</f>
        <v/>
      </c>
      <c r="W184" t="str">
        <f>IF(BrewdogNew3[[#This Row],[EBC]]="*", BrewdogNew3[[#This Row],[Yeast]], "")</f>
        <v/>
      </c>
    </row>
    <row r="185" spans="1:23" x14ac:dyDescent="0.25">
      <c r="A185" s="45" t="s">
        <v>250</v>
      </c>
      <c r="B185">
        <v>16.100000000000001</v>
      </c>
      <c r="C185" s="2" t="s">
        <v>274</v>
      </c>
      <c r="D185">
        <v>100</v>
      </c>
      <c r="E185">
        <v>1015</v>
      </c>
      <c r="F185">
        <v>500</v>
      </c>
      <c r="G185">
        <f>IF(BrewdogNew3[[#This Row],[EBC]]="*",1,0)</f>
        <v>0</v>
      </c>
      <c r="H185">
        <v>4.4000000000000004</v>
      </c>
      <c r="I185">
        <v>84</v>
      </c>
      <c r="J185">
        <v>21</v>
      </c>
      <c r="K185" s="45" t="s">
        <v>80</v>
      </c>
      <c r="L185" s="45">
        <f>IF(BrewdogNew3[[#This Row],[Yeast]]=BrewdogNew3[[#Headers],[Wyeast 1056 - American Ale]],1,0)</f>
        <v>0</v>
      </c>
      <c r="M185" s="45">
        <f>IF(BrewdogNew3[[#This Row],[Yeast]]=BrewdogNew3[[#Headers],[Wyeast 2007 - Pilsen Lager]],1,0)</f>
        <v>0</v>
      </c>
      <c r="N185" s="45">
        <f>IF(BrewdogNew3[[#This Row],[Yeast]]=BrewdogNew3[[#Headers],[Wyeast 3711 - French Saison]],1,0)</f>
        <v>0</v>
      </c>
      <c r="O185" s="45">
        <f>IF(BrewdogNew3[[#This Row],[Yeast]]=BrewdogNew3[[#Headers],[Wyeast 1272 - American Ale II]],1,0)</f>
        <v>1</v>
      </c>
      <c r="P185" s="45" t="str">
        <f>BrewdogNew3[[#This Row],[Name]]</f>
        <v>Dog E</v>
      </c>
      <c r="Q185" t="str">
        <f>IF(BrewdogNew3[[#This Row],[EBC]]="*", BrewdogNew3[[#This Row],[IBU]], "")</f>
        <v/>
      </c>
      <c r="R185" t="str">
        <f>IF(BrewdogNew3[[#This Row],[EBC]]="*", BrewdogNew3[[#This Row],[OG]], "")</f>
        <v/>
      </c>
      <c r="S185" t="str">
        <f>IF(BrewdogNew3[[#This Row],[EBC]]="*", BrewdogNew3[[#This Row],[ABV]], "")</f>
        <v/>
      </c>
      <c r="T185" t="str">
        <f>IF(BrewdogNew3[[#This Row],[EBC]]="*", BrewdogNew3[[#This Row],[PH]], "")</f>
        <v/>
      </c>
      <c r="U185" t="str">
        <f>IF(BrewdogNew3[[#This Row],[EBC]]="*", BrewdogNew3[[#This Row],[AttenuationLevel]], "")</f>
        <v/>
      </c>
      <c r="V185" t="str">
        <f>IF(BrewdogNew3[[#This Row],[EBC]]="*", BrewdogNew3[[#This Row],[FermentationTempCelsius]], "")</f>
        <v/>
      </c>
      <c r="W185" t="str">
        <f>IF(BrewdogNew3[[#This Row],[EBC]]="*", BrewdogNew3[[#This Row],[Yeast]], "")</f>
        <v/>
      </c>
    </row>
    <row r="186" spans="1:23" x14ac:dyDescent="0.25">
      <c r="A186" s="45" t="s">
        <v>251</v>
      </c>
      <c r="B186">
        <v>4.7</v>
      </c>
      <c r="C186" s="2" t="s">
        <v>274</v>
      </c>
      <c r="D186">
        <v>25</v>
      </c>
      <c r="E186">
        <v>1008</v>
      </c>
      <c r="F186">
        <v>25</v>
      </c>
      <c r="G186">
        <f>IF(BrewdogNew3[[#This Row],[EBC]]="*",1,0)</f>
        <v>0</v>
      </c>
      <c r="H186">
        <v>4.2</v>
      </c>
      <c r="I186">
        <v>75.599999999999994</v>
      </c>
      <c r="J186">
        <v>12</v>
      </c>
      <c r="K186" s="45" t="s">
        <v>68</v>
      </c>
      <c r="L186" s="45">
        <f>IF(BrewdogNew3[[#This Row],[Yeast]]=BrewdogNew3[[#Headers],[Wyeast 1056 - American Ale]],1,0)</f>
        <v>0</v>
      </c>
      <c r="M186" s="45">
        <f>IF(BrewdogNew3[[#This Row],[Yeast]]=BrewdogNew3[[#Headers],[Wyeast 2007 - Pilsen Lager]],1,0)</f>
        <v>1</v>
      </c>
      <c r="N186" s="45">
        <f>IF(BrewdogNew3[[#This Row],[Yeast]]=BrewdogNew3[[#Headers],[Wyeast 3711 - French Saison]],1,0)</f>
        <v>0</v>
      </c>
      <c r="O186" s="45">
        <f>IF(BrewdogNew3[[#This Row],[Yeast]]=BrewdogNew3[[#Headers],[Wyeast 1272 - American Ale II]],1,0)</f>
        <v>0</v>
      </c>
      <c r="P186" s="45" t="str">
        <f>BrewdogNew3[[#This Row],[Name]]</f>
        <v>Prototype Pils 2.0</v>
      </c>
      <c r="Q186" t="str">
        <f>IF(BrewdogNew3[[#This Row],[EBC]]="*", BrewdogNew3[[#This Row],[IBU]], "")</f>
        <v/>
      </c>
      <c r="R186" t="str">
        <f>IF(BrewdogNew3[[#This Row],[EBC]]="*", BrewdogNew3[[#This Row],[OG]], "")</f>
        <v/>
      </c>
      <c r="S186" t="str">
        <f>IF(BrewdogNew3[[#This Row],[EBC]]="*", BrewdogNew3[[#This Row],[ABV]], "")</f>
        <v/>
      </c>
      <c r="T186" t="str">
        <f>IF(BrewdogNew3[[#This Row],[EBC]]="*", BrewdogNew3[[#This Row],[PH]], "")</f>
        <v/>
      </c>
      <c r="U186" t="str">
        <f>IF(BrewdogNew3[[#This Row],[EBC]]="*", BrewdogNew3[[#This Row],[AttenuationLevel]], "")</f>
        <v/>
      </c>
      <c r="V186" t="str">
        <f>IF(BrewdogNew3[[#This Row],[EBC]]="*", BrewdogNew3[[#This Row],[FermentationTempCelsius]], "")</f>
        <v/>
      </c>
      <c r="W186" t="str">
        <f>IF(BrewdogNew3[[#This Row],[EBC]]="*", BrewdogNew3[[#This Row],[Yeast]], "")</f>
        <v/>
      </c>
    </row>
    <row r="187" spans="1:23" x14ac:dyDescent="0.25">
      <c r="A187" s="45" t="s">
        <v>252</v>
      </c>
      <c r="B187">
        <v>14.2</v>
      </c>
      <c r="C187" s="2" t="s">
        <v>274</v>
      </c>
      <c r="D187">
        <v>20</v>
      </c>
      <c r="E187">
        <v>1025</v>
      </c>
      <c r="F187">
        <v>67</v>
      </c>
      <c r="G187">
        <f>IF(BrewdogNew3[[#This Row],[EBC]]="*",1,0)</f>
        <v>0</v>
      </c>
      <c r="H187">
        <v>4</v>
      </c>
      <c r="I187">
        <v>75.599999999999994</v>
      </c>
      <c r="J187">
        <v>21</v>
      </c>
      <c r="K187" s="45" t="s">
        <v>80</v>
      </c>
      <c r="L187" s="45">
        <f>IF(BrewdogNew3[[#This Row],[Yeast]]=BrewdogNew3[[#Headers],[Wyeast 1056 - American Ale]],1,0)</f>
        <v>0</v>
      </c>
      <c r="M187" s="45">
        <f>IF(BrewdogNew3[[#This Row],[Yeast]]=BrewdogNew3[[#Headers],[Wyeast 2007 - Pilsen Lager]],1,0)</f>
        <v>0</v>
      </c>
      <c r="N187" s="45">
        <f>IF(BrewdogNew3[[#This Row],[Yeast]]=BrewdogNew3[[#Headers],[Wyeast 3711 - French Saison]],1,0)</f>
        <v>0</v>
      </c>
      <c r="O187" s="45">
        <f>IF(BrewdogNew3[[#This Row],[Yeast]]=BrewdogNew3[[#Headers],[Wyeast 1272 - American Ale II]],1,0)</f>
        <v>1</v>
      </c>
      <c r="P187" s="45" t="str">
        <f>BrewdogNew3[[#This Row],[Name]]</f>
        <v>AB:20</v>
      </c>
      <c r="Q187" t="str">
        <f>IF(BrewdogNew3[[#This Row],[EBC]]="*", BrewdogNew3[[#This Row],[IBU]], "")</f>
        <v/>
      </c>
      <c r="R187" t="str">
        <f>IF(BrewdogNew3[[#This Row],[EBC]]="*", BrewdogNew3[[#This Row],[OG]], "")</f>
        <v/>
      </c>
      <c r="S187" t="str">
        <f>IF(BrewdogNew3[[#This Row],[EBC]]="*", BrewdogNew3[[#This Row],[ABV]], "")</f>
        <v/>
      </c>
      <c r="T187" t="str">
        <f>IF(BrewdogNew3[[#This Row],[EBC]]="*", BrewdogNew3[[#This Row],[PH]], "")</f>
        <v/>
      </c>
      <c r="U187" t="str">
        <f>IF(BrewdogNew3[[#This Row],[EBC]]="*", BrewdogNew3[[#This Row],[AttenuationLevel]], "")</f>
        <v/>
      </c>
      <c r="V187" t="str">
        <f>IF(BrewdogNew3[[#This Row],[EBC]]="*", BrewdogNew3[[#This Row],[FermentationTempCelsius]], "")</f>
        <v/>
      </c>
      <c r="W187" t="str">
        <f>IF(BrewdogNew3[[#This Row],[EBC]]="*", BrewdogNew3[[#This Row],[Yeast]], "")</f>
        <v/>
      </c>
    </row>
    <row r="188" spans="1:23" x14ac:dyDescent="0.25">
      <c r="A188" s="45" t="s">
        <v>253</v>
      </c>
      <c r="B188">
        <v>13</v>
      </c>
      <c r="C188" s="2" t="s">
        <v>274</v>
      </c>
      <c r="D188">
        <v>100</v>
      </c>
      <c r="E188">
        <v>1015</v>
      </c>
      <c r="F188">
        <v>300</v>
      </c>
      <c r="G188">
        <f>IF(BrewdogNew3[[#This Row],[EBC]]="*",1,0)</f>
        <v>0</v>
      </c>
      <c r="H188">
        <v>4.4000000000000004</v>
      </c>
      <c r="I188">
        <v>84.4</v>
      </c>
      <c r="J188">
        <v>21</v>
      </c>
      <c r="K188" s="45" t="s">
        <v>80</v>
      </c>
      <c r="L188" s="45">
        <f>IF(BrewdogNew3[[#This Row],[Yeast]]=BrewdogNew3[[#Headers],[Wyeast 1056 - American Ale]],1,0)</f>
        <v>0</v>
      </c>
      <c r="M188" s="45">
        <f>IF(BrewdogNew3[[#This Row],[Yeast]]=BrewdogNew3[[#Headers],[Wyeast 2007 - Pilsen Lager]],1,0)</f>
        <v>0</v>
      </c>
      <c r="N188" s="45">
        <f>IF(BrewdogNew3[[#This Row],[Yeast]]=BrewdogNew3[[#Headers],[Wyeast 3711 - French Saison]],1,0)</f>
        <v>0</v>
      </c>
      <c r="O188" s="45">
        <f>IF(BrewdogNew3[[#This Row],[Yeast]]=BrewdogNew3[[#Headers],[Wyeast 1272 - American Ale II]],1,0)</f>
        <v>1</v>
      </c>
      <c r="P188" s="45" t="str">
        <f>BrewdogNew3[[#This Row],[Name]]</f>
        <v>Paradox Islay 2.0</v>
      </c>
      <c r="Q188" t="str">
        <f>IF(BrewdogNew3[[#This Row],[EBC]]="*", BrewdogNew3[[#This Row],[IBU]], "")</f>
        <v/>
      </c>
      <c r="R188" t="str">
        <f>IF(BrewdogNew3[[#This Row],[EBC]]="*", BrewdogNew3[[#This Row],[OG]], "")</f>
        <v/>
      </c>
      <c r="S188" t="str">
        <f>IF(BrewdogNew3[[#This Row],[EBC]]="*", BrewdogNew3[[#This Row],[ABV]], "")</f>
        <v/>
      </c>
      <c r="T188" t="str">
        <f>IF(BrewdogNew3[[#This Row],[EBC]]="*", BrewdogNew3[[#This Row],[PH]], "")</f>
        <v/>
      </c>
      <c r="U188" t="str">
        <f>IF(BrewdogNew3[[#This Row],[EBC]]="*", BrewdogNew3[[#This Row],[AttenuationLevel]], "")</f>
        <v/>
      </c>
      <c r="V188" t="str">
        <f>IF(BrewdogNew3[[#This Row],[EBC]]="*", BrewdogNew3[[#This Row],[FermentationTempCelsius]], "")</f>
        <v/>
      </c>
      <c r="W188" t="str">
        <f>IF(BrewdogNew3[[#This Row],[EBC]]="*", BrewdogNew3[[#This Row],[Yeast]], "")</f>
        <v/>
      </c>
    </row>
    <row r="189" spans="1:23" x14ac:dyDescent="0.25">
      <c r="A189" s="45" t="s">
        <v>254</v>
      </c>
      <c r="B189">
        <v>7.2</v>
      </c>
      <c r="C189" s="2" t="s">
        <v>274</v>
      </c>
      <c r="D189">
        <v>250</v>
      </c>
      <c r="E189">
        <v>1065</v>
      </c>
      <c r="F189">
        <v>15</v>
      </c>
      <c r="G189">
        <f>IF(BrewdogNew3[[#This Row],[EBC]]="*",1,0)</f>
        <v>0</v>
      </c>
      <c r="H189">
        <v>4.4000000000000004</v>
      </c>
      <c r="I189">
        <v>84.6</v>
      </c>
      <c r="J189">
        <v>21</v>
      </c>
      <c r="K189" s="45" t="s">
        <v>80</v>
      </c>
      <c r="L189" s="45">
        <f>IF(BrewdogNew3[[#This Row],[Yeast]]=BrewdogNew3[[#Headers],[Wyeast 1056 - American Ale]],1,0)</f>
        <v>0</v>
      </c>
      <c r="M189" s="45">
        <f>IF(BrewdogNew3[[#This Row],[Yeast]]=BrewdogNew3[[#Headers],[Wyeast 2007 - Pilsen Lager]],1,0)</f>
        <v>0</v>
      </c>
      <c r="N189" s="45">
        <f>IF(BrewdogNew3[[#This Row],[Yeast]]=BrewdogNew3[[#Headers],[Wyeast 3711 - French Saison]],1,0)</f>
        <v>0</v>
      </c>
      <c r="O189" s="45">
        <f>IF(BrewdogNew3[[#This Row],[Yeast]]=BrewdogNew3[[#Headers],[Wyeast 1272 - American Ale II]],1,0)</f>
        <v>1</v>
      </c>
      <c r="P189" s="45" t="str">
        <f>BrewdogNew3[[#This Row],[Name]]</f>
        <v>Chili Hammer</v>
      </c>
      <c r="Q189" t="str">
        <f>IF(BrewdogNew3[[#This Row],[EBC]]="*", BrewdogNew3[[#This Row],[IBU]], "")</f>
        <v/>
      </c>
      <c r="R189" t="str">
        <f>IF(BrewdogNew3[[#This Row],[EBC]]="*", BrewdogNew3[[#This Row],[OG]], "")</f>
        <v/>
      </c>
      <c r="S189" t="str">
        <f>IF(BrewdogNew3[[#This Row],[EBC]]="*", BrewdogNew3[[#This Row],[ABV]], "")</f>
        <v/>
      </c>
      <c r="T189" t="str">
        <f>IF(BrewdogNew3[[#This Row],[EBC]]="*", BrewdogNew3[[#This Row],[PH]], "")</f>
        <v/>
      </c>
      <c r="U189" t="str">
        <f>IF(BrewdogNew3[[#This Row],[EBC]]="*", BrewdogNew3[[#This Row],[AttenuationLevel]], "")</f>
        <v/>
      </c>
      <c r="V189" t="str">
        <f>IF(BrewdogNew3[[#This Row],[EBC]]="*", BrewdogNew3[[#This Row],[FermentationTempCelsius]], "")</f>
        <v/>
      </c>
      <c r="W189" t="str">
        <f>IF(BrewdogNew3[[#This Row],[EBC]]="*", BrewdogNew3[[#This Row],[Yeast]], "")</f>
        <v/>
      </c>
    </row>
    <row r="190" spans="1:23" x14ac:dyDescent="0.25">
      <c r="A190" s="45" t="s">
        <v>255</v>
      </c>
      <c r="B190">
        <v>9.1999999999999993</v>
      </c>
      <c r="C190" s="2" t="s">
        <v>274</v>
      </c>
      <c r="D190">
        <v>50</v>
      </c>
      <c r="E190">
        <v>1016</v>
      </c>
      <c r="F190">
        <v>78.8</v>
      </c>
      <c r="G190">
        <f>IF(BrewdogNew3[[#This Row],[EBC]]="*",1,0)</f>
        <v>0</v>
      </c>
      <c r="H190">
        <v>4.2</v>
      </c>
      <c r="I190">
        <v>81</v>
      </c>
      <c r="J190">
        <v>21</v>
      </c>
      <c r="K190" s="45" t="s">
        <v>80</v>
      </c>
      <c r="L190" s="45">
        <f>IF(BrewdogNew3[[#This Row],[Yeast]]=BrewdogNew3[[#Headers],[Wyeast 1056 - American Ale]],1,0)</f>
        <v>0</v>
      </c>
      <c r="M190" s="45">
        <f>IF(BrewdogNew3[[#This Row],[Yeast]]=BrewdogNew3[[#Headers],[Wyeast 2007 - Pilsen Lager]],1,0)</f>
        <v>0</v>
      </c>
      <c r="N190" s="45">
        <f>IF(BrewdogNew3[[#This Row],[Yeast]]=BrewdogNew3[[#Headers],[Wyeast 3711 - French Saison]],1,0)</f>
        <v>0</v>
      </c>
      <c r="O190" s="45">
        <f>IF(BrewdogNew3[[#This Row],[Yeast]]=BrewdogNew3[[#Headers],[Wyeast 1272 - American Ale II]],1,0)</f>
        <v>1</v>
      </c>
      <c r="P190" s="45" t="str">
        <f>BrewdogNew3[[#This Row],[Name]]</f>
        <v>Brewdog Vs Beavertown</v>
      </c>
      <c r="Q190" t="str">
        <f>IF(BrewdogNew3[[#This Row],[EBC]]="*", BrewdogNew3[[#This Row],[IBU]], "")</f>
        <v/>
      </c>
      <c r="R190" t="str">
        <f>IF(BrewdogNew3[[#This Row],[EBC]]="*", BrewdogNew3[[#This Row],[OG]], "")</f>
        <v/>
      </c>
      <c r="S190" t="str">
        <f>IF(BrewdogNew3[[#This Row],[EBC]]="*", BrewdogNew3[[#This Row],[ABV]], "")</f>
        <v/>
      </c>
      <c r="T190" t="str">
        <f>IF(BrewdogNew3[[#This Row],[EBC]]="*", BrewdogNew3[[#This Row],[PH]], "")</f>
        <v/>
      </c>
      <c r="U190" t="str">
        <f>IF(BrewdogNew3[[#This Row],[EBC]]="*", BrewdogNew3[[#This Row],[AttenuationLevel]], "")</f>
        <v/>
      </c>
      <c r="V190" t="str">
        <f>IF(BrewdogNew3[[#This Row],[EBC]]="*", BrewdogNew3[[#This Row],[FermentationTempCelsius]], "")</f>
        <v/>
      </c>
      <c r="W190" t="str">
        <f>IF(BrewdogNew3[[#This Row],[EBC]]="*", BrewdogNew3[[#This Row],[Yeast]], "")</f>
        <v/>
      </c>
    </row>
    <row r="191" spans="1:23" x14ac:dyDescent="0.25">
      <c r="A191" s="45" t="s">
        <v>256</v>
      </c>
      <c r="B191">
        <v>4.9000000000000004</v>
      </c>
      <c r="C191" s="2" t="s">
        <v>274</v>
      </c>
      <c r="D191">
        <v>18</v>
      </c>
      <c r="E191">
        <v>1010</v>
      </c>
      <c r="F191">
        <v>13</v>
      </c>
      <c r="G191">
        <f>IF(BrewdogNew3[[#This Row],[EBC]]="*",1,0)</f>
        <v>0</v>
      </c>
      <c r="H191">
        <v>4.2</v>
      </c>
      <c r="I191">
        <v>78.7</v>
      </c>
      <c r="J191">
        <v>12</v>
      </c>
      <c r="K191" s="45" t="s">
        <v>68</v>
      </c>
      <c r="L191" s="45">
        <f>IF(BrewdogNew3[[#This Row],[Yeast]]=BrewdogNew3[[#Headers],[Wyeast 1056 - American Ale]],1,0)</f>
        <v>0</v>
      </c>
      <c r="M191" s="45">
        <f>IF(BrewdogNew3[[#This Row],[Yeast]]=BrewdogNew3[[#Headers],[Wyeast 2007 - Pilsen Lager]],1,0)</f>
        <v>1</v>
      </c>
      <c r="N191" s="45">
        <f>IF(BrewdogNew3[[#This Row],[Yeast]]=BrewdogNew3[[#Headers],[Wyeast 3711 - French Saison]],1,0)</f>
        <v>0</v>
      </c>
      <c r="O191" s="45">
        <f>IF(BrewdogNew3[[#This Row],[Yeast]]=BrewdogNew3[[#Headers],[Wyeast 1272 - American Ale II]],1,0)</f>
        <v>0</v>
      </c>
      <c r="P191" s="45" t="str">
        <f>BrewdogNew3[[#This Row],[Name]]</f>
        <v>Prototype Helles</v>
      </c>
      <c r="Q191" t="str">
        <f>IF(BrewdogNew3[[#This Row],[EBC]]="*", BrewdogNew3[[#This Row],[IBU]], "")</f>
        <v/>
      </c>
      <c r="R191" t="str">
        <f>IF(BrewdogNew3[[#This Row],[EBC]]="*", BrewdogNew3[[#This Row],[OG]], "")</f>
        <v/>
      </c>
      <c r="S191" t="str">
        <f>IF(BrewdogNew3[[#This Row],[EBC]]="*", BrewdogNew3[[#This Row],[ABV]], "")</f>
        <v/>
      </c>
      <c r="T191" t="str">
        <f>IF(BrewdogNew3[[#This Row],[EBC]]="*", BrewdogNew3[[#This Row],[PH]], "")</f>
        <v/>
      </c>
      <c r="U191" t="str">
        <f>IF(BrewdogNew3[[#This Row],[EBC]]="*", BrewdogNew3[[#This Row],[AttenuationLevel]], "")</f>
        <v/>
      </c>
      <c r="V191" t="str">
        <f>IF(BrewdogNew3[[#This Row],[EBC]]="*", BrewdogNew3[[#This Row],[FermentationTempCelsius]], "")</f>
        <v/>
      </c>
      <c r="W191" t="str">
        <f>IF(BrewdogNew3[[#This Row],[EBC]]="*", BrewdogNew3[[#This Row],[Yeast]], "")</f>
        <v/>
      </c>
    </row>
    <row r="192" spans="1:23" x14ac:dyDescent="0.25">
      <c r="A192" s="45" t="s">
        <v>257</v>
      </c>
      <c r="B192">
        <v>7.2</v>
      </c>
      <c r="C192" s="2" t="s">
        <v>274</v>
      </c>
      <c r="D192">
        <v>250</v>
      </c>
      <c r="E192">
        <v>1065</v>
      </c>
      <c r="F192">
        <v>17</v>
      </c>
      <c r="G192">
        <f>IF(BrewdogNew3[[#This Row],[EBC]]="*",1,0)</f>
        <v>0</v>
      </c>
      <c r="H192">
        <v>4.4000000000000004</v>
      </c>
      <c r="I192">
        <v>84.6</v>
      </c>
      <c r="J192">
        <v>21</v>
      </c>
      <c r="K192" s="45" t="s">
        <v>80</v>
      </c>
      <c r="L192" s="45">
        <f>IF(BrewdogNew3[[#This Row],[Yeast]]=BrewdogNew3[[#Headers],[Wyeast 1056 - American Ale]],1,0)</f>
        <v>0</v>
      </c>
      <c r="M192" s="45">
        <f>IF(BrewdogNew3[[#This Row],[Yeast]]=BrewdogNew3[[#Headers],[Wyeast 2007 - Pilsen Lager]],1,0)</f>
        <v>0</v>
      </c>
      <c r="N192" s="45">
        <f>IF(BrewdogNew3[[#This Row],[Yeast]]=BrewdogNew3[[#Headers],[Wyeast 3711 - French Saison]],1,0)</f>
        <v>0</v>
      </c>
      <c r="O192" s="45">
        <f>IF(BrewdogNew3[[#This Row],[Yeast]]=BrewdogNew3[[#Headers],[Wyeast 1272 - American Ale II]],1,0)</f>
        <v>1</v>
      </c>
      <c r="P192" s="45" t="str">
        <f>BrewdogNew3[[#This Row],[Name]]</f>
        <v>Rye Hammer</v>
      </c>
      <c r="Q192" t="str">
        <f>IF(BrewdogNew3[[#This Row],[EBC]]="*", BrewdogNew3[[#This Row],[IBU]], "")</f>
        <v/>
      </c>
      <c r="R192" t="str">
        <f>IF(BrewdogNew3[[#This Row],[EBC]]="*", BrewdogNew3[[#This Row],[OG]], "")</f>
        <v/>
      </c>
      <c r="S192" t="str">
        <f>IF(BrewdogNew3[[#This Row],[EBC]]="*", BrewdogNew3[[#This Row],[ABV]], "")</f>
        <v/>
      </c>
      <c r="T192" t="str">
        <f>IF(BrewdogNew3[[#This Row],[EBC]]="*", BrewdogNew3[[#This Row],[PH]], "")</f>
        <v/>
      </c>
      <c r="U192" t="str">
        <f>IF(BrewdogNew3[[#This Row],[EBC]]="*", BrewdogNew3[[#This Row],[AttenuationLevel]], "")</f>
        <v/>
      </c>
      <c r="V192" t="str">
        <f>IF(BrewdogNew3[[#This Row],[EBC]]="*", BrewdogNew3[[#This Row],[FermentationTempCelsius]], "")</f>
        <v/>
      </c>
      <c r="W192" t="str">
        <f>IF(BrewdogNew3[[#This Row],[EBC]]="*", BrewdogNew3[[#This Row],[Yeast]], "")</f>
        <v/>
      </c>
    </row>
    <row r="193" spans="1:23" x14ac:dyDescent="0.25">
      <c r="A193" s="45" t="s">
        <v>258</v>
      </c>
      <c r="B193">
        <v>7.2</v>
      </c>
      <c r="C193" s="2" t="s">
        <v>274</v>
      </c>
      <c r="D193">
        <v>250</v>
      </c>
      <c r="E193">
        <v>1065</v>
      </c>
      <c r="F193">
        <v>104</v>
      </c>
      <c r="G193">
        <f>IF(BrewdogNew3[[#This Row],[EBC]]="*",1,0)</f>
        <v>0</v>
      </c>
      <c r="H193">
        <v>4.4000000000000004</v>
      </c>
      <c r="I193">
        <v>84.6</v>
      </c>
      <c r="J193">
        <v>21</v>
      </c>
      <c r="K193" s="45" t="s">
        <v>80</v>
      </c>
      <c r="L193" s="45">
        <f>IF(BrewdogNew3[[#This Row],[Yeast]]=BrewdogNew3[[#Headers],[Wyeast 1056 - American Ale]],1,0)</f>
        <v>0</v>
      </c>
      <c r="M193" s="45">
        <f>IF(BrewdogNew3[[#This Row],[Yeast]]=BrewdogNew3[[#Headers],[Wyeast 2007 - Pilsen Lager]],1,0)</f>
        <v>0</v>
      </c>
      <c r="N193" s="45">
        <f>IF(BrewdogNew3[[#This Row],[Yeast]]=BrewdogNew3[[#Headers],[Wyeast 3711 - French Saison]],1,0)</f>
        <v>0</v>
      </c>
      <c r="O193" s="45">
        <f>IF(BrewdogNew3[[#This Row],[Yeast]]=BrewdogNew3[[#Headers],[Wyeast 1272 - American Ale II]],1,0)</f>
        <v>1</v>
      </c>
      <c r="P193" s="45" t="str">
        <f>BrewdogNew3[[#This Row],[Name]]</f>
        <v>Black Hammer</v>
      </c>
      <c r="Q193" t="str">
        <f>IF(BrewdogNew3[[#This Row],[EBC]]="*", BrewdogNew3[[#This Row],[IBU]], "")</f>
        <v/>
      </c>
      <c r="R193" t="str">
        <f>IF(BrewdogNew3[[#This Row],[EBC]]="*", BrewdogNew3[[#This Row],[OG]], "")</f>
        <v/>
      </c>
      <c r="S193" t="str">
        <f>IF(BrewdogNew3[[#This Row],[EBC]]="*", BrewdogNew3[[#This Row],[ABV]], "")</f>
        <v/>
      </c>
      <c r="T193" t="str">
        <f>IF(BrewdogNew3[[#This Row],[EBC]]="*", BrewdogNew3[[#This Row],[PH]], "")</f>
        <v/>
      </c>
      <c r="U193" t="str">
        <f>IF(BrewdogNew3[[#This Row],[EBC]]="*", BrewdogNew3[[#This Row],[AttenuationLevel]], "")</f>
        <v/>
      </c>
      <c r="V193" t="str">
        <f>IF(BrewdogNew3[[#This Row],[EBC]]="*", BrewdogNew3[[#This Row],[FermentationTempCelsius]], "")</f>
        <v/>
      </c>
      <c r="W193" t="str">
        <f>IF(BrewdogNew3[[#This Row],[EBC]]="*", BrewdogNew3[[#This Row],[Yeast]], "")</f>
        <v/>
      </c>
    </row>
    <row r="194" spans="1:23" x14ac:dyDescent="0.25">
      <c r="A194" s="45" t="s">
        <v>259</v>
      </c>
      <c r="B194">
        <v>4.5</v>
      </c>
      <c r="C194" s="2" t="s">
        <v>274</v>
      </c>
      <c r="D194">
        <v>40</v>
      </c>
      <c r="E194">
        <v>1045</v>
      </c>
      <c r="F194">
        <v>18</v>
      </c>
      <c r="G194">
        <f>IF(BrewdogNew3[[#This Row],[EBC]]="*",1,0)</f>
        <v>0</v>
      </c>
      <c r="H194">
        <v>4.2</v>
      </c>
      <c r="I194">
        <v>75.599999999999994</v>
      </c>
      <c r="J194">
        <v>19</v>
      </c>
      <c r="K194" s="45" t="s">
        <v>64</v>
      </c>
      <c r="L194" s="45">
        <f>IF(BrewdogNew3[[#This Row],[Yeast]]=BrewdogNew3[[#Headers],[Wyeast 1056 - American Ale]],1,0)</f>
        <v>1</v>
      </c>
      <c r="M194" s="45">
        <f>IF(BrewdogNew3[[#This Row],[Yeast]]=BrewdogNew3[[#Headers],[Wyeast 2007 - Pilsen Lager]],1,0)</f>
        <v>0</v>
      </c>
      <c r="N194" s="45">
        <f>IF(BrewdogNew3[[#This Row],[Yeast]]=BrewdogNew3[[#Headers],[Wyeast 3711 - French Saison]],1,0)</f>
        <v>0</v>
      </c>
      <c r="O194" s="45">
        <f>IF(BrewdogNew3[[#This Row],[Yeast]]=BrewdogNew3[[#Headers],[Wyeast 1272 - American Ale II]],1,0)</f>
        <v>0</v>
      </c>
      <c r="P194" s="45" t="str">
        <f>BrewdogNew3[[#This Row],[Name]]</f>
        <v>Ace Of Chinook</v>
      </c>
      <c r="Q194" t="str">
        <f>IF(BrewdogNew3[[#This Row],[EBC]]="*", BrewdogNew3[[#This Row],[IBU]], "")</f>
        <v/>
      </c>
      <c r="R194" t="str">
        <f>IF(BrewdogNew3[[#This Row],[EBC]]="*", BrewdogNew3[[#This Row],[OG]], "")</f>
        <v/>
      </c>
      <c r="S194" t="str">
        <f>IF(BrewdogNew3[[#This Row],[EBC]]="*", BrewdogNew3[[#This Row],[ABV]], "")</f>
        <v/>
      </c>
      <c r="T194" t="str">
        <f>IF(BrewdogNew3[[#This Row],[EBC]]="*", BrewdogNew3[[#This Row],[PH]], "")</f>
        <v/>
      </c>
      <c r="U194" t="str">
        <f>IF(BrewdogNew3[[#This Row],[EBC]]="*", BrewdogNew3[[#This Row],[AttenuationLevel]], "")</f>
        <v/>
      </c>
      <c r="V194" t="str">
        <f>IF(BrewdogNew3[[#This Row],[EBC]]="*", BrewdogNew3[[#This Row],[FermentationTempCelsius]], "")</f>
        <v/>
      </c>
      <c r="W194" t="str">
        <f>IF(BrewdogNew3[[#This Row],[EBC]]="*", BrewdogNew3[[#This Row],[Yeast]], "")</f>
        <v/>
      </c>
    </row>
    <row r="195" spans="1:23" x14ac:dyDescent="0.25">
      <c r="A195" s="45" t="s">
        <v>260</v>
      </c>
      <c r="B195">
        <v>4.5</v>
      </c>
      <c r="C195" s="2" t="s">
        <v>274</v>
      </c>
      <c r="D195">
        <v>40</v>
      </c>
      <c r="E195">
        <v>1045</v>
      </c>
      <c r="F195">
        <v>18</v>
      </c>
      <c r="G195">
        <f>IF(BrewdogNew3[[#This Row],[EBC]]="*",1,0)</f>
        <v>0</v>
      </c>
      <c r="H195">
        <v>4.2</v>
      </c>
      <c r="I195">
        <v>75.599999999999994</v>
      </c>
      <c r="J195">
        <v>19</v>
      </c>
      <c r="K195" s="45" t="s">
        <v>64</v>
      </c>
      <c r="L195" s="45">
        <f>IF(BrewdogNew3[[#This Row],[Yeast]]=BrewdogNew3[[#Headers],[Wyeast 1056 - American Ale]],1,0)</f>
        <v>1</v>
      </c>
      <c r="M195" s="45">
        <f>IF(BrewdogNew3[[#This Row],[Yeast]]=BrewdogNew3[[#Headers],[Wyeast 2007 - Pilsen Lager]],1,0)</f>
        <v>0</v>
      </c>
      <c r="N195" s="45">
        <f>IF(BrewdogNew3[[#This Row],[Yeast]]=BrewdogNew3[[#Headers],[Wyeast 3711 - French Saison]],1,0)</f>
        <v>0</v>
      </c>
      <c r="O195" s="45">
        <f>IF(BrewdogNew3[[#This Row],[Yeast]]=BrewdogNew3[[#Headers],[Wyeast 1272 - American Ale II]],1,0)</f>
        <v>0</v>
      </c>
      <c r="P195" s="45" t="str">
        <f>BrewdogNew3[[#This Row],[Name]]</f>
        <v>Ace Of Equinox</v>
      </c>
      <c r="Q195" t="str">
        <f>IF(BrewdogNew3[[#This Row],[EBC]]="*", BrewdogNew3[[#This Row],[IBU]], "")</f>
        <v/>
      </c>
      <c r="R195" t="str">
        <f>IF(BrewdogNew3[[#This Row],[EBC]]="*", BrewdogNew3[[#This Row],[OG]], "")</f>
        <v/>
      </c>
      <c r="S195" t="str">
        <f>IF(BrewdogNew3[[#This Row],[EBC]]="*", BrewdogNew3[[#This Row],[ABV]], "")</f>
        <v/>
      </c>
      <c r="T195" t="str">
        <f>IF(BrewdogNew3[[#This Row],[EBC]]="*", BrewdogNew3[[#This Row],[PH]], "")</f>
        <v/>
      </c>
      <c r="U195" t="str">
        <f>IF(BrewdogNew3[[#This Row],[EBC]]="*", BrewdogNew3[[#This Row],[AttenuationLevel]], "")</f>
        <v/>
      </c>
      <c r="V195" t="str">
        <f>IF(BrewdogNew3[[#This Row],[EBC]]="*", BrewdogNew3[[#This Row],[FermentationTempCelsius]], "")</f>
        <v/>
      </c>
      <c r="W195" t="str">
        <f>IF(BrewdogNew3[[#This Row],[EBC]]="*", BrewdogNew3[[#This Row],[Yeast]], "")</f>
        <v/>
      </c>
    </row>
    <row r="196" spans="1:23" x14ac:dyDescent="0.25">
      <c r="A196" s="45" t="s">
        <v>261</v>
      </c>
      <c r="B196">
        <v>4.5</v>
      </c>
      <c r="C196" s="2" t="s">
        <v>274</v>
      </c>
      <c r="D196">
        <v>40</v>
      </c>
      <c r="E196">
        <v>1045</v>
      </c>
      <c r="F196">
        <v>18</v>
      </c>
      <c r="G196">
        <f>IF(BrewdogNew3[[#This Row],[EBC]]="*",1,0)</f>
        <v>0</v>
      </c>
      <c r="H196">
        <v>4.2</v>
      </c>
      <c r="I196">
        <v>75.599999999999994</v>
      </c>
      <c r="J196">
        <v>19</v>
      </c>
      <c r="K196" s="45" t="s">
        <v>64</v>
      </c>
      <c r="L196" s="45">
        <f>IF(BrewdogNew3[[#This Row],[Yeast]]=BrewdogNew3[[#Headers],[Wyeast 1056 - American Ale]],1,0)</f>
        <v>1</v>
      </c>
      <c r="M196" s="45">
        <f>IF(BrewdogNew3[[#This Row],[Yeast]]=BrewdogNew3[[#Headers],[Wyeast 2007 - Pilsen Lager]],1,0)</f>
        <v>0</v>
      </c>
      <c r="N196" s="45">
        <f>IF(BrewdogNew3[[#This Row],[Yeast]]=BrewdogNew3[[#Headers],[Wyeast 3711 - French Saison]],1,0)</f>
        <v>0</v>
      </c>
      <c r="O196" s="45">
        <f>IF(BrewdogNew3[[#This Row],[Yeast]]=BrewdogNew3[[#Headers],[Wyeast 1272 - American Ale II]],1,0)</f>
        <v>0</v>
      </c>
      <c r="P196" s="45" t="str">
        <f>BrewdogNew3[[#This Row],[Name]]</f>
        <v>Ace Of Citra</v>
      </c>
      <c r="Q196" t="str">
        <f>IF(BrewdogNew3[[#This Row],[EBC]]="*", BrewdogNew3[[#This Row],[IBU]], "")</f>
        <v/>
      </c>
      <c r="R196" t="str">
        <f>IF(BrewdogNew3[[#This Row],[EBC]]="*", BrewdogNew3[[#This Row],[OG]], "")</f>
        <v/>
      </c>
      <c r="S196" t="str">
        <f>IF(BrewdogNew3[[#This Row],[EBC]]="*", BrewdogNew3[[#This Row],[ABV]], "")</f>
        <v/>
      </c>
      <c r="T196" t="str">
        <f>IF(BrewdogNew3[[#This Row],[EBC]]="*", BrewdogNew3[[#This Row],[PH]], "")</f>
        <v/>
      </c>
      <c r="U196" t="str">
        <f>IF(BrewdogNew3[[#This Row],[EBC]]="*", BrewdogNew3[[#This Row],[AttenuationLevel]], "")</f>
        <v/>
      </c>
      <c r="V196" t="str">
        <f>IF(BrewdogNew3[[#This Row],[EBC]]="*", BrewdogNew3[[#This Row],[FermentationTempCelsius]], "")</f>
        <v/>
      </c>
      <c r="W196" t="str">
        <f>IF(BrewdogNew3[[#This Row],[EBC]]="*", BrewdogNew3[[#This Row],[Yeast]], "")</f>
        <v/>
      </c>
    </row>
    <row r="197" spans="1:23" x14ac:dyDescent="0.25">
      <c r="A197" s="45" t="s">
        <v>262</v>
      </c>
      <c r="B197">
        <v>7.6</v>
      </c>
      <c r="C197" s="2" t="s">
        <v>274</v>
      </c>
      <c r="D197">
        <v>70</v>
      </c>
      <c r="E197">
        <v>1067</v>
      </c>
      <c r="F197">
        <v>20</v>
      </c>
      <c r="G197">
        <f>IF(BrewdogNew3[[#This Row],[EBC]]="*",1,0)</f>
        <v>0</v>
      </c>
      <c r="H197">
        <v>4.4000000000000004</v>
      </c>
      <c r="I197">
        <v>82</v>
      </c>
      <c r="J197">
        <v>21</v>
      </c>
      <c r="K197" s="45" t="s">
        <v>80</v>
      </c>
      <c r="L197" s="45">
        <f>IF(BrewdogNew3[[#This Row],[Yeast]]=BrewdogNew3[[#Headers],[Wyeast 1056 - American Ale]],1,0)</f>
        <v>0</v>
      </c>
      <c r="M197" s="45">
        <f>IF(BrewdogNew3[[#This Row],[Yeast]]=BrewdogNew3[[#Headers],[Wyeast 2007 - Pilsen Lager]],1,0)</f>
        <v>0</v>
      </c>
      <c r="N197" s="45">
        <f>IF(BrewdogNew3[[#This Row],[Yeast]]=BrewdogNew3[[#Headers],[Wyeast 3711 - French Saison]],1,0)</f>
        <v>0</v>
      </c>
      <c r="O197" s="45">
        <f>IF(BrewdogNew3[[#This Row],[Yeast]]=BrewdogNew3[[#Headers],[Wyeast 1272 - American Ale II]],1,0)</f>
        <v>1</v>
      </c>
      <c r="P197" s="45" t="str">
        <f>BrewdogNew3[[#This Row],[Name]]</f>
        <v>Neon Overlord</v>
      </c>
      <c r="Q197" t="str">
        <f>IF(BrewdogNew3[[#This Row],[EBC]]="*", BrewdogNew3[[#This Row],[IBU]], "")</f>
        <v/>
      </c>
      <c r="R197" t="str">
        <f>IF(BrewdogNew3[[#This Row],[EBC]]="*", BrewdogNew3[[#This Row],[OG]], "")</f>
        <v/>
      </c>
      <c r="S197" t="str">
        <f>IF(BrewdogNew3[[#This Row],[EBC]]="*", BrewdogNew3[[#This Row],[ABV]], "")</f>
        <v/>
      </c>
      <c r="T197" t="str">
        <f>IF(BrewdogNew3[[#This Row],[EBC]]="*", BrewdogNew3[[#This Row],[PH]], "")</f>
        <v/>
      </c>
      <c r="U197" t="str">
        <f>IF(BrewdogNew3[[#This Row],[EBC]]="*", BrewdogNew3[[#This Row],[AttenuationLevel]], "")</f>
        <v/>
      </c>
      <c r="V197" t="str">
        <f>IF(BrewdogNew3[[#This Row],[EBC]]="*", BrewdogNew3[[#This Row],[FermentationTempCelsius]], "")</f>
        <v/>
      </c>
      <c r="W197" t="str">
        <f>IF(BrewdogNew3[[#This Row],[EBC]]="*", BrewdogNew3[[#This Row],[Yeast]], "")</f>
        <v/>
      </c>
    </row>
    <row r="198" spans="1:23" x14ac:dyDescent="0.25">
      <c r="A198" s="47"/>
      <c r="B198">
        <f>COUNTIF(BrewdogNew3[ABV],"*")</f>
        <v>7</v>
      </c>
      <c r="D198">
        <f>COUNTIF(BrewdogNew3[IBU],"*")</f>
        <v>0</v>
      </c>
      <c r="E198">
        <f>COUNTIF(BrewdogNew3[OG],"*")</f>
        <v>0</v>
      </c>
      <c r="F198">
        <f>COUNTIF(BrewdogNew3[EBC],"*")</f>
        <v>4</v>
      </c>
      <c r="H198">
        <f>COUNTIF(BrewdogNew3[PH],"*")</f>
        <v>0</v>
      </c>
      <c r="I198">
        <f>COUNTIF(BrewdogNew3[AttenuationLevel],"*")</f>
        <v>0</v>
      </c>
      <c r="J198">
        <f>COUNTIF(BrewdogNew3[FermentationTempCelsius],"*")</f>
        <v>0</v>
      </c>
      <c r="K198" t="s">
        <v>270</v>
      </c>
      <c r="L198">
        <f>COUNTIF(BrewdogNew3[Yeast],BrewdogNew3[[#Headers],[Wyeast 1056 - American Ale]])</f>
        <v>105</v>
      </c>
      <c r="M198">
        <f>COUNTIF(BrewdogNew3[Yeast],BrewdogNew3[[#Headers],[Wyeast 2007 - Pilsen Lager]])</f>
        <v>16</v>
      </c>
      <c r="N198">
        <f>COUNTIF(BrewdogNew3[Yeast],BrewdogNew3[[#Headers],[Wyeast 3711 - French Saison]])</f>
        <v>7</v>
      </c>
      <c r="O198">
        <f>COUNTIF(BrewdogNew3[Yeast],BrewdogNew3[[#Headers],[Wyeast 1272 - American Ale II]])</f>
        <v>68</v>
      </c>
      <c r="P198" t="s">
        <v>275</v>
      </c>
      <c r="Q198" s="52">
        <f>AVERAGE(BrewdogNew3[IBU])</f>
        <v>67.086734693877546</v>
      </c>
      <c r="R198" s="52">
        <f>AVERAGE(BrewdogNew3[OG])</f>
        <v>1064.6790816326529</v>
      </c>
      <c r="S198" s="52">
        <f>AVERAGE(BrewdogNew3[EBC])</f>
        <v>70.616145833333334</v>
      </c>
      <c r="T198" s="52">
        <f>AVERAGE(BrewdogNew3[PH])</f>
        <v>4.4010204081632587</v>
      </c>
      <c r="U198" s="52">
        <f>AVERAGE(BrewdogNew3[AttenuationLevel])</f>
        <v>80.295969387755136</v>
      </c>
      <c r="V198" s="52">
        <f>AVERAGE(BrewdogNew3[FermentationTempCelsius])</f>
        <v>19.331632653061224</v>
      </c>
    </row>
    <row r="199" spans="1:23" x14ac:dyDescent="0.25">
      <c r="K199" t="s">
        <v>271</v>
      </c>
      <c r="P199" t="s">
        <v>271</v>
      </c>
      <c r="Q199" s="48">
        <f>BrewdogNew3[[#Totals],[EBC vs IBU]]+2*SQRT(VAR(BrewdogNew3[IBU]))</f>
        <v>232.58247949998201</v>
      </c>
      <c r="R199" s="48">
        <f>BrewdogNew3[[#Totals],[EBC VS OG]]+2*SQRT(VAR(BrewdogNew3[OG]))</f>
        <v>1117.2188568919878</v>
      </c>
      <c r="S199" s="48">
        <f>BrewdogNew3[[#Totals],[EBC vs ABV]]+2*SQRT(VAR(BrewdogNew3[EBC]))</f>
        <v>250.59577120422767</v>
      </c>
      <c r="T199" s="48">
        <f>BrewdogNew3[[#Totals],[EBC vs PH]]+2*SQRT(VAR(BrewdogNew3[PH]))</f>
        <v>5.0542144684369008</v>
      </c>
      <c r="U199" s="48">
        <f>BrewdogNew3[[#Totals],[EBC vs Att]]+2*SQRT(VAR(BrewdogNew3[AttenuationLevel]))</f>
        <v>94.720541951882325</v>
      </c>
      <c r="V199" s="48">
        <f>BrewdogNew3[[#Totals],[EBC vs Fer]]+2*SQRT(VAR(BrewdogNew3[FermentationTempCelsius]))</f>
        <v>32.038540830778729</v>
      </c>
      <c r="W199" s="48"/>
    </row>
    <row r="200" spans="1:23" x14ac:dyDescent="0.25">
      <c r="K200" t="s">
        <v>272</v>
      </c>
      <c r="P200" t="s">
        <v>272</v>
      </c>
      <c r="Q200" s="48">
        <f>BrewdogNew3[[#Totals],[EBC vs IBU]]-2*SQRT(VAR(BrewdogNew3[IBU]))</f>
        <v>-98.409010112226937</v>
      </c>
      <c r="R200" s="48">
        <f>BrewdogNew3[[#Totals],[EBC VS OG]]-2*SQRT(VAR(BrewdogNew3[OG]))</f>
        <v>1012.139306373318</v>
      </c>
      <c r="S200" s="48">
        <f>BrewdogNew3[[#Totals],[EBC vs ABV]]-2*SQRT(VAR(BrewdogNew3[EBC]))</f>
        <v>-109.36347953756099</v>
      </c>
      <c r="T200" s="48">
        <f>BrewdogNew3[[#Totals],[EBC vs PH]]-2*SQRT(VAR(BrewdogNew3[PH]))</f>
        <v>3.7478263478896165</v>
      </c>
      <c r="U200" s="48">
        <f>BrewdogNew3[[#Totals],[EBC vs Att]]-2*SQRT(VAR(BrewdogNew3[AttenuationLevel]))</f>
        <v>65.871396823627947</v>
      </c>
      <c r="V200" s="48">
        <f>BrewdogNew3[[#Totals],[EBC vs Fer]]-2*SQRT(VAR(BrewdogNew3[FermentationTempCelsius]))</f>
        <v>6.6247244753437187</v>
      </c>
    </row>
    <row r="201" spans="1:23" x14ac:dyDescent="0.25">
      <c r="P201" t="s">
        <v>276</v>
      </c>
      <c r="Q201" s="48">
        <f>AVERAGE(BrewdogNew3[EBC vs IBU])</f>
        <v>28</v>
      </c>
      <c r="R201" s="48">
        <f>AVERAGE(BrewdogNew3[EBC VS OG])</f>
        <v>1067.25</v>
      </c>
      <c r="S201" s="48">
        <f>AVERAGE(BrewdogNew3[EBC vs ABV])</f>
        <v>7.1999999999999993</v>
      </c>
      <c r="T201" s="48">
        <f>AVERAGE(BrewdogNew3[EBC vs PH])</f>
        <v>3.8000000000000003</v>
      </c>
      <c r="U201" s="49">
        <f>AVERAGE(BrewdogNew3[EBC vs Att])</f>
        <v>83.25</v>
      </c>
      <c r="V201" s="48">
        <f>AVERAGE(BrewdogNew3[EBC vs Fer])</f>
        <v>19.75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171-E8D9-45D1-89BE-9704436C0E25}">
  <dimension ref="A1:V198"/>
  <sheetViews>
    <sheetView topLeftCell="A167" workbookViewId="0">
      <selection activeCell="D198" sqref="D198"/>
    </sheetView>
  </sheetViews>
  <sheetFormatPr defaultRowHeight="15" x14ac:dyDescent="0.25"/>
  <cols>
    <col min="2" max="2" width="12.7109375" bestFit="1" customWidth="1"/>
  </cols>
  <sheetData>
    <row r="1" spans="1:22" x14ac:dyDescent="0.25">
      <c r="A1" t="s">
        <v>54</v>
      </c>
      <c r="B1" t="s">
        <v>55</v>
      </c>
      <c r="C1" s="45" t="s">
        <v>287</v>
      </c>
      <c r="D1" t="s">
        <v>56</v>
      </c>
      <c r="E1" t="s">
        <v>57</v>
      </c>
      <c r="F1" t="s">
        <v>58</v>
      </c>
      <c r="G1" t="s">
        <v>286</v>
      </c>
      <c r="H1" t="s">
        <v>59</v>
      </c>
      <c r="I1" t="s">
        <v>60</v>
      </c>
      <c r="J1" t="s">
        <v>61</v>
      </c>
      <c r="K1" t="s">
        <v>64</v>
      </c>
      <c r="L1" t="s">
        <v>68</v>
      </c>
      <c r="M1" t="s">
        <v>71</v>
      </c>
      <c r="N1" t="s">
        <v>80</v>
      </c>
      <c r="O1" t="s">
        <v>273</v>
      </c>
      <c r="P1" t="s">
        <v>291</v>
      </c>
      <c r="Q1" t="s">
        <v>290</v>
      </c>
      <c r="R1" t="s">
        <v>296</v>
      </c>
      <c r="S1" t="s">
        <v>292</v>
      </c>
      <c r="T1" t="s">
        <v>293</v>
      </c>
      <c r="U1" t="s">
        <v>294</v>
      </c>
      <c r="V1" t="s">
        <v>295</v>
      </c>
    </row>
    <row r="2" spans="1:22" x14ac:dyDescent="0.25">
      <c r="A2" t="s">
        <v>63</v>
      </c>
      <c r="B2">
        <v>4.5</v>
      </c>
      <c r="C2" s="45">
        <v>0</v>
      </c>
      <c r="D2">
        <v>60</v>
      </c>
      <c r="E2">
        <v>1044</v>
      </c>
      <c r="F2">
        <v>20</v>
      </c>
      <c r="G2">
        <v>0</v>
      </c>
      <c r="H2">
        <v>4.4000000000000004</v>
      </c>
      <c r="I2">
        <v>75</v>
      </c>
      <c r="J2">
        <v>19</v>
      </c>
      <c r="K2">
        <v>1</v>
      </c>
      <c r="L2">
        <v>0</v>
      </c>
      <c r="M2">
        <v>0</v>
      </c>
      <c r="N2">
        <v>0</v>
      </c>
      <c r="O2" t="s">
        <v>63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  <c r="V2" t="s">
        <v>288</v>
      </c>
    </row>
    <row r="3" spans="1:22" x14ac:dyDescent="0.25">
      <c r="A3" t="s">
        <v>65</v>
      </c>
      <c r="B3">
        <v>4.0999999999999996</v>
      </c>
      <c r="C3" s="45">
        <v>0</v>
      </c>
      <c r="D3">
        <v>41.5</v>
      </c>
      <c r="E3">
        <v>1041.7</v>
      </c>
      <c r="F3">
        <v>15</v>
      </c>
      <c r="G3">
        <v>0</v>
      </c>
      <c r="H3">
        <v>4.4000000000000004</v>
      </c>
      <c r="I3">
        <v>76</v>
      </c>
      <c r="J3">
        <v>18</v>
      </c>
      <c r="K3">
        <v>1</v>
      </c>
      <c r="L3">
        <v>0</v>
      </c>
      <c r="M3">
        <v>0</v>
      </c>
      <c r="N3">
        <v>0</v>
      </c>
      <c r="O3" t="s">
        <v>65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  <c r="V3" t="s">
        <v>288</v>
      </c>
    </row>
    <row r="4" spans="1:22" x14ac:dyDescent="0.25">
      <c r="A4" t="s">
        <v>66</v>
      </c>
      <c r="B4">
        <v>4.2</v>
      </c>
      <c r="C4" s="45">
        <v>0</v>
      </c>
      <c r="D4">
        <v>8</v>
      </c>
      <c r="E4">
        <v>1040</v>
      </c>
      <c r="F4">
        <v>8</v>
      </c>
      <c r="G4">
        <v>0</v>
      </c>
      <c r="H4">
        <v>3.2</v>
      </c>
      <c r="I4">
        <v>83</v>
      </c>
      <c r="J4">
        <v>21</v>
      </c>
      <c r="K4">
        <v>1</v>
      </c>
      <c r="L4">
        <v>0</v>
      </c>
      <c r="M4">
        <v>0</v>
      </c>
      <c r="N4">
        <v>0</v>
      </c>
      <c r="O4" t="s">
        <v>66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</row>
    <row r="5" spans="1:22" x14ac:dyDescent="0.25">
      <c r="A5" t="s">
        <v>67</v>
      </c>
      <c r="B5">
        <v>6.3</v>
      </c>
      <c r="C5" s="45">
        <v>0</v>
      </c>
      <c r="D5">
        <v>55</v>
      </c>
      <c r="E5">
        <v>1060</v>
      </c>
      <c r="F5">
        <v>30</v>
      </c>
      <c r="G5">
        <v>0</v>
      </c>
      <c r="H5">
        <v>4.4000000000000004</v>
      </c>
      <c r="I5">
        <v>80</v>
      </c>
      <c r="J5">
        <v>9</v>
      </c>
      <c r="K5">
        <v>0</v>
      </c>
      <c r="L5">
        <v>1</v>
      </c>
      <c r="M5">
        <v>0</v>
      </c>
      <c r="N5">
        <v>0</v>
      </c>
      <c r="O5" t="s">
        <v>67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  <c r="V5" t="s">
        <v>288</v>
      </c>
    </row>
    <row r="6" spans="1:22" x14ac:dyDescent="0.25">
      <c r="A6" t="s">
        <v>69</v>
      </c>
      <c r="B6">
        <v>7.2</v>
      </c>
      <c r="C6" s="45">
        <v>0</v>
      </c>
      <c r="D6">
        <v>59</v>
      </c>
      <c r="E6">
        <v>1069</v>
      </c>
      <c r="F6">
        <v>10</v>
      </c>
      <c r="G6">
        <v>0</v>
      </c>
      <c r="H6">
        <v>4.4000000000000004</v>
      </c>
      <c r="I6">
        <v>67</v>
      </c>
      <c r="J6">
        <v>10</v>
      </c>
      <c r="K6">
        <v>0</v>
      </c>
      <c r="L6">
        <v>1</v>
      </c>
      <c r="M6">
        <v>0</v>
      </c>
      <c r="N6">
        <v>0</v>
      </c>
      <c r="O6" t="s">
        <v>69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</row>
    <row r="7" spans="1:22" x14ac:dyDescent="0.25">
      <c r="A7" t="s">
        <v>70</v>
      </c>
      <c r="B7" t="s">
        <v>32</v>
      </c>
      <c r="C7" s="45">
        <v>1</v>
      </c>
      <c r="D7">
        <v>38</v>
      </c>
      <c r="E7">
        <v>1045</v>
      </c>
      <c r="F7">
        <v>15</v>
      </c>
      <c r="G7">
        <v>0</v>
      </c>
      <c r="H7">
        <v>4.4000000000000004</v>
      </c>
      <c r="I7">
        <v>88.9</v>
      </c>
      <c r="J7">
        <v>22</v>
      </c>
      <c r="K7">
        <v>0</v>
      </c>
      <c r="L7">
        <v>0</v>
      </c>
      <c r="M7">
        <v>1</v>
      </c>
      <c r="N7">
        <v>0</v>
      </c>
      <c r="O7" t="s">
        <v>70</v>
      </c>
      <c r="P7" t="s">
        <v>288</v>
      </c>
      <c r="Q7" t="s">
        <v>288</v>
      </c>
      <c r="R7" t="s">
        <v>288</v>
      </c>
      <c r="S7" t="s">
        <v>288</v>
      </c>
      <c r="T7" t="s">
        <v>288</v>
      </c>
      <c r="U7" t="s">
        <v>288</v>
      </c>
      <c r="V7" t="s">
        <v>288</v>
      </c>
    </row>
    <row r="8" spans="1:22" x14ac:dyDescent="0.25">
      <c r="A8" t="s">
        <v>72</v>
      </c>
      <c r="B8">
        <v>4.7</v>
      </c>
      <c r="C8" s="45">
        <v>0</v>
      </c>
      <c r="D8">
        <v>40</v>
      </c>
      <c r="E8">
        <v>1046</v>
      </c>
      <c r="F8">
        <v>12</v>
      </c>
      <c r="G8">
        <v>0</v>
      </c>
      <c r="H8">
        <v>4.4000000000000004</v>
      </c>
      <c r="I8">
        <v>78</v>
      </c>
      <c r="J8">
        <v>10</v>
      </c>
      <c r="K8">
        <v>0</v>
      </c>
      <c r="L8">
        <v>1</v>
      </c>
      <c r="M8">
        <v>0</v>
      </c>
      <c r="N8">
        <v>0</v>
      </c>
      <c r="O8" t="s">
        <v>72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  <c r="V8" t="s">
        <v>288</v>
      </c>
    </row>
    <row r="9" spans="1:22" x14ac:dyDescent="0.25">
      <c r="A9" t="s">
        <v>73</v>
      </c>
      <c r="B9">
        <v>7.5</v>
      </c>
      <c r="C9" s="45">
        <v>0</v>
      </c>
      <c r="D9">
        <v>75</v>
      </c>
      <c r="E9">
        <v>1068</v>
      </c>
      <c r="F9">
        <v>22</v>
      </c>
      <c r="G9">
        <v>0</v>
      </c>
      <c r="H9">
        <v>4.4000000000000004</v>
      </c>
      <c r="I9">
        <v>80.900000000000006</v>
      </c>
      <c r="J9">
        <v>19</v>
      </c>
      <c r="K9">
        <v>1</v>
      </c>
      <c r="L9">
        <v>0</v>
      </c>
      <c r="M9">
        <v>0</v>
      </c>
      <c r="N9">
        <v>0</v>
      </c>
      <c r="O9" t="s">
        <v>73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  <c r="V9" t="s">
        <v>288</v>
      </c>
    </row>
    <row r="10" spans="1:22" x14ac:dyDescent="0.25">
      <c r="A10" t="s">
        <v>74</v>
      </c>
      <c r="B10">
        <v>7.3</v>
      </c>
      <c r="C10" s="45">
        <v>0</v>
      </c>
      <c r="D10">
        <v>30</v>
      </c>
      <c r="E10">
        <v>1079</v>
      </c>
      <c r="F10">
        <v>120</v>
      </c>
      <c r="G10">
        <v>0</v>
      </c>
      <c r="H10">
        <v>4.4000000000000004</v>
      </c>
      <c r="I10">
        <v>74.7</v>
      </c>
      <c r="J10">
        <v>19</v>
      </c>
      <c r="K10">
        <v>1</v>
      </c>
      <c r="L10">
        <v>0</v>
      </c>
      <c r="M10">
        <v>0</v>
      </c>
      <c r="N10">
        <v>0</v>
      </c>
      <c r="O10" t="s">
        <v>74</v>
      </c>
      <c r="P10" t="s">
        <v>288</v>
      </c>
      <c r="Q10" t="s">
        <v>288</v>
      </c>
      <c r="R10" t="s">
        <v>288</v>
      </c>
      <c r="S10" t="s">
        <v>288</v>
      </c>
      <c r="T10" t="s">
        <v>288</v>
      </c>
      <c r="U10" t="s">
        <v>288</v>
      </c>
      <c r="V10" t="s">
        <v>288</v>
      </c>
    </row>
    <row r="11" spans="1:22" x14ac:dyDescent="0.25">
      <c r="A11" t="s">
        <v>75</v>
      </c>
      <c r="B11">
        <v>5.3</v>
      </c>
      <c r="C11" s="45">
        <v>0</v>
      </c>
      <c r="D11">
        <v>60</v>
      </c>
      <c r="E11">
        <v>1052</v>
      </c>
      <c r="F11">
        <v>200</v>
      </c>
      <c r="G11">
        <v>0</v>
      </c>
      <c r="H11">
        <v>4.2</v>
      </c>
      <c r="I11">
        <v>77</v>
      </c>
      <c r="J11">
        <v>19</v>
      </c>
      <c r="K11">
        <v>1</v>
      </c>
      <c r="L11">
        <v>0</v>
      </c>
      <c r="M11">
        <v>0</v>
      </c>
      <c r="N11">
        <v>0</v>
      </c>
      <c r="O11" t="s">
        <v>75</v>
      </c>
      <c r="P11" t="s">
        <v>288</v>
      </c>
      <c r="Q11" t="s">
        <v>288</v>
      </c>
      <c r="R11" t="s">
        <v>288</v>
      </c>
      <c r="S11" t="s">
        <v>288</v>
      </c>
      <c r="T11" t="s">
        <v>288</v>
      </c>
      <c r="U11" t="s">
        <v>288</v>
      </c>
      <c r="V11" t="s">
        <v>288</v>
      </c>
    </row>
    <row r="12" spans="1:22" x14ac:dyDescent="0.25">
      <c r="A12" t="s">
        <v>76</v>
      </c>
      <c r="B12">
        <v>4.5</v>
      </c>
      <c r="C12" s="45">
        <v>0</v>
      </c>
      <c r="D12">
        <v>50</v>
      </c>
      <c r="E12">
        <v>1047</v>
      </c>
      <c r="F12">
        <v>140</v>
      </c>
      <c r="G12">
        <v>0</v>
      </c>
      <c r="H12">
        <v>5.2</v>
      </c>
      <c r="I12">
        <v>74.5</v>
      </c>
      <c r="J12">
        <v>19</v>
      </c>
      <c r="K12">
        <v>1</v>
      </c>
      <c r="L12">
        <v>0</v>
      </c>
      <c r="M12">
        <v>0</v>
      </c>
      <c r="N12">
        <v>0</v>
      </c>
      <c r="O12" t="s">
        <v>76</v>
      </c>
      <c r="P12" t="s">
        <v>288</v>
      </c>
      <c r="Q12" t="s">
        <v>288</v>
      </c>
      <c r="R12" t="s">
        <v>288</v>
      </c>
      <c r="S12" t="s">
        <v>288</v>
      </c>
      <c r="T12" t="s">
        <v>288</v>
      </c>
      <c r="U12" t="s">
        <v>288</v>
      </c>
      <c r="V12" t="s">
        <v>288</v>
      </c>
    </row>
    <row r="13" spans="1:22" x14ac:dyDescent="0.25">
      <c r="A13" t="s">
        <v>77</v>
      </c>
      <c r="B13">
        <v>4.5</v>
      </c>
      <c r="C13" s="45">
        <v>0</v>
      </c>
      <c r="D13">
        <v>42</v>
      </c>
      <c r="E13">
        <v>1046</v>
      </c>
      <c r="F13">
        <v>62</v>
      </c>
      <c r="G13">
        <v>0</v>
      </c>
      <c r="H13">
        <v>4.4000000000000004</v>
      </c>
      <c r="I13">
        <v>72.8</v>
      </c>
      <c r="J13">
        <v>22</v>
      </c>
      <c r="K13">
        <v>1</v>
      </c>
      <c r="L13">
        <v>0</v>
      </c>
      <c r="M13">
        <v>0</v>
      </c>
      <c r="N13">
        <v>0</v>
      </c>
      <c r="O13" t="s">
        <v>77</v>
      </c>
      <c r="P13" t="s">
        <v>288</v>
      </c>
      <c r="Q13" t="s">
        <v>288</v>
      </c>
      <c r="R13" t="s">
        <v>288</v>
      </c>
      <c r="S13" t="s">
        <v>288</v>
      </c>
      <c r="T13" t="s">
        <v>288</v>
      </c>
      <c r="U13" t="s">
        <v>288</v>
      </c>
      <c r="V13" t="s">
        <v>288</v>
      </c>
    </row>
    <row r="14" spans="1:22" x14ac:dyDescent="0.25">
      <c r="A14" t="s">
        <v>78</v>
      </c>
      <c r="B14">
        <v>6.1</v>
      </c>
      <c r="C14" s="45">
        <v>0</v>
      </c>
      <c r="D14">
        <v>45</v>
      </c>
      <c r="E14">
        <v>1067</v>
      </c>
      <c r="F14">
        <v>219</v>
      </c>
      <c r="G14">
        <v>0</v>
      </c>
      <c r="H14">
        <v>4.4000000000000004</v>
      </c>
      <c r="I14">
        <v>70.099999999999994</v>
      </c>
      <c r="J14">
        <v>18</v>
      </c>
      <c r="K14">
        <v>1</v>
      </c>
      <c r="L14">
        <v>0</v>
      </c>
      <c r="M14">
        <v>0</v>
      </c>
      <c r="N14">
        <v>0</v>
      </c>
      <c r="O14" t="s">
        <v>78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  <c r="V14" t="s">
        <v>288</v>
      </c>
    </row>
    <row r="15" spans="1:22" x14ac:dyDescent="0.25">
      <c r="A15" t="s">
        <v>79</v>
      </c>
      <c r="B15">
        <v>11.2</v>
      </c>
      <c r="C15" s="45">
        <v>0</v>
      </c>
      <c r="D15">
        <v>150</v>
      </c>
      <c r="E15">
        <v>1098</v>
      </c>
      <c r="F15">
        <v>70</v>
      </c>
      <c r="G15">
        <v>0</v>
      </c>
      <c r="H15">
        <v>4.4000000000000004</v>
      </c>
      <c r="I15">
        <v>87</v>
      </c>
      <c r="J15">
        <v>17</v>
      </c>
      <c r="K15">
        <v>0</v>
      </c>
      <c r="L15">
        <v>0</v>
      </c>
      <c r="M15">
        <v>0</v>
      </c>
      <c r="N15">
        <v>1</v>
      </c>
      <c r="O15" t="s">
        <v>79</v>
      </c>
      <c r="P15" t="s">
        <v>288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  <c r="V15" t="s">
        <v>288</v>
      </c>
    </row>
    <row r="16" spans="1:22" x14ac:dyDescent="0.25">
      <c r="A16" t="s">
        <v>81</v>
      </c>
      <c r="B16">
        <v>6</v>
      </c>
      <c r="C16" s="45">
        <v>0</v>
      </c>
      <c r="D16">
        <v>70</v>
      </c>
      <c r="E16">
        <v>1058</v>
      </c>
      <c r="F16">
        <v>25</v>
      </c>
      <c r="G16">
        <v>0</v>
      </c>
      <c r="H16">
        <v>5.2</v>
      </c>
      <c r="I16">
        <v>79.3</v>
      </c>
      <c r="J16">
        <v>19</v>
      </c>
      <c r="K16">
        <v>1</v>
      </c>
      <c r="L16">
        <v>0</v>
      </c>
      <c r="M16">
        <v>0</v>
      </c>
      <c r="N16">
        <v>0</v>
      </c>
      <c r="O16" t="s">
        <v>81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  <c r="V16" t="s">
        <v>288</v>
      </c>
    </row>
    <row r="17" spans="1:22" x14ac:dyDescent="0.25">
      <c r="A17" t="s">
        <v>82</v>
      </c>
      <c r="B17">
        <v>8.1999999999999993</v>
      </c>
      <c r="C17" s="45">
        <v>0</v>
      </c>
      <c r="D17">
        <v>70</v>
      </c>
      <c r="E17">
        <v>1076</v>
      </c>
      <c r="F17" t="s">
        <v>32</v>
      </c>
      <c r="G17">
        <v>1</v>
      </c>
      <c r="H17">
        <v>4.4000000000000004</v>
      </c>
      <c r="I17">
        <v>83</v>
      </c>
      <c r="J17">
        <v>19</v>
      </c>
      <c r="K17">
        <v>1</v>
      </c>
      <c r="L17">
        <v>0</v>
      </c>
      <c r="M17">
        <v>0</v>
      </c>
      <c r="N17">
        <v>0</v>
      </c>
      <c r="O17" t="s">
        <v>82</v>
      </c>
      <c r="P17">
        <v>70</v>
      </c>
      <c r="Q17">
        <v>1076</v>
      </c>
      <c r="R17">
        <v>8.1999999999999993</v>
      </c>
      <c r="S17">
        <v>4.4000000000000004</v>
      </c>
      <c r="T17">
        <v>83</v>
      </c>
      <c r="U17">
        <v>19</v>
      </c>
      <c r="V17" t="s">
        <v>64</v>
      </c>
    </row>
    <row r="18" spans="1:22" x14ac:dyDescent="0.25">
      <c r="A18" t="s">
        <v>83</v>
      </c>
      <c r="B18">
        <v>12.5</v>
      </c>
      <c r="C18" s="45">
        <v>0</v>
      </c>
      <c r="D18">
        <v>100</v>
      </c>
      <c r="E18">
        <v>1093</v>
      </c>
      <c r="F18">
        <v>36</v>
      </c>
      <c r="G18">
        <v>0</v>
      </c>
      <c r="H18">
        <v>4.4000000000000004</v>
      </c>
      <c r="I18">
        <v>68</v>
      </c>
      <c r="J18">
        <v>19</v>
      </c>
      <c r="K18">
        <v>1</v>
      </c>
      <c r="L18">
        <v>0</v>
      </c>
      <c r="M18">
        <v>0</v>
      </c>
      <c r="N18">
        <v>0</v>
      </c>
      <c r="O18" t="s">
        <v>83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  <c r="V18" t="s">
        <v>288</v>
      </c>
    </row>
    <row r="19" spans="1:22" x14ac:dyDescent="0.25">
      <c r="A19" t="s">
        <v>84</v>
      </c>
      <c r="B19">
        <v>8</v>
      </c>
      <c r="C19" s="45">
        <v>0</v>
      </c>
      <c r="D19">
        <v>60</v>
      </c>
      <c r="E19">
        <v>1082</v>
      </c>
      <c r="F19">
        <v>12</v>
      </c>
      <c r="G19">
        <v>0</v>
      </c>
      <c r="H19">
        <v>4.4000000000000004</v>
      </c>
      <c r="I19">
        <v>86</v>
      </c>
      <c r="J19">
        <v>19</v>
      </c>
      <c r="K19">
        <v>1</v>
      </c>
      <c r="L19">
        <v>0</v>
      </c>
      <c r="M19">
        <v>0</v>
      </c>
      <c r="N19">
        <v>0</v>
      </c>
      <c r="O19" t="s">
        <v>84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  <c r="V19" t="s">
        <v>288</v>
      </c>
    </row>
    <row r="20" spans="1:22" x14ac:dyDescent="0.25">
      <c r="A20" t="s">
        <v>85</v>
      </c>
      <c r="B20">
        <v>4.7</v>
      </c>
      <c r="C20" s="45">
        <v>0</v>
      </c>
      <c r="D20">
        <v>45</v>
      </c>
      <c r="E20">
        <v>1047</v>
      </c>
      <c r="F20">
        <v>8</v>
      </c>
      <c r="G20">
        <v>0</v>
      </c>
      <c r="H20">
        <v>4.4000000000000004</v>
      </c>
      <c r="I20">
        <v>79</v>
      </c>
      <c r="J20">
        <v>19</v>
      </c>
      <c r="K20">
        <v>1</v>
      </c>
      <c r="L20">
        <v>0</v>
      </c>
      <c r="M20">
        <v>0</v>
      </c>
      <c r="N20">
        <v>0</v>
      </c>
      <c r="O20" t="s">
        <v>85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  <c r="V20" t="s">
        <v>288</v>
      </c>
    </row>
    <row r="21" spans="1:22" x14ac:dyDescent="0.25">
      <c r="A21" t="s">
        <v>86</v>
      </c>
      <c r="B21">
        <v>3.5</v>
      </c>
      <c r="C21" s="45">
        <v>0</v>
      </c>
      <c r="D21">
        <v>33</v>
      </c>
      <c r="E21">
        <v>1038</v>
      </c>
      <c r="F21">
        <v>50</v>
      </c>
      <c r="G21">
        <v>0</v>
      </c>
      <c r="H21">
        <v>4.4000000000000004</v>
      </c>
      <c r="I21">
        <v>68.400000000000006</v>
      </c>
      <c r="J21">
        <v>19</v>
      </c>
      <c r="K21">
        <v>1</v>
      </c>
      <c r="L21">
        <v>0</v>
      </c>
      <c r="M21">
        <v>0</v>
      </c>
      <c r="N21">
        <v>0</v>
      </c>
      <c r="O21" t="s">
        <v>86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V21" t="s">
        <v>288</v>
      </c>
    </row>
    <row r="22" spans="1:22" x14ac:dyDescent="0.25">
      <c r="A22" t="s">
        <v>87</v>
      </c>
      <c r="B22">
        <v>15</v>
      </c>
      <c r="C22" s="45">
        <v>0</v>
      </c>
      <c r="D22">
        <v>90</v>
      </c>
      <c r="E22">
        <v>1120</v>
      </c>
      <c r="F22">
        <v>100</v>
      </c>
      <c r="G22">
        <v>0</v>
      </c>
      <c r="H22">
        <v>4.4000000000000004</v>
      </c>
      <c r="I22">
        <v>98</v>
      </c>
      <c r="J22">
        <v>19</v>
      </c>
      <c r="K22">
        <v>1</v>
      </c>
      <c r="L22">
        <v>0</v>
      </c>
      <c r="M22">
        <v>0</v>
      </c>
      <c r="N22">
        <v>0</v>
      </c>
      <c r="O22" t="s">
        <v>87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 t="s">
        <v>288</v>
      </c>
    </row>
    <row r="23" spans="1:22" x14ac:dyDescent="0.25">
      <c r="A23" t="s">
        <v>88</v>
      </c>
      <c r="B23">
        <v>6.7</v>
      </c>
      <c r="C23" s="45">
        <v>0</v>
      </c>
      <c r="D23">
        <v>67</v>
      </c>
      <c r="E23">
        <v>1013</v>
      </c>
      <c r="F23">
        <v>19</v>
      </c>
      <c r="G23">
        <v>0</v>
      </c>
      <c r="H23">
        <v>4.4000000000000004</v>
      </c>
      <c r="I23">
        <v>79.7</v>
      </c>
      <c r="J23">
        <v>19</v>
      </c>
      <c r="K23">
        <v>1</v>
      </c>
      <c r="L23">
        <v>0</v>
      </c>
      <c r="M23">
        <v>0</v>
      </c>
      <c r="N23">
        <v>0</v>
      </c>
      <c r="O23" t="s">
        <v>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  <c r="V23" t="s">
        <v>288</v>
      </c>
    </row>
    <row r="24" spans="1:22" x14ac:dyDescent="0.25">
      <c r="A24" t="s">
        <v>89</v>
      </c>
      <c r="B24">
        <v>7.8</v>
      </c>
      <c r="C24" s="45">
        <v>0</v>
      </c>
      <c r="D24">
        <v>70</v>
      </c>
      <c r="E24">
        <v>1074</v>
      </c>
      <c r="F24">
        <v>90</v>
      </c>
      <c r="G24">
        <v>0</v>
      </c>
      <c r="H24">
        <v>4.4000000000000004</v>
      </c>
      <c r="I24">
        <v>79.7</v>
      </c>
      <c r="J24">
        <v>18</v>
      </c>
      <c r="K24">
        <v>0</v>
      </c>
      <c r="L24">
        <v>0</v>
      </c>
      <c r="M24">
        <v>0</v>
      </c>
      <c r="N24">
        <v>1</v>
      </c>
      <c r="O24" t="s">
        <v>89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  <c r="V24" t="s">
        <v>288</v>
      </c>
    </row>
    <row r="25" spans="1:22" x14ac:dyDescent="0.25">
      <c r="A25" t="s">
        <v>90</v>
      </c>
      <c r="B25">
        <v>6.7</v>
      </c>
      <c r="C25" s="45">
        <v>0</v>
      </c>
      <c r="D25">
        <v>70</v>
      </c>
      <c r="E25">
        <v>1066</v>
      </c>
      <c r="F25">
        <v>30</v>
      </c>
      <c r="G25">
        <v>0</v>
      </c>
      <c r="H25">
        <v>4.4000000000000004</v>
      </c>
      <c r="I25">
        <v>77.3</v>
      </c>
      <c r="J25">
        <v>19</v>
      </c>
      <c r="K25">
        <v>1</v>
      </c>
      <c r="L25">
        <v>0</v>
      </c>
      <c r="M25">
        <v>0</v>
      </c>
      <c r="N25">
        <v>0</v>
      </c>
      <c r="O25" t="s">
        <v>90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  <c r="V25" t="s">
        <v>288</v>
      </c>
    </row>
    <row r="26" spans="1:22" x14ac:dyDescent="0.25">
      <c r="A26" t="s">
        <v>91</v>
      </c>
      <c r="B26">
        <v>0.5</v>
      </c>
      <c r="C26" s="45">
        <v>0</v>
      </c>
      <c r="D26">
        <v>55</v>
      </c>
      <c r="E26">
        <v>1007</v>
      </c>
      <c r="F26">
        <v>30</v>
      </c>
      <c r="G26">
        <v>0</v>
      </c>
      <c r="H26">
        <v>4.4000000000000004</v>
      </c>
      <c r="I26">
        <v>28.6</v>
      </c>
      <c r="J26">
        <v>19</v>
      </c>
      <c r="K26">
        <v>1</v>
      </c>
      <c r="L26">
        <v>0</v>
      </c>
      <c r="M26">
        <v>0</v>
      </c>
      <c r="N26">
        <v>0</v>
      </c>
      <c r="O26" t="s">
        <v>91</v>
      </c>
      <c r="P26" t="s">
        <v>288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  <c r="V26" t="s">
        <v>288</v>
      </c>
    </row>
    <row r="27" spans="1:22" x14ac:dyDescent="0.25">
      <c r="A27" t="s">
        <v>92</v>
      </c>
      <c r="B27">
        <v>7.5</v>
      </c>
      <c r="C27" s="45">
        <v>0</v>
      </c>
      <c r="D27">
        <v>75</v>
      </c>
      <c r="E27">
        <v>1068</v>
      </c>
      <c r="F27">
        <v>30</v>
      </c>
      <c r="G27">
        <v>0</v>
      </c>
      <c r="H27">
        <v>4.4000000000000004</v>
      </c>
      <c r="I27">
        <v>82.1</v>
      </c>
      <c r="J27">
        <v>19</v>
      </c>
      <c r="K27">
        <v>1</v>
      </c>
      <c r="L27">
        <v>0</v>
      </c>
      <c r="M27">
        <v>0</v>
      </c>
      <c r="N27">
        <v>0</v>
      </c>
      <c r="O27" t="s">
        <v>92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  <c r="V27" t="s">
        <v>288</v>
      </c>
    </row>
    <row r="28" spans="1:22" x14ac:dyDescent="0.25">
      <c r="A28" t="s">
        <v>93</v>
      </c>
      <c r="B28">
        <v>5.8</v>
      </c>
      <c r="C28" s="45">
        <v>0</v>
      </c>
      <c r="D28">
        <v>35</v>
      </c>
      <c r="E28">
        <v>1049</v>
      </c>
      <c r="F28">
        <v>44</v>
      </c>
      <c r="G28">
        <v>0</v>
      </c>
      <c r="H28">
        <v>4.4000000000000004</v>
      </c>
      <c r="I28">
        <v>90</v>
      </c>
      <c r="J28">
        <v>19</v>
      </c>
      <c r="K28">
        <v>1</v>
      </c>
      <c r="L28">
        <v>0</v>
      </c>
      <c r="M28">
        <v>0</v>
      </c>
      <c r="N28">
        <v>0</v>
      </c>
      <c r="O28" t="s">
        <v>93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  <c r="V28" t="s">
        <v>288</v>
      </c>
    </row>
    <row r="29" spans="1:22" x14ac:dyDescent="0.25">
      <c r="A29" t="s">
        <v>94</v>
      </c>
      <c r="B29">
        <v>3.6</v>
      </c>
      <c r="C29" s="45">
        <v>0</v>
      </c>
      <c r="D29">
        <v>8</v>
      </c>
      <c r="E29">
        <v>1040</v>
      </c>
      <c r="F29" t="s">
        <v>32</v>
      </c>
      <c r="G29">
        <v>1</v>
      </c>
      <c r="H29">
        <v>3.2</v>
      </c>
      <c r="I29">
        <v>83</v>
      </c>
      <c r="J29">
        <v>21</v>
      </c>
      <c r="K29">
        <v>1</v>
      </c>
      <c r="L29">
        <v>0</v>
      </c>
      <c r="M29">
        <v>0</v>
      </c>
      <c r="N29">
        <v>0</v>
      </c>
      <c r="O29" t="s">
        <v>94</v>
      </c>
      <c r="P29">
        <v>8</v>
      </c>
      <c r="Q29">
        <v>1040</v>
      </c>
      <c r="R29">
        <v>3.6</v>
      </c>
      <c r="S29">
        <v>3.2</v>
      </c>
      <c r="T29">
        <v>83</v>
      </c>
      <c r="U29">
        <v>21</v>
      </c>
      <c r="V29" t="s">
        <v>64</v>
      </c>
    </row>
    <row r="30" spans="1:22" x14ac:dyDescent="0.25">
      <c r="A30" t="s">
        <v>95</v>
      </c>
      <c r="B30">
        <v>10.5</v>
      </c>
      <c r="C30" s="45">
        <v>0</v>
      </c>
      <c r="D30">
        <v>85</v>
      </c>
      <c r="E30">
        <v>1102</v>
      </c>
      <c r="F30">
        <v>64</v>
      </c>
      <c r="G30">
        <v>0</v>
      </c>
      <c r="H30">
        <v>4.4000000000000004</v>
      </c>
      <c r="I30">
        <v>102</v>
      </c>
      <c r="J30">
        <v>21</v>
      </c>
      <c r="K30">
        <v>0</v>
      </c>
      <c r="L30">
        <v>0</v>
      </c>
      <c r="M30">
        <v>0</v>
      </c>
      <c r="N30">
        <v>1</v>
      </c>
      <c r="O30" t="s">
        <v>95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  <c r="V30" t="s">
        <v>288</v>
      </c>
    </row>
    <row r="31" spans="1:22" x14ac:dyDescent="0.25">
      <c r="A31" t="s">
        <v>96</v>
      </c>
      <c r="B31">
        <v>12.5</v>
      </c>
      <c r="C31" s="45">
        <v>0</v>
      </c>
      <c r="D31">
        <v>125</v>
      </c>
      <c r="E31">
        <v>1087</v>
      </c>
      <c r="F31">
        <v>40</v>
      </c>
      <c r="G31">
        <v>0</v>
      </c>
      <c r="H31">
        <v>4.4000000000000004</v>
      </c>
      <c r="I31">
        <v>81.2</v>
      </c>
      <c r="J31">
        <v>21</v>
      </c>
      <c r="K31">
        <v>0</v>
      </c>
      <c r="L31">
        <v>0</v>
      </c>
      <c r="M31">
        <v>0</v>
      </c>
      <c r="N31">
        <v>1</v>
      </c>
      <c r="O31" t="s">
        <v>96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 t="s">
        <v>288</v>
      </c>
    </row>
    <row r="32" spans="1:22" x14ac:dyDescent="0.25">
      <c r="A32" t="s">
        <v>97</v>
      </c>
      <c r="B32">
        <v>7.2</v>
      </c>
      <c r="C32" s="45">
        <v>0</v>
      </c>
      <c r="D32">
        <v>70</v>
      </c>
      <c r="E32">
        <v>1067</v>
      </c>
      <c r="F32">
        <v>30</v>
      </c>
      <c r="G32">
        <v>0</v>
      </c>
      <c r="H32">
        <v>4.4000000000000004</v>
      </c>
      <c r="I32">
        <v>82.1</v>
      </c>
      <c r="J32">
        <v>19</v>
      </c>
      <c r="K32">
        <v>1</v>
      </c>
      <c r="L32">
        <v>0</v>
      </c>
      <c r="M32">
        <v>0</v>
      </c>
      <c r="N32">
        <v>0</v>
      </c>
      <c r="O32" t="s">
        <v>97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  <c r="V32" t="s">
        <v>288</v>
      </c>
    </row>
    <row r="33" spans="1:22" x14ac:dyDescent="0.25">
      <c r="A33" t="s">
        <v>98</v>
      </c>
      <c r="B33">
        <v>8.1999999999999993</v>
      </c>
      <c r="C33" s="45">
        <v>0</v>
      </c>
      <c r="D33">
        <v>70</v>
      </c>
      <c r="E33">
        <v>1076</v>
      </c>
      <c r="F33">
        <v>16</v>
      </c>
      <c r="G33">
        <v>0</v>
      </c>
      <c r="H33">
        <v>4.4000000000000004</v>
      </c>
      <c r="I33">
        <v>83</v>
      </c>
      <c r="J33">
        <v>21</v>
      </c>
      <c r="K33">
        <v>1</v>
      </c>
      <c r="L33">
        <v>0</v>
      </c>
      <c r="M33">
        <v>0</v>
      </c>
      <c r="N33">
        <v>0</v>
      </c>
      <c r="O33" t="s">
        <v>98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  <c r="V33" t="s">
        <v>288</v>
      </c>
    </row>
    <row r="34" spans="1:22" x14ac:dyDescent="0.25">
      <c r="A34" t="s">
        <v>99</v>
      </c>
      <c r="B34">
        <v>10.7</v>
      </c>
      <c r="C34" s="45">
        <v>0</v>
      </c>
      <c r="D34">
        <v>100</v>
      </c>
      <c r="E34">
        <v>1105</v>
      </c>
      <c r="F34">
        <v>300</v>
      </c>
      <c r="G34">
        <v>0</v>
      </c>
      <c r="H34">
        <v>4.3</v>
      </c>
      <c r="I34">
        <v>76.2</v>
      </c>
      <c r="J34">
        <v>21</v>
      </c>
      <c r="K34">
        <v>0</v>
      </c>
      <c r="L34">
        <v>0</v>
      </c>
      <c r="M34">
        <v>0</v>
      </c>
      <c r="N34">
        <v>1</v>
      </c>
      <c r="O34" t="s">
        <v>99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  <c r="V34" t="s">
        <v>288</v>
      </c>
    </row>
    <row r="35" spans="1:22" x14ac:dyDescent="0.25">
      <c r="A35" t="s">
        <v>100</v>
      </c>
      <c r="B35">
        <v>9.1999999999999993</v>
      </c>
      <c r="C35" s="45">
        <v>0</v>
      </c>
      <c r="D35">
        <v>125</v>
      </c>
      <c r="E35">
        <v>1085</v>
      </c>
      <c r="F35">
        <v>40</v>
      </c>
      <c r="G35">
        <v>0</v>
      </c>
      <c r="H35">
        <v>4.4000000000000004</v>
      </c>
      <c r="I35">
        <v>81.2</v>
      </c>
      <c r="J35">
        <v>21</v>
      </c>
      <c r="K35">
        <v>0</v>
      </c>
      <c r="L35">
        <v>0</v>
      </c>
      <c r="M35">
        <v>0</v>
      </c>
      <c r="N35">
        <v>1</v>
      </c>
      <c r="O35" t="s">
        <v>100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  <c r="V35" t="s">
        <v>288</v>
      </c>
    </row>
    <row r="36" spans="1:22" x14ac:dyDescent="0.25">
      <c r="A36" t="s">
        <v>101</v>
      </c>
      <c r="B36">
        <v>7.1</v>
      </c>
      <c r="C36" s="45">
        <v>0</v>
      </c>
      <c r="D36">
        <v>65</v>
      </c>
      <c r="E36">
        <v>1065</v>
      </c>
      <c r="F36">
        <v>13</v>
      </c>
      <c r="G36">
        <v>0</v>
      </c>
      <c r="H36">
        <v>4.4000000000000004</v>
      </c>
      <c r="I36">
        <v>85</v>
      </c>
      <c r="J36">
        <v>9</v>
      </c>
      <c r="K36">
        <v>0</v>
      </c>
      <c r="L36">
        <v>1</v>
      </c>
      <c r="M36">
        <v>0</v>
      </c>
      <c r="N36">
        <v>0</v>
      </c>
      <c r="O36" t="s">
        <v>101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  <c r="V36" t="s">
        <v>288</v>
      </c>
    </row>
    <row r="37" spans="1:22" x14ac:dyDescent="0.25">
      <c r="A37" t="s">
        <v>102</v>
      </c>
      <c r="B37">
        <v>5</v>
      </c>
      <c r="C37" s="45">
        <v>0</v>
      </c>
      <c r="D37">
        <v>47</v>
      </c>
      <c r="E37">
        <v>1048.5</v>
      </c>
      <c r="F37">
        <v>65</v>
      </c>
      <c r="G37">
        <v>0</v>
      </c>
      <c r="H37">
        <v>4.4000000000000004</v>
      </c>
      <c r="I37">
        <v>79.400000000000006</v>
      </c>
      <c r="J37">
        <v>19</v>
      </c>
      <c r="K37">
        <v>1</v>
      </c>
      <c r="L37">
        <v>0</v>
      </c>
      <c r="M37">
        <v>0</v>
      </c>
      <c r="N37">
        <v>0</v>
      </c>
      <c r="O37" t="s">
        <v>102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  <c r="V37" t="s">
        <v>288</v>
      </c>
    </row>
    <row r="38" spans="1:22" x14ac:dyDescent="0.25">
      <c r="A38" t="s">
        <v>103</v>
      </c>
      <c r="B38">
        <v>16.5</v>
      </c>
      <c r="C38" s="45">
        <v>0</v>
      </c>
      <c r="D38">
        <v>20.5</v>
      </c>
      <c r="E38">
        <v>1112</v>
      </c>
      <c r="F38">
        <v>20</v>
      </c>
      <c r="G38">
        <v>0</v>
      </c>
      <c r="H38">
        <v>4.4000000000000004</v>
      </c>
      <c r="I38">
        <v>100</v>
      </c>
      <c r="J38">
        <v>20</v>
      </c>
      <c r="K38">
        <v>0</v>
      </c>
      <c r="L38">
        <v>0</v>
      </c>
      <c r="M38">
        <v>0</v>
      </c>
      <c r="N38">
        <v>1</v>
      </c>
      <c r="O38" t="s">
        <v>103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 t="s">
        <v>288</v>
      </c>
    </row>
    <row r="39" spans="1:22" x14ac:dyDescent="0.25">
      <c r="A39" t="s">
        <v>104</v>
      </c>
      <c r="B39">
        <v>12.8</v>
      </c>
      <c r="C39" s="45">
        <v>0</v>
      </c>
      <c r="D39">
        <v>50</v>
      </c>
      <c r="E39">
        <v>1096</v>
      </c>
      <c r="F39">
        <v>111</v>
      </c>
      <c r="G39">
        <v>0</v>
      </c>
      <c r="H39">
        <v>4.4000000000000004</v>
      </c>
      <c r="I39">
        <v>79.17</v>
      </c>
      <c r="J39">
        <v>21</v>
      </c>
      <c r="K39">
        <v>0</v>
      </c>
      <c r="L39">
        <v>0</v>
      </c>
      <c r="M39">
        <v>0</v>
      </c>
      <c r="N39">
        <v>1</v>
      </c>
      <c r="O39" t="s">
        <v>104</v>
      </c>
      <c r="P39" t="s">
        <v>288</v>
      </c>
      <c r="Q39" t="s">
        <v>288</v>
      </c>
      <c r="R39" t="s">
        <v>288</v>
      </c>
      <c r="S39" t="s">
        <v>288</v>
      </c>
      <c r="T39" t="s">
        <v>288</v>
      </c>
      <c r="U39" t="s">
        <v>288</v>
      </c>
      <c r="V39" t="s">
        <v>288</v>
      </c>
    </row>
    <row r="40" spans="1:22" x14ac:dyDescent="0.25">
      <c r="A40" t="s">
        <v>105</v>
      </c>
      <c r="B40">
        <v>6.7</v>
      </c>
      <c r="C40" s="45">
        <v>0</v>
      </c>
      <c r="D40">
        <v>70</v>
      </c>
      <c r="E40">
        <v>1066</v>
      </c>
      <c r="F40">
        <v>30</v>
      </c>
      <c r="G40">
        <v>0</v>
      </c>
      <c r="H40">
        <v>4.4000000000000004</v>
      </c>
      <c r="I40">
        <v>77.3</v>
      </c>
      <c r="J40">
        <v>19</v>
      </c>
      <c r="K40">
        <v>1</v>
      </c>
      <c r="L40">
        <v>0</v>
      </c>
      <c r="M40">
        <v>0</v>
      </c>
      <c r="N40">
        <v>0</v>
      </c>
      <c r="O40" t="s">
        <v>105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  <c r="V40" t="s">
        <v>288</v>
      </c>
    </row>
    <row r="41" spans="1:22" x14ac:dyDescent="0.25">
      <c r="A41" t="s">
        <v>106</v>
      </c>
      <c r="B41">
        <v>10</v>
      </c>
      <c r="C41" s="45">
        <v>0</v>
      </c>
      <c r="D41">
        <v>35</v>
      </c>
      <c r="E41">
        <v>1080</v>
      </c>
      <c r="F41">
        <v>80</v>
      </c>
      <c r="G41">
        <v>0</v>
      </c>
      <c r="H41">
        <v>4.4000000000000004</v>
      </c>
      <c r="I41">
        <v>85</v>
      </c>
      <c r="J41">
        <v>19</v>
      </c>
      <c r="K41">
        <v>0</v>
      </c>
      <c r="L41">
        <v>0</v>
      </c>
      <c r="M41">
        <v>0</v>
      </c>
      <c r="N41">
        <v>1</v>
      </c>
      <c r="O41" t="s">
        <v>106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</row>
    <row r="42" spans="1:22" x14ac:dyDescent="0.25">
      <c r="A42" t="s">
        <v>107</v>
      </c>
      <c r="B42" t="s">
        <v>32</v>
      </c>
      <c r="C42" s="45">
        <v>1</v>
      </c>
      <c r="D42">
        <v>20</v>
      </c>
      <c r="E42">
        <v>1048</v>
      </c>
      <c r="F42">
        <v>14</v>
      </c>
      <c r="G42">
        <v>0</v>
      </c>
      <c r="H42">
        <v>4.2</v>
      </c>
      <c r="I42">
        <v>89.6</v>
      </c>
      <c r="J42">
        <v>22</v>
      </c>
      <c r="K42">
        <v>0</v>
      </c>
      <c r="L42">
        <v>0</v>
      </c>
      <c r="M42">
        <v>1</v>
      </c>
      <c r="N42">
        <v>0</v>
      </c>
      <c r="O42" t="s">
        <v>107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 t="s">
        <v>288</v>
      </c>
    </row>
    <row r="43" spans="1:22" x14ac:dyDescent="0.25">
      <c r="A43" t="s">
        <v>108</v>
      </c>
      <c r="B43">
        <v>10</v>
      </c>
      <c r="C43" s="45">
        <v>0</v>
      </c>
      <c r="D43">
        <v>55</v>
      </c>
      <c r="E43">
        <v>1090</v>
      </c>
      <c r="F43">
        <v>300</v>
      </c>
      <c r="G43">
        <v>0</v>
      </c>
      <c r="H43">
        <v>4.4000000000000004</v>
      </c>
      <c r="I43">
        <v>84.4</v>
      </c>
      <c r="J43">
        <v>21</v>
      </c>
      <c r="K43">
        <v>0</v>
      </c>
      <c r="L43">
        <v>0</v>
      </c>
      <c r="M43">
        <v>0</v>
      </c>
      <c r="N43">
        <v>1</v>
      </c>
      <c r="O43" t="s">
        <v>108</v>
      </c>
      <c r="P43" t="s">
        <v>288</v>
      </c>
      <c r="Q43" t="s">
        <v>288</v>
      </c>
      <c r="R43" t="s">
        <v>288</v>
      </c>
      <c r="S43" t="s">
        <v>288</v>
      </c>
      <c r="T43" t="s">
        <v>288</v>
      </c>
      <c r="U43" t="s">
        <v>288</v>
      </c>
      <c r="V43" t="s">
        <v>288</v>
      </c>
    </row>
    <row r="44" spans="1:22" x14ac:dyDescent="0.25">
      <c r="A44" t="s">
        <v>109</v>
      </c>
      <c r="B44">
        <v>4.5</v>
      </c>
      <c r="C44" s="45">
        <v>0</v>
      </c>
      <c r="D44">
        <v>35</v>
      </c>
      <c r="E44">
        <v>1048</v>
      </c>
      <c r="F44">
        <v>40</v>
      </c>
      <c r="G44">
        <v>0</v>
      </c>
      <c r="H44">
        <v>4.4000000000000004</v>
      </c>
      <c r="I44">
        <v>72.900000000000006</v>
      </c>
      <c r="J44">
        <v>19</v>
      </c>
      <c r="K44">
        <v>1</v>
      </c>
      <c r="L44">
        <v>0</v>
      </c>
      <c r="M44">
        <v>0</v>
      </c>
      <c r="N44">
        <v>0</v>
      </c>
      <c r="O44" t="s">
        <v>109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  <c r="V44" t="s">
        <v>288</v>
      </c>
    </row>
    <row r="45" spans="1:22" x14ac:dyDescent="0.25">
      <c r="A45" t="s">
        <v>110</v>
      </c>
      <c r="B45">
        <v>7.4</v>
      </c>
      <c r="C45" s="45">
        <v>0</v>
      </c>
      <c r="D45">
        <v>65</v>
      </c>
      <c r="E45">
        <v>1069</v>
      </c>
      <c r="F45">
        <v>60</v>
      </c>
      <c r="G45">
        <v>0</v>
      </c>
      <c r="H45">
        <v>4.2</v>
      </c>
      <c r="I45">
        <v>82.6</v>
      </c>
      <c r="J45">
        <v>18</v>
      </c>
      <c r="K45">
        <v>1</v>
      </c>
      <c r="L45">
        <v>0</v>
      </c>
      <c r="M45">
        <v>0</v>
      </c>
      <c r="N45">
        <v>0</v>
      </c>
      <c r="O45" t="s">
        <v>110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  <c r="V45" t="s">
        <v>288</v>
      </c>
    </row>
    <row r="46" spans="1:22" x14ac:dyDescent="0.25">
      <c r="A46" t="s">
        <v>111</v>
      </c>
      <c r="B46">
        <v>7.2</v>
      </c>
      <c r="C46" s="45">
        <v>0</v>
      </c>
      <c r="D46">
        <v>70</v>
      </c>
      <c r="E46">
        <v>1067</v>
      </c>
      <c r="F46">
        <v>30</v>
      </c>
      <c r="G46">
        <v>0</v>
      </c>
      <c r="H46">
        <v>4.4000000000000004</v>
      </c>
      <c r="I46">
        <v>82.1</v>
      </c>
      <c r="J46">
        <v>19</v>
      </c>
      <c r="K46">
        <v>1</v>
      </c>
      <c r="L46">
        <v>0</v>
      </c>
      <c r="M46">
        <v>0</v>
      </c>
      <c r="N46">
        <v>0</v>
      </c>
      <c r="O46" t="s">
        <v>111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  <c r="V46" t="s">
        <v>288</v>
      </c>
    </row>
    <row r="47" spans="1:22" x14ac:dyDescent="0.25">
      <c r="A47" t="s">
        <v>112</v>
      </c>
      <c r="B47">
        <v>9.5</v>
      </c>
      <c r="C47" s="45">
        <v>0</v>
      </c>
      <c r="D47">
        <v>85</v>
      </c>
      <c r="E47">
        <v>1095</v>
      </c>
      <c r="F47">
        <v>250</v>
      </c>
      <c r="G47">
        <v>0</v>
      </c>
      <c r="H47">
        <v>4.4000000000000004</v>
      </c>
      <c r="I47">
        <v>76.8</v>
      </c>
      <c r="J47">
        <v>18</v>
      </c>
      <c r="K47">
        <v>0</v>
      </c>
      <c r="L47">
        <v>0</v>
      </c>
      <c r="M47">
        <v>0</v>
      </c>
      <c r="N47">
        <v>1</v>
      </c>
      <c r="O47" t="s">
        <v>112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 t="s">
        <v>288</v>
      </c>
    </row>
    <row r="48" spans="1:22" x14ac:dyDescent="0.25">
      <c r="A48" t="s">
        <v>113</v>
      </c>
      <c r="B48">
        <v>9.1999999999999993</v>
      </c>
      <c r="C48" s="45">
        <v>0</v>
      </c>
      <c r="D48">
        <v>149</v>
      </c>
      <c r="E48">
        <v>1083</v>
      </c>
      <c r="F48">
        <v>19.5</v>
      </c>
      <c r="G48">
        <v>0</v>
      </c>
      <c r="H48">
        <v>4.4000000000000004</v>
      </c>
      <c r="I48">
        <v>83</v>
      </c>
      <c r="J48">
        <v>19</v>
      </c>
      <c r="K48">
        <v>0</v>
      </c>
      <c r="L48">
        <v>0</v>
      </c>
      <c r="M48">
        <v>0</v>
      </c>
      <c r="N48">
        <v>1</v>
      </c>
      <c r="O48" t="s">
        <v>113</v>
      </c>
      <c r="P48" t="s">
        <v>288</v>
      </c>
      <c r="Q48" t="s">
        <v>288</v>
      </c>
      <c r="R48" t="s">
        <v>288</v>
      </c>
      <c r="S48" t="s">
        <v>288</v>
      </c>
      <c r="T48" t="s">
        <v>288</v>
      </c>
      <c r="U48" t="s">
        <v>288</v>
      </c>
      <c r="V48" t="s">
        <v>288</v>
      </c>
    </row>
    <row r="49" spans="1:22" x14ac:dyDescent="0.25">
      <c r="A49" t="s">
        <v>114</v>
      </c>
      <c r="B49">
        <v>9</v>
      </c>
      <c r="C49" s="45">
        <v>0</v>
      </c>
      <c r="D49">
        <v>65</v>
      </c>
      <c r="E49">
        <v>1080</v>
      </c>
      <c r="F49">
        <v>97</v>
      </c>
      <c r="G49">
        <v>0</v>
      </c>
      <c r="H49">
        <v>4.4000000000000004</v>
      </c>
      <c r="I49">
        <v>76</v>
      </c>
      <c r="J49">
        <v>19</v>
      </c>
      <c r="K49">
        <v>1</v>
      </c>
      <c r="L49">
        <v>0</v>
      </c>
      <c r="M49">
        <v>0</v>
      </c>
      <c r="N49">
        <v>0</v>
      </c>
      <c r="O49" t="s">
        <v>114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  <c r="V49" t="s">
        <v>288</v>
      </c>
    </row>
    <row r="50" spans="1:22" x14ac:dyDescent="0.25">
      <c r="A50" t="s">
        <v>115</v>
      </c>
      <c r="B50">
        <v>7.2</v>
      </c>
      <c r="C50" s="45">
        <v>0</v>
      </c>
      <c r="D50">
        <v>100</v>
      </c>
      <c r="E50">
        <v>1064</v>
      </c>
      <c r="F50">
        <v>12</v>
      </c>
      <c r="G50">
        <v>0</v>
      </c>
      <c r="H50">
        <v>4.4000000000000004</v>
      </c>
      <c r="I50">
        <v>84</v>
      </c>
      <c r="J50">
        <v>19</v>
      </c>
      <c r="K50">
        <v>1</v>
      </c>
      <c r="L50">
        <v>0</v>
      </c>
      <c r="M50">
        <v>0</v>
      </c>
      <c r="N50">
        <v>0</v>
      </c>
      <c r="O50" t="s">
        <v>115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288</v>
      </c>
      <c r="V50" t="s">
        <v>288</v>
      </c>
    </row>
    <row r="51" spans="1:22" x14ac:dyDescent="0.25">
      <c r="A51" t="s">
        <v>116</v>
      </c>
      <c r="B51">
        <v>7.5</v>
      </c>
      <c r="C51" s="45">
        <v>0</v>
      </c>
      <c r="D51">
        <v>30</v>
      </c>
      <c r="E51">
        <v>1080</v>
      </c>
      <c r="F51">
        <v>46</v>
      </c>
      <c r="G51">
        <v>0</v>
      </c>
      <c r="H51">
        <v>4.5</v>
      </c>
      <c r="I51">
        <v>70</v>
      </c>
      <c r="J51">
        <v>12</v>
      </c>
      <c r="K51">
        <v>0</v>
      </c>
      <c r="L51">
        <v>1</v>
      </c>
      <c r="M51">
        <v>0</v>
      </c>
      <c r="N51">
        <v>0</v>
      </c>
      <c r="O51" t="s">
        <v>116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  <c r="V51" t="s">
        <v>288</v>
      </c>
    </row>
    <row r="52" spans="1:22" x14ac:dyDescent="0.25">
      <c r="A52" t="s">
        <v>117</v>
      </c>
      <c r="B52" t="s">
        <v>32</v>
      </c>
      <c r="C52" s="45">
        <v>1</v>
      </c>
      <c r="D52">
        <v>30</v>
      </c>
      <c r="E52">
        <v>1043</v>
      </c>
      <c r="F52">
        <v>15</v>
      </c>
      <c r="G52">
        <v>0</v>
      </c>
      <c r="H52">
        <v>4.4000000000000004</v>
      </c>
      <c r="I52">
        <v>81.400000000000006</v>
      </c>
      <c r="J52">
        <v>23</v>
      </c>
      <c r="K52">
        <v>0</v>
      </c>
      <c r="L52">
        <v>0</v>
      </c>
      <c r="M52">
        <v>1</v>
      </c>
      <c r="N52">
        <v>0</v>
      </c>
      <c r="O52" t="s">
        <v>117</v>
      </c>
      <c r="P52" t="s">
        <v>288</v>
      </c>
      <c r="Q52" t="s">
        <v>288</v>
      </c>
      <c r="R52" t="s">
        <v>288</v>
      </c>
      <c r="S52" t="s">
        <v>288</v>
      </c>
      <c r="T52" t="s">
        <v>288</v>
      </c>
      <c r="U52" t="s">
        <v>288</v>
      </c>
      <c r="V52" t="s">
        <v>288</v>
      </c>
    </row>
    <row r="53" spans="1:22" x14ac:dyDescent="0.25">
      <c r="A53" t="s">
        <v>118</v>
      </c>
      <c r="B53">
        <v>10.43</v>
      </c>
      <c r="C53" s="45">
        <v>0</v>
      </c>
      <c r="D53">
        <v>65</v>
      </c>
      <c r="E53">
        <v>1095</v>
      </c>
      <c r="F53">
        <v>23</v>
      </c>
      <c r="G53">
        <v>0</v>
      </c>
      <c r="H53">
        <v>4.4000000000000004</v>
      </c>
      <c r="I53">
        <v>83.2</v>
      </c>
      <c r="J53">
        <v>21</v>
      </c>
      <c r="K53">
        <v>0</v>
      </c>
      <c r="L53">
        <v>0</v>
      </c>
      <c r="M53">
        <v>0</v>
      </c>
      <c r="N53">
        <v>1</v>
      </c>
      <c r="O53" t="s">
        <v>118</v>
      </c>
      <c r="P53" t="s">
        <v>288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  <c r="V53" t="s">
        <v>288</v>
      </c>
    </row>
    <row r="54" spans="1:22" x14ac:dyDescent="0.25">
      <c r="A54" t="s">
        <v>119</v>
      </c>
      <c r="B54">
        <v>7.1</v>
      </c>
      <c r="C54" s="45">
        <v>0</v>
      </c>
      <c r="D54">
        <v>68</v>
      </c>
      <c r="E54">
        <v>1056</v>
      </c>
      <c r="F54">
        <v>14</v>
      </c>
      <c r="G54">
        <v>0</v>
      </c>
      <c r="H54">
        <v>4.4000000000000004</v>
      </c>
      <c r="I54">
        <v>82.1</v>
      </c>
      <c r="J54">
        <v>10</v>
      </c>
      <c r="K54">
        <v>0</v>
      </c>
      <c r="L54">
        <v>1</v>
      </c>
      <c r="M54">
        <v>0</v>
      </c>
      <c r="N54">
        <v>0</v>
      </c>
      <c r="O54" t="s">
        <v>119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  <c r="V54" t="s">
        <v>288</v>
      </c>
    </row>
    <row r="55" spans="1:22" x14ac:dyDescent="0.25">
      <c r="A55" t="s">
        <v>120</v>
      </c>
      <c r="B55">
        <v>8</v>
      </c>
      <c r="C55" s="45">
        <v>0</v>
      </c>
      <c r="D55">
        <v>35</v>
      </c>
      <c r="E55">
        <v>1077</v>
      </c>
      <c r="F55">
        <v>15</v>
      </c>
      <c r="G55">
        <v>0</v>
      </c>
      <c r="H55">
        <v>4.4000000000000004</v>
      </c>
      <c r="I55">
        <v>79.2</v>
      </c>
      <c r="J55">
        <v>9</v>
      </c>
      <c r="K55">
        <v>0</v>
      </c>
      <c r="L55">
        <v>1</v>
      </c>
      <c r="M55">
        <v>0</v>
      </c>
      <c r="N55">
        <v>0</v>
      </c>
      <c r="O55" t="s">
        <v>120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  <c r="V55" t="s">
        <v>288</v>
      </c>
    </row>
    <row r="56" spans="1:22" x14ac:dyDescent="0.25">
      <c r="A56" t="s">
        <v>121</v>
      </c>
      <c r="B56">
        <v>5</v>
      </c>
      <c r="C56" s="45">
        <v>0</v>
      </c>
      <c r="D56">
        <v>50</v>
      </c>
      <c r="E56">
        <v>1049</v>
      </c>
      <c r="F56">
        <v>110</v>
      </c>
      <c r="G56">
        <v>0</v>
      </c>
      <c r="H56">
        <v>4.4000000000000004</v>
      </c>
      <c r="I56">
        <v>79</v>
      </c>
      <c r="J56">
        <v>19</v>
      </c>
      <c r="K56">
        <v>1</v>
      </c>
      <c r="L56">
        <v>0</v>
      </c>
      <c r="M56">
        <v>0</v>
      </c>
      <c r="N56">
        <v>0</v>
      </c>
      <c r="O56" t="s">
        <v>121</v>
      </c>
      <c r="P56" t="s">
        <v>288</v>
      </c>
      <c r="Q56" t="s">
        <v>288</v>
      </c>
      <c r="R56" t="s">
        <v>288</v>
      </c>
      <c r="S56" t="s">
        <v>288</v>
      </c>
      <c r="T56" t="s">
        <v>288</v>
      </c>
      <c r="U56" t="s">
        <v>288</v>
      </c>
      <c r="V56" t="s">
        <v>288</v>
      </c>
    </row>
    <row r="57" spans="1:22" x14ac:dyDescent="0.25">
      <c r="A57" t="s">
        <v>122</v>
      </c>
      <c r="B57">
        <v>5.4</v>
      </c>
      <c r="C57" s="45">
        <v>0</v>
      </c>
      <c r="D57">
        <v>35</v>
      </c>
      <c r="E57">
        <v>1050</v>
      </c>
      <c r="F57">
        <v>11.5</v>
      </c>
      <c r="G57">
        <v>0</v>
      </c>
      <c r="H57">
        <v>4.4000000000000004</v>
      </c>
      <c r="I57">
        <v>84</v>
      </c>
      <c r="J57">
        <v>19</v>
      </c>
      <c r="K57">
        <v>1</v>
      </c>
      <c r="L57">
        <v>0</v>
      </c>
      <c r="M57">
        <v>0</v>
      </c>
      <c r="N57">
        <v>0</v>
      </c>
      <c r="O57" t="s">
        <v>122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  <c r="V57" t="s">
        <v>288</v>
      </c>
    </row>
    <row r="58" spans="1:22" x14ac:dyDescent="0.25">
      <c r="A58" t="s">
        <v>123</v>
      </c>
      <c r="B58">
        <v>4.0999999999999996</v>
      </c>
      <c r="C58" s="45">
        <v>0</v>
      </c>
      <c r="D58">
        <v>65</v>
      </c>
      <c r="E58">
        <v>1042</v>
      </c>
      <c r="F58">
        <v>17</v>
      </c>
      <c r="G58">
        <v>0</v>
      </c>
      <c r="H58">
        <v>4.4000000000000004</v>
      </c>
      <c r="I58">
        <v>76.2</v>
      </c>
      <c r="J58">
        <v>19</v>
      </c>
      <c r="K58">
        <v>0</v>
      </c>
      <c r="L58">
        <v>0</v>
      </c>
      <c r="M58">
        <v>0</v>
      </c>
      <c r="N58">
        <v>1</v>
      </c>
      <c r="O58" t="s">
        <v>123</v>
      </c>
      <c r="P58" t="s">
        <v>288</v>
      </c>
      <c r="Q58" t="s">
        <v>288</v>
      </c>
      <c r="R58" t="s">
        <v>288</v>
      </c>
      <c r="S58" t="s">
        <v>288</v>
      </c>
      <c r="T58" t="s">
        <v>288</v>
      </c>
      <c r="U58" t="s">
        <v>288</v>
      </c>
      <c r="V58" t="s">
        <v>288</v>
      </c>
    </row>
    <row r="59" spans="1:22" x14ac:dyDescent="0.25">
      <c r="A59" t="s">
        <v>124</v>
      </c>
      <c r="B59">
        <v>10.199999999999999</v>
      </c>
      <c r="C59" s="45">
        <v>0</v>
      </c>
      <c r="D59">
        <v>50</v>
      </c>
      <c r="E59">
        <v>1026</v>
      </c>
      <c r="F59">
        <v>197</v>
      </c>
      <c r="G59">
        <v>0</v>
      </c>
      <c r="H59">
        <v>4.4000000000000004</v>
      </c>
      <c r="I59">
        <v>74.5</v>
      </c>
      <c r="J59">
        <v>21</v>
      </c>
      <c r="K59">
        <v>0</v>
      </c>
      <c r="L59">
        <v>0</v>
      </c>
      <c r="M59">
        <v>0</v>
      </c>
      <c r="N59">
        <v>1</v>
      </c>
      <c r="O59" t="s">
        <v>124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  <c r="V59" t="s">
        <v>288</v>
      </c>
    </row>
    <row r="60" spans="1:22" x14ac:dyDescent="0.25">
      <c r="A60" t="s">
        <v>125</v>
      </c>
      <c r="B60">
        <v>4</v>
      </c>
      <c r="C60" s="45">
        <v>0</v>
      </c>
      <c r="D60">
        <v>35</v>
      </c>
      <c r="E60">
        <v>1041</v>
      </c>
      <c r="F60">
        <v>45</v>
      </c>
      <c r="G60">
        <v>0</v>
      </c>
      <c r="H60">
        <v>5.2</v>
      </c>
      <c r="I60">
        <v>75.599999999999994</v>
      </c>
      <c r="J60">
        <v>19</v>
      </c>
      <c r="K60">
        <v>1</v>
      </c>
      <c r="L60">
        <v>0</v>
      </c>
      <c r="M60">
        <v>0</v>
      </c>
      <c r="N60">
        <v>0</v>
      </c>
      <c r="O60" t="s">
        <v>125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  <c r="V60" t="s">
        <v>288</v>
      </c>
    </row>
    <row r="61" spans="1:22" x14ac:dyDescent="0.25">
      <c r="A61" t="s">
        <v>126</v>
      </c>
      <c r="B61">
        <v>7</v>
      </c>
      <c r="C61" s="45">
        <v>0</v>
      </c>
      <c r="D61">
        <v>20</v>
      </c>
      <c r="E61">
        <v>1081</v>
      </c>
      <c r="F61">
        <v>12</v>
      </c>
      <c r="G61">
        <v>0</v>
      </c>
      <c r="H61">
        <v>3.2</v>
      </c>
      <c r="I61">
        <v>74</v>
      </c>
      <c r="J61">
        <v>19</v>
      </c>
      <c r="K61">
        <v>0</v>
      </c>
      <c r="L61">
        <v>0</v>
      </c>
      <c r="M61">
        <v>0</v>
      </c>
      <c r="N61">
        <v>1</v>
      </c>
      <c r="O61" t="s">
        <v>126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 t="s">
        <v>288</v>
      </c>
    </row>
    <row r="62" spans="1:22" x14ac:dyDescent="0.25">
      <c r="A62" t="s">
        <v>127</v>
      </c>
      <c r="B62">
        <v>12.7</v>
      </c>
      <c r="C62" s="45">
        <v>0</v>
      </c>
      <c r="D62">
        <v>85</v>
      </c>
      <c r="E62">
        <v>1113.5</v>
      </c>
      <c r="F62">
        <v>250</v>
      </c>
      <c r="G62">
        <v>0</v>
      </c>
      <c r="H62">
        <v>5.2</v>
      </c>
      <c r="I62">
        <v>76.8</v>
      </c>
      <c r="J62">
        <v>18</v>
      </c>
      <c r="K62">
        <v>0</v>
      </c>
      <c r="L62">
        <v>0</v>
      </c>
      <c r="M62">
        <v>0</v>
      </c>
      <c r="N62">
        <v>1</v>
      </c>
      <c r="O62" t="s">
        <v>127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  <c r="V62" t="s">
        <v>288</v>
      </c>
    </row>
    <row r="63" spans="1:22" x14ac:dyDescent="0.25">
      <c r="A63" t="s">
        <v>128</v>
      </c>
      <c r="B63">
        <v>6.5</v>
      </c>
      <c r="C63" s="45">
        <v>0</v>
      </c>
      <c r="D63">
        <v>35</v>
      </c>
      <c r="E63">
        <v>1050</v>
      </c>
      <c r="F63">
        <v>23</v>
      </c>
      <c r="G63">
        <v>0</v>
      </c>
      <c r="H63">
        <v>4.4000000000000004</v>
      </c>
      <c r="I63">
        <v>76</v>
      </c>
      <c r="J63">
        <v>18</v>
      </c>
      <c r="K63">
        <v>1</v>
      </c>
      <c r="L63">
        <v>0</v>
      </c>
      <c r="M63">
        <v>0</v>
      </c>
      <c r="N63">
        <v>0</v>
      </c>
      <c r="O63" t="s">
        <v>128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  <c r="V63" t="s">
        <v>288</v>
      </c>
    </row>
    <row r="64" spans="1:22" x14ac:dyDescent="0.25">
      <c r="A64" t="s">
        <v>129</v>
      </c>
      <c r="B64">
        <v>7.5</v>
      </c>
      <c r="C64" s="45">
        <v>0</v>
      </c>
      <c r="D64">
        <v>50</v>
      </c>
      <c r="E64">
        <v>1070</v>
      </c>
      <c r="F64">
        <v>40</v>
      </c>
      <c r="G64">
        <v>0</v>
      </c>
      <c r="H64">
        <v>4.4000000000000004</v>
      </c>
      <c r="I64">
        <v>81.400000000000006</v>
      </c>
      <c r="J64">
        <v>21</v>
      </c>
      <c r="K64">
        <v>0</v>
      </c>
      <c r="L64">
        <v>0</v>
      </c>
      <c r="M64">
        <v>0</v>
      </c>
      <c r="N64">
        <v>1</v>
      </c>
      <c r="O64" t="s">
        <v>129</v>
      </c>
      <c r="P64" t="s">
        <v>288</v>
      </c>
      <c r="Q64" t="s">
        <v>288</v>
      </c>
      <c r="R64" t="s">
        <v>288</v>
      </c>
      <c r="S64" t="s">
        <v>288</v>
      </c>
      <c r="T64" t="s">
        <v>288</v>
      </c>
      <c r="U64" t="s">
        <v>288</v>
      </c>
      <c r="V64" t="s">
        <v>288</v>
      </c>
    </row>
    <row r="65" spans="1:22" x14ac:dyDescent="0.25">
      <c r="A65" t="s">
        <v>130</v>
      </c>
      <c r="B65">
        <v>4.2</v>
      </c>
      <c r="C65" s="45">
        <v>0</v>
      </c>
      <c r="D65">
        <v>50</v>
      </c>
      <c r="E65">
        <v>1042</v>
      </c>
      <c r="F65">
        <v>30</v>
      </c>
      <c r="G65">
        <v>0</v>
      </c>
      <c r="H65">
        <v>4.4000000000000004</v>
      </c>
      <c r="I65">
        <v>76.2</v>
      </c>
      <c r="J65">
        <v>19</v>
      </c>
      <c r="K65">
        <v>1</v>
      </c>
      <c r="L65">
        <v>0</v>
      </c>
      <c r="M65">
        <v>0</v>
      </c>
      <c r="N65">
        <v>0</v>
      </c>
      <c r="O65" t="s">
        <v>130</v>
      </c>
      <c r="P65" t="s">
        <v>288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  <c r="V65" t="s">
        <v>288</v>
      </c>
    </row>
    <row r="66" spans="1:22" x14ac:dyDescent="0.25">
      <c r="A66" t="s">
        <v>131</v>
      </c>
      <c r="B66">
        <v>11.8</v>
      </c>
      <c r="C66" s="45">
        <v>0</v>
      </c>
      <c r="D66">
        <v>80</v>
      </c>
      <c r="E66">
        <v>1096</v>
      </c>
      <c r="F66">
        <v>115</v>
      </c>
      <c r="G66">
        <v>0</v>
      </c>
      <c r="H66">
        <v>5.2</v>
      </c>
      <c r="I66">
        <v>79.2</v>
      </c>
      <c r="J66">
        <v>20</v>
      </c>
      <c r="K66">
        <v>0</v>
      </c>
      <c r="L66">
        <v>0</v>
      </c>
      <c r="M66">
        <v>0</v>
      </c>
      <c r="N66">
        <v>1</v>
      </c>
      <c r="O66" t="s">
        <v>131</v>
      </c>
      <c r="P66" t="s">
        <v>288</v>
      </c>
      <c r="Q66" t="s">
        <v>288</v>
      </c>
      <c r="R66" t="s">
        <v>288</v>
      </c>
      <c r="S66" t="s">
        <v>288</v>
      </c>
      <c r="T66" t="s">
        <v>288</v>
      </c>
      <c r="U66" t="s">
        <v>288</v>
      </c>
      <c r="V66" t="s">
        <v>288</v>
      </c>
    </row>
    <row r="67" spans="1:22" x14ac:dyDescent="0.25">
      <c r="A67" t="s">
        <v>132</v>
      </c>
      <c r="B67">
        <v>7.6</v>
      </c>
      <c r="C67" s="45">
        <v>0</v>
      </c>
      <c r="D67">
        <v>70</v>
      </c>
      <c r="E67">
        <v>1073</v>
      </c>
      <c r="F67">
        <v>59</v>
      </c>
      <c r="G67">
        <v>0</v>
      </c>
      <c r="H67">
        <v>4.4000000000000004</v>
      </c>
      <c r="I67">
        <v>79.5</v>
      </c>
      <c r="J67">
        <v>20</v>
      </c>
      <c r="K67">
        <v>0</v>
      </c>
      <c r="L67">
        <v>0</v>
      </c>
      <c r="M67">
        <v>0</v>
      </c>
      <c r="N67">
        <v>1</v>
      </c>
      <c r="O67" t="s">
        <v>132</v>
      </c>
      <c r="P67" t="s">
        <v>288</v>
      </c>
      <c r="Q67" t="s">
        <v>288</v>
      </c>
      <c r="R67" t="s">
        <v>288</v>
      </c>
      <c r="S67" t="s">
        <v>288</v>
      </c>
      <c r="T67" t="s">
        <v>288</v>
      </c>
      <c r="U67" t="s">
        <v>288</v>
      </c>
      <c r="V67" t="s">
        <v>288</v>
      </c>
    </row>
    <row r="68" spans="1:22" x14ac:dyDescent="0.25">
      <c r="A68" t="s">
        <v>133</v>
      </c>
      <c r="B68">
        <v>15</v>
      </c>
      <c r="C68" s="45">
        <v>0</v>
      </c>
      <c r="D68">
        <v>80</v>
      </c>
      <c r="E68">
        <v>1113</v>
      </c>
      <c r="F68">
        <v>400</v>
      </c>
      <c r="G68">
        <v>0</v>
      </c>
      <c r="H68">
        <v>4</v>
      </c>
      <c r="I68">
        <v>84.1</v>
      </c>
      <c r="J68">
        <v>21</v>
      </c>
      <c r="K68">
        <v>0</v>
      </c>
      <c r="L68">
        <v>0</v>
      </c>
      <c r="M68">
        <v>0</v>
      </c>
      <c r="N68">
        <v>1</v>
      </c>
      <c r="O68" t="s">
        <v>133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  <c r="V68" t="s">
        <v>288</v>
      </c>
    </row>
    <row r="69" spans="1:22" x14ac:dyDescent="0.25">
      <c r="A69" t="s">
        <v>134</v>
      </c>
      <c r="B69">
        <v>4.4000000000000004</v>
      </c>
      <c r="C69" s="45">
        <v>0</v>
      </c>
      <c r="D69">
        <v>35</v>
      </c>
      <c r="E69">
        <v>1040</v>
      </c>
      <c r="F69">
        <v>12</v>
      </c>
      <c r="G69">
        <v>0</v>
      </c>
      <c r="H69">
        <v>4.4000000000000004</v>
      </c>
      <c r="I69">
        <v>79.5</v>
      </c>
      <c r="J69">
        <v>10</v>
      </c>
      <c r="K69">
        <v>0</v>
      </c>
      <c r="L69">
        <v>1</v>
      </c>
      <c r="M69">
        <v>0</v>
      </c>
      <c r="N69">
        <v>0</v>
      </c>
      <c r="O69" t="s">
        <v>134</v>
      </c>
      <c r="P69" t="s">
        <v>288</v>
      </c>
      <c r="Q69" t="s">
        <v>288</v>
      </c>
      <c r="R69" t="s">
        <v>288</v>
      </c>
      <c r="S69" t="s">
        <v>288</v>
      </c>
      <c r="T69" t="s">
        <v>288</v>
      </c>
      <c r="U69" t="s">
        <v>288</v>
      </c>
      <c r="V69" t="s">
        <v>288</v>
      </c>
    </row>
    <row r="70" spans="1:22" x14ac:dyDescent="0.25">
      <c r="A70" t="s">
        <v>135</v>
      </c>
      <c r="B70">
        <v>6.3</v>
      </c>
      <c r="C70" s="45">
        <v>0</v>
      </c>
      <c r="D70">
        <v>85</v>
      </c>
      <c r="E70">
        <v>1063</v>
      </c>
      <c r="F70">
        <v>24</v>
      </c>
      <c r="G70">
        <v>0</v>
      </c>
      <c r="H70">
        <v>4.2</v>
      </c>
      <c r="I70">
        <v>82.6</v>
      </c>
      <c r="J70">
        <v>19</v>
      </c>
      <c r="K70">
        <v>1</v>
      </c>
      <c r="L70">
        <v>0</v>
      </c>
      <c r="M70">
        <v>0</v>
      </c>
      <c r="N70">
        <v>0</v>
      </c>
      <c r="O70" t="s">
        <v>135</v>
      </c>
      <c r="P70" t="s">
        <v>288</v>
      </c>
      <c r="Q70" t="s">
        <v>288</v>
      </c>
      <c r="R70" t="s">
        <v>288</v>
      </c>
      <c r="S70" t="s">
        <v>288</v>
      </c>
      <c r="T70" t="s">
        <v>288</v>
      </c>
      <c r="U70" t="s">
        <v>288</v>
      </c>
      <c r="V70" t="s">
        <v>288</v>
      </c>
    </row>
    <row r="71" spans="1:22" x14ac:dyDescent="0.25">
      <c r="A71" t="s">
        <v>136</v>
      </c>
      <c r="B71">
        <v>7.2</v>
      </c>
      <c r="C71" s="45">
        <v>0</v>
      </c>
      <c r="D71">
        <v>70</v>
      </c>
      <c r="E71">
        <v>1067</v>
      </c>
      <c r="F71">
        <v>30</v>
      </c>
      <c r="G71">
        <v>0</v>
      </c>
      <c r="H71">
        <v>4.4000000000000004</v>
      </c>
      <c r="I71">
        <v>82.1</v>
      </c>
      <c r="J71">
        <v>19</v>
      </c>
      <c r="K71">
        <v>1</v>
      </c>
      <c r="L71">
        <v>0</v>
      </c>
      <c r="M71">
        <v>0</v>
      </c>
      <c r="N71">
        <v>0</v>
      </c>
      <c r="O71" t="s">
        <v>136</v>
      </c>
      <c r="P71" t="s">
        <v>288</v>
      </c>
      <c r="Q71" t="s">
        <v>288</v>
      </c>
      <c r="R71" t="s">
        <v>288</v>
      </c>
      <c r="S71" t="s">
        <v>288</v>
      </c>
      <c r="T71" t="s">
        <v>288</v>
      </c>
      <c r="U71" t="s">
        <v>288</v>
      </c>
      <c r="V71" t="s">
        <v>288</v>
      </c>
    </row>
    <row r="72" spans="1:22" x14ac:dyDescent="0.25">
      <c r="A72" t="s">
        <v>137</v>
      </c>
      <c r="B72" t="s">
        <v>32</v>
      </c>
      <c r="C72" s="45">
        <v>1</v>
      </c>
      <c r="D72">
        <v>9</v>
      </c>
      <c r="E72">
        <v>1032</v>
      </c>
      <c r="F72">
        <v>2</v>
      </c>
      <c r="G72">
        <v>0</v>
      </c>
      <c r="H72">
        <v>4.4000000000000004</v>
      </c>
      <c r="I72">
        <v>88</v>
      </c>
      <c r="J72">
        <v>21</v>
      </c>
      <c r="K72">
        <v>0</v>
      </c>
      <c r="L72">
        <v>0</v>
      </c>
      <c r="M72">
        <v>1</v>
      </c>
      <c r="N72">
        <v>0</v>
      </c>
      <c r="O72" t="s">
        <v>137</v>
      </c>
      <c r="P72" t="s">
        <v>288</v>
      </c>
      <c r="Q72" t="s">
        <v>288</v>
      </c>
      <c r="R72" t="s">
        <v>288</v>
      </c>
      <c r="S72" t="s">
        <v>288</v>
      </c>
      <c r="T72" t="s">
        <v>288</v>
      </c>
      <c r="U72" t="s">
        <v>288</v>
      </c>
      <c r="V72" t="s">
        <v>288</v>
      </c>
    </row>
    <row r="73" spans="1:22" x14ac:dyDescent="0.25">
      <c r="A73" t="s">
        <v>138</v>
      </c>
      <c r="B73">
        <v>4.5</v>
      </c>
      <c r="C73" s="45">
        <v>0</v>
      </c>
      <c r="D73">
        <v>35</v>
      </c>
      <c r="E73">
        <v>1048</v>
      </c>
      <c r="F73">
        <v>44</v>
      </c>
      <c r="G73">
        <v>0</v>
      </c>
      <c r="H73">
        <v>4.4000000000000004</v>
      </c>
      <c r="I73">
        <v>72.900000000000006</v>
      </c>
      <c r="J73">
        <v>19</v>
      </c>
      <c r="K73">
        <v>1</v>
      </c>
      <c r="L73">
        <v>0</v>
      </c>
      <c r="M73">
        <v>0</v>
      </c>
      <c r="N73">
        <v>0</v>
      </c>
      <c r="O73" t="s">
        <v>138</v>
      </c>
      <c r="P73" t="s">
        <v>288</v>
      </c>
      <c r="Q73" t="s">
        <v>288</v>
      </c>
      <c r="R73" t="s">
        <v>288</v>
      </c>
      <c r="S73" t="s">
        <v>288</v>
      </c>
      <c r="T73" t="s">
        <v>288</v>
      </c>
      <c r="U73" t="s">
        <v>288</v>
      </c>
      <c r="V73" t="s">
        <v>288</v>
      </c>
    </row>
    <row r="74" spans="1:22" x14ac:dyDescent="0.25">
      <c r="A74" t="s">
        <v>139</v>
      </c>
      <c r="B74">
        <v>4.5</v>
      </c>
      <c r="C74" s="45">
        <v>0</v>
      </c>
      <c r="D74">
        <v>30</v>
      </c>
      <c r="E74">
        <v>1045</v>
      </c>
      <c r="F74">
        <v>25</v>
      </c>
      <c r="G74">
        <v>0</v>
      </c>
      <c r="H74">
        <v>4.4000000000000004</v>
      </c>
      <c r="I74">
        <v>75.599999999999994</v>
      </c>
      <c r="J74">
        <v>19</v>
      </c>
      <c r="K74">
        <v>1</v>
      </c>
      <c r="L74">
        <v>0</v>
      </c>
      <c r="M74">
        <v>0</v>
      </c>
      <c r="N74">
        <v>0</v>
      </c>
      <c r="O74" t="s">
        <v>139</v>
      </c>
      <c r="P74" t="s">
        <v>288</v>
      </c>
      <c r="Q74" t="s">
        <v>288</v>
      </c>
      <c r="R74" t="s">
        <v>288</v>
      </c>
      <c r="S74" t="s">
        <v>288</v>
      </c>
      <c r="T74" t="s">
        <v>288</v>
      </c>
      <c r="U74" t="s">
        <v>288</v>
      </c>
      <c r="V74" t="s">
        <v>288</v>
      </c>
    </row>
    <row r="75" spans="1:22" x14ac:dyDescent="0.25">
      <c r="A75" t="s">
        <v>140</v>
      </c>
      <c r="B75">
        <v>7.5</v>
      </c>
      <c r="C75" s="45">
        <v>0</v>
      </c>
      <c r="D75">
        <v>70</v>
      </c>
      <c r="E75">
        <v>1068</v>
      </c>
      <c r="F75">
        <v>30</v>
      </c>
      <c r="G75">
        <v>0</v>
      </c>
      <c r="H75">
        <v>4.4000000000000004</v>
      </c>
      <c r="I75">
        <v>82.1</v>
      </c>
      <c r="J75">
        <v>19</v>
      </c>
      <c r="K75">
        <v>1</v>
      </c>
      <c r="L75">
        <v>0</v>
      </c>
      <c r="M75">
        <v>0</v>
      </c>
      <c r="N75">
        <v>0</v>
      </c>
      <c r="O75" t="s">
        <v>140</v>
      </c>
      <c r="P75" t="s">
        <v>288</v>
      </c>
      <c r="Q75" t="s">
        <v>288</v>
      </c>
      <c r="R75" t="s">
        <v>288</v>
      </c>
      <c r="S75" t="s">
        <v>288</v>
      </c>
      <c r="T75" t="s">
        <v>288</v>
      </c>
      <c r="U75" t="s">
        <v>288</v>
      </c>
      <c r="V75" t="s">
        <v>288</v>
      </c>
    </row>
    <row r="76" spans="1:22" x14ac:dyDescent="0.25">
      <c r="A76" t="s">
        <v>141</v>
      </c>
      <c r="B76">
        <v>10</v>
      </c>
      <c r="C76" s="45">
        <v>0</v>
      </c>
      <c r="D76">
        <v>85</v>
      </c>
      <c r="E76">
        <v>1098</v>
      </c>
      <c r="F76">
        <v>130</v>
      </c>
      <c r="G76">
        <v>0</v>
      </c>
      <c r="H76">
        <v>4.4000000000000004</v>
      </c>
      <c r="I76">
        <v>79.599999999999994</v>
      </c>
      <c r="J76">
        <v>21</v>
      </c>
      <c r="K76">
        <v>0</v>
      </c>
      <c r="L76">
        <v>0</v>
      </c>
      <c r="M76">
        <v>0</v>
      </c>
      <c r="N76">
        <v>1</v>
      </c>
      <c r="O76" t="s">
        <v>141</v>
      </c>
      <c r="P76" t="s">
        <v>288</v>
      </c>
      <c r="Q76" t="s">
        <v>288</v>
      </c>
      <c r="R76" t="s">
        <v>288</v>
      </c>
      <c r="S76" t="s">
        <v>288</v>
      </c>
      <c r="T76" t="s">
        <v>288</v>
      </c>
      <c r="U76" t="s">
        <v>288</v>
      </c>
      <c r="V76" t="s">
        <v>288</v>
      </c>
    </row>
    <row r="77" spans="1:22" x14ac:dyDescent="0.25">
      <c r="A77" t="s">
        <v>142</v>
      </c>
      <c r="B77">
        <v>3.8</v>
      </c>
      <c r="C77" s="45">
        <v>0</v>
      </c>
      <c r="D77">
        <v>35</v>
      </c>
      <c r="E77">
        <v>1040</v>
      </c>
      <c r="F77">
        <v>25</v>
      </c>
      <c r="G77">
        <v>0</v>
      </c>
      <c r="H77">
        <v>4.4000000000000004</v>
      </c>
      <c r="I77">
        <v>70</v>
      </c>
      <c r="J77">
        <v>19</v>
      </c>
      <c r="K77">
        <v>1</v>
      </c>
      <c r="L77">
        <v>0</v>
      </c>
      <c r="M77">
        <v>0</v>
      </c>
      <c r="N77">
        <v>0</v>
      </c>
      <c r="O77" t="s">
        <v>142</v>
      </c>
      <c r="P77" t="s">
        <v>288</v>
      </c>
      <c r="Q77" t="s">
        <v>288</v>
      </c>
      <c r="R77" t="s">
        <v>288</v>
      </c>
      <c r="S77" t="s">
        <v>288</v>
      </c>
      <c r="T77" t="s">
        <v>288</v>
      </c>
      <c r="U77" t="s">
        <v>288</v>
      </c>
      <c r="V77" t="s">
        <v>288</v>
      </c>
    </row>
    <row r="78" spans="1:22" x14ac:dyDescent="0.25">
      <c r="A78" t="s">
        <v>143</v>
      </c>
      <c r="B78">
        <v>6.4</v>
      </c>
      <c r="C78" s="45">
        <v>0</v>
      </c>
      <c r="D78">
        <v>40</v>
      </c>
      <c r="E78">
        <v>1057</v>
      </c>
      <c r="F78">
        <v>10</v>
      </c>
      <c r="G78">
        <v>0</v>
      </c>
      <c r="H78">
        <v>3.5</v>
      </c>
      <c r="I78">
        <v>87</v>
      </c>
      <c r="J78">
        <v>20</v>
      </c>
      <c r="K78">
        <v>1</v>
      </c>
      <c r="L78">
        <v>0</v>
      </c>
      <c r="M78">
        <v>0</v>
      </c>
      <c r="N78">
        <v>0</v>
      </c>
      <c r="O78" t="s">
        <v>143</v>
      </c>
      <c r="P78" t="s">
        <v>288</v>
      </c>
      <c r="Q78" t="s">
        <v>288</v>
      </c>
      <c r="R78" t="s">
        <v>288</v>
      </c>
      <c r="S78" t="s">
        <v>288</v>
      </c>
      <c r="T78" t="s">
        <v>288</v>
      </c>
      <c r="U78" t="s">
        <v>288</v>
      </c>
      <c r="V78" t="s">
        <v>288</v>
      </c>
    </row>
    <row r="79" spans="1:22" x14ac:dyDescent="0.25">
      <c r="A79" t="s">
        <v>144</v>
      </c>
      <c r="B79" t="s">
        <v>32</v>
      </c>
      <c r="C79" s="45">
        <v>1</v>
      </c>
      <c r="D79">
        <v>45</v>
      </c>
      <c r="E79">
        <v>1081</v>
      </c>
      <c r="F79">
        <v>15</v>
      </c>
      <c r="G79">
        <v>0</v>
      </c>
      <c r="H79">
        <v>4.4000000000000004</v>
      </c>
      <c r="I79">
        <v>93.8</v>
      </c>
      <c r="J79">
        <v>23</v>
      </c>
      <c r="K79">
        <v>0</v>
      </c>
      <c r="L79">
        <v>0</v>
      </c>
      <c r="M79">
        <v>1</v>
      </c>
      <c r="N79">
        <v>0</v>
      </c>
      <c r="O79" t="s">
        <v>144</v>
      </c>
      <c r="P79" t="s">
        <v>288</v>
      </c>
      <c r="Q79" t="s">
        <v>288</v>
      </c>
      <c r="R79" t="s">
        <v>288</v>
      </c>
      <c r="S79" t="s">
        <v>288</v>
      </c>
      <c r="T79" t="s">
        <v>288</v>
      </c>
      <c r="U79" t="s">
        <v>288</v>
      </c>
      <c r="V79" t="s">
        <v>288</v>
      </c>
    </row>
    <row r="80" spans="1:22" x14ac:dyDescent="0.25">
      <c r="A80" t="s">
        <v>145</v>
      </c>
      <c r="B80">
        <v>4</v>
      </c>
      <c r="C80" s="45">
        <v>0</v>
      </c>
      <c r="D80">
        <v>40</v>
      </c>
      <c r="E80">
        <v>1039</v>
      </c>
      <c r="F80">
        <v>18</v>
      </c>
      <c r="G80">
        <v>0</v>
      </c>
      <c r="H80">
        <v>4.4000000000000004</v>
      </c>
      <c r="I80">
        <v>76.900000000000006</v>
      </c>
      <c r="J80">
        <v>19</v>
      </c>
      <c r="K80">
        <v>1</v>
      </c>
      <c r="L80">
        <v>0</v>
      </c>
      <c r="M80">
        <v>0</v>
      </c>
      <c r="N80">
        <v>0</v>
      </c>
      <c r="O80" t="s">
        <v>145</v>
      </c>
      <c r="P80" t="s">
        <v>288</v>
      </c>
      <c r="Q80" t="s">
        <v>288</v>
      </c>
      <c r="R80" t="s">
        <v>288</v>
      </c>
      <c r="S80" t="s">
        <v>288</v>
      </c>
      <c r="T80" t="s">
        <v>288</v>
      </c>
      <c r="U80" t="s">
        <v>288</v>
      </c>
      <c r="V80" t="s">
        <v>288</v>
      </c>
    </row>
    <row r="81" spans="1:22" x14ac:dyDescent="0.25">
      <c r="A81" t="s">
        <v>146</v>
      </c>
      <c r="B81">
        <v>15.2</v>
      </c>
      <c r="C81" s="45">
        <v>0</v>
      </c>
      <c r="D81">
        <v>20</v>
      </c>
      <c r="E81">
        <v>1110</v>
      </c>
      <c r="F81">
        <v>158</v>
      </c>
      <c r="G81">
        <v>0</v>
      </c>
      <c r="H81">
        <v>4.4000000000000004</v>
      </c>
      <c r="I81">
        <v>82</v>
      </c>
      <c r="J81">
        <v>21</v>
      </c>
      <c r="K81">
        <v>0</v>
      </c>
      <c r="L81">
        <v>0</v>
      </c>
      <c r="M81">
        <v>0</v>
      </c>
      <c r="N81">
        <v>1</v>
      </c>
      <c r="O81" t="s">
        <v>146</v>
      </c>
      <c r="P81" t="s">
        <v>288</v>
      </c>
      <c r="Q81" t="s">
        <v>288</v>
      </c>
      <c r="R81" t="s">
        <v>288</v>
      </c>
      <c r="S81" t="s">
        <v>288</v>
      </c>
      <c r="T81" t="s">
        <v>288</v>
      </c>
      <c r="U81" t="s">
        <v>288</v>
      </c>
      <c r="V81" t="s">
        <v>288</v>
      </c>
    </row>
    <row r="82" spans="1:22" x14ac:dyDescent="0.25">
      <c r="A82" t="s">
        <v>147</v>
      </c>
      <c r="B82">
        <v>5.4</v>
      </c>
      <c r="C82" s="45">
        <v>0</v>
      </c>
      <c r="D82">
        <v>20</v>
      </c>
      <c r="E82">
        <v>1055</v>
      </c>
      <c r="F82">
        <v>30</v>
      </c>
      <c r="G82">
        <v>0</v>
      </c>
      <c r="H82">
        <v>4.4000000000000004</v>
      </c>
      <c r="I82">
        <v>74.599999999999994</v>
      </c>
      <c r="J82">
        <v>19</v>
      </c>
      <c r="K82">
        <v>0</v>
      </c>
      <c r="L82">
        <v>0</v>
      </c>
      <c r="M82">
        <v>0</v>
      </c>
      <c r="N82">
        <v>1</v>
      </c>
      <c r="O82" t="s">
        <v>147</v>
      </c>
      <c r="P82" t="s">
        <v>288</v>
      </c>
      <c r="Q82" t="s">
        <v>288</v>
      </c>
      <c r="R82" t="s">
        <v>288</v>
      </c>
      <c r="S82" t="s">
        <v>288</v>
      </c>
      <c r="T82" t="s">
        <v>288</v>
      </c>
      <c r="U82" t="s">
        <v>288</v>
      </c>
      <c r="V82" t="s">
        <v>288</v>
      </c>
    </row>
    <row r="83" spans="1:22" x14ac:dyDescent="0.25">
      <c r="A83" t="s">
        <v>148</v>
      </c>
      <c r="B83">
        <v>8.3000000000000007</v>
      </c>
      <c r="C83" s="45">
        <v>0</v>
      </c>
      <c r="D83">
        <v>70</v>
      </c>
      <c r="E83">
        <v>1076</v>
      </c>
      <c r="F83">
        <v>30</v>
      </c>
      <c r="G83">
        <v>0</v>
      </c>
      <c r="H83">
        <v>4.4000000000000004</v>
      </c>
      <c r="I83">
        <v>82.9</v>
      </c>
      <c r="J83">
        <v>21</v>
      </c>
      <c r="K83">
        <v>0</v>
      </c>
      <c r="L83">
        <v>0</v>
      </c>
      <c r="M83">
        <v>0</v>
      </c>
      <c r="N83">
        <v>1</v>
      </c>
      <c r="O83" t="s">
        <v>148</v>
      </c>
      <c r="P83" t="s">
        <v>288</v>
      </c>
      <c r="Q83" t="s">
        <v>288</v>
      </c>
      <c r="R83" t="s">
        <v>288</v>
      </c>
      <c r="S83" t="s">
        <v>288</v>
      </c>
      <c r="T83" t="s">
        <v>288</v>
      </c>
      <c r="U83" t="s">
        <v>288</v>
      </c>
      <c r="V83" t="s">
        <v>288</v>
      </c>
    </row>
    <row r="84" spans="1:22" x14ac:dyDescent="0.25">
      <c r="A84" t="s">
        <v>149</v>
      </c>
      <c r="B84">
        <v>6.5</v>
      </c>
      <c r="C84" s="45">
        <v>0</v>
      </c>
      <c r="D84">
        <v>60</v>
      </c>
      <c r="E84">
        <v>1060</v>
      </c>
      <c r="F84">
        <v>25</v>
      </c>
      <c r="G84">
        <v>0</v>
      </c>
      <c r="H84">
        <v>4.4000000000000004</v>
      </c>
      <c r="I84">
        <v>83.3</v>
      </c>
      <c r="J84">
        <v>19</v>
      </c>
      <c r="K84">
        <v>1</v>
      </c>
      <c r="L84">
        <v>0</v>
      </c>
      <c r="M84">
        <v>0</v>
      </c>
      <c r="N84">
        <v>0</v>
      </c>
      <c r="O84" t="s">
        <v>149</v>
      </c>
      <c r="P84" t="s">
        <v>288</v>
      </c>
      <c r="Q84" t="s">
        <v>288</v>
      </c>
      <c r="R84" t="s">
        <v>288</v>
      </c>
      <c r="S84" t="s">
        <v>288</v>
      </c>
      <c r="T84" t="s">
        <v>288</v>
      </c>
      <c r="U84" t="s">
        <v>288</v>
      </c>
      <c r="V84" t="s">
        <v>288</v>
      </c>
    </row>
    <row r="85" spans="1:22" x14ac:dyDescent="0.25">
      <c r="A85" t="s">
        <v>150</v>
      </c>
      <c r="B85">
        <v>8</v>
      </c>
      <c r="C85" s="45">
        <v>0</v>
      </c>
      <c r="D85">
        <v>45</v>
      </c>
      <c r="E85">
        <v>1075</v>
      </c>
      <c r="F85">
        <v>240</v>
      </c>
      <c r="G85">
        <v>0</v>
      </c>
      <c r="H85">
        <v>4.4000000000000004</v>
      </c>
      <c r="I85">
        <v>81.3</v>
      </c>
      <c r="J85">
        <v>20</v>
      </c>
      <c r="K85">
        <v>0</v>
      </c>
      <c r="L85">
        <v>0</v>
      </c>
      <c r="M85">
        <v>0</v>
      </c>
      <c r="N85">
        <v>1</v>
      </c>
      <c r="O85" t="s">
        <v>150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  <c r="V85" t="s">
        <v>288</v>
      </c>
    </row>
    <row r="86" spans="1:22" x14ac:dyDescent="0.25">
      <c r="A86" t="s">
        <v>151</v>
      </c>
      <c r="B86">
        <v>12</v>
      </c>
      <c r="C86" s="45">
        <v>0</v>
      </c>
      <c r="D86">
        <v>85</v>
      </c>
      <c r="E86">
        <v>1130</v>
      </c>
      <c r="F86">
        <v>24</v>
      </c>
      <c r="G86">
        <v>0</v>
      </c>
      <c r="H86">
        <v>4.4000000000000004</v>
      </c>
      <c r="I86">
        <v>102.3</v>
      </c>
      <c r="J86">
        <v>21</v>
      </c>
      <c r="K86">
        <v>0</v>
      </c>
      <c r="L86">
        <v>0</v>
      </c>
      <c r="M86">
        <v>0</v>
      </c>
      <c r="N86">
        <v>1</v>
      </c>
      <c r="O86" t="s">
        <v>151</v>
      </c>
      <c r="P86" t="s">
        <v>288</v>
      </c>
      <c r="Q86" t="s">
        <v>288</v>
      </c>
      <c r="R86" t="s">
        <v>288</v>
      </c>
      <c r="S86" t="s">
        <v>288</v>
      </c>
      <c r="T86" t="s">
        <v>288</v>
      </c>
      <c r="U86" t="s">
        <v>288</v>
      </c>
      <c r="V86" t="s">
        <v>288</v>
      </c>
    </row>
    <row r="87" spans="1:22" x14ac:dyDescent="0.25">
      <c r="A87" t="s">
        <v>152</v>
      </c>
      <c r="B87">
        <v>8.1999999999999993</v>
      </c>
      <c r="C87" s="45">
        <v>0</v>
      </c>
      <c r="D87">
        <v>42</v>
      </c>
      <c r="E87">
        <v>1078</v>
      </c>
      <c r="F87">
        <v>90</v>
      </c>
      <c r="G87">
        <v>0</v>
      </c>
      <c r="H87">
        <v>4.4000000000000004</v>
      </c>
      <c r="I87">
        <v>83.3</v>
      </c>
      <c r="J87">
        <v>21</v>
      </c>
      <c r="K87">
        <v>0</v>
      </c>
      <c r="L87">
        <v>0</v>
      </c>
      <c r="M87">
        <v>0</v>
      </c>
      <c r="N87">
        <v>1</v>
      </c>
      <c r="O87" t="s">
        <v>152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  <c r="V87" t="s">
        <v>288</v>
      </c>
    </row>
    <row r="88" spans="1:22" x14ac:dyDescent="0.25">
      <c r="A88" t="s">
        <v>153</v>
      </c>
      <c r="B88">
        <v>5.6</v>
      </c>
      <c r="C88" s="45">
        <v>0</v>
      </c>
      <c r="D88">
        <v>40</v>
      </c>
      <c r="E88">
        <v>1055</v>
      </c>
      <c r="F88">
        <v>15</v>
      </c>
      <c r="G88">
        <v>0</v>
      </c>
      <c r="H88">
        <v>4.4000000000000004</v>
      </c>
      <c r="I88">
        <v>78</v>
      </c>
      <c r="J88">
        <v>19</v>
      </c>
      <c r="K88">
        <v>1</v>
      </c>
      <c r="L88">
        <v>0</v>
      </c>
      <c r="M88">
        <v>0</v>
      </c>
      <c r="N88">
        <v>0</v>
      </c>
      <c r="O88" t="s">
        <v>153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  <c r="V88" t="s">
        <v>288</v>
      </c>
    </row>
    <row r="89" spans="1:22" x14ac:dyDescent="0.25">
      <c r="A89" t="s">
        <v>154</v>
      </c>
      <c r="B89">
        <v>7.2</v>
      </c>
      <c r="C89" s="45">
        <v>0</v>
      </c>
      <c r="D89">
        <v>70</v>
      </c>
      <c r="E89">
        <v>1067</v>
      </c>
      <c r="F89">
        <v>30</v>
      </c>
      <c r="G89">
        <v>0</v>
      </c>
      <c r="H89">
        <v>4.4000000000000004</v>
      </c>
      <c r="I89">
        <v>82.1</v>
      </c>
      <c r="J89">
        <v>19</v>
      </c>
      <c r="K89">
        <v>1</v>
      </c>
      <c r="L89">
        <v>0</v>
      </c>
      <c r="M89">
        <v>0</v>
      </c>
      <c r="N89">
        <v>0</v>
      </c>
      <c r="O89" t="s">
        <v>154</v>
      </c>
      <c r="P89" t="s">
        <v>288</v>
      </c>
      <c r="Q89" t="s">
        <v>288</v>
      </c>
      <c r="R89" t="s">
        <v>288</v>
      </c>
      <c r="S89" t="s">
        <v>288</v>
      </c>
      <c r="T89" t="s">
        <v>288</v>
      </c>
      <c r="U89" t="s">
        <v>288</v>
      </c>
      <c r="V89" t="s">
        <v>288</v>
      </c>
    </row>
    <row r="90" spans="1:22" x14ac:dyDescent="0.25">
      <c r="A90" t="s">
        <v>155</v>
      </c>
      <c r="B90">
        <v>6.3</v>
      </c>
      <c r="C90" s="45">
        <v>0</v>
      </c>
      <c r="D90">
        <v>55</v>
      </c>
      <c r="E90">
        <v>1060</v>
      </c>
      <c r="F90">
        <v>30</v>
      </c>
      <c r="G90">
        <v>0</v>
      </c>
      <c r="H90">
        <v>4.4000000000000004</v>
      </c>
      <c r="I90">
        <v>80</v>
      </c>
      <c r="J90">
        <v>19</v>
      </c>
      <c r="K90">
        <v>0</v>
      </c>
      <c r="L90">
        <v>0</v>
      </c>
      <c r="M90">
        <v>0</v>
      </c>
      <c r="N90">
        <v>1</v>
      </c>
      <c r="O90" t="s">
        <v>155</v>
      </c>
      <c r="P90" t="s">
        <v>288</v>
      </c>
      <c r="Q90" t="s">
        <v>288</v>
      </c>
      <c r="R90" t="s">
        <v>288</v>
      </c>
      <c r="S90" t="s">
        <v>288</v>
      </c>
      <c r="T90" t="s">
        <v>288</v>
      </c>
      <c r="U90" t="s">
        <v>288</v>
      </c>
      <c r="V90" t="s">
        <v>288</v>
      </c>
    </row>
    <row r="91" spans="1:22" x14ac:dyDescent="0.25">
      <c r="A91" t="s">
        <v>156</v>
      </c>
      <c r="B91">
        <v>10</v>
      </c>
      <c r="C91" s="45">
        <v>0</v>
      </c>
      <c r="D91">
        <v>85</v>
      </c>
      <c r="E91">
        <v>1098</v>
      </c>
      <c r="F91">
        <v>30</v>
      </c>
      <c r="G91">
        <v>0</v>
      </c>
      <c r="H91">
        <v>4.4000000000000004</v>
      </c>
      <c r="I91">
        <v>70</v>
      </c>
      <c r="J91">
        <v>21</v>
      </c>
      <c r="K91">
        <v>0</v>
      </c>
      <c r="L91">
        <v>0</v>
      </c>
      <c r="M91">
        <v>0</v>
      </c>
      <c r="N91">
        <v>1</v>
      </c>
      <c r="O91" t="s">
        <v>156</v>
      </c>
      <c r="P91" t="s">
        <v>288</v>
      </c>
      <c r="Q91" t="s">
        <v>288</v>
      </c>
      <c r="R91" t="s">
        <v>288</v>
      </c>
      <c r="S91" t="s">
        <v>288</v>
      </c>
      <c r="T91" t="s">
        <v>288</v>
      </c>
      <c r="U91" t="s">
        <v>288</v>
      </c>
      <c r="V91" t="s">
        <v>288</v>
      </c>
    </row>
    <row r="92" spans="1:22" x14ac:dyDescent="0.25">
      <c r="A92" t="s">
        <v>157</v>
      </c>
      <c r="B92">
        <v>5.6</v>
      </c>
      <c r="C92" s="45">
        <v>0</v>
      </c>
      <c r="D92">
        <v>30</v>
      </c>
      <c r="E92">
        <v>1058</v>
      </c>
      <c r="F92">
        <v>54</v>
      </c>
      <c r="G92">
        <v>0</v>
      </c>
      <c r="H92">
        <v>4.4000000000000004</v>
      </c>
      <c r="I92">
        <v>74</v>
      </c>
      <c r="J92">
        <v>19</v>
      </c>
      <c r="K92">
        <v>1</v>
      </c>
      <c r="L92">
        <v>0</v>
      </c>
      <c r="M92">
        <v>0</v>
      </c>
      <c r="N92">
        <v>0</v>
      </c>
      <c r="O92" t="s">
        <v>157</v>
      </c>
      <c r="P92" t="s">
        <v>288</v>
      </c>
      <c r="Q92" t="s">
        <v>288</v>
      </c>
      <c r="R92" t="s">
        <v>288</v>
      </c>
      <c r="S92" t="s">
        <v>288</v>
      </c>
      <c r="T92" t="s">
        <v>288</v>
      </c>
      <c r="U92" t="s">
        <v>288</v>
      </c>
      <c r="V92" t="s">
        <v>288</v>
      </c>
    </row>
    <row r="93" spans="1:22" x14ac:dyDescent="0.25">
      <c r="A93" t="s">
        <v>158</v>
      </c>
      <c r="B93">
        <v>4.5</v>
      </c>
      <c r="C93" s="45">
        <v>0</v>
      </c>
      <c r="D93">
        <v>55</v>
      </c>
      <c r="E93">
        <v>1046</v>
      </c>
      <c r="F93">
        <v>25</v>
      </c>
      <c r="G93">
        <v>0</v>
      </c>
      <c r="H93">
        <v>4.4000000000000004</v>
      </c>
      <c r="I93">
        <v>73.900000000000006</v>
      </c>
      <c r="J93">
        <v>9</v>
      </c>
      <c r="K93">
        <v>0</v>
      </c>
      <c r="L93">
        <v>1</v>
      </c>
      <c r="M93">
        <v>0</v>
      </c>
      <c r="N93">
        <v>0</v>
      </c>
      <c r="O93" t="s">
        <v>158</v>
      </c>
      <c r="P93" t="s">
        <v>288</v>
      </c>
      <c r="Q93" t="s">
        <v>288</v>
      </c>
      <c r="R93" t="s">
        <v>288</v>
      </c>
      <c r="S93" t="s">
        <v>288</v>
      </c>
      <c r="T93" t="s">
        <v>288</v>
      </c>
      <c r="U93" t="s">
        <v>288</v>
      </c>
      <c r="V93" t="s">
        <v>288</v>
      </c>
    </row>
    <row r="94" spans="1:22" x14ac:dyDescent="0.25">
      <c r="A94" t="s">
        <v>159</v>
      </c>
      <c r="B94">
        <v>8.1999999999999993</v>
      </c>
      <c r="C94" s="45">
        <v>0</v>
      </c>
      <c r="D94">
        <v>42</v>
      </c>
      <c r="E94">
        <v>1078</v>
      </c>
      <c r="F94">
        <v>70</v>
      </c>
      <c r="G94">
        <v>0</v>
      </c>
      <c r="H94">
        <v>4.4000000000000004</v>
      </c>
      <c r="I94">
        <v>83.3</v>
      </c>
      <c r="J94">
        <v>22</v>
      </c>
      <c r="K94">
        <v>0</v>
      </c>
      <c r="L94">
        <v>0</v>
      </c>
      <c r="M94">
        <v>0</v>
      </c>
      <c r="N94">
        <v>1</v>
      </c>
      <c r="O94" t="s">
        <v>159</v>
      </c>
      <c r="P94" t="s">
        <v>288</v>
      </c>
      <c r="Q94" t="s">
        <v>288</v>
      </c>
      <c r="R94" t="s">
        <v>288</v>
      </c>
      <c r="S94" t="s">
        <v>288</v>
      </c>
      <c r="T94" t="s">
        <v>288</v>
      </c>
      <c r="U94" t="s">
        <v>288</v>
      </c>
      <c r="V94" t="s">
        <v>288</v>
      </c>
    </row>
    <row r="95" spans="1:22" x14ac:dyDescent="0.25">
      <c r="A95" t="s">
        <v>160</v>
      </c>
      <c r="B95">
        <v>8.4</v>
      </c>
      <c r="C95" s="45">
        <v>0</v>
      </c>
      <c r="D95">
        <v>50</v>
      </c>
      <c r="E95">
        <v>1080</v>
      </c>
      <c r="F95">
        <v>200</v>
      </c>
      <c r="G95">
        <v>0</v>
      </c>
      <c r="H95">
        <v>4.4000000000000004</v>
      </c>
      <c r="I95">
        <v>81.3</v>
      </c>
      <c r="J95">
        <v>14</v>
      </c>
      <c r="K95">
        <v>0</v>
      </c>
      <c r="L95">
        <v>1</v>
      </c>
      <c r="M95">
        <v>0</v>
      </c>
      <c r="N95">
        <v>0</v>
      </c>
      <c r="O95" t="s">
        <v>160</v>
      </c>
      <c r="P95" t="s">
        <v>288</v>
      </c>
      <c r="Q95" t="s">
        <v>288</v>
      </c>
      <c r="R95" t="s">
        <v>288</v>
      </c>
      <c r="S95" t="s">
        <v>288</v>
      </c>
      <c r="T95" t="s">
        <v>288</v>
      </c>
      <c r="U95" t="s">
        <v>288</v>
      </c>
      <c r="V95" t="s">
        <v>288</v>
      </c>
    </row>
    <row r="96" spans="1:22" x14ac:dyDescent="0.25">
      <c r="A96" t="s">
        <v>161</v>
      </c>
      <c r="B96">
        <v>6</v>
      </c>
      <c r="C96" s="45">
        <v>0</v>
      </c>
      <c r="D96">
        <v>50</v>
      </c>
      <c r="E96">
        <v>1050</v>
      </c>
      <c r="F96">
        <v>8</v>
      </c>
      <c r="G96">
        <v>0</v>
      </c>
      <c r="H96">
        <v>5.2</v>
      </c>
      <c r="I96">
        <v>87</v>
      </c>
      <c r="J96">
        <v>20</v>
      </c>
      <c r="K96">
        <v>1</v>
      </c>
      <c r="L96">
        <v>0</v>
      </c>
      <c r="M96">
        <v>0</v>
      </c>
      <c r="N96">
        <v>0</v>
      </c>
      <c r="O96" t="s">
        <v>161</v>
      </c>
      <c r="P96" t="s">
        <v>288</v>
      </c>
      <c r="Q96" t="s">
        <v>288</v>
      </c>
      <c r="R96" t="s">
        <v>288</v>
      </c>
      <c r="S96" t="s">
        <v>288</v>
      </c>
      <c r="T96" t="s">
        <v>288</v>
      </c>
      <c r="U96" t="s">
        <v>288</v>
      </c>
      <c r="V96" t="s">
        <v>288</v>
      </c>
    </row>
    <row r="97" spans="1:22" x14ac:dyDescent="0.25">
      <c r="A97" t="s">
        <v>162</v>
      </c>
      <c r="B97">
        <v>6.7</v>
      </c>
      <c r="C97" s="45">
        <v>0</v>
      </c>
      <c r="D97">
        <v>40</v>
      </c>
      <c r="E97">
        <v>1063</v>
      </c>
      <c r="F97">
        <v>15</v>
      </c>
      <c r="G97">
        <v>0</v>
      </c>
      <c r="H97">
        <v>5.2</v>
      </c>
      <c r="I97">
        <v>84</v>
      </c>
      <c r="J97">
        <v>19</v>
      </c>
      <c r="K97">
        <v>1</v>
      </c>
      <c r="L97">
        <v>0</v>
      </c>
      <c r="M97">
        <v>0</v>
      </c>
      <c r="N97">
        <v>0</v>
      </c>
      <c r="O97" t="s">
        <v>162</v>
      </c>
      <c r="P97" t="s">
        <v>288</v>
      </c>
      <c r="Q97" t="s">
        <v>288</v>
      </c>
      <c r="R97" t="s">
        <v>288</v>
      </c>
      <c r="S97" t="s">
        <v>288</v>
      </c>
      <c r="T97" t="s">
        <v>288</v>
      </c>
      <c r="U97" t="s">
        <v>288</v>
      </c>
      <c r="V97" t="s">
        <v>288</v>
      </c>
    </row>
    <row r="98" spans="1:22" x14ac:dyDescent="0.25">
      <c r="A98" t="s">
        <v>163</v>
      </c>
      <c r="B98">
        <v>6.5</v>
      </c>
      <c r="C98" s="45">
        <v>0</v>
      </c>
      <c r="D98">
        <v>35</v>
      </c>
      <c r="E98">
        <v>1068</v>
      </c>
      <c r="F98">
        <v>250</v>
      </c>
      <c r="G98">
        <v>0</v>
      </c>
      <c r="H98">
        <v>4.2</v>
      </c>
      <c r="I98">
        <v>70.599999999999994</v>
      </c>
      <c r="J98">
        <v>19</v>
      </c>
      <c r="K98">
        <v>1</v>
      </c>
      <c r="L98">
        <v>0</v>
      </c>
      <c r="M98">
        <v>0</v>
      </c>
      <c r="N98">
        <v>0</v>
      </c>
      <c r="O98" t="s">
        <v>163</v>
      </c>
      <c r="P98" t="s">
        <v>288</v>
      </c>
      <c r="Q98" t="s">
        <v>288</v>
      </c>
      <c r="R98" t="s">
        <v>288</v>
      </c>
      <c r="S98" t="s">
        <v>288</v>
      </c>
      <c r="T98" t="s">
        <v>288</v>
      </c>
      <c r="U98" t="s">
        <v>288</v>
      </c>
      <c r="V98" t="s">
        <v>288</v>
      </c>
    </row>
    <row r="99" spans="1:22" x14ac:dyDescent="0.25">
      <c r="A99" t="s">
        <v>164</v>
      </c>
      <c r="B99">
        <v>11.5</v>
      </c>
      <c r="C99" s="45">
        <v>0</v>
      </c>
      <c r="D99">
        <v>80</v>
      </c>
      <c r="E99">
        <v>1096</v>
      </c>
      <c r="F99">
        <v>115</v>
      </c>
      <c r="G99">
        <v>0</v>
      </c>
      <c r="H99">
        <v>4.4000000000000004</v>
      </c>
      <c r="I99">
        <v>79.2</v>
      </c>
      <c r="J99">
        <v>20</v>
      </c>
      <c r="K99">
        <v>0</v>
      </c>
      <c r="L99">
        <v>0</v>
      </c>
      <c r="M99">
        <v>0</v>
      </c>
      <c r="N99">
        <v>1</v>
      </c>
      <c r="O99" t="s">
        <v>164</v>
      </c>
      <c r="P99" t="s">
        <v>288</v>
      </c>
      <c r="Q99" t="s">
        <v>288</v>
      </c>
      <c r="R99" t="s">
        <v>288</v>
      </c>
      <c r="S99" t="s">
        <v>288</v>
      </c>
      <c r="T99" t="s">
        <v>288</v>
      </c>
      <c r="U99" t="s">
        <v>288</v>
      </c>
      <c r="V99" t="s">
        <v>288</v>
      </c>
    </row>
    <row r="100" spans="1:22" x14ac:dyDescent="0.25">
      <c r="A100" t="s">
        <v>165</v>
      </c>
      <c r="B100">
        <v>8.5</v>
      </c>
      <c r="C100" s="45">
        <v>0</v>
      </c>
      <c r="D100">
        <v>65</v>
      </c>
      <c r="E100">
        <v>1078</v>
      </c>
      <c r="F100">
        <v>31.2</v>
      </c>
      <c r="G100">
        <v>0</v>
      </c>
      <c r="H100">
        <v>4.4000000000000004</v>
      </c>
      <c r="I100">
        <v>84.6</v>
      </c>
      <c r="J100">
        <v>18</v>
      </c>
      <c r="K100">
        <v>0</v>
      </c>
      <c r="L100">
        <v>0</v>
      </c>
      <c r="M100">
        <v>0</v>
      </c>
      <c r="N100">
        <v>1</v>
      </c>
      <c r="O100" t="s">
        <v>165</v>
      </c>
      <c r="P100" t="s">
        <v>288</v>
      </c>
      <c r="Q100" t="s">
        <v>288</v>
      </c>
      <c r="R100" t="s">
        <v>288</v>
      </c>
      <c r="S100" t="s">
        <v>288</v>
      </c>
      <c r="T100" t="s">
        <v>288</v>
      </c>
      <c r="U100" t="s">
        <v>288</v>
      </c>
      <c r="V100" t="s">
        <v>288</v>
      </c>
    </row>
    <row r="101" spans="1:22" x14ac:dyDescent="0.25">
      <c r="A101" t="s">
        <v>166</v>
      </c>
      <c r="B101">
        <v>5.2</v>
      </c>
      <c r="C101" s="45">
        <v>0</v>
      </c>
      <c r="D101">
        <v>45</v>
      </c>
      <c r="E101">
        <v>1049</v>
      </c>
      <c r="F101">
        <v>45</v>
      </c>
      <c r="G101">
        <v>0</v>
      </c>
      <c r="H101">
        <v>4.2</v>
      </c>
      <c r="I101">
        <v>81.599999999999994</v>
      </c>
      <c r="J101">
        <v>14</v>
      </c>
      <c r="K101">
        <v>1</v>
      </c>
      <c r="L101">
        <v>0</v>
      </c>
      <c r="M101">
        <v>0</v>
      </c>
      <c r="N101">
        <v>0</v>
      </c>
      <c r="O101" t="s">
        <v>166</v>
      </c>
      <c r="P101" t="s">
        <v>288</v>
      </c>
      <c r="Q101" t="s">
        <v>288</v>
      </c>
      <c r="R101" t="s">
        <v>288</v>
      </c>
      <c r="S101" t="s">
        <v>288</v>
      </c>
      <c r="T101" t="s">
        <v>288</v>
      </c>
      <c r="U101" t="s">
        <v>288</v>
      </c>
      <c r="V101" t="s">
        <v>288</v>
      </c>
    </row>
    <row r="102" spans="1:22" x14ac:dyDescent="0.25">
      <c r="A102" t="s">
        <v>167</v>
      </c>
      <c r="B102">
        <v>7.1</v>
      </c>
      <c r="C102" s="45">
        <v>0</v>
      </c>
      <c r="D102">
        <v>90</v>
      </c>
      <c r="E102">
        <v>1067</v>
      </c>
      <c r="F102">
        <v>15</v>
      </c>
      <c r="G102">
        <v>0</v>
      </c>
      <c r="H102">
        <v>4.4000000000000004</v>
      </c>
      <c r="I102">
        <v>80.599999999999994</v>
      </c>
      <c r="J102">
        <v>19</v>
      </c>
      <c r="K102">
        <v>1</v>
      </c>
      <c r="L102">
        <v>0</v>
      </c>
      <c r="M102">
        <v>0</v>
      </c>
      <c r="N102">
        <v>0</v>
      </c>
      <c r="O102" t="s">
        <v>167</v>
      </c>
      <c r="P102" t="s">
        <v>288</v>
      </c>
      <c r="Q102" t="s">
        <v>288</v>
      </c>
      <c r="R102" t="s">
        <v>288</v>
      </c>
      <c r="S102" t="s">
        <v>288</v>
      </c>
      <c r="T102" t="s">
        <v>288</v>
      </c>
      <c r="U102" t="s">
        <v>288</v>
      </c>
      <c r="V102" t="s">
        <v>288</v>
      </c>
    </row>
    <row r="103" spans="1:22" x14ac:dyDescent="0.25">
      <c r="A103" t="s">
        <v>168</v>
      </c>
      <c r="B103">
        <v>4.7</v>
      </c>
      <c r="C103" s="45">
        <v>0</v>
      </c>
      <c r="D103">
        <v>45</v>
      </c>
      <c r="E103">
        <v>1055</v>
      </c>
      <c r="F103">
        <v>200</v>
      </c>
      <c r="G103">
        <v>0</v>
      </c>
      <c r="H103">
        <v>4.4000000000000004</v>
      </c>
      <c r="I103">
        <v>70</v>
      </c>
      <c r="J103">
        <v>19</v>
      </c>
      <c r="K103">
        <v>1</v>
      </c>
      <c r="L103">
        <v>0</v>
      </c>
      <c r="M103">
        <v>0</v>
      </c>
      <c r="N103">
        <v>0</v>
      </c>
      <c r="O103" t="s">
        <v>168</v>
      </c>
      <c r="P103" t="s">
        <v>288</v>
      </c>
      <c r="Q103" t="s">
        <v>288</v>
      </c>
      <c r="R103" t="s">
        <v>288</v>
      </c>
      <c r="S103" t="s">
        <v>288</v>
      </c>
      <c r="T103" t="s">
        <v>288</v>
      </c>
      <c r="U103" t="s">
        <v>288</v>
      </c>
      <c r="V103" t="s">
        <v>288</v>
      </c>
    </row>
    <row r="104" spans="1:22" x14ac:dyDescent="0.25">
      <c r="A104" t="s">
        <v>169</v>
      </c>
      <c r="B104">
        <v>6.7</v>
      </c>
      <c r="C104" s="45">
        <v>0</v>
      </c>
      <c r="D104">
        <v>67</v>
      </c>
      <c r="E104">
        <v>1013</v>
      </c>
      <c r="F104">
        <v>19</v>
      </c>
      <c r="G104">
        <v>0</v>
      </c>
      <c r="H104">
        <v>4.4000000000000004</v>
      </c>
      <c r="I104">
        <v>79.7</v>
      </c>
      <c r="J104">
        <v>19</v>
      </c>
      <c r="K104">
        <v>1</v>
      </c>
      <c r="L104">
        <v>0</v>
      </c>
      <c r="M104">
        <v>0</v>
      </c>
      <c r="N104">
        <v>0</v>
      </c>
      <c r="O104" t="s">
        <v>169</v>
      </c>
      <c r="P104" t="s">
        <v>288</v>
      </c>
      <c r="Q104" t="s">
        <v>288</v>
      </c>
      <c r="R104" t="s">
        <v>288</v>
      </c>
      <c r="S104" t="s">
        <v>288</v>
      </c>
      <c r="T104" t="s">
        <v>288</v>
      </c>
      <c r="U104" t="s">
        <v>288</v>
      </c>
      <c r="V104" t="s">
        <v>288</v>
      </c>
    </row>
    <row r="105" spans="1:22" x14ac:dyDescent="0.25">
      <c r="A105" t="s">
        <v>170</v>
      </c>
      <c r="B105">
        <v>9</v>
      </c>
      <c r="C105" s="45">
        <v>0</v>
      </c>
      <c r="D105">
        <v>85</v>
      </c>
      <c r="E105">
        <v>1094</v>
      </c>
      <c r="F105">
        <v>400</v>
      </c>
      <c r="G105">
        <v>0</v>
      </c>
      <c r="H105">
        <v>4.3</v>
      </c>
      <c r="I105">
        <v>73.400000000000006</v>
      </c>
      <c r="J105">
        <v>21</v>
      </c>
      <c r="K105">
        <v>0</v>
      </c>
      <c r="L105">
        <v>0</v>
      </c>
      <c r="M105">
        <v>0</v>
      </c>
      <c r="N105">
        <v>1</v>
      </c>
      <c r="O105" t="s">
        <v>170</v>
      </c>
      <c r="P105" t="s">
        <v>288</v>
      </c>
      <c r="Q105" t="s">
        <v>288</v>
      </c>
      <c r="R105" t="s">
        <v>288</v>
      </c>
      <c r="S105" t="s">
        <v>288</v>
      </c>
      <c r="T105" t="s">
        <v>288</v>
      </c>
      <c r="U105" t="s">
        <v>288</v>
      </c>
      <c r="V105" t="s">
        <v>288</v>
      </c>
    </row>
    <row r="106" spans="1:22" x14ac:dyDescent="0.25">
      <c r="A106" t="s">
        <v>171</v>
      </c>
      <c r="B106">
        <v>6.5</v>
      </c>
      <c r="C106" s="45">
        <v>0</v>
      </c>
      <c r="D106">
        <v>20</v>
      </c>
      <c r="E106">
        <v>1060</v>
      </c>
      <c r="F106" t="s">
        <v>32</v>
      </c>
      <c r="G106">
        <v>1</v>
      </c>
      <c r="H106">
        <v>3.2</v>
      </c>
      <c r="I106">
        <v>87</v>
      </c>
      <c r="J106">
        <v>20</v>
      </c>
      <c r="K106">
        <v>1</v>
      </c>
      <c r="L106">
        <v>0</v>
      </c>
      <c r="M106">
        <v>0</v>
      </c>
      <c r="N106">
        <v>0</v>
      </c>
      <c r="O106" t="s">
        <v>171</v>
      </c>
      <c r="P106">
        <v>20</v>
      </c>
      <c r="Q106">
        <v>1060</v>
      </c>
      <c r="R106">
        <v>6.5</v>
      </c>
      <c r="S106">
        <v>3.2</v>
      </c>
      <c r="T106">
        <v>87</v>
      </c>
      <c r="U106">
        <v>20</v>
      </c>
      <c r="V106" t="s">
        <v>64</v>
      </c>
    </row>
    <row r="107" spans="1:22" x14ac:dyDescent="0.25">
      <c r="A107" t="s">
        <v>172</v>
      </c>
      <c r="B107">
        <v>6.7</v>
      </c>
      <c r="C107" s="45">
        <v>0</v>
      </c>
      <c r="D107">
        <v>67</v>
      </c>
      <c r="E107">
        <v>1013</v>
      </c>
      <c r="F107">
        <v>19</v>
      </c>
      <c r="G107">
        <v>0</v>
      </c>
      <c r="H107">
        <v>4.4000000000000004</v>
      </c>
      <c r="I107">
        <v>79.7</v>
      </c>
      <c r="J107">
        <v>19</v>
      </c>
      <c r="K107">
        <v>1</v>
      </c>
      <c r="L107">
        <v>0</v>
      </c>
      <c r="M107">
        <v>0</v>
      </c>
      <c r="N107">
        <v>0</v>
      </c>
      <c r="O107" t="s">
        <v>172</v>
      </c>
      <c r="P107" t="s">
        <v>288</v>
      </c>
      <c r="Q107" t="s">
        <v>288</v>
      </c>
      <c r="R107" t="s">
        <v>288</v>
      </c>
      <c r="S107" t="s">
        <v>288</v>
      </c>
      <c r="T107" t="s">
        <v>288</v>
      </c>
      <c r="U107" t="s">
        <v>288</v>
      </c>
      <c r="V107" t="s">
        <v>288</v>
      </c>
    </row>
    <row r="108" spans="1:22" x14ac:dyDescent="0.25">
      <c r="A108" t="s">
        <v>173</v>
      </c>
      <c r="B108">
        <v>5</v>
      </c>
      <c r="C108" s="45">
        <v>0</v>
      </c>
      <c r="D108">
        <v>30</v>
      </c>
      <c r="E108">
        <v>1050</v>
      </c>
      <c r="F108">
        <v>60</v>
      </c>
      <c r="G108">
        <v>0</v>
      </c>
      <c r="H108">
        <v>4.4000000000000004</v>
      </c>
      <c r="I108">
        <v>76</v>
      </c>
      <c r="J108">
        <v>19</v>
      </c>
      <c r="K108">
        <v>1</v>
      </c>
      <c r="L108">
        <v>0</v>
      </c>
      <c r="M108">
        <v>0</v>
      </c>
      <c r="N108">
        <v>0</v>
      </c>
      <c r="O108" t="s">
        <v>173</v>
      </c>
      <c r="P108" t="s">
        <v>288</v>
      </c>
      <c r="Q108" t="s">
        <v>288</v>
      </c>
      <c r="R108" t="s">
        <v>288</v>
      </c>
      <c r="S108" t="s">
        <v>288</v>
      </c>
      <c r="T108" t="s">
        <v>288</v>
      </c>
      <c r="U108" t="s">
        <v>288</v>
      </c>
      <c r="V108" t="s">
        <v>288</v>
      </c>
    </row>
    <row r="109" spans="1:22" x14ac:dyDescent="0.25">
      <c r="A109" t="s">
        <v>174</v>
      </c>
      <c r="B109">
        <v>5.8</v>
      </c>
      <c r="C109" s="45">
        <v>0</v>
      </c>
      <c r="D109">
        <v>40</v>
      </c>
      <c r="E109">
        <v>1053</v>
      </c>
      <c r="F109">
        <v>177.3</v>
      </c>
      <c r="G109">
        <v>0</v>
      </c>
      <c r="H109">
        <v>4.4000000000000004</v>
      </c>
      <c r="I109">
        <v>84.9</v>
      </c>
      <c r="J109">
        <v>19</v>
      </c>
      <c r="K109">
        <v>1</v>
      </c>
      <c r="L109">
        <v>0</v>
      </c>
      <c r="M109">
        <v>0</v>
      </c>
      <c r="N109">
        <v>0</v>
      </c>
      <c r="O109" t="s">
        <v>174</v>
      </c>
      <c r="P109" t="s">
        <v>288</v>
      </c>
      <c r="Q109" t="s">
        <v>288</v>
      </c>
      <c r="R109" t="s">
        <v>288</v>
      </c>
      <c r="S109" t="s">
        <v>288</v>
      </c>
      <c r="T109" t="s">
        <v>288</v>
      </c>
      <c r="U109" t="s">
        <v>288</v>
      </c>
      <c r="V109" t="s">
        <v>288</v>
      </c>
    </row>
    <row r="110" spans="1:22" x14ac:dyDescent="0.25">
      <c r="A110" t="s">
        <v>175</v>
      </c>
      <c r="B110">
        <v>7.5</v>
      </c>
      <c r="C110" s="45">
        <v>0</v>
      </c>
      <c r="D110">
        <v>90</v>
      </c>
      <c r="E110">
        <v>1072</v>
      </c>
      <c r="F110">
        <v>200</v>
      </c>
      <c r="G110">
        <v>0</v>
      </c>
      <c r="H110">
        <v>4.4000000000000004</v>
      </c>
      <c r="I110">
        <v>79.2</v>
      </c>
      <c r="J110">
        <v>21</v>
      </c>
      <c r="K110">
        <v>0</v>
      </c>
      <c r="L110">
        <v>0</v>
      </c>
      <c r="M110">
        <v>0</v>
      </c>
      <c r="N110">
        <v>1</v>
      </c>
      <c r="O110" t="s">
        <v>175</v>
      </c>
      <c r="P110" t="s">
        <v>288</v>
      </c>
      <c r="Q110" t="s">
        <v>288</v>
      </c>
      <c r="R110" t="s">
        <v>288</v>
      </c>
      <c r="S110" t="s">
        <v>288</v>
      </c>
      <c r="T110" t="s">
        <v>288</v>
      </c>
      <c r="U110" t="s">
        <v>288</v>
      </c>
      <c r="V110" t="s">
        <v>288</v>
      </c>
    </row>
    <row r="111" spans="1:22" x14ac:dyDescent="0.25">
      <c r="A111" t="s">
        <v>176</v>
      </c>
      <c r="B111">
        <v>4.5</v>
      </c>
      <c r="C111" s="45">
        <v>0</v>
      </c>
      <c r="D111">
        <v>38</v>
      </c>
      <c r="E111">
        <v>1042.9000000000001</v>
      </c>
      <c r="F111">
        <v>18</v>
      </c>
      <c r="G111">
        <v>0</v>
      </c>
      <c r="H111">
        <v>4.4000000000000004</v>
      </c>
      <c r="I111">
        <v>81</v>
      </c>
      <c r="J111">
        <v>10</v>
      </c>
      <c r="K111">
        <v>0</v>
      </c>
      <c r="L111">
        <v>1</v>
      </c>
      <c r="M111">
        <v>0</v>
      </c>
      <c r="N111">
        <v>0</v>
      </c>
      <c r="O111" t="s">
        <v>176</v>
      </c>
      <c r="P111" t="s">
        <v>288</v>
      </c>
      <c r="Q111" t="s">
        <v>288</v>
      </c>
      <c r="R111" t="s">
        <v>288</v>
      </c>
      <c r="S111" t="s">
        <v>288</v>
      </c>
      <c r="T111" t="s">
        <v>288</v>
      </c>
      <c r="U111" t="s">
        <v>288</v>
      </c>
      <c r="V111" t="s">
        <v>288</v>
      </c>
    </row>
    <row r="112" spans="1:22" x14ac:dyDescent="0.25">
      <c r="A112" t="s">
        <v>177</v>
      </c>
      <c r="B112">
        <v>9</v>
      </c>
      <c r="C112" s="45">
        <v>0</v>
      </c>
      <c r="D112">
        <v>50</v>
      </c>
      <c r="E112">
        <v>1084</v>
      </c>
      <c r="F112">
        <v>20</v>
      </c>
      <c r="G112">
        <v>0</v>
      </c>
      <c r="H112">
        <v>4.4000000000000004</v>
      </c>
      <c r="I112">
        <v>82.1</v>
      </c>
      <c r="J112">
        <v>21</v>
      </c>
      <c r="K112">
        <v>0</v>
      </c>
      <c r="L112">
        <v>0</v>
      </c>
      <c r="M112">
        <v>0</v>
      </c>
      <c r="N112">
        <v>1</v>
      </c>
      <c r="O112" t="s">
        <v>177</v>
      </c>
      <c r="P112" t="s">
        <v>288</v>
      </c>
      <c r="Q112" t="s">
        <v>288</v>
      </c>
      <c r="R112" t="s">
        <v>288</v>
      </c>
      <c r="S112" t="s">
        <v>288</v>
      </c>
      <c r="T112" t="s">
        <v>288</v>
      </c>
      <c r="U112" t="s">
        <v>288</v>
      </c>
      <c r="V112" t="s">
        <v>288</v>
      </c>
    </row>
    <row r="113" spans="1:22" x14ac:dyDescent="0.25">
      <c r="A113" t="s">
        <v>178</v>
      </c>
      <c r="B113">
        <v>41</v>
      </c>
      <c r="C113" s="45">
        <v>0</v>
      </c>
      <c r="D113">
        <v>1085</v>
      </c>
      <c r="E113">
        <v>1085</v>
      </c>
      <c r="F113">
        <v>40</v>
      </c>
      <c r="G113">
        <v>0</v>
      </c>
      <c r="H113">
        <v>4.4000000000000004</v>
      </c>
      <c r="I113">
        <v>81.2</v>
      </c>
      <c r="J113">
        <v>21</v>
      </c>
      <c r="K113">
        <v>0</v>
      </c>
      <c r="L113">
        <v>0</v>
      </c>
      <c r="M113">
        <v>0</v>
      </c>
      <c r="N113">
        <v>1</v>
      </c>
      <c r="O113" t="s">
        <v>178</v>
      </c>
      <c r="P113" t="s">
        <v>288</v>
      </c>
      <c r="Q113" t="s">
        <v>288</v>
      </c>
      <c r="R113" t="s">
        <v>288</v>
      </c>
      <c r="S113" t="s">
        <v>288</v>
      </c>
      <c r="T113" t="s">
        <v>288</v>
      </c>
      <c r="U113" t="s">
        <v>288</v>
      </c>
      <c r="V113" t="s">
        <v>288</v>
      </c>
    </row>
    <row r="114" spans="1:22" x14ac:dyDescent="0.25">
      <c r="A114" t="s">
        <v>179</v>
      </c>
      <c r="B114">
        <v>15</v>
      </c>
      <c r="C114" s="45">
        <v>0</v>
      </c>
      <c r="D114">
        <v>90</v>
      </c>
      <c r="E114">
        <v>1120</v>
      </c>
      <c r="F114">
        <v>100</v>
      </c>
      <c r="G114">
        <v>0</v>
      </c>
      <c r="H114">
        <v>4.4000000000000004</v>
      </c>
      <c r="I114">
        <v>98</v>
      </c>
      <c r="J114">
        <v>19</v>
      </c>
      <c r="K114">
        <v>0</v>
      </c>
      <c r="L114">
        <v>0</v>
      </c>
      <c r="M114">
        <v>0</v>
      </c>
      <c r="N114">
        <v>1</v>
      </c>
      <c r="O114" t="s">
        <v>179</v>
      </c>
      <c r="P114" t="s">
        <v>288</v>
      </c>
      <c r="Q114" t="s">
        <v>288</v>
      </c>
      <c r="R114" t="s">
        <v>288</v>
      </c>
      <c r="S114" t="s">
        <v>288</v>
      </c>
      <c r="T114" t="s">
        <v>288</v>
      </c>
      <c r="U114" t="s">
        <v>288</v>
      </c>
      <c r="V114" t="s">
        <v>288</v>
      </c>
    </row>
    <row r="115" spans="1:22" x14ac:dyDescent="0.25">
      <c r="A115" t="s">
        <v>180</v>
      </c>
      <c r="B115">
        <v>8.5</v>
      </c>
      <c r="C115" s="45">
        <v>0</v>
      </c>
      <c r="D115">
        <v>85</v>
      </c>
      <c r="E115">
        <v>1072</v>
      </c>
      <c r="F115">
        <v>15</v>
      </c>
      <c r="G115">
        <v>0</v>
      </c>
      <c r="H115">
        <v>4.4000000000000004</v>
      </c>
      <c r="I115">
        <v>90.3</v>
      </c>
      <c r="J115">
        <v>18</v>
      </c>
      <c r="K115">
        <v>0</v>
      </c>
      <c r="L115">
        <v>0</v>
      </c>
      <c r="M115">
        <v>0</v>
      </c>
      <c r="N115">
        <v>1</v>
      </c>
      <c r="O115" t="s">
        <v>180</v>
      </c>
      <c r="P115" t="s">
        <v>288</v>
      </c>
      <c r="Q115" t="s">
        <v>288</v>
      </c>
      <c r="R115" t="s">
        <v>288</v>
      </c>
      <c r="S115" t="s">
        <v>288</v>
      </c>
      <c r="T115" t="s">
        <v>288</v>
      </c>
      <c r="U115" t="s">
        <v>288</v>
      </c>
      <c r="V115" t="s">
        <v>288</v>
      </c>
    </row>
    <row r="116" spans="1:22" x14ac:dyDescent="0.25">
      <c r="A116" t="s">
        <v>181</v>
      </c>
      <c r="B116">
        <v>7.2</v>
      </c>
      <c r="C116" s="45">
        <v>0</v>
      </c>
      <c r="D116">
        <v>100</v>
      </c>
      <c r="E116">
        <v>1064</v>
      </c>
      <c r="F116">
        <v>12</v>
      </c>
      <c r="G116">
        <v>0</v>
      </c>
      <c r="H116">
        <v>4.4000000000000004</v>
      </c>
      <c r="I116">
        <v>84</v>
      </c>
      <c r="J116">
        <v>19</v>
      </c>
      <c r="K116">
        <v>1</v>
      </c>
      <c r="L116">
        <v>0</v>
      </c>
      <c r="M116">
        <v>0</v>
      </c>
      <c r="N116">
        <v>0</v>
      </c>
      <c r="O116" t="s">
        <v>181</v>
      </c>
      <c r="P116" t="s">
        <v>288</v>
      </c>
      <c r="Q116" t="s">
        <v>288</v>
      </c>
      <c r="R116" t="s">
        <v>288</v>
      </c>
      <c r="S116" t="s">
        <v>288</v>
      </c>
      <c r="T116" t="s">
        <v>288</v>
      </c>
      <c r="U116" t="s">
        <v>288</v>
      </c>
      <c r="V116" t="s">
        <v>288</v>
      </c>
    </row>
    <row r="117" spans="1:22" x14ac:dyDescent="0.25">
      <c r="A117" t="s">
        <v>182</v>
      </c>
      <c r="B117">
        <v>9</v>
      </c>
      <c r="C117" s="45">
        <v>0</v>
      </c>
      <c r="D117">
        <v>80</v>
      </c>
      <c r="E117">
        <v>1083</v>
      </c>
      <c r="F117">
        <v>180</v>
      </c>
      <c r="G117">
        <v>0</v>
      </c>
      <c r="H117">
        <v>5.2</v>
      </c>
      <c r="I117">
        <v>83.1</v>
      </c>
      <c r="J117">
        <v>21</v>
      </c>
      <c r="K117">
        <v>0</v>
      </c>
      <c r="L117">
        <v>0</v>
      </c>
      <c r="M117">
        <v>0</v>
      </c>
      <c r="N117">
        <v>1</v>
      </c>
      <c r="O117" t="s">
        <v>182</v>
      </c>
      <c r="P117" t="s">
        <v>288</v>
      </c>
      <c r="Q117" t="s">
        <v>288</v>
      </c>
      <c r="R117" t="s">
        <v>288</v>
      </c>
      <c r="S117" t="s">
        <v>288</v>
      </c>
      <c r="T117" t="s">
        <v>288</v>
      </c>
      <c r="U117" t="s">
        <v>288</v>
      </c>
      <c r="V117" t="s">
        <v>288</v>
      </c>
    </row>
    <row r="118" spans="1:22" x14ac:dyDescent="0.25">
      <c r="A118" t="s">
        <v>183</v>
      </c>
      <c r="B118">
        <v>3.8</v>
      </c>
      <c r="C118" s="45">
        <v>0</v>
      </c>
      <c r="D118">
        <v>20</v>
      </c>
      <c r="E118">
        <v>1039</v>
      </c>
      <c r="F118">
        <v>6</v>
      </c>
      <c r="G118">
        <v>0</v>
      </c>
      <c r="H118">
        <v>5.2</v>
      </c>
      <c r="I118">
        <v>87</v>
      </c>
      <c r="J118">
        <v>20</v>
      </c>
      <c r="K118">
        <v>1</v>
      </c>
      <c r="L118">
        <v>0</v>
      </c>
      <c r="M118">
        <v>0</v>
      </c>
      <c r="N118">
        <v>0</v>
      </c>
      <c r="O118" t="s">
        <v>183</v>
      </c>
      <c r="P118" t="s">
        <v>288</v>
      </c>
      <c r="Q118" t="s">
        <v>288</v>
      </c>
      <c r="R118" t="s">
        <v>288</v>
      </c>
      <c r="S118" t="s">
        <v>288</v>
      </c>
      <c r="T118" t="s">
        <v>288</v>
      </c>
      <c r="U118" t="s">
        <v>288</v>
      </c>
      <c r="V118" t="s">
        <v>288</v>
      </c>
    </row>
    <row r="119" spans="1:22" x14ac:dyDescent="0.25">
      <c r="A119" t="s">
        <v>184</v>
      </c>
      <c r="B119">
        <v>5.7</v>
      </c>
      <c r="C119" s="45">
        <v>0</v>
      </c>
      <c r="D119">
        <v>35</v>
      </c>
      <c r="E119">
        <v>1053</v>
      </c>
      <c r="F119">
        <v>25</v>
      </c>
      <c r="G119">
        <v>0</v>
      </c>
      <c r="H119">
        <v>4.4000000000000004</v>
      </c>
      <c r="I119">
        <v>79.3</v>
      </c>
      <c r="J119">
        <v>17</v>
      </c>
      <c r="K119">
        <v>1</v>
      </c>
      <c r="L119">
        <v>0</v>
      </c>
      <c r="M119">
        <v>0</v>
      </c>
      <c r="N119">
        <v>0</v>
      </c>
      <c r="O119" t="s">
        <v>184</v>
      </c>
      <c r="P119" t="s">
        <v>288</v>
      </c>
      <c r="Q119" t="s">
        <v>288</v>
      </c>
      <c r="R119" t="s">
        <v>288</v>
      </c>
      <c r="S119" t="s">
        <v>288</v>
      </c>
      <c r="T119" t="s">
        <v>288</v>
      </c>
      <c r="U119" t="s">
        <v>288</v>
      </c>
      <c r="V119" t="s">
        <v>288</v>
      </c>
    </row>
    <row r="120" spans="1:22" x14ac:dyDescent="0.25">
      <c r="A120" t="s">
        <v>185</v>
      </c>
      <c r="B120">
        <v>6.3</v>
      </c>
      <c r="C120" s="45">
        <v>0</v>
      </c>
      <c r="D120">
        <v>130</v>
      </c>
      <c r="E120">
        <v>1060</v>
      </c>
      <c r="F120">
        <v>14</v>
      </c>
      <c r="G120">
        <v>0</v>
      </c>
      <c r="H120">
        <v>5.2</v>
      </c>
      <c r="I120">
        <v>83</v>
      </c>
      <c r="J120">
        <v>20</v>
      </c>
      <c r="K120">
        <v>1</v>
      </c>
      <c r="L120">
        <v>0</v>
      </c>
      <c r="M120">
        <v>0</v>
      </c>
      <c r="N120">
        <v>0</v>
      </c>
      <c r="O120" t="s">
        <v>185</v>
      </c>
      <c r="P120" t="s">
        <v>288</v>
      </c>
      <c r="Q120" t="s">
        <v>288</v>
      </c>
      <c r="R120" t="s">
        <v>288</v>
      </c>
      <c r="S120" t="s">
        <v>288</v>
      </c>
      <c r="T120" t="s">
        <v>288</v>
      </c>
      <c r="U120" t="s">
        <v>288</v>
      </c>
      <c r="V120" t="s">
        <v>288</v>
      </c>
    </row>
    <row r="121" spans="1:22" x14ac:dyDescent="0.25">
      <c r="A121" t="s">
        <v>186</v>
      </c>
      <c r="B121">
        <v>7.5</v>
      </c>
      <c r="C121" s="45">
        <v>0</v>
      </c>
      <c r="D121">
        <v>75</v>
      </c>
      <c r="E121">
        <v>1068</v>
      </c>
      <c r="F121">
        <v>30</v>
      </c>
      <c r="G121">
        <v>0</v>
      </c>
      <c r="H121">
        <v>4.4000000000000004</v>
      </c>
      <c r="I121">
        <v>82.1</v>
      </c>
      <c r="J121">
        <v>19</v>
      </c>
      <c r="K121">
        <v>1</v>
      </c>
      <c r="L121">
        <v>0</v>
      </c>
      <c r="M121">
        <v>0</v>
      </c>
      <c r="N121">
        <v>0</v>
      </c>
      <c r="O121" t="s">
        <v>186</v>
      </c>
      <c r="P121" t="s">
        <v>288</v>
      </c>
      <c r="Q121" t="s">
        <v>288</v>
      </c>
      <c r="R121" t="s">
        <v>288</v>
      </c>
      <c r="S121" t="s">
        <v>288</v>
      </c>
      <c r="T121" t="s">
        <v>288</v>
      </c>
      <c r="U121" t="s">
        <v>288</v>
      </c>
      <c r="V121" t="s">
        <v>288</v>
      </c>
    </row>
    <row r="122" spans="1:22" x14ac:dyDescent="0.25">
      <c r="A122" t="s">
        <v>187</v>
      </c>
      <c r="B122">
        <v>4.4000000000000004</v>
      </c>
      <c r="C122" s="45">
        <v>0</v>
      </c>
      <c r="D122">
        <v>35</v>
      </c>
      <c r="E122">
        <v>1045</v>
      </c>
      <c r="F122">
        <v>30</v>
      </c>
      <c r="G122">
        <v>0</v>
      </c>
      <c r="H122">
        <v>4.4000000000000004</v>
      </c>
      <c r="I122">
        <v>73.3</v>
      </c>
      <c r="J122">
        <v>19</v>
      </c>
      <c r="K122">
        <v>1</v>
      </c>
      <c r="L122">
        <v>0</v>
      </c>
      <c r="M122">
        <v>0</v>
      </c>
      <c r="N122">
        <v>0</v>
      </c>
      <c r="O122" t="s">
        <v>187</v>
      </c>
      <c r="P122" t="s">
        <v>288</v>
      </c>
      <c r="Q122" t="s">
        <v>288</v>
      </c>
      <c r="R122" t="s">
        <v>288</v>
      </c>
      <c r="S122" t="s">
        <v>288</v>
      </c>
      <c r="T122" t="s">
        <v>288</v>
      </c>
      <c r="U122" t="s">
        <v>288</v>
      </c>
      <c r="V122" t="s">
        <v>288</v>
      </c>
    </row>
    <row r="123" spans="1:22" x14ac:dyDescent="0.25">
      <c r="A123" t="s">
        <v>188</v>
      </c>
      <c r="B123">
        <v>18</v>
      </c>
      <c r="C123" s="45">
        <v>0</v>
      </c>
      <c r="D123">
        <v>70</v>
      </c>
      <c r="E123">
        <v>1150</v>
      </c>
      <c r="F123">
        <v>57</v>
      </c>
      <c r="G123">
        <v>0</v>
      </c>
      <c r="H123">
        <v>4.4000000000000004</v>
      </c>
      <c r="I123">
        <v>93.3</v>
      </c>
      <c r="J123">
        <v>22</v>
      </c>
      <c r="K123">
        <v>0</v>
      </c>
      <c r="L123">
        <v>0</v>
      </c>
      <c r="M123">
        <v>0</v>
      </c>
      <c r="N123">
        <v>1</v>
      </c>
      <c r="O123" t="s">
        <v>188</v>
      </c>
      <c r="P123" t="s">
        <v>288</v>
      </c>
      <c r="Q123" t="s">
        <v>288</v>
      </c>
      <c r="R123" t="s">
        <v>288</v>
      </c>
      <c r="S123" t="s">
        <v>288</v>
      </c>
      <c r="T123" t="s">
        <v>288</v>
      </c>
      <c r="U123" t="s">
        <v>288</v>
      </c>
      <c r="V123" t="s">
        <v>288</v>
      </c>
    </row>
    <row r="124" spans="1:22" x14ac:dyDescent="0.25">
      <c r="A124" t="s">
        <v>189</v>
      </c>
      <c r="B124">
        <v>10.5</v>
      </c>
      <c r="C124" s="45">
        <v>0</v>
      </c>
      <c r="D124">
        <v>14</v>
      </c>
      <c r="E124">
        <v>1093</v>
      </c>
      <c r="F124" t="s">
        <v>32</v>
      </c>
      <c r="G124">
        <v>1</v>
      </c>
      <c r="H124">
        <v>4.4000000000000004</v>
      </c>
      <c r="I124">
        <v>80</v>
      </c>
      <c r="J124">
        <v>19</v>
      </c>
      <c r="K124">
        <v>1</v>
      </c>
      <c r="L124">
        <v>0</v>
      </c>
      <c r="M124">
        <v>0</v>
      </c>
      <c r="N124">
        <v>0</v>
      </c>
      <c r="O124" t="s">
        <v>189</v>
      </c>
      <c r="P124">
        <v>14</v>
      </c>
      <c r="Q124">
        <v>1093</v>
      </c>
      <c r="R124">
        <v>10.5</v>
      </c>
      <c r="S124">
        <v>4.4000000000000004</v>
      </c>
      <c r="T124">
        <v>80</v>
      </c>
      <c r="U124">
        <v>19</v>
      </c>
      <c r="V124" t="s">
        <v>64</v>
      </c>
    </row>
    <row r="125" spans="1:22" x14ac:dyDescent="0.25">
      <c r="A125" t="s">
        <v>190</v>
      </c>
      <c r="B125">
        <v>11.3</v>
      </c>
      <c r="C125" s="45">
        <v>0</v>
      </c>
      <c r="D125">
        <v>50</v>
      </c>
      <c r="E125">
        <v>1098</v>
      </c>
      <c r="F125">
        <v>164</v>
      </c>
      <c r="G125">
        <v>0</v>
      </c>
      <c r="H125">
        <v>4.4000000000000004</v>
      </c>
      <c r="I125">
        <v>79.599999999999994</v>
      </c>
      <c r="J125">
        <v>20</v>
      </c>
      <c r="K125">
        <v>0</v>
      </c>
      <c r="L125">
        <v>0</v>
      </c>
      <c r="M125">
        <v>0</v>
      </c>
      <c r="N125">
        <v>1</v>
      </c>
      <c r="O125" t="s">
        <v>190</v>
      </c>
      <c r="P125" t="s">
        <v>288</v>
      </c>
      <c r="Q125" t="s">
        <v>288</v>
      </c>
      <c r="R125" t="s">
        <v>288</v>
      </c>
      <c r="S125" t="s">
        <v>288</v>
      </c>
      <c r="T125" t="s">
        <v>288</v>
      </c>
      <c r="U125" t="s">
        <v>288</v>
      </c>
      <c r="V125" t="s">
        <v>288</v>
      </c>
    </row>
    <row r="126" spans="1:22" x14ac:dyDescent="0.25">
      <c r="A126" t="s">
        <v>191</v>
      </c>
      <c r="B126" t="s">
        <v>32</v>
      </c>
      <c r="C126" s="45">
        <v>1</v>
      </c>
      <c r="D126">
        <v>25</v>
      </c>
      <c r="E126">
        <v>1052</v>
      </c>
      <c r="F126">
        <v>10</v>
      </c>
      <c r="G126">
        <v>0</v>
      </c>
      <c r="H126">
        <v>5.2</v>
      </c>
      <c r="I126">
        <v>87</v>
      </c>
      <c r="J126">
        <v>20</v>
      </c>
      <c r="K126">
        <v>0</v>
      </c>
      <c r="L126">
        <v>0</v>
      </c>
      <c r="M126">
        <v>1</v>
      </c>
      <c r="N126">
        <v>0</v>
      </c>
      <c r="O126" t="s">
        <v>191</v>
      </c>
      <c r="P126" t="s">
        <v>288</v>
      </c>
      <c r="Q126" t="s">
        <v>288</v>
      </c>
      <c r="R126" t="s">
        <v>288</v>
      </c>
      <c r="S126" t="s">
        <v>288</v>
      </c>
      <c r="T126" t="s">
        <v>288</v>
      </c>
      <c r="U126" t="s">
        <v>288</v>
      </c>
      <c r="V126" t="s">
        <v>288</v>
      </c>
    </row>
    <row r="127" spans="1:22" x14ac:dyDescent="0.25">
      <c r="A127" t="s">
        <v>192</v>
      </c>
      <c r="B127">
        <v>5.2</v>
      </c>
      <c r="C127" s="45">
        <v>0</v>
      </c>
      <c r="D127">
        <v>65</v>
      </c>
      <c r="E127">
        <v>1048</v>
      </c>
      <c r="F127">
        <v>16</v>
      </c>
      <c r="G127">
        <v>0</v>
      </c>
      <c r="H127">
        <v>5.2</v>
      </c>
      <c r="I127">
        <v>79</v>
      </c>
      <c r="J127">
        <v>19</v>
      </c>
      <c r="K127">
        <v>1</v>
      </c>
      <c r="L127">
        <v>0</v>
      </c>
      <c r="M127">
        <v>0</v>
      </c>
      <c r="N127">
        <v>0</v>
      </c>
      <c r="O127" t="s">
        <v>192</v>
      </c>
      <c r="P127" t="s">
        <v>288</v>
      </c>
      <c r="Q127" t="s">
        <v>288</v>
      </c>
      <c r="R127" t="s">
        <v>288</v>
      </c>
      <c r="S127" t="s">
        <v>288</v>
      </c>
      <c r="T127" t="s">
        <v>288</v>
      </c>
      <c r="U127" t="s">
        <v>288</v>
      </c>
      <c r="V127" t="s">
        <v>288</v>
      </c>
    </row>
    <row r="128" spans="1:22" x14ac:dyDescent="0.25">
      <c r="A128" t="s">
        <v>193</v>
      </c>
      <c r="B128">
        <v>4.5</v>
      </c>
      <c r="C128" s="45">
        <v>0</v>
      </c>
      <c r="D128">
        <v>25</v>
      </c>
      <c r="E128">
        <v>1043</v>
      </c>
      <c r="F128">
        <v>10</v>
      </c>
      <c r="G128">
        <v>0</v>
      </c>
      <c r="H128">
        <v>4.2</v>
      </c>
      <c r="I128">
        <v>79.099999999999994</v>
      </c>
      <c r="J128">
        <v>15</v>
      </c>
      <c r="K128">
        <v>1</v>
      </c>
      <c r="L128">
        <v>0</v>
      </c>
      <c r="M128">
        <v>0</v>
      </c>
      <c r="N128">
        <v>0</v>
      </c>
      <c r="O128" t="s">
        <v>193</v>
      </c>
      <c r="P128" t="s">
        <v>288</v>
      </c>
      <c r="Q128" t="s">
        <v>288</v>
      </c>
      <c r="R128" t="s">
        <v>288</v>
      </c>
      <c r="S128" t="s">
        <v>288</v>
      </c>
      <c r="T128" t="s">
        <v>288</v>
      </c>
      <c r="U128" t="s">
        <v>288</v>
      </c>
      <c r="V128" t="s">
        <v>288</v>
      </c>
    </row>
    <row r="129" spans="1:22" x14ac:dyDescent="0.25">
      <c r="A129" t="s">
        <v>194</v>
      </c>
      <c r="B129">
        <v>9.5</v>
      </c>
      <c r="C129" s="45">
        <v>0</v>
      </c>
      <c r="D129">
        <v>80</v>
      </c>
      <c r="E129">
        <v>1075</v>
      </c>
      <c r="F129">
        <v>195</v>
      </c>
      <c r="G129">
        <v>0</v>
      </c>
      <c r="H129">
        <v>4.5</v>
      </c>
      <c r="I129">
        <v>81.3</v>
      </c>
      <c r="J129">
        <v>19</v>
      </c>
      <c r="K129">
        <v>0</v>
      </c>
      <c r="L129">
        <v>0</v>
      </c>
      <c r="M129">
        <v>0</v>
      </c>
      <c r="N129">
        <v>1</v>
      </c>
      <c r="O129" t="s">
        <v>194</v>
      </c>
      <c r="P129" t="s">
        <v>288</v>
      </c>
      <c r="Q129" t="s">
        <v>288</v>
      </c>
      <c r="R129" t="s">
        <v>288</v>
      </c>
      <c r="S129" t="s">
        <v>288</v>
      </c>
      <c r="T129" t="s">
        <v>288</v>
      </c>
      <c r="U129" t="s">
        <v>288</v>
      </c>
      <c r="V129" t="s">
        <v>288</v>
      </c>
    </row>
    <row r="130" spans="1:22" x14ac:dyDescent="0.25">
      <c r="A130" t="s">
        <v>195</v>
      </c>
      <c r="B130">
        <v>7.2</v>
      </c>
      <c r="C130" s="45">
        <v>0</v>
      </c>
      <c r="D130">
        <v>70</v>
      </c>
      <c r="E130">
        <v>1067</v>
      </c>
      <c r="F130">
        <v>30</v>
      </c>
      <c r="G130">
        <v>0</v>
      </c>
      <c r="H130">
        <v>4.4000000000000004</v>
      </c>
      <c r="I130">
        <v>82.1</v>
      </c>
      <c r="J130">
        <v>19</v>
      </c>
      <c r="K130">
        <v>1</v>
      </c>
      <c r="L130">
        <v>0</v>
      </c>
      <c r="M130">
        <v>0</v>
      </c>
      <c r="N130">
        <v>0</v>
      </c>
      <c r="O130" t="s">
        <v>195</v>
      </c>
      <c r="P130" t="s">
        <v>288</v>
      </c>
      <c r="Q130" t="s">
        <v>288</v>
      </c>
      <c r="R130" t="s">
        <v>288</v>
      </c>
      <c r="S130" t="s">
        <v>288</v>
      </c>
      <c r="T130" t="s">
        <v>288</v>
      </c>
      <c r="U130" t="s">
        <v>288</v>
      </c>
      <c r="V130" t="s">
        <v>288</v>
      </c>
    </row>
    <row r="131" spans="1:22" x14ac:dyDescent="0.25">
      <c r="A131" t="s">
        <v>196</v>
      </c>
      <c r="B131">
        <v>2.7</v>
      </c>
      <c r="C131" s="45">
        <v>0</v>
      </c>
      <c r="D131">
        <v>36</v>
      </c>
      <c r="E131">
        <v>1033</v>
      </c>
      <c r="F131">
        <v>57</v>
      </c>
      <c r="G131">
        <v>0</v>
      </c>
      <c r="H131">
        <v>4.4000000000000004</v>
      </c>
      <c r="I131">
        <v>70.8</v>
      </c>
      <c r="J131">
        <v>19</v>
      </c>
      <c r="K131">
        <v>1</v>
      </c>
      <c r="L131">
        <v>0</v>
      </c>
      <c r="M131">
        <v>0</v>
      </c>
      <c r="N131">
        <v>0</v>
      </c>
      <c r="O131" t="s">
        <v>196</v>
      </c>
      <c r="P131" t="s">
        <v>288</v>
      </c>
      <c r="Q131" t="s">
        <v>288</v>
      </c>
      <c r="R131" t="s">
        <v>288</v>
      </c>
      <c r="S131" t="s">
        <v>288</v>
      </c>
      <c r="T131" t="s">
        <v>288</v>
      </c>
      <c r="U131" t="s">
        <v>288</v>
      </c>
      <c r="V131" t="s">
        <v>288</v>
      </c>
    </row>
    <row r="132" spans="1:22" x14ac:dyDescent="0.25">
      <c r="A132" t="s">
        <v>197</v>
      </c>
      <c r="B132">
        <v>6.4</v>
      </c>
      <c r="C132" s="45">
        <v>0</v>
      </c>
      <c r="D132">
        <v>50</v>
      </c>
      <c r="E132">
        <v>1061</v>
      </c>
      <c r="F132">
        <v>20</v>
      </c>
      <c r="G132">
        <v>0</v>
      </c>
      <c r="H132">
        <v>4.4000000000000004</v>
      </c>
      <c r="I132">
        <v>80.3</v>
      </c>
      <c r="J132">
        <v>19</v>
      </c>
      <c r="K132">
        <v>1</v>
      </c>
      <c r="L132">
        <v>0</v>
      </c>
      <c r="M132">
        <v>0</v>
      </c>
      <c r="N132">
        <v>0</v>
      </c>
      <c r="O132" t="s">
        <v>197</v>
      </c>
      <c r="P132" t="s">
        <v>288</v>
      </c>
      <c r="Q132" t="s">
        <v>288</v>
      </c>
      <c r="R132" t="s">
        <v>288</v>
      </c>
      <c r="S132" t="s">
        <v>288</v>
      </c>
      <c r="T132" t="s">
        <v>288</v>
      </c>
      <c r="U132" t="s">
        <v>288</v>
      </c>
      <c r="V132" t="s">
        <v>288</v>
      </c>
    </row>
    <row r="133" spans="1:22" x14ac:dyDescent="0.25">
      <c r="A133" t="s">
        <v>198</v>
      </c>
      <c r="B133">
        <v>17.2</v>
      </c>
      <c r="C133" s="45">
        <v>0</v>
      </c>
      <c r="D133">
        <v>75</v>
      </c>
      <c r="E133">
        <v>1156</v>
      </c>
      <c r="F133">
        <v>128</v>
      </c>
      <c r="G133">
        <v>0</v>
      </c>
      <c r="H133">
        <v>4.4000000000000004</v>
      </c>
      <c r="I133">
        <v>80.8</v>
      </c>
      <c r="J133">
        <v>21</v>
      </c>
      <c r="K133">
        <v>0</v>
      </c>
      <c r="L133">
        <v>0</v>
      </c>
      <c r="M133">
        <v>0</v>
      </c>
      <c r="N133">
        <v>1</v>
      </c>
      <c r="O133" t="s">
        <v>198</v>
      </c>
      <c r="P133" t="s">
        <v>288</v>
      </c>
      <c r="Q133" t="s">
        <v>288</v>
      </c>
      <c r="R133" t="s">
        <v>288</v>
      </c>
      <c r="S133" t="s">
        <v>288</v>
      </c>
      <c r="T133" t="s">
        <v>288</v>
      </c>
      <c r="U133" t="s">
        <v>288</v>
      </c>
      <c r="V133" t="s">
        <v>288</v>
      </c>
    </row>
    <row r="134" spans="1:22" x14ac:dyDescent="0.25">
      <c r="A134" t="s">
        <v>199</v>
      </c>
      <c r="B134">
        <v>8.5</v>
      </c>
      <c r="C134" s="45">
        <v>0</v>
      </c>
      <c r="D134">
        <v>100</v>
      </c>
      <c r="E134">
        <v>1068</v>
      </c>
      <c r="F134">
        <v>15</v>
      </c>
      <c r="G134">
        <v>0</v>
      </c>
      <c r="H134">
        <v>4.4000000000000004</v>
      </c>
      <c r="I134">
        <v>95.6</v>
      </c>
      <c r="J134">
        <v>21</v>
      </c>
      <c r="K134">
        <v>0</v>
      </c>
      <c r="L134">
        <v>0</v>
      </c>
      <c r="M134">
        <v>0</v>
      </c>
      <c r="N134">
        <v>1</v>
      </c>
      <c r="O134" t="s">
        <v>199</v>
      </c>
      <c r="P134" t="s">
        <v>288</v>
      </c>
      <c r="Q134" t="s">
        <v>288</v>
      </c>
      <c r="R134" t="s">
        <v>288</v>
      </c>
      <c r="S134" t="s">
        <v>288</v>
      </c>
      <c r="T134" t="s">
        <v>288</v>
      </c>
      <c r="U134" t="s">
        <v>288</v>
      </c>
      <c r="V134" t="s">
        <v>288</v>
      </c>
    </row>
    <row r="135" spans="1:22" x14ac:dyDescent="0.25">
      <c r="A135" t="s">
        <v>200</v>
      </c>
      <c r="B135">
        <v>4.9000000000000004</v>
      </c>
      <c r="C135" s="45">
        <v>0</v>
      </c>
      <c r="D135">
        <v>30</v>
      </c>
      <c r="E135">
        <v>1047</v>
      </c>
      <c r="F135">
        <v>12</v>
      </c>
      <c r="G135">
        <v>0</v>
      </c>
      <c r="H135">
        <v>4.4000000000000004</v>
      </c>
      <c r="I135">
        <v>80.7</v>
      </c>
      <c r="J135">
        <v>10</v>
      </c>
      <c r="K135">
        <v>0</v>
      </c>
      <c r="L135">
        <v>1</v>
      </c>
      <c r="M135">
        <v>0</v>
      </c>
      <c r="N135">
        <v>0</v>
      </c>
      <c r="O135" t="s">
        <v>200</v>
      </c>
      <c r="P135" t="s">
        <v>288</v>
      </c>
      <c r="Q135" t="s">
        <v>288</v>
      </c>
      <c r="R135" t="s">
        <v>288</v>
      </c>
      <c r="S135" t="s">
        <v>288</v>
      </c>
      <c r="T135" t="s">
        <v>288</v>
      </c>
      <c r="U135" t="s">
        <v>288</v>
      </c>
      <c r="V135" t="s">
        <v>288</v>
      </c>
    </row>
    <row r="136" spans="1:22" x14ac:dyDescent="0.25">
      <c r="A136" t="s">
        <v>201</v>
      </c>
      <c r="B136">
        <v>4.7</v>
      </c>
      <c r="C136" s="45">
        <v>0</v>
      </c>
      <c r="D136">
        <v>37</v>
      </c>
      <c r="E136">
        <v>1043</v>
      </c>
      <c r="F136">
        <v>10</v>
      </c>
      <c r="G136">
        <v>0</v>
      </c>
      <c r="H136">
        <v>4.2</v>
      </c>
      <c r="I136">
        <v>83.7</v>
      </c>
      <c r="J136">
        <v>12</v>
      </c>
      <c r="K136">
        <v>0</v>
      </c>
      <c r="L136">
        <v>1</v>
      </c>
      <c r="M136">
        <v>0</v>
      </c>
      <c r="N136">
        <v>0</v>
      </c>
      <c r="O136" t="s">
        <v>201</v>
      </c>
      <c r="P136" t="s">
        <v>288</v>
      </c>
      <c r="Q136" t="s">
        <v>288</v>
      </c>
      <c r="R136" t="s">
        <v>288</v>
      </c>
      <c r="S136" t="s">
        <v>288</v>
      </c>
      <c r="T136" t="s">
        <v>288</v>
      </c>
      <c r="U136" t="s">
        <v>288</v>
      </c>
      <c r="V136" t="s">
        <v>288</v>
      </c>
    </row>
    <row r="137" spans="1:22" x14ac:dyDescent="0.25">
      <c r="A137" t="s">
        <v>202</v>
      </c>
      <c r="B137">
        <v>7.2</v>
      </c>
      <c r="C137" s="45">
        <v>0</v>
      </c>
      <c r="D137">
        <v>100</v>
      </c>
      <c r="E137">
        <v>1064</v>
      </c>
      <c r="F137">
        <v>12</v>
      </c>
      <c r="G137">
        <v>0</v>
      </c>
      <c r="H137">
        <v>4.4000000000000004</v>
      </c>
      <c r="I137">
        <v>84</v>
      </c>
      <c r="J137">
        <v>19</v>
      </c>
      <c r="K137">
        <v>1</v>
      </c>
      <c r="L137">
        <v>0</v>
      </c>
      <c r="M137">
        <v>0</v>
      </c>
      <c r="N137">
        <v>0</v>
      </c>
      <c r="O137" t="s">
        <v>202</v>
      </c>
      <c r="P137" t="s">
        <v>288</v>
      </c>
      <c r="Q137" t="s">
        <v>288</v>
      </c>
      <c r="R137" t="s">
        <v>288</v>
      </c>
      <c r="S137" t="s">
        <v>288</v>
      </c>
      <c r="T137" t="s">
        <v>288</v>
      </c>
      <c r="U137" t="s">
        <v>288</v>
      </c>
      <c r="V137" t="s">
        <v>288</v>
      </c>
    </row>
    <row r="138" spans="1:22" x14ac:dyDescent="0.25">
      <c r="A138" t="s">
        <v>203</v>
      </c>
      <c r="B138">
        <v>10</v>
      </c>
      <c r="C138" s="45">
        <v>0</v>
      </c>
      <c r="D138">
        <v>80</v>
      </c>
      <c r="E138">
        <v>1097</v>
      </c>
      <c r="F138">
        <v>65</v>
      </c>
      <c r="G138">
        <v>0</v>
      </c>
      <c r="H138">
        <v>4.4000000000000004</v>
      </c>
      <c r="I138">
        <v>79.400000000000006</v>
      </c>
      <c r="J138">
        <v>21</v>
      </c>
      <c r="K138">
        <v>0</v>
      </c>
      <c r="L138">
        <v>0</v>
      </c>
      <c r="M138">
        <v>0</v>
      </c>
      <c r="N138">
        <v>1</v>
      </c>
      <c r="O138" t="s">
        <v>203</v>
      </c>
      <c r="P138" t="s">
        <v>288</v>
      </c>
      <c r="Q138" t="s">
        <v>288</v>
      </c>
      <c r="R138" t="s">
        <v>288</v>
      </c>
      <c r="S138" t="s">
        <v>288</v>
      </c>
      <c r="T138" t="s">
        <v>288</v>
      </c>
      <c r="U138" t="s">
        <v>288</v>
      </c>
      <c r="V138" t="s">
        <v>288</v>
      </c>
    </row>
    <row r="139" spans="1:22" x14ac:dyDescent="0.25">
      <c r="A139" t="s">
        <v>204</v>
      </c>
      <c r="B139">
        <v>4.5</v>
      </c>
      <c r="C139" s="45">
        <v>0</v>
      </c>
      <c r="D139">
        <v>55</v>
      </c>
      <c r="E139">
        <v>1045</v>
      </c>
      <c r="F139">
        <v>20</v>
      </c>
      <c r="G139">
        <v>0</v>
      </c>
      <c r="H139">
        <v>4.2</v>
      </c>
      <c r="I139">
        <v>73.900000000000006</v>
      </c>
      <c r="J139">
        <v>19</v>
      </c>
      <c r="K139">
        <v>1</v>
      </c>
      <c r="L139">
        <v>0</v>
      </c>
      <c r="M139">
        <v>0</v>
      </c>
      <c r="N139">
        <v>0</v>
      </c>
      <c r="O139" t="s">
        <v>204</v>
      </c>
      <c r="P139" t="s">
        <v>288</v>
      </c>
      <c r="Q139" t="s">
        <v>288</v>
      </c>
      <c r="R139" t="s">
        <v>288</v>
      </c>
      <c r="S139" t="s">
        <v>288</v>
      </c>
      <c r="T139" t="s">
        <v>288</v>
      </c>
      <c r="U139" t="s">
        <v>288</v>
      </c>
      <c r="V139" t="s">
        <v>288</v>
      </c>
    </row>
    <row r="140" spans="1:22" x14ac:dyDescent="0.25">
      <c r="A140" t="s">
        <v>205</v>
      </c>
      <c r="B140">
        <v>7.2</v>
      </c>
      <c r="C140" s="45">
        <v>0</v>
      </c>
      <c r="D140">
        <v>50</v>
      </c>
      <c r="E140">
        <v>1068</v>
      </c>
      <c r="F140">
        <v>150</v>
      </c>
      <c r="G140">
        <v>0</v>
      </c>
      <c r="H140">
        <v>4.4000000000000004</v>
      </c>
      <c r="I140">
        <v>78.599999999999994</v>
      </c>
      <c r="J140">
        <v>19</v>
      </c>
      <c r="K140">
        <v>0</v>
      </c>
      <c r="L140">
        <v>0</v>
      </c>
      <c r="M140">
        <v>0</v>
      </c>
      <c r="N140">
        <v>1</v>
      </c>
      <c r="O140" t="s">
        <v>205</v>
      </c>
      <c r="P140" t="s">
        <v>288</v>
      </c>
      <c r="Q140" t="s">
        <v>288</v>
      </c>
      <c r="R140" t="s">
        <v>288</v>
      </c>
      <c r="S140" t="s">
        <v>288</v>
      </c>
      <c r="T140" t="s">
        <v>288</v>
      </c>
      <c r="U140" t="s">
        <v>288</v>
      </c>
      <c r="V140" t="s">
        <v>288</v>
      </c>
    </row>
    <row r="141" spans="1:22" x14ac:dyDescent="0.25">
      <c r="A141" t="s">
        <v>206</v>
      </c>
      <c r="B141">
        <v>7.2</v>
      </c>
      <c r="C141" s="45">
        <v>0</v>
      </c>
      <c r="D141">
        <v>250</v>
      </c>
      <c r="E141">
        <v>1065</v>
      </c>
      <c r="F141">
        <v>15</v>
      </c>
      <c r="G141">
        <v>0</v>
      </c>
      <c r="H141">
        <v>4.4000000000000004</v>
      </c>
      <c r="I141">
        <v>84.6</v>
      </c>
      <c r="J141">
        <v>21</v>
      </c>
      <c r="K141">
        <v>0</v>
      </c>
      <c r="L141">
        <v>0</v>
      </c>
      <c r="M141">
        <v>0</v>
      </c>
      <c r="N141">
        <v>1</v>
      </c>
      <c r="O141" t="s">
        <v>206</v>
      </c>
      <c r="P141" t="s">
        <v>288</v>
      </c>
      <c r="Q141" t="s">
        <v>288</v>
      </c>
      <c r="R141" t="s">
        <v>288</v>
      </c>
      <c r="S141" t="s">
        <v>288</v>
      </c>
      <c r="T141" t="s">
        <v>288</v>
      </c>
      <c r="U141" t="s">
        <v>288</v>
      </c>
      <c r="V141" t="s">
        <v>288</v>
      </c>
    </row>
    <row r="142" spans="1:22" x14ac:dyDescent="0.25">
      <c r="A142" t="s">
        <v>207</v>
      </c>
      <c r="B142">
        <v>6.7</v>
      </c>
      <c r="C142" s="45">
        <v>0</v>
      </c>
      <c r="D142">
        <v>67</v>
      </c>
      <c r="E142">
        <v>1064</v>
      </c>
      <c r="F142">
        <v>19</v>
      </c>
      <c r="G142">
        <v>0</v>
      </c>
      <c r="H142">
        <v>4.4000000000000004</v>
      </c>
      <c r="I142">
        <v>79.7</v>
      </c>
      <c r="J142">
        <v>19</v>
      </c>
      <c r="K142">
        <v>1</v>
      </c>
      <c r="L142">
        <v>0</v>
      </c>
      <c r="M142">
        <v>0</v>
      </c>
      <c r="N142">
        <v>0</v>
      </c>
      <c r="O142" t="s">
        <v>207</v>
      </c>
      <c r="P142" t="s">
        <v>288</v>
      </c>
      <c r="Q142" t="s">
        <v>288</v>
      </c>
      <c r="R142" t="s">
        <v>288</v>
      </c>
      <c r="S142" t="s">
        <v>288</v>
      </c>
      <c r="T142" t="s">
        <v>288</v>
      </c>
      <c r="U142" t="s">
        <v>288</v>
      </c>
      <c r="V142" t="s">
        <v>288</v>
      </c>
    </row>
    <row r="143" spans="1:22" x14ac:dyDescent="0.25">
      <c r="A143" t="s">
        <v>208</v>
      </c>
      <c r="B143">
        <v>7.2</v>
      </c>
      <c r="C143" s="45">
        <v>0</v>
      </c>
      <c r="D143">
        <v>100</v>
      </c>
      <c r="E143">
        <v>1064</v>
      </c>
      <c r="F143">
        <v>12</v>
      </c>
      <c r="G143">
        <v>0</v>
      </c>
      <c r="H143">
        <v>4.4000000000000004</v>
      </c>
      <c r="I143">
        <v>84</v>
      </c>
      <c r="J143">
        <v>19</v>
      </c>
      <c r="K143">
        <v>1</v>
      </c>
      <c r="L143">
        <v>0</v>
      </c>
      <c r="M143">
        <v>0</v>
      </c>
      <c r="N143">
        <v>0</v>
      </c>
      <c r="O143" t="s">
        <v>208</v>
      </c>
      <c r="P143" t="s">
        <v>288</v>
      </c>
      <c r="Q143" t="s">
        <v>288</v>
      </c>
      <c r="R143" t="s">
        <v>288</v>
      </c>
      <c r="S143" t="s">
        <v>288</v>
      </c>
      <c r="T143" t="s">
        <v>288</v>
      </c>
      <c r="U143" t="s">
        <v>288</v>
      </c>
      <c r="V143" t="s">
        <v>288</v>
      </c>
    </row>
    <row r="144" spans="1:22" x14ac:dyDescent="0.25">
      <c r="A144" t="s">
        <v>209</v>
      </c>
      <c r="B144">
        <v>4.4000000000000004</v>
      </c>
      <c r="C144" s="45">
        <v>0</v>
      </c>
      <c r="D144">
        <v>70</v>
      </c>
      <c r="E144">
        <v>1045</v>
      </c>
      <c r="F144">
        <v>30</v>
      </c>
      <c r="G144">
        <v>0</v>
      </c>
      <c r="H144">
        <v>4.4000000000000004</v>
      </c>
      <c r="I144">
        <v>82.9</v>
      </c>
      <c r="J144">
        <v>20</v>
      </c>
      <c r="K144">
        <v>0</v>
      </c>
      <c r="L144">
        <v>0</v>
      </c>
      <c r="M144">
        <v>0</v>
      </c>
      <c r="N144">
        <v>1</v>
      </c>
      <c r="O144" t="s">
        <v>209</v>
      </c>
      <c r="P144" t="s">
        <v>288</v>
      </c>
      <c r="Q144" t="s">
        <v>288</v>
      </c>
      <c r="R144" t="s">
        <v>288</v>
      </c>
      <c r="S144" t="s">
        <v>288</v>
      </c>
      <c r="T144" t="s">
        <v>288</v>
      </c>
      <c r="U144" t="s">
        <v>288</v>
      </c>
      <c r="V144" t="s">
        <v>288</v>
      </c>
    </row>
    <row r="145" spans="1:22" x14ac:dyDescent="0.25">
      <c r="A145" t="s">
        <v>210</v>
      </c>
      <c r="B145">
        <v>9</v>
      </c>
      <c r="C145" s="45">
        <v>0</v>
      </c>
      <c r="D145">
        <v>70</v>
      </c>
      <c r="E145">
        <v>1090</v>
      </c>
      <c r="F145">
        <v>190</v>
      </c>
      <c r="G145">
        <v>0</v>
      </c>
      <c r="H145">
        <v>4.4000000000000004</v>
      </c>
      <c r="I145">
        <v>80</v>
      </c>
      <c r="J145">
        <v>21</v>
      </c>
      <c r="K145">
        <v>0</v>
      </c>
      <c r="L145">
        <v>0</v>
      </c>
      <c r="M145">
        <v>0</v>
      </c>
      <c r="N145">
        <v>1</v>
      </c>
      <c r="O145" t="s">
        <v>210</v>
      </c>
      <c r="P145" t="s">
        <v>288</v>
      </c>
      <c r="Q145" t="s">
        <v>288</v>
      </c>
      <c r="R145" t="s">
        <v>288</v>
      </c>
      <c r="S145" t="s">
        <v>288</v>
      </c>
      <c r="T145" t="s">
        <v>288</v>
      </c>
      <c r="U145" t="s">
        <v>288</v>
      </c>
      <c r="V145" t="s">
        <v>288</v>
      </c>
    </row>
    <row r="146" spans="1:22" x14ac:dyDescent="0.25">
      <c r="A146" t="s">
        <v>211</v>
      </c>
      <c r="B146">
        <v>7.5</v>
      </c>
      <c r="C146" s="45">
        <v>0</v>
      </c>
      <c r="D146">
        <v>80</v>
      </c>
      <c r="E146">
        <v>1069</v>
      </c>
      <c r="F146">
        <v>50</v>
      </c>
      <c r="G146">
        <v>0</v>
      </c>
      <c r="H146">
        <v>4.4000000000000004</v>
      </c>
      <c r="I146">
        <v>82.6</v>
      </c>
      <c r="J146">
        <v>22</v>
      </c>
      <c r="K146">
        <v>0</v>
      </c>
      <c r="L146">
        <v>0</v>
      </c>
      <c r="M146">
        <v>0</v>
      </c>
      <c r="N146">
        <v>1</v>
      </c>
      <c r="O146" t="s">
        <v>211</v>
      </c>
      <c r="P146" t="s">
        <v>288</v>
      </c>
      <c r="Q146" t="s">
        <v>288</v>
      </c>
      <c r="R146" t="s">
        <v>288</v>
      </c>
      <c r="S146" t="s">
        <v>288</v>
      </c>
      <c r="T146" t="s">
        <v>288</v>
      </c>
      <c r="U146" t="s">
        <v>288</v>
      </c>
      <c r="V146" t="s">
        <v>288</v>
      </c>
    </row>
    <row r="147" spans="1:22" x14ac:dyDescent="0.25">
      <c r="A147" t="s">
        <v>212</v>
      </c>
      <c r="B147">
        <v>16.100000000000001</v>
      </c>
      <c r="C147" s="45">
        <v>0</v>
      </c>
      <c r="D147">
        <v>85</v>
      </c>
      <c r="E147">
        <v>1125</v>
      </c>
      <c r="F147">
        <v>400</v>
      </c>
      <c r="G147">
        <v>0</v>
      </c>
      <c r="H147">
        <v>4.3</v>
      </c>
      <c r="I147">
        <v>84</v>
      </c>
      <c r="J147">
        <v>21</v>
      </c>
      <c r="K147">
        <v>0</v>
      </c>
      <c r="L147">
        <v>0</v>
      </c>
      <c r="M147">
        <v>0</v>
      </c>
      <c r="N147">
        <v>1</v>
      </c>
      <c r="O147" t="s">
        <v>212</v>
      </c>
      <c r="P147" t="s">
        <v>288</v>
      </c>
      <c r="Q147" t="s">
        <v>288</v>
      </c>
      <c r="R147" t="s">
        <v>288</v>
      </c>
      <c r="S147" t="s">
        <v>288</v>
      </c>
      <c r="T147" t="s">
        <v>288</v>
      </c>
      <c r="U147" t="s">
        <v>288</v>
      </c>
      <c r="V147" t="s">
        <v>288</v>
      </c>
    </row>
    <row r="148" spans="1:22" x14ac:dyDescent="0.25">
      <c r="A148" t="s">
        <v>213</v>
      </c>
      <c r="B148">
        <v>6.7</v>
      </c>
      <c r="C148" s="45">
        <v>0</v>
      </c>
      <c r="D148">
        <v>70</v>
      </c>
      <c r="E148">
        <v>1063</v>
      </c>
      <c r="F148">
        <v>30</v>
      </c>
      <c r="G148">
        <v>0</v>
      </c>
      <c r="H148">
        <v>4.4000000000000004</v>
      </c>
      <c r="I148">
        <v>81</v>
      </c>
      <c r="J148">
        <v>99</v>
      </c>
      <c r="K148">
        <v>1</v>
      </c>
      <c r="L148">
        <v>0</v>
      </c>
      <c r="M148">
        <v>0</v>
      </c>
      <c r="N148">
        <v>0</v>
      </c>
      <c r="O148" t="s">
        <v>213</v>
      </c>
      <c r="P148" t="s">
        <v>288</v>
      </c>
      <c r="Q148" t="s">
        <v>288</v>
      </c>
      <c r="R148" t="s">
        <v>288</v>
      </c>
      <c r="S148" t="s">
        <v>288</v>
      </c>
      <c r="T148" t="s">
        <v>288</v>
      </c>
      <c r="U148" t="s">
        <v>288</v>
      </c>
      <c r="V148" t="s">
        <v>288</v>
      </c>
    </row>
    <row r="149" spans="1:22" x14ac:dyDescent="0.25">
      <c r="A149" t="s">
        <v>214</v>
      </c>
      <c r="B149">
        <v>2.5</v>
      </c>
      <c r="C149" s="45">
        <v>0</v>
      </c>
      <c r="D149">
        <v>35</v>
      </c>
      <c r="E149">
        <v>1027</v>
      </c>
      <c r="F149">
        <v>10</v>
      </c>
      <c r="G149">
        <v>0</v>
      </c>
      <c r="H149">
        <v>4.2</v>
      </c>
      <c r="I149">
        <v>70.400000000000006</v>
      </c>
      <c r="J149">
        <v>19</v>
      </c>
      <c r="K149">
        <v>1</v>
      </c>
      <c r="L149">
        <v>0</v>
      </c>
      <c r="M149">
        <v>0</v>
      </c>
      <c r="N149">
        <v>0</v>
      </c>
      <c r="O149" t="s">
        <v>214</v>
      </c>
      <c r="P149" t="s">
        <v>288</v>
      </c>
      <c r="Q149" t="s">
        <v>288</v>
      </c>
      <c r="R149" t="s">
        <v>288</v>
      </c>
      <c r="S149" t="s">
        <v>288</v>
      </c>
      <c r="T149" t="s">
        <v>288</v>
      </c>
      <c r="U149" t="s">
        <v>288</v>
      </c>
      <c r="V149" t="s">
        <v>288</v>
      </c>
    </row>
    <row r="150" spans="1:22" x14ac:dyDescent="0.25">
      <c r="A150" t="s">
        <v>215</v>
      </c>
      <c r="B150">
        <v>7.4</v>
      </c>
      <c r="C150" s="45">
        <v>0</v>
      </c>
      <c r="D150">
        <v>70</v>
      </c>
      <c r="E150">
        <v>1069</v>
      </c>
      <c r="F150">
        <v>30</v>
      </c>
      <c r="G150">
        <v>0</v>
      </c>
      <c r="H150">
        <v>4.4000000000000004</v>
      </c>
      <c r="I150">
        <v>82.6</v>
      </c>
      <c r="J150">
        <v>19</v>
      </c>
      <c r="K150">
        <v>1</v>
      </c>
      <c r="L150">
        <v>0</v>
      </c>
      <c r="M150">
        <v>0</v>
      </c>
      <c r="N150">
        <v>0</v>
      </c>
      <c r="O150" t="s">
        <v>215</v>
      </c>
      <c r="P150" t="s">
        <v>288</v>
      </c>
      <c r="Q150" t="s">
        <v>288</v>
      </c>
      <c r="R150" t="s">
        <v>288</v>
      </c>
      <c r="S150" t="s">
        <v>288</v>
      </c>
      <c r="T150" t="s">
        <v>288</v>
      </c>
      <c r="U150" t="s">
        <v>288</v>
      </c>
      <c r="V150" t="s">
        <v>288</v>
      </c>
    </row>
    <row r="151" spans="1:22" x14ac:dyDescent="0.25">
      <c r="A151" t="s">
        <v>216</v>
      </c>
      <c r="B151">
        <v>2.8</v>
      </c>
      <c r="C151" s="45">
        <v>0</v>
      </c>
      <c r="D151">
        <v>30</v>
      </c>
      <c r="E151">
        <v>1032.5</v>
      </c>
      <c r="F151">
        <v>42</v>
      </c>
      <c r="G151">
        <v>0</v>
      </c>
      <c r="H151">
        <v>4.4000000000000004</v>
      </c>
      <c r="I151">
        <v>63.1</v>
      </c>
      <c r="J151">
        <v>22</v>
      </c>
      <c r="K151">
        <v>1</v>
      </c>
      <c r="L151">
        <v>0</v>
      </c>
      <c r="M151">
        <v>0</v>
      </c>
      <c r="N151">
        <v>0</v>
      </c>
      <c r="O151" t="s">
        <v>216</v>
      </c>
      <c r="P151" t="s">
        <v>288</v>
      </c>
      <c r="Q151" t="s">
        <v>288</v>
      </c>
      <c r="R151" t="s">
        <v>288</v>
      </c>
      <c r="S151" t="s">
        <v>288</v>
      </c>
      <c r="T151" t="s">
        <v>288</v>
      </c>
      <c r="U151" t="s">
        <v>288</v>
      </c>
      <c r="V151" t="s">
        <v>288</v>
      </c>
    </row>
    <row r="152" spans="1:22" x14ac:dyDescent="0.25">
      <c r="A152" t="s">
        <v>217</v>
      </c>
      <c r="B152">
        <v>4.2</v>
      </c>
      <c r="C152" s="45">
        <v>0</v>
      </c>
      <c r="D152">
        <v>25</v>
      </c>
      <c r="E152">
        <v>1044</v>
      </c>
      <c r="F152">
        <v>19</v>
      </c>
      <c r="G152">
        <v>0</v>
      </c>
      <c r="H152">
        <v>4.4000000000000004</v>
      </c>
      <c r="I152">
        <v>72.7</v>
      </c>
      <c r="J152">
        <v>16</v>
      </c>
      <c r="K152">
        <v>0</v>
      </c>
      <c r="L152">
        <v>1</v>
      </c>
      <c r="M152">
        <v>0</v>
      </c>
      <c r="N152">
        <v>0</v>
      </c>
      <c r="O152" t="s">
        <v>217</v>
      </c>
      <c r="P152" t="s">
        <v>288</v>
      </c>
      <c r="Q152" t="s">
        <v>288</v>
      </c>
      <c r="R152" t="s">
        <v>288</v>
      </c>
      <c r="S152" t="s">
        <v>288</v>
      </c>
      <c r="T152" t="s">
        <v>288</v>
      </c>
      <c r="U152" t="s">
        <v>288</v>
      </c>
      <c r="V152" t="s">
        <v>288</v>
      </c>
    </row>
    <row r="153" spans="1:22" x14ac:dyDescent="0.25">
      <c r="A153" t="s">
        <v>218</v>
      </c>
      <c r="B153">
        <v>5.8</v>
      </c>
      <c r="C153" s="45">
        <v>0</v>
      </c>
      <c r="D153">
        <v>40</v>
      </c>
      <c r="E153">
        <v>1060</v>
      </c>
      <c r="F153">
        <v>35</v>
      </c>
      <c r="G153">
        <v>0</v>
      </c>
      <c r="H153">
        <v>4.4000000000000004</v>
      </c>
      <c r="I153">
        <v>76.7</v>
      </c>
      <c r="J153">
        <v>19</v>
      </c>
      <c r="K153">
        <v>1</v>
      </c>
      <c r="L153">
        <v>0</v>
      </c>
      <c r="M153">
        <v>0</v>
      </c>
      <c r="N153">
        <v>0</v>
      </c>
      <c r="O153" t="s">
        <v>218</v>
      </c>
      <c r="P153" t="s">
        <v>288</v>
      </c>
      <c r="Q153" t="s">
        <v>288</v>
      </c>
      <c r="R153" t="s">
        <v>288</v>
      </c>
      <c r="S153" t="s">
        <v>288</v>
      </c>
      <c r="T153" t="s">
        <v>288</v>
      </c>
      <c r="U153" t="s">
        <v>288</v>
      </c>
      <c r="V153" t="s">
        <v>288</v>
      </c>
    </row>
    <row r="154" spans="1:22" x14ac:dyDescent="0.25">
      <c r="A154" t="s">
        <v>219</v>
      </c>
      <c r="B154">
        <v>5.2</v>
      </c>
      <c r="C154" s="45">
        <v>0</v>
      </c>
      <c r="D154">
        <v>50</v>
      </c>
      <c r="E154">
        <v>1050</v>
      </c>
      <c r="F154">
        <v>17</v>
      </c>
      <c r="G154">
        <v>0</v>
      </c>
      <c r="H154">
        <v>4.4000000000000004</v>
      </c>
      <c r="I154">
        <v>80</v>
      </c>
      <c r="J154">
        <v>19</v>
      </c>
      <c r="K154">
        <v>1</v>
      </c>
      <c r="L154">
        <v>0</v>
      </c>
      <c r="M154">
        <v>0</v>
      </c>
      <c r="N154">
        <v>0</v>
      </c>
      <c r="O154" t="s">
        <v>219</v>
      </c>
      <c r="P154" t="s">
        <v>288</v>
      </c>
      <c r="Q154" t="s">
        <v>288</v>
      </c>
      <c r="R154" t="s">
        <v>288</v>
      </c>
      <c r="S154" t="s">
        <v>288</v>
      </c>
      <c r="T154" t="s">
        <v>288</v>
      </c>
      <c r="U154" t="s">
        <v>288</v>
      </c>
      <c r="V154" t="s">
        <v>288</v>
      </c>
    </row>
    <row r="155" spans="1:22" x14ac:dyDescent="0.25">
      <c r="A155" t="s">
        <v>220</v>
      </c>
      <c r="B155">
        <v>10</v>
      </c>
      <c r="C155" s="45">
        <v>0</v>
      </c>
      <c r="D155">
        <v>55</v>
      </c>
      <c r="E155">
        <v>1128</v>
      </c>
      <c r="F155">
        <v>300</v>
      </c>
      <c r="G155">
        <v>0</v>
      </c>
      <c r="H155">
        <v>4.4000000000000004</v>
      </c>
      <c r="I155">
        <v>89</v>
      </c>
      <c r="J155">
        <v>21</v>
      </c>
      <c r="K155">
        <v>0</v>
      </c>
      <c r="L155">
        <v>0</v>
      </c>
      <c r="M155">
        <v>0</v>
      </c>
      <c r="N155">
        <v>1</v>
      </c>
      <c r="O155" t="s">
        <v>220</v>
      </c>
      <c r="P155" t="s">
        <v>288</v>
      </c>
      <c r="Q155" t="s">
        <v>288</v>
      </c>
      <c r="R155" t="s">
        <v>288</v>
      </c>
      <c r="S155" t="s">
        <v>288</v>
      </c>
      <c r="T155" t="s">
        <v>288</v>
      </c>
      <c r="U155" t="s">
        <v>288</v>
      </c>
      <c r="V155" t="s">
        <v>288</v>
      </c>
    </row>
    <row r="156" spans="1:22" x14ac:dyDescent="0.25">
      <c r="A156" t="s">
        <v>221</v>
      </c>
      <c r="B156">
        <v>12.8</v>
      </c>
      <c r="C156" s="45">
        <v>0</v>
      </c>
      <c r="D156">
        <v>70</v>
      </c>
      <c r="E156">
        <v>1108</v>
      </c>
      <c r="F156">
        <v>79</v>
      </c>
      <c r="G156">
        <v>0</v>
      </c>
      <c r="H156">
        <v>4.4000000000000004</v>
      </c>
      <c r="I156">
        <v>81.5</v>
      </c>
      <c r="J156">
        <v>18</v>
      </c>
      <c r="K156">
        <v>0</v>
      </c>
      <c r="L156">
        <v>0</v>
      </c>
      <c r="M156">
        <v>0</v>
      </c>
      <c r="N156">
        <v>1</v>
      </c>
      <c r="O156" t="s">
        <v>221</v>
      </c>
      <c r="P156" t="s">
        <v>288</v>
      </c>
      <c r="Q156" t="s">
        <v>288</v>
      </c>
      <c r="R156" t="s">
        <v>288</v>
      </c>
      <c r="S156" t="s">
        <v>288</v>
      </c>
      <c r="T156" t="s">
        <v>288</v>
      </c>
      <c r="U156" t="s">
        <v>288</v>
      </c>
      <c r="V156" t="s">
        <v>288</v>
      </c>
    </row>
    <row r="157" spans="1:22" x14ac:dyDescent="0.25">
      <c r="A157" t="s">
        <v>222</v>
      </c>
      <c r="B157">
        <v>8.3000000000000007</v>
      </c>
      <c r="C157" s="45">
        <v>0</v>
      </c>
      <c r="D157">
        <v>70</v>
      </c>
      <c r="E157">
        <v>1076</v>
      </c>
      <c r="F157">
        <v>30</v>
      </c>
      <c r="G157">
        <v>0</v>
      </c>
      <c r="H157">
        <v>4.4000000000000004</v>
      </c>
      <c r="I157">
        <v>82.9</v>
      </c>
      <c r="J157">
        <v>21</v>
      </c>
      <c r="K157">
        <v>0</v>
      </c>
      <c r="L157">
        <v>0</v>
      </c>
      <c r="M157">
        <v>0</v>
      </c>
      <c r="N157">
        <v>1</v>
      </c>
      <c r="O157" t="s">
        <v>222</v>
      </c>
      <c r="P157" t="s">
        <v>288</v>
      </c>
      <c r="Q157" t="s">
        <v>288</v>
      </c>
      <c r="R157" t="s">
        <v>288</v>
      </c>
      <c r="S157" t="s">
        <v>288</v>
      </c>
      <c r="T157" t="s">
        <v>288</v>
      </c>
      <c r="U157" t="s">
        <v>288</v>
      </c>
      <c r="V157" t="s">
        <v>288</v>
      </c>
    </row>
    <row r="158" spans="1:22" x14ac:dyDescent="0.25">
      <c r="A158" t="s">
        <v>223</v>
      </c>
      <c r="B158">
        <v>6.5</v>
      </c>
      <c r="C158" s="45">
        <v>0</v>
      </c>
      <c r="D158">
        <v>55</v>
      </c>
      <c r="E158">
        <v>1059</v>
      </c>
      <c r="F158">
        <v>50</v>
      </c>
      <c r="G158">
        <v>0</v>
      </c>
      <c r="H158">
        <v>4.4000000000000004</v>
      </c>
      <c r="I158">
        <v>81.400000000000006</v>
      </c>
      <c r="J158">
        <v>19</v>
      </c>
      <c r="K158">
        <v>1</v>
      </c>
      <c r="L158">
        <v>0</v>
      </c>
      <c r="M158">
        <v>0</v>
      </c>
      <c r="N158">
        <v>0</v>
      </c>
      <c r="O158" t="s">
        <v>223</v>
      </c>
      <c r="P158" t="s">
        <v>288</v>
      </c>
      <c r="Q158" t="s">
        <v>288</v>
      </c>
      <c r="R158" t="s">
        <v>288</v>
      </c>
      <c r="S158" t="s">
        <v>288</v>
      </c>
      <c r="T158" t="s">
        <v>288</v>
      </c>
      <c r="U158" t="s">
        <v>288</v>
      </c>
      <c r="V158" t="s">
        <v>288</v>
      </c>
    </row>
    <row r="159" spans="1:22" x14ac:dyDescent="0.25">
      <c r="A159" t="s">
        <v>224</v>
      </c>
      <c r="B159">
        <v>6</v>
      </c>
      <c r="C159" s="45">
        <v>0</v>
      </c>
      <c r="D159">
        <v>60</v>
      </c>
      <c r="E159">
        <v>1056</v>
      </c>
      <c r="F159">
        <v>17</v>
      </c>
      <c r="G159">
        <v>0</v>
      </c>
      <c r="H159">
        <v>4.4000000000000004</v>
      </c>
      <c r="I159">
        <v>82.14</v>
      </c>
      <c r="J159">
        <v>19</v>
      </c>
      <c r="K159">
        <v>1</v>
      </c>
      <c r="L159">
        <v>0</v>
      </c>
      <c r="M159">
        <v>0</v>
      </c>
      <c r="N159">
        <v>0</v>
      </c>
      <c r="O159" t="s">
        <v>224</v>
      </c>
      <c r="P159" t="s">
        <v>288</v>
      </c>
      <c r="Q159" t="s">
        <v>288</v>
      </c>
      <c r="R159" t="s">
        <v>288</v>
      </c>
      <c r="S159" t="s">
        <v>288</v>
      </c>
      <c r="T159" t="s">
        <v>288</v>
      </c>
      <c r="U159" t="s">
        <v>288</v>
      </c>
      <c r="V159" t="s">
        <v>288</v>
      </c>
    </row>
    <row r="160" spans="1:22" x14ac:dyDescent="0.25">
      <c r="A160" t="s">
        <v>225</v>
      </c>
      <c r="B160">
        <v>3</v>
      </c>
      <c r="C160" s="45">
        <v>0</v>
      </c>
      <c r="D160">
        <v>8</v>
      </c>
      <c r="E160">
        <v>1007</v>
      </c>
      <c r="F160">
        <v>9</v>
      </c>
      <c r="G160">
        <v>0</v>
      </c>
      <c r="H160">
        <v>3.2</v>
      </c>
      <c r="I160">
        <v>82.5</v>
      </c>
      <c r="J160">
        <v>19</v>
      </c>
      <c r="K160">
        <v>1</v>
      </c>
      <c r="L160">
        <v>0</v>
      </c>
      <c r="M160">
        <v>0</v>
      </c>
      <c r="N160">
        <v>0</v>
      </c>
      <c r="O160" t="s">
        <v>225</v>
      </c>
      <c r="P160" t="s">
        <v>288</v>
      </c>
      <c r="Q160" t="s">
        <v>288</v>
      </c>
      <c r="R160" t="s">
        <v>288</v>
      </c>
      <c r="S160" t="s">
        <v>288</v>
      </c>
      <c r="T160" t="s">
        <v>288</v>
      </c>
      <c r="U160" t="s">
        <v>288</v>
      </c>
      <c r="V160" t="s">
        <v>288</v>
      </c>
    </row>
    <row r="161" spans="1:22" x14ac:dyDescent="0.25">
      <c r="A161" t="s">
        <v>226</v>
      </c>
      <c r="B161">
        <v>7.6</v>
      </c>
      <c r="C161" s="45">
        <v>0</v>
      </c>
      <c r="D161">
        <v>175</v>
      </c>
      <c r="E161">
        <v>1072</v>
      </c>
      <c r="F161">
        <v>40</v>
      </c>
      <c r="G161">
        <v>0</v>
      </c>
      <c r="H161">
        <v>4.4000000000000004</v>
      </c>
      <c r="I161">
        <v>80.599999999999994</v>
      </c>
      <c r="J161">
        <v>21</v>
      </c>
      <c r="K161">
        <v>0</v>
      </c>
      <c r="L161">
        <v>0</v>
      </c>
      <c r="M161">
        <v>0</v>
      </c>
      <c r="N161">
        <v>1</v>
      </c>
      <c r="O161" t="s">
        <v>226</v>
      </c>
      <c r="P161" t="s">
        <v>288</v>
      </c>
      <c r="Q161" t="s">
        <v>288</v>
      </c>
      <c r="R161" t="s">
        <v>288</v>
      </c>
      <c r="S161" t="s">
        <v>288</v>
      </c>
      <c r="T161" t="s">
        <v>288</v>
      </c>
      <c r="U161" t="s">
        <v>288</v>
      </c>
      <c r="V161" t="s">
        <v>288</v>
      </c>
    </row>
    <row r="162" spans="1:22" x14ac:dyDescent="0.25">
      <c r="A162" t="s">
        <v>227</v>
      </c>
      <c r="B162">
        <v>5.5</v>
      </c>
      <c r="C162" s="45">
        <v>0</v>
      </c>
      <c r="D162">
        <v>35</v>
      </c>
      <c r="E162">
        <v>1053</v>
      </c>
      <c r="F162">
        <v>25</v>
      </c>
      <c r="G162">
        <v>0</v>
      </c>
      <c r="H162">
        <v>4.4000000000000004</v>
      </c>
      <c r="I162">
        <v>79.3</v>
      </c>
      <c r="J162">
        <v>17</v>
      </c>
      <c r="K162">
        <v>1</v>
      </c>
      <c r="L162">
        <v>0</v>
      </c>
      <c r="M162">
        <v>0</v>
      </c>
      <c r="N162">
        <v>0</v>
      </c>
      <c r="O162" t="s">
        <v>227</v>
      </c>
      <c r="P162" t="s">
        <v>288</v>
      </c>
      <c r="Q162" t="s">
        <v>288</v>
      </c>
      <c r="R162" t="s">
        <v>288</v>
      </c>
      <c r="S162" t="s">
        <v>288</v>
      </c>
      <c r="T162" t="s">
        <v>288</v>
      </c>
      <c r="U162" t="s">
        <v>288</v>
      </c>
      <c r="V162" t="s">
        <v>288</v>
      </c>
    </row>
    <row r="163" spans="1:22" x14ac:dyDescent="0.25">
      <c r="A163" t="s">
        <v>228</v>
      </c>
      <c r="B163">
        <v>8.8000000000000007</v>
      </c>
      <c r="C163" s="45">
        <v>0</v>
      </c>
      <c r="D163">
        <v>40</v>
      </c>
      <c r="E163">
        <v>1084</v>
      </c>
      <c r="F163">
        <v>190</v>
      </c>
      <c r="G163">
        <v>0</v>
      </c>
      <c r="H163">
        <v>4.5</v>
      </c>
      <c r="I163">
        <v>79.8</v>
      </c>
      <c r="J163">
        <v>21</v>
      </c>
      <c r="K163">
        <v>0</v>
      </c>
      <c r="L163">
        <v>0</v>
      </c>
      <c r="M163">
        <v>0</v>
      </c>
      <c r="N163">
        <v>1</v>
      </c>
      <c r="O163" t="s">
        <v>228</v>
      </c>
      <c r="P163" t="s">
        <v>288</v>
      </c>
      <c r="Q163" t="s">
        <v>288</v>
      </c>
      <c r="R163" t="s">
        <v>288</v>
      </c>
      <c r="S163" t="s">
        <v>288</v>
      </c>
      <c r="T163" t="s">
        <v>288</v>
      </c>
      <c r="U163" t="s">
        <v>288</v>
      </c>
      <c r="V163" t="s">
        <v>288</v>
      </c>
    </row>
    <row r="164" spans="1:22" x14ac:dyDescent="0.25">
      <c r="A164" t="s">
        <v>229</v>
      </c>
      <c r="B164">
        <v>5.2</v>
      </c>
      <c r="C164" s="45">
        <v>0</v>
      </c>
      <c r="D164">
        <v>45</v>
      </c>
      <c r="E164">
        <v>1048</v>
      </c>
      <c r="F164">
        <v>35</v>
      </c>
      <c r="G164">
        <v>0</v>
      </c>
      <c r="H164">
        <v>4.4000000000000004</v>
      </c>
      <c r="I164">
        <v>77.099999999999994</v>
      </c>
      <c r="J164">
        <v>19</v>
      </c>
      <c r="K164">
        <v>1</v>
      </c>
      <c r="L164">
        <v>0</v>
      </c>
      <c r="M164">
        <v>0</v>
      </c>
      <c r="N164">
        <v>0</v>
      </c>
      <c r="O164" t="s">
        <v>229</v>
      </c>
      <c r="P164" t="s">
        <v>288</v>
      </c>
      <c r="Q164" t="s">
        <v>288</v>
      </c>
      <c r="R164" t="s">
        <v>288</v>
      </c>
      <c r="S164" t="s">
        <v>288</v>
      </c>
      <c r="T164" t="s">
        <v>288</v>
      </c>
      <c r="U164" t="s">
        <v>288</v>
      </c>
      <c r="V164" t="s">
        <v>288</v>
      </c>
    </row>
    <row r="165" spans="1:22" x14ac:dyDescent="0.25">
      <c r="A165" t="s">
        <v>230</v>
      </c>
      <c r="B165">
        <v>5.2</v>
      </c>
      <c r="C165" s="45">
        <v>0</v>
      </c>
      <c r="D165">
        <v>55</v>
      </c>
      <c r="E165">
        <v>1053</v>
      </c>
      <c r="F165">
        <v>165</v>
      </c>
      <c r="G165">
        <v>0</v>
      </c>
      <c r="H165">
        <v>5.2</v>
      </c>
      <c r="I165">
        <v>75.5</v>
      </c>
      <c r="J165">
        <v>19</v>
      </c>
      <c r="K165">
        <v>1</v>
      </c>
      <c r="L165">
        <v>0</v>
      </c>
      <c r="M165">
        <v>0</v>
      </c>
      <c r="N165">
        <v>0</v>
      </c>
      <c r="O165" t="s">
        <v>230</v>
      </c>
      <c r="P165" t="s">
        <v>288</v>
      </c>
      <c r="Q165" t="s">
        <v>288</v>
      </c>
      <c r="R165" t="s">
        <v>288</v>
      </c>
      <c r="S165" t="s">
        <v>288</v>
      </c>
      <c r="T165" t="s">
        <v>288</v>
      </c>
      <c r="U165" t="s">
        <v>288</v>
      </c>
      <c r="V165" t="s">
        <v>288</v>
      </c>
    </row>
    <row r="166" spans="1:22" x14ac:dyDescent="0.25">
      <c r="A166" t="s">
        <v>231</v>
      </c>
      <c r="B166">
        <v>8</v>
      </c>
      <c r="C166" s="45">
        <v>0</v>
      </c>
      <c r="D166">
        <v>85</v>
      </c>
      <c r="E166">
        <v>1074</v>
      </c>
      <c r="F166">
        <v>35</v>
      </c>
      <c r="G166">
        <v>0</v>
      </c>
      <c r="H166">
        <v>5.2</v>
      </c>
      <c r="I166">
        <v>82.4</v>
      </c>
      <c r="J166">
        <v>19</v>
      </c>
      <c r="K166">
        <v>1</v>
      </c>
      <c r="L166">
        <v>0</v>
      </c>
      <c r="M166">
        <v>0</v>
      </c>
      <c r="N166">
        <v>0</v>
      </c>
      <c r="O166" t="s">
        <v>231</v>
      </c>
      <c r="P166" t="s">
        <v>288</v>
      </c>
      <c r="Q166" t="s">
        <v>288</v>
      </c>
      <c r="R166" t="s">
        <v>288</v>
      </c>
      <c r="S166" t="s">
        <v>288</v>
      </c>
      <c r="T166" t="s">
        <v>288</v>
      </c>
      <c r="U166" t="s">
        <v>288</v>
      </c>
      <c r="V166" t="s">
        <v>288</v>
      </c>
    </row>
    <row r="167" spans="1:22" x14ac:dyDescent="0.25">
      <c r="A167" t="s">
        <v>232</v>
      </c>
      <c r="B167">
        <v>6.7</v>
      </c>
      <c r="C167" s="45">
        <v>0</v>
      </c>
      <c r="D167">
        <v>70</v>
      </c>
      <c r="E167">
        <v>1066</v>
      </c>
      <c r="F167">
        <v>30</v>
      </c>
      <c r="G167">
        <v>0</v>
      </c>
      <c r="H167">
        <v>4.4000000000000004</v>
      </c>
      <c r="I167">
        <v>77.3</v>
      </c>
      <c r="J167">
        <v>19</v>
      </c>
      <c r="K167">
        <v>1</v>
      </c>
      <c r="L167">
        <v>0</v>
      </c>
      <c r="M167">
        <v>0</v>
      </c>
      <c r="N167">
        <v>0</v>
      </c>
      <c r="O167" t="s">
        <v>232</v>
      </c>
      <c r="P167" t="s">
        <v>288</v>
      </c>
      <c r="Q167" t="s">
        <v>288</v>
      </c>
      <c r="R167" t="s">
        <v>288</v>
      </c>
      <c r="S167" t="s">
        <v>288</v>
      </c>
      <c r="T167" t="s">
        <v>288</v>
      </c>
      <c r="U167" t="s">
        <v>288</v>
      </c>
      <c r="V167" t="s">
        <v>288</v>
      </c>
    </row>
    <row r="168" spans="1:22" x14ac:dyDescent="0.25">
      <c r="A168" t="s">
        <v>233</v>
      </c>
      <c r="B168">
        <v>15</v>
      </c>
      <c r="C168" s="45">
        <v>0</v>
      </c>
      <c r="D168">
        <v>90</v>
      </c>
      <c r="E168">
        <v>1120</v>
      </c>
      <c r="F168">
        <v>100</v>
      </c>
      <c r="G168">
        <v>0</v>
      </c>
      <c r="H168">
        <v>4.4000000000000004</v>
      </c>
      <c r="I168">
        <v>98</v>
      </c>
      <c r="J168">
        <v>19</v>
      </c>
      <c r="K168">
        <v>1</v>
      </c>
      <c r="L168">
        <v>0</v>
      </c>
      <c r="M168">
        <v>0</v>
      </c>
      <c r="N168">
        <v>0</v>
      </c>
      <c r="O168" t="s">
        <v>233</v>
      </c>
      <c r="P168" t="s">
        <v>288</v>
      </c>
      <c r="Q168" t="s">
        <v>288</v>
      </c>
      <c r="R168" t="s">
        <v>288</v>
      </c>
      <c r="S168" t="s">
        <v>288</v>
      </c>
      <c r="T168" t="s">
        <v>288</v>
      </c>
      <c r="U168" t="s">
        <v>288</v>
      </c>
      <c r="V168" t="s">
        <v>288</v>
      </c>
    </row>
    <row r="169" spans="1:22" x14ac:dyDescent="0.25">
      <c r="A169" t="s">
        <v>234</v>
      </c>
      <c r="B169">
        <v>11.5</v>
      </c>
      <c r="C169" s="45">
        <v>0</v>
      </c>
      <c r="D169">
        <v>50</v>
      </c>
      <c r="E169">
        <v>1104</v>
      </c>
      <c r="F169">
        <v>38</v>
      </c>
      <c r="G169">
        <v>0</v>
      </c>
      <c r="H169">
        <v>4.4000000000000004</v>
      </c>
      <c r="I169">
        <v>85</v>
      </c>
      <c r="J169">
        <v>21</v>
      </c>
      <c r="K169">
        <v>0</v>
      </c>
      <c r="L169">
        <v>0</v>
      </c>
      <c r="M169">
        <v>0</v>
      </c>
      <c r="N169">
        <v>1</v>
      </c>
      <c r="O169" t="s">
        <v>234</v>
      </c>
      <c r="P169" t="s">
        <v>288</v>
      </c>
      <c r="Q169" t="s">
        <v>288</v>
      </c>
      <c r="R169" t="s">
        <v>288</v>
      </c>
      <c r="S169" t="s">
        <v>288</v>
      </c>
      <c r="T169" t="s">
        <v>288</v>
      </c>
      <c r="U169" t="s">
        <v>288</v>
      </c>
      <c r="V169" t="s">
        <v>288</v>
      </c>
    </row>
    <row r="170" spans="1:22" x14ac:dyDescent="0.25">
      <c r="A170" t="s">
        <v>235</v>
      </c>
      <c r="B170">
        <v>7.1</v>
      </c>
      <c r="C170" s="45">
        <v>0</v>
      </c>
      <c r="D170">
        <v>80</v>
      </c>
      <c r="E170">
        <v>1067</v>
      </c>
      <c r="F170">
        <v>71</v>
      </c>
      <c r="G170">
        <v>0</v>
      </c>
      <c r="H170">
        <v>4.4000000000000004</v>
      </c>
      <c r="I170">
        <v>79</v>
      </c>
      <c r="J170">
        <v>19</v>
      </c>
      <c r="K170">
        <v>1</v>
      </c>
      <c r="L170">
        <v>0</v>
      </c>
      <c r="M170">
        <v>0</v>
      </c>
      <c r="N170">
        <v>0</v>
      </c>
      <c r="O170" t="s">
        <v>235</v>
      </c>
      <c r="P170" t="s">
        <v>288</v>
      </c>
      <c r="Q170" t="s">
        <v>288</v>
      </c>
      <c r="R170" t="s">
        <v>288</v>
      </c>
      <c r="S170" t="s">
        <v>288</v>
      </c>
      <c r="T170" t="s">
        <v>288</v>
      </c>
      <c r="U170" t="s">
        <v>288</v>
      </c>
      <c r="V170" t="s">
        <v>288</v>
      </c>
    </row>
    <row r="171" spans="1:22" x14ac:dyDescent="0.25">
      <c r="A171" t="s">
        <v>236</v>
      </c>
      <c r="B171" t="s">
        <v>32</v>
      </c>
      <c r="C171" s="45">
        <v>1</v>
      </c>
      <c r="D171">
        <v>45</v>
      </c>
      <c r="E171">
        <v>1089</v>
      </c>
      <c r="F171">
        <v>15</v>
      </c>
      <c r="G171">
        <v>0</v>
      </c>
      <c r="H171">
        <v>4.4000000000000004</v>
      </c>
      <c r="I171">
        <v>94.4</v>
      </c>
      <c r="J171">
        <v>23</v>
      </c>
      <c r="K171">
        <v>0</v>
      </c>
      <c r="L171">
        <v>0</v>
      </c>
      <c r="M171">
        <v>1</v>
      </c>
      <c r="N171">
        <v>0</v>
      </c>
      <c r="O171" t="s">
        <v>236</v>
      </c>
      <c r="P171" t="s">
        <v>288</v>
      </c>
      <c r="Q171" t="s">
        <v>288</v>
      </c>
      <c r="R171" t="s">
        <v>288</v>
      </c>
      <c r="S171" t="s">
        <v>288</v>
      </c>
      <c r="T171" t="s">
        <v>288</v>
      </c>
      <c r="U171" t="s">
        <v>288</v>
      </c>
      <c r="V171" t="s">
        <v>288</v>
      </c>
    </row>
    <row r="172" spans="1:22" x14ac:dyDescent="0.25">
      <c r="A172" t="s">
        <v>237</v>
      </c>
      <c r="B172">
        <v>7.5</v>
      </c>
      <c r="C172" s="45">
        <v>0</v>
      </c>
      <c r="D172">
        <v>0</v>
      </c>
      <c r="E172">
        <v>1069</v>
      </c>
      <c r="F172">
        <v>50</v>
      </c>
      <c r="G172">
        <v>0</v>
      </c>
      <c r="H172">
        <v>4.4000000000000004</v>
      </c>
      <c r="I172">
        <v>81.099999999999994</v>
      </c>
      <c r="J172">
        <v>19</v>
      </c>
      <c r="K172">
        <v>1</v>
      </c>
      <c r="L172">
        <v>0</v>
      </c>
      <c r="M172">
        <v>0</v>
      </c>
      <c r="N172">
        <v>0</v>
      </c>
      <c r="O172" t="s">
        <v>237</v>
      </c>
      <c r="P172" t="s">
        <v>288</v>
      </c>
      <c r="Q172" t="s">
        <v>288</v>
      </c>
      <c r="R172" t="s">
        <v>288</v>
      </c>
      <c r="S172" t="s">
        <v>288</v>
      </c>
      <c r="T172" t="s">
        <v>288</v>
      </c>
      <c r="U172" t="s">
        <v>288</v>
      </c>
      <c r="V172" t="s">
        <v>288</v>
      </c>
    </row>
    <row r="173" spans="1:22" x14ac:dyDescent="0.25">
      <c r="A173" t="s">
        <v>238</v>
      </c>
      <c r="B173">
        <v>7.2</v>
      </c>
      <c r="C173" s="45">
        <v>0</v>
      </c>
      <c r="D173">
        <v>130</v>
      </c>
      <c r="E173">
        <v>1065</v>
      </c>
      <c r="F173">
        <v>14</v>
      </c>
      <c r="G173">
        <v>0</v>
      </c>
      <c r="H173">
        <v>5.2</v>
      </c>
      <c r="I173">
        <v>87</v>
      </c>
      <c r="J173">
        <v>20</v>
      </c>
      <c r="K173">
        <v>1</v>
      </c>
      <c r="L173">
        <v>0</v>
      </c>
      <c r="M173">
        <v>0</v>
      </c>
      <c r="N173">
        <v>0</v>
      </c>
      <c r="O173" t="s">
        <v>238</v>
      </c>
      <c r="P173" t="s">
        <v>288</v>
      </c>
      <c r="Q173" t="s">
        <v>288</v>
      </c>
      <c r="R173" t="s">
        <v>288</v>
      </c>
      <c r="S173" t="s">
        <v>288</v>
      </c>
      <c r="T173" t="s">
        <v>288</v>
      </c>
      <c r="U173" t="s">
        <v>288</v>
      </c>
      <c r="V173" t="s">
        <v>288</v>
      </c>
    </row>
    <row r="174" spans="1:22" x14ac:dyDescent="0.25">
      <c r="A174" t="s">
        <v>239</v>
      </c>
      <c r="B174">
        <v>5.2</v>
      </c>
      <c r="C174" s="45">
        <v>0</v>
      </c>
      <c r="D174">
        <v>55</v>
      </c>
      <c r="E174">
        <v>1052</v>
      </c>
      <c r="F174">
        <v>200</v>
      </c>
      <c r="G174">
        <v>0</v>
      </c>
      <c r="H174">
        <v>5.2</v>
      </c>
      <c r="I174">
        <v>73.099999999999994</v>
      </c>
      <c r="J174">
        <v>19</v>
      </c>
      <c r="K174">
        <v>1</v>
      </c>
      <c r="L174">
        <v>0</v>
      </c>
      <c r="M174">
        <v>0</v>
      </c>
      <c r="N174">
        <v>0</v>
      </c>
      <c r="O174" t="s">
        <v>239</v>
      </c>
      <c r="P174" t="s">
        <v>288</v>
      </c>
      <c r="Q174" t="s">
        <v>288</v>
      </c>
      <c r="R174" t="s">
        <v>288</v>
      </c>
      <c r="S174" t="s">
        <v>288</v>
      </c>
      <c r="T174" t="s">
        <v>288</v>
      </c>
      <c r="U174" t="s">
        <v>288</v>
      </c>
      <c r="V174" t="s">
        <v>288</v>
      </c>
    </row>
    <row r="175" spans="1:22" x14ac:dyDescent="0.25">
      <c r="A175" t="s">
        <v>240</v>
      </c>
      <c r="B175">
        <v>6.8</v>
      </c>
      <c r="C175" s="45">
        <v>0</v>
      </c>
      <c r="D175">
        <v>30</v>
      </c>
      <c r="E175">
        <v>1068</v>
      </c>
      <c r="F175">
        <v>86</v>
      </c>
      <c r="G175">
        <v>0</v>
      </c>
      <c r="H175">
        <v>4.4000000000000004</v>
      </c>
      <c r="I175">
        <v>76.5</v>
      </c>
      <c r="J175">
        <v>19</v>
      </c>
      <c r="K175">
        <v>1</v>
      </c>
      <c r="L175">
        <v>0</v>
      </c>
      <c r="M175">
        <v>0</v>
      </c>
      <c r="N175">
        <v>0</v>
      </c>
      <c r="O175" t="s">
        <v>240</v>
      </c>
      <c r="P175" t="s">
        <v>288</v>
      </c>
      <c r="Q175" t="s">
        <v>288</v>
      </c>
      <c r="R175" t="s">
        <v>288</v>
      </c>
      <c r="S175" t="s">
        <v>288</v>
      </c>
      <c r="T175" t="s">
        <v>288</v>
      </c>
      <c r="U175" t="s">
        <v>288</v>
      </c>
      <c r="V175" t="s">
        <v>288</v>
      </c>
    </row>
    <row r="176" spans="1:22" x14ac:dyDescent="0.25">
      <c r="A176" t="s">
        <v>241</v>
      </c>
      <c r="B176">
        <v>5.5</v>
      </c>
      <c r="C176" s="45">
        <v>0</v>
      </c>
      <c r="D176">
        <v>60</v>
      </c>
      <c r="E176">
        <v>1062</v>
      </c>
      <c r="F176">
        <v>230</v>
      </c>
      <c r="G176">
        <v>0</v>
      </c>
      <c r="H176">
        <v>4.4000000000000004</v>
      </c>
      <c r="I176">
        <v>67.7</v>
      </c>
      <c r="J176">
        <v>19</v>
      </c>
      <c r="K176">
        <v>1</v>
      </c>
      <c r="L176">
        <v>0</v>
      </c>
      <c r="M176">
        <v>0</v>
      </c>
      <c r="N176">
        <v>0</v>
      </c>
      <c r="O176" t="s">
        <v>241</v>
      </c>
      <c r="P176" t="s">
        <v>288</v>
      </c>
      <c r="Q176" t="s">
        <v>288</v>
      </c>
      <c r="R176" t="s">
        <v>288</v>
      </c>
      <c r="S176" t="s">
        <v>288</v>
      </c>
      <c r="T176" t="s">
        <v>288</v>
      </c>
      <c r="U176" t="s">
        <v>288</v>
      </c>
      <c r="V176" t="s">
        <v>288</v>
      </c>
    </row>
    <row r="177" spans="1:22" x14ac:dyDescent="0.25">
      <c r="A177" t="s">
        <v>242</v>
      </c>
      <c r="B177">
        <v>5.2</v>
      </c>
      <c r="C177" s="45">
        <v>0</v>
      </c>
      <c r="D177">
        <v>40</v>
      </c>
      <c r="E177">
        <v>1048</v>
      </c>
      <c r="F177">
        <v>13</v>
      </c>
      <c r="G177">
        <v>0</v>
      </c>
      <c r="H177">
        <v>4.4000000000000004</v>
      </c>
      <c r="I177">
        <v>79.2</v>
      </c>
      <c r="J177">
        <v>19</v>
      </c>
      <c r="K177">
        <v>1</v>
      </c>
      <c r="L177">
        <v>0</v>
      </c>
      <c r="M177">
        <v>0</v>
      </c>
      <c r="N177">
        <v>0</v>
      </c>
      <c r="O177" t="s">
        <v>242</v>
      </c>
      <c r="P177" t="s">
        <v>288</v>
      </c>
      <c r="Q177" t="s">
        <v>288</v>
      </c>
      <c r="R177" t="s">
        <v>288</v>
      </c>
      <c r="S177" t="s">
        <v>288</v>
      </c>
      <c r="T177" t="s">
        <v>288</v>
      </c>
      <c r="U177" t="s">
        <v>288</v>
      </c>
      <c r="V177" t="s">
        <v>288</v>
      </c>
    </row>
    <row r="178" spans="1:22" x14ac:dyDescent="0.25">
      <c r="A178" t="s">
        <v>243</v>
      </c>
      <c r="B178">
        <v>6.7</v>
      </c>
      <c r="C178" s="45">
        <v>0</v>
      </c>
      <c r="D178">
        <v>70</v>
      </c>
      <c r="E178">
        <v>1066</v>
      </c>
      <c r="F178">
        <v>30</v>
      </c>
      <c r="G178">
        <v>0</v>
      </c>
      <c r="H178">
        <v>4.4000000000000004</v>
      </c>
      <c r="I178">
        <v>77.3</v>
      </c>
      <c r="J178">
        <v>19</v>
      </c>
      <c r="K178">
        <v>1</v>
      </c>
      <c r="L178">
        <v>0</v>
      </c>
      <c r="M178">
        <v>0</v>
      </c>
      <c r="N178">
        <v>0</v>
      </c>
      <c r="O178" t="s">
        <v>243</v>
      </c>
      <c r="P178" t="s">
        <v>288</v>
      </c>
      <c r="Q178" t="s">
        <v>288</v>
      </c>
      <c r="R178" t="s">
        <v>288</v>
      </c>
      <c r="S178" t="s">
        <v>288</v>
      </c>
      <c r="T178" t="s">
        <v>288</v>
      </c>
      <c r="U178" t="s">
        <v>288</v>
      </c>
      <c r="V178" t="s">
        <v>288</v>
      </c>
    </row>
    <row r="179" spans="1:22" x14ac:dyDescent="0.25">
      <c r="A179" t="s">
        <v>244</v>
      </c>
      <c r="B179">
        <v>5</v>
      </c>
      <c r="C179" s="45">
        <v>0</v>
      </c>
      <c r="D179">
        <v>50</v>
      </c>
      <c r="E179">
        <v>1053</v>
      </c>
      <c r="F179">
        <v>200</v>
      </c>
      <c r="G179">
        <v>0</v>
      </c>
      <c r="H179">
        <v>4.4000000000000004</v>
      </c>
      <c r="I179">
        <v>73.599999999999994</v>
      </c>
      <c r="J179">
        <v>19</v>
      </c>
      <c r="K179">
        <v>1</v>
      </c>
      <c r="L179">
        <v>0</v>
      </c>
      <c r="M179">
        <v>0</v>
      </c>
      <c r="N179">
        <v>0</v>
      </c>
      <c r="O179" t="s">
        <v>244</v>
      </c>
      <c r="P179" t="s">
        <v>288</v>
      </c>
      <c r="Q179" t="s">
        <v>288</v>
      </c>
      <c r="R179" t="s">
        <v>288</v>
      </c>
      <c r="S179" t="s">
        <v>288</v>
      </c>
      <c r="T179" t="s">
        <v>288</v>
      </c>
      <c r="U179" t="s">
        <v>288</v>
      </c>
      <c r="V179" t="s">
        <v>288</v>
      </c>
    </row>
    <row r="180" spans="1:22" x14ac:dyDescent="0.25">
      <c r="A180" t="s">
        <v>245</v>
      </c>
      <c r="B180">
        <v>9</v>
      </c>
      <c r="C180" s="45">
        <v>0</v>
      </c>
      <c r="D180">
        <v>85</v>
      </c>
      <c r="E180">
        <v>1094</v>
      </c>
      <c r="F180">
        <v>400</v>
      </c>
      <c r="G180">
        <v>0</v>
      </c>
      <c r="H180">
        <v>4.3</v>
      </c>
      <c r="I180">
        <v>73.400000000000006</v>
      </c>
      <c r="J180">
        <v>21</v>
      </c>
      <c r="K180">
        <v>0</v>
      </c>
      <c r="L180">
        <v>0</v>
      </c>
      <c r="M180">
        <v>0</v>
      </c>
      <c r="N180">
        <v>1</v>
      </c>
      <c r="O180" t="s">
        <v>245</v>
      </c>
      <c r="P180" t="s">
        <v>288</v>
      </c>
      <c r="Q180" t="s">
        <v>288</v>
      </c>
      <c r="R180" t="s">
        <v>288</v>
      </c>
      <c r="S180" t="s">
        <v>288</v>
      </c>
      <c r="T180" t="s">
        <v>288</v>
      </c>
      <c r="U180" t="s">
        <v>288</v>
      </c>
      <c r="V180" t="s">
        <v>288</v>
      </c>
    </row>
    <row r="181" spans="1:22" x14ac:dyDescent="0.25">
      <c r="A181" t="s">
        <v>246</v>
      </c>
      <c r="B181">
        <v>9.1999999999999993</v>
      </c>
      <c r="C181" s="45">
        <v>0</v>
      </c>
      <c r="D181">
        <v>65</v>
      </c>
      <c r="E181">
        <v>1069</v>
      </c>
      <c r="F181">
        <v>60</v>
      </c>
      <c r="G181">
        <v>0</v>
      </c>
      <c r="H181">
        <v>4.2</v>
      </c>
      <c r="I181">
        <v>82.6</v>
      </c>
      <c r="J181">
        <v>18</v>
      </c>
      <c r="K181">
        <v>1</v>
      </c>
      <c r="L181">
        <v>0</v>
      </c>
      <c r="M181">
        <v>0</v>
      </c>
      <c r="N181">
        <v>0</v>
      </c>
      <c r="O181" t="s">
        <v>246</v>
      </c>
      <c r="P181" t="s">
        <v>288</v>
      </c>
      <c r="Q181" t="s">
        <v>288</v>
      </c>
      <c r="R181" t="s">
        <v>288</v>
      </c>
      <c r="S181" t="s">
        <v>288</v>
      </c>
      <c r="T181" t="s">
        <v>288</v>
      </c>
      <c r="U181" t="s">
        <v>288</v>
      </c>
      <c r="V181" t="s">
        <v>288</v>
      </c>
    </row>
    <row r="182" spans="1:22" x14ac:dyDescent="0.25">
      <c r="A182" t="s">
        <v>247</v>
      </c>
      <c r="B182">
        <v>13.8</v>
      </c>
      <c r="C182" s="45">
        <v>0</v>
      </c>
      <c r="D182">
        <v>60</v>
      </c>
      <c r="E182">
        <v>1088</v>
      </c>
      <c r="F182">
        <v>25</v>
      </c>
      <c r="G182">
        <v>0</v>
      </c>
      <c r="H182">
        <v>4.4000000000000004</v>
      </c>
      <c r="I182">
        <v>83</v>
      </c>
      <c r="J182">
        <v>21</v>
      </c>
      <c r="K182">
        <v>0</v>
      </c>
      <c r="L182">
        <v>0</v>
      </c>
      <c r="M182">
        <v>0</v>
      </c>
      <c r="N182">
        <v>1</v>
      </c>
      <c r="O182" t="s">
        <v>247</v>
      </c>
      <c r="P182" t="s">
        <v>288</v>
      </c>
      <c r="Q182" t="s">
        <v>288</v>
      </c>
      <c r="R182" t="s">
        <v>288</v>
      </c>
      <c r="S182" t="s">
        <v>288</v>
      </c>
      <c r="T182" t="s">
        <v>288</v>
      </c>
      <c r="U182" t="s">
        <v>288</v>
      </c>
      <c r="V182" t="s">
        <v>288</v>
      </c>
    </row>
    <row r="183" spans="1:22" x14ac:dyDescent="0.25">
      <c r="A183" t="s">
        <v>248</v>
      </c>
      <c r="B183">
        <v>4.5</v>
      </c>
      <c r="C183" s="45">
        <v>0</v>
      </c>
      <c r="D183">
        <v>40</v>
      </c>
      <c r="E183">
        <v>1045</v>
      </c>
      <c r="F183">
        <v>18</v>
      </c>
      <c r="G183">
        <v>0</v>
      </c>
      <c r="H183">
        <v>4.2</v>
      </c>
      <c r="I183">
        <v>75.599999999999994</v>
      </c>
      <c r="J183">
        <v>19</v>
      </c>
      <c r="K183">
        <v>1</v>
      </c>
      <c r="L183">
        <v>0</v>
      </c>
      <c r="M183">
        <v>0</v>
      </c>
      <c r="N183">
        <v>0</v>
      </c>
      <c r="O183" t="s">
        <v>248</v>
      </c>
      <c r="P183" t="s">
        <v>288</v>
      </c>
      <c r="Q183" t="s">
        <v>288</v>
      </c>
      <c r="R183" t="s">
        <v>288</v>
      </c>
      <c r="S183" t="s">
        <v>288</v>
      </c>
      <c r="T183" t="s">
        <v>288</v>
      </c>
      <c r="U183" t="s">
        <v>288</v>
      </c>
      <c r="V183" t="s">
        <v>288</v>
      </c>
    </row>
    <row r="184" spans="1:22" x14ac:dyDescent="0.25">
      <c r="A184" t="s">
        <v>249</v>
      </c>
      <c r="B184">
        <v>3.2</v>
      </c>
      <c r="C184" s="45">
        <v>0</v>
      </c>
      <c r="D184">
        <v>8</v>
      </c>
      <c r="E184">
        <v>1007</v>
      </c>
      <c r="F184">
        <v>8</v>
      </c>
      <c r="G184">
        <v>0</v>
      </c>
      <c r="H184">
        <v>3.2</v>
      </c>
      <c r="I184">
        <v>78</v>
      </c>
      <c r="J184">
        <v>21</v>
      </c>
      <c r="K184">
        <v>1</v>
      </c>
      <c r="L184">
        <v>0</v>
      </c>
      <c r="M184">
        <v>0</v>
      </c>
      <c r="N184">
        <v>0</v>
      </c>
      <c r="O184" t="s">
        <v>249</v>
      </c>
      <c r="P184" t="s">
        <v>288</v>
      </c>
      <c r="Q184" t="s">
        <v>288</v>
      </c>
      <c r="R184" t="s">
        <v>288</v>
      </c>
      <c r="S184" t="s">
        <v>288</v>
      </c>
      <c r="T184" t="s">
        <v>288</v>
      </c>
      <c r="U184" t="s">
        <v>288</v>
      </c>
      <c r="V184" t="s">
        <v>288</v>
      </c>
    </row>
    <row r="185" spans="1:22" x14ac:dyDescent="0.25">
      <c r="A185" t="s">
        <v>250</v>
      </c>
      <c r="B185">
        <v>16.100000000000001</v>
      </c>
      <c r="C185" s="45">
        <v>0</v>
      </c>
      <c r="D185">
        <v>100</v>
      </c>
      <c r="E185">
        <v>1015</v>
      </c>
      <c r="F185">
        <v>500</v>
      </c>
      <c r="G185">
        <v>0</v>
      </c>
      <c r="H185">
        <v>4.4000000000000004</v>
      </c>
      <c r="I185">
        <v>84</v>
      </c>
      <c r="J185">
        <v>21</v>
      </c>
      <c r="K185">
        <v>0</v>
      </c>
      <c r="L185">
        <v>0</v>
      </c>
      <c r="M185">
        <v>0</v>
      </c>
      <c r="N185">
        <v>1</v>
      </c>
      <c r="O185" t="s">
        <v>250</v>
      </c>
      <c r="P185" t="s">
        <v>288</v>
      </c>
      <c r="Q185" t="s">
        <v>288</v>
      </c>
      <c r="R185" t="s">
        <v>288</v>
      </c>
      <c r="S185" t="s">
        <v>288</v>
      </c>
      <c r="T185" t="s">
        <v>288</v>
      </c>
      <c r="U185" t="s">
        <v>288</v>
      </c>
      <c r="V185" t="s">
        <v>288</v>
      </c>
    </row>
    <row r="186" spans="1:22" x14ac:dyDescent="0.25">
      <c r="A186" t="s">
        <v>251</v>
      </c>
      <c r="B186">
        <v>4.7</v>
      </c>
      <c r="C186" s="45">
        <v>0</v>
      </c>
      <c r="D186">
        <v>25</v>
      </c>
      <c r="E186">
        <v>1008</v>
      </c>
      <c r="F186">
        <v>25</v>
      </c>
      <c r="G186">
        <v>0</v>
      </c>
      <c r="H186">
        <v>4.2</v>
      </c>
      <c r="I186">
        <v>75.599999999999994</v>
      </c>
      <c r="J186">
        <v>12</v>
      </c>
      <c r="K186">
        <v>0</v>
      </c>
      <c r="L186">
        <v>1</v>
      </c>
      <c r="M186">
        <v>0</v>
      </c>
      <c r="N186">
        <v>0</v>
      </c>
      <c r="O186" t="s">
        <v>251</v>
      </c>
      <c r="P186" t="s">
        <v>288</v>
      </c>
      <c r="Q186" t="s">
        <v>288</v>
      </c>
      <c r="R186" t="s">
        <v>288</v>
      </c>
      <c r="S186" t="s">
        <v>288</v>
      </c>
      <c r="T186" t="s">
        <v>288</v>
      </c>
      <c r="U186" t="s">
        <v>288</v>
      </c>
      <c r="V186" t="s">
        <v>288</v>
      </c>
    </row>
    <row r="187" spans="1:22" x14ac:dyDescent="0.25">
      <c r="A187" t="s">
        <v>252</v>
      </c>
      <c r="B187">
        <v>14.2</v>
      </c>
      <c r="C187" s="45">
        <v>0</v>
      </c>
      <c r="D187">
        <v>20</v>
      </c>
      <c r="E187">
        <v>1025</v>
      </c>
      <c r="F187">
        <v>67</v>
      </c>
      <c r="G187">
        <v>0</v>
      </c>
      <c r="H187">
        <v>4</v>
      </c>
      <c r="I187">
        <v>75.599999999999994</v>
      </c>
      <c r="J187">
        <v>21</v>
      </c>
      <c r="K187">
        <v>0</v>
      </c>
      <c r="L187">
        <v>0</v>
      </c>
      <c r="M187">
        <v>0</v>
      </c>
      <c r="N187">
        <v>1</v>
      </c>
      <c r="O187" t="s">
        <v>252</v>
      </c>
      <c r="P187" t="s">
        <v>288</v>
      </c>
      <c r="Q187" t="s">
        <v>288</v>
      </c>
      <c r="R187" t="s">
        <v>288</v>
      </c>
      <c r="S187" t="s">
        <v>288</v>
      </c>
      <c r="T187" t="s">
        <v>288</v>
      </c>
      <c r="U187" t="s">
        <v>288</v>
      </c>
      <c r="V187" t="s">
        <v>288</v>
      </c>
    </row>
    <row r="188" spans="1:22" x14ac:dyDescent="0.25">
      <c r="A188" t="s">
        <v>253</v>
      </c>
      <c r="B188">
        <v>13</v>
      </c>
      <c r="C188" s="45">
        <v>0</v>
      </c>
      <c r="D188">
        <v>100</v>
      </c>
      <c r="E188">
        <v>1015</v>
      </c>
      <c r="F188">
        <v>300</v>
      </c>
      <c r="G188">
        <v>0</v>
      </c>
      <c r="H188">
        <v>4.4000000000000004</v>
      </c>
      <c r="I188">
        <v>84.4</v>
      </c>
      <c r="J188">
        <v>21</v>
      </c>
      <c r="K188">
        <v>0</v>
      </c>
      <c r="L188">
        <v>0</v>
      </c>
      <c r="M188">
        <v>0</v>
      </c>
      <c r="N188">
        <v>1</v>
      </c>
      <c r="O188" t="s">
        <v>253</v>
      </c>
      <c r="P188" t="s">
        <v>288</v>
      </c>
      <c r="Q188" t="s">
        <v>288</v>
      </c>
      <c r="R188" t="s">
        <v>288</v>
      </c>
      <c r="S188" t="s">
        <v>288</v>
      </c>
      <c r="T188" t="s">
        <v>288</v>
      </c>
      <c r="U188" t="s">
        <v>288</v>
      </c>
      <c r="V188" t="s">
        <v>288</v>
      </c>
    </row>
    <row r="189" spans="1:22" x14ac:dyDescent="0.25">
      <c r="A189" t="s">
        <v>254</v>
      </c>
      <c r="B189">
        <v>7.2</v>
      </c>
      <c r="C189" s="45">
        <v>0</v>
      </c>
      <c r="D189">
        <v>250</v>
      </c>
      <c r="E189">
        <v>1065</v>
      </c>
      <c r="F189">
        <v>15</v>
      </c>
      <c r="G189">
        <v>0</v>
      </c>
      <c r="H189">
        <v>4.4000000000000004</v>
      </c>
      <c r="I189">
        <v>84.6</v>
      </c>
      <c r="J189">
        <v>21</v>
      </c>
      <c r="K189">
        <v>0</v>
      </c>
      <c r="L189">
        <v>0</v>
      </c>
      <c r="M189">
        <v>0</v>
      </c>
      <c r="N189">
        <v>1</v>
      </c>
      <c r="O189" t="s">
        <v>254</v>
      </c>
      <c r="P189" t="s">
        <v>288</v>
      </c>
      <c r="Q189" t="s">
        <v>288</v>
      </c>
      <c r="R189" t="s">
        <v>288</v>
      </c>
      <c r="S189" t="s">
        <v>288</v>
      </c>
      <c r="T189" t="s">
        <v>288</v>
      </c>
      <c r="U189" t="s">
        <v>288</v>
      </c>
      <c r="V189" t="s">
        <v>288</v>
      </c>
    </row>
    <row r="190" spans="1:22" x14ac:dyDescent="0.25">
      <c r="A190" t="s">
        <v>255</v>
      </c>
      <c r="B190">
        <v>9.1999999999999993</v>
      </c>
      <c r="C190" s="45">
        <v>0</v>
      </c>
      <c r="D190">
        <v>50</v>
      </c>
      <c r="E190">
        <v>1016</v>
      </c>
      <c r="F190">
        <v>78.8</v>
      </c>
      <c r="G190">
        <v>0</v>
      </c>
      <c r="H190">
        <v>4.2</v>
      </c>
      <c r="I190">
        <v>81</v>
      </c>
      <c r="J190">
        <v>21</v>
      </c>
      <c r="K190">
        <v>0</v>
      </c>
      <c r="L190">
        <v>0</v>
      </c>
      <c r="M190">
        <v>0</v>
      </c>
      <c r="N190">
        <v>1</v>
      </c>
      <c r="O190" t="s">
        <v>255</v>
      </c>
      <c r="P190" t="s">
        <v>288</v>
      </c>
      <c r="Q190" t="s">
        <v>288</v>
      </c>
      <c r="R190" t="s">
        <v>288</v>
      </c>
      <c r="S190" t="s">
        <v>288</v>
      </c>
      <c r="T190" t="s">
        <v>288</v>
      </c>
      <c r="U190" t="s">
        <v>288</v>
      </c>
      <c r="V190" t="s">
        <v>288</v>
      </c>
    </row>
    <row r="191" spans="1:22" x14ac:dyDescent="0.25">
      <c r="A191" t="s">
        <v>256</v>
      </c>
      <c r="B191">
        <v>4.9000000000000004</v>
      </c>
      <c r="C191" s="45">
        <v>0</v>
      </c>
      <c r="D191">
        <v>18</v>
      </c>
      <c r="E191">
        <v>1010</v>
      </c>
      <c r="F191">
        <v>13</v>
      </c>
      <c r="G191">
        <v>0</v>
      </c>
      <c r="H191">
        <v>4.2</v>
      </c>
      <c r="I191">
        <v>78.7</v>
      </c>
      <c r="J191">
        <v>12</v>
      </c>
      <c r="K191">
        <v>0</v>
      </c>
      <c r="L191">
        <v>1</v>
      </c>
      <c r="M191">
        <v>0</v>
      </c>
      <c r="N191">
        <v>0</v>
      </c>
      <c r="O191" t="s">
        <v>256</v>
      </c>
      <c r="P191" t="s">
        <v>288</v>
      </c>
      <c r="Q191" t="s">
        <v>288</v>
      </c>
      <c r="R191" t="s">
        <v>288</v>
      </c>
      <c r="S191" t="s">
        <v>288</v>
      </c>
      <c r="T191" t="s">
        <v>288</v>
      </c>
      <c r="U191" t="s">
        <v>288</v>
      </c>
      <c r="V191" t="s">
        <v>288</v>
      </c>
    </row>
    <row r="192" spans="1:22" x14ac:dyDescent="0.25">
      <c r="A192" t="s">
        <v>257</v>
      </c>
      <c r="B192">
        <v>7.2</v>
      </c>
      <c r="C192" s="45">
        <v>0</v>
      </c>
      <c r="D192">
        <v>250</v>
      </c>
      <c r="E192">
        <v>1065</v>
      </c>
      <c r="F192">
        <v>17</v>
      </c>
      <c r="G192">
        <v>0</v>
      </c>
      <c r="H192">
        <v>4.4000000000000004</v>
      </c>
      <c r="I192">
        <v>84.6</v>
      </c>
      <c r="J192">
        <v>21</v>
      </c>
      <c r="K192">
        <v>0</v>
      </c>
      <c r="L192">
        <v>0</v>
      </c>
      <c r="M192">
        <v>0</v>
      </c>
      <c r="N192">
        <v>1</v>
      </c>
      <c r="O192" t="s">
        <v>257</v>
      </c>
      <c r="P192" t="s">
        <v>288</v>
      </c>
      <c r="Q192" t="s">
        <v>288</v>
      </c>
      <c r="R192" t="s">
        <v>288</v>
      </c>
      <c r="S192" t="s">
        <v>288</v>
      </c>
      <c r="T192" t="s">
        <v>288</v>
      </c>
      <c r="U192" t="s">
        <v>288</v>
      </c>
      <c r="V192" t="s">
        <v>288</v>
      </c>
    </row>
    <row r="193" spans="1:22" x14ac:dyDescent="0.25">
      <c r="A193" t="s">
        <v>258</v>
      </c>
      <c r="B193">
        <v>7.2</v>
      </c>
      <c r="C193" s="45">
        <v>0</v>
      </c>
      <c r="D193">
        <v>250</v>
      </c>
      <c r="E193">
        <v>1065</v>
      </c>
      <c r="F193">
        <v>104</v>
      </c>
      <c r="G193">
        <v>0</v>
      </c>
      <c r="H193">
        <v>4.4000000000000004</v>
      </c>
      <c r="I193">
        <v>84.6</v>
      </c>
      <c r="J193">
        <v>21</v>
      </c>
      <c r="K193">
        <v>0</v>
      </c>
      <c r="L193">
        <v>0</v>
      </c>
      <c r="M193">
        <v>0</v>
      </c>
      <c r="N193">
        <v>1</v>
      </c>
      <c r="O193" t="s">
        <v>258</v>
      </c>
      <c r="P193" t="s">
        <v>288</v>
      </c>
      <c r="Q193" t="s">
        <v>288</v>
      </c>
      <c r="R193" t="s">
        <v>288</v>
      </c>
      <c r="S193" t="s">
        <v>288</v>
      </c>
      <c r="T193" t="s">
        <v>288</v>
      </c>
      <c r="U193" t="s">
        <v>288</v>
      </c>
      <c r="V193" t="s">
        <v>288</v>
      </c>
    </row>
    <row r="194" spans="1:22" x14ac:dyDescent="0.25">
      <c r="A194" t="s">
        <v>259</v>
      </c>
      <c r="B194">
        <v>4.5</v>
      </c>
      <c r="C194" s="45">
        <v>0</v>
      </c>
      <c r="D194">
        <v>40</v>
      </c>
      <c r="E194">
        <v>1045</v>
      </c>
      <c r="F194">
        <v>18</v>
      </c>
      <c r="G194">
        <v>0</v>
      </c>
      <c r="H194">
        <v>4.2</v>
      </c>
      <c r="I194">
        <v>75.599999999999994</v>
      </c>
      <c r="J194">
        <v>19</v>
      </c>
      <c r="K194">
        <v>1</v>
      </c>
      <c r="L194">
        <v>0</v>
      </c>
      <c r="M194">
        <v>0</v>
      </c>
      <c r="N194">
        <v>0</v>
      </c>
      <c r="O194" t="s">
        <v>259</v>
      </c>
      <c r="P194" t="s">
        <v>288</v>
      </c>
      <c r="Q194" t="s">
        <v>288</v>
      </c>
      <c r="R194" t="s">
        <v>288</v>
      </c>
      <c r="S194" t="s">
        <v>288</v>
      </c>
      <c r="T194" t="s">
        <v>288</v>
      </c>
      <c r="U194" t="s">
        <v>288</v>
      </c>
      <c r="V194" t="s">
        <v>288</v>
      </c>
    </row>
    <row r="195" spans="1:22" x14ac:dyDescent="0.25">
      <c r="A195" t="s">
        <v>260</v>
      </c>
      <c r="B195">
        <v>4.5</v>
      </c>
      <c r="C195" s="45">
        <v>0</v>
      </c>
      <c r="D195">
        <v>40</v>
      </c>
      <c r="E195">
        <v>1045</v>
      </c>
      <c r="F195">
        <v>18</v>
      </c>
      <c r="G195">
        <v>0</v>
      </c>
      <c r="H195">
        <v>4.2</v>
      </c>
      <c r="I195">
        <v>75.599999999999994</v>
      </c>
      <c r="J195">
        <v>19</v>
      </c>
      <c r="K195">
        <v>1</v>
      </c>
      <c r="L195">
        <v>0</v>
      </c>
      <c r="M195">
        <v>0</v>
      </c>
      <c r="N195">
        <v>0</v>
      </c>
      <c r="O195" t="s">
        <v>260</v>
      </c>
      <c r="P195" t="s">
        <v>288</v>
      </c>
      <c r="Q195" t="s">
        <v>288</v>
      </c>
      <c r="R195" t="s">
        <v>288</v>
      </c>
      <c r="S195" t="s">
        <v>288</v>
      </c>
      <c r="T195" t="s">
        <v>288</v>
      </c>
      <c r="U195" t="s">
        <v>288</v>
      </c>
      <c r="V195" t="s">
        <v>288</v>
      </c>
    </row>
    <row r="196" spans="1:22" x14ac:dyDescent="0.25">
      <c r="A196" t="s">
        <v>261</v>
      </c>
      <c r="B196">
        <v>4.5</v>
      </c>
      <c r="C196" s="45">
        <v>0</v>
      </c>
      <c r="D196">
        <v>40</v>
      </c>
      <c r="E196">
        <v>1045</v>
      </c>
      <c r="F196">
        <v>18</v>
      </c>
      <c r="G196">
        <v>0</v>
      </c>
      <c r="H196">
        <v>4.2</v>
      </c>
      <c r="I196">
        <v>75.599999999999994</v>
      </c>
      <c r="J196">
        <v>19</v>
      </c>
      <c r="K196">
        <v>1</v>
      </c>
      <c r="L196">
        <v>0</v>
      </c>
      <c r="M196">
        <v>0</v>
      </c>
      <c r="N196">
        <v>0</v>
      </c>
      <c r="O196" t="s">
        <v>261</v>
      </c>
      <c r="P196" t="s">
        <v>288</v>
      </c>
      <c r="Q196" t="s">
        <v>288</v>
      </c>
      <c r="R196" t="s">
        <v>288</v>
      </c>
      <c r="S196" t="s">
        <v>288</v>
      </c>
      <c r="T196" t="s">
        <v>288</v>
      </c>
      <c r="U196" t="s">
        <v>288</v>
      </c>
      <c r="V196" t="s">
        <v>288</v>
      </c>
    </row>
    <row r="197" spans="1:22" x14ac:dyDescent="0.25">
      <c r="A197" t="s">
        <v>262</v>
      </c>
      <c r="B197">
        <v>7.6</v>
      </c>
      <c r="C197" s="45">
        <v>0</v>
      </c>
      <c r="D197">
        <v>70</v>
      </c>
      <c r="E197">
        <v>1067</v>
      </c>
      <c r="F197">
        <v>20</v>
      </c>
      <c r="G197">
        <v>0</v>
      </c>
      <c r="H197">
        <v>4.4000000000000004</v>
      </c>
      <c r="I197">
        <v>82</v>
      </c>
      <c r="J197">
        <v>21</v>
      </c>
      <c r="K197">
        <v>0</v>
      </c>
      <c r="L197">
        <v>0</v>
      </c>
      <c r="M197">
        <v>0</v>
      </c>
      <c r="N197">
        <v>1</v>
      </c>
      <c r="O197" t="s">
        <v>262</v>
      </c>
      <c r="P197" t="s">
        <v>288</v>
      </c>
      <c r="Q197" t="s">
        <v>288</v>
      </c>
      <c r="R197" t="s">
        <v>288</v>
      </c>
      <c r="S197" t="s">
        <v>288</v>
      </c>
      <c r="T197" t="s">
        <v>288</v>
      </c>
      <c r="U197" t="s">
        <v>288</v>
      </c>
      <c r="V197" t="s">
        <v>288</v>
      </c>
    </row>
    <row r="198" spans="1:22" x14ac:dyDescent="0.25">
      <c r="B198">
        <f>PEARSON(B2:B197,$G$2:$G$197)</f>
        <v>-1.6520458081756829E-2</v>
      </c>
      <c r="C198">
        <f t="shared" ref="C198:N198" si="0">PEARSON(C2:C197,$G$2:$G$197)</f>
        <v>-2.7777777777777922E-2</v>
      </c>
      <c r="D198">
        <f t="shared" si="0"/>
        <v>-6.835380044717132E-2</v>
      </c>
      <c r="E198">
        <f t="shared" si="0"/>
        <v>1.4161856297714763E-2</v>
      </c>
      <c r="F198" t="e">
        <f t="shared" si="0"/>
        <v>#DIV/0!</v>
      </c>
      <c r="G198">
        <f t="shared" si="0"/>
        <v>1</v>
      </c>
      <c r="H198">
        <f t="shared" si="0"/>
        <v>-0.26629750605610542</v>
      </c>
      <c r="I198">
        <f t="shared" si="0"/>
        <v>5.9269620394988419E-2</v>
      </c>
      <c r="J198">
        <f t="shared" si="0"/>
        <v>9.5287952765035142E-3</v>
      </c>
      <c r="K198">
        <f t="shared" si="0"/>
        <v>0.13437096247164207</v>
      </c>
      <c r="L198">
        <f t="shared" si="0"/>
        <v>-4.3033148291193465E-2</v>
      </c>
      <c r="M198">
        <f t="shared" si="0"/>
        <v>-2.7777777777777922E-2</v>
      </c>
      <c r="N198">
        <f t="shared" si="0"/>
        <v>-0.10520317644127161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F420-3FF1-4C8E-8AAA-4A906B8AE64F}">
  <dimension ref="A1:V202"/>
  <sheetViews>
    <sheetView topLeftCell="L1" workbookViewId="0">
      <selection activeCell="P201" sqref="P201"/>
    </sheetView>
  </sheetViews>
  <sheetFormatPr defaultRowHeight="15" x14ac:dyDescent="0.25"/>
  <cols>
    <col min="1" max="1" width="52" bestFit="1" customWidth="1"/>
    <col min="2" max="2" width="7" bestFit="1" customWidth="1"/>
    <col min="3" max="3" width="7" style="2" customWidth="1"/>
    <col min="4" max="4" width="6.42578125" bestFit="1" customWidth="1"/>
    <col min="5" max="5" width="7" bestFit="1" customWidth="1"/>
    <col min="6" max="6" width="6.5703125" bestFit="1" customWidth="1"/>
    <col min="7" max="7" width="5.7109375" bestFit="1" customWidth="1"/>
    <col min="8" max="8" width="18.85546875" bestFit="1" customWidth="1"/>
    <col min="9" max="9" width="27.140625" bestFit="1" customWidth="1"/>
    <col min="10" max="10" width="27.5703125" bestFit="1" customWidth="1"/>
    <col min="11" max="15" width="27.5703125" customWidth="1"/>
    <col min="16" max="16" width="12.7109375" bestFit="1" customWidth="1"/>
    <col min="17" max="17" width="13.5703125" customWidth="1"/>
    <col min="18" max="18" width="14.5703125" customWidth="1"/>
    <col min="19" max="20" width="12" bestFit="1" customWidth="1"/>
    <col min="22" max="22" width="26.28515625" bestFit="1" customWidth="1"/>
  </cols>
  <sheetData>
    <row r="1" spans="1:22" x14ac:dyDescent="0.25">
      <c r="A1" t="s">
        <v>54</v>
      </c>
      <c r="B1" t="s">
        <v>55</v>
      </c>
      <c r="C1" s="2" t="s">
        <v>287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64</v>
      </c>
      <c r="L1" t="s">
        <v>68</v>
      </c>
      <c r="M1" t="s">
        <v>71</v>
      </c>
      <c r="N1" t="s">
        <v>80</v>
      </c>
      <c r="O1" t="s">
        <v>273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</row>
    <row r="2" spans="1:22" hidden="1" x14ac:dyDescent="0.25">
      <c r="A2" s="45" t="s">
        <v>63</v>
      </c>
      <c r="B2">
        <v>4.5</v>
      </c>
      <c r="C2" s="2" t="s">
        <v>274</v>
      </c>
      <c r="D2">
        <v>60</v>
      </c>
      <c r="E2">
        <v>1044</v>
      </c>
      <c r="F2">
        <v>20</v>
      </c>
      <c r="G2">
        <v>4.4000000000000004</v>
      </c>
      <c r="H2">
        <v>75</v>
      </c>
      <c r="I2">
        <v>19</v>
      </c>
      <c r="J2" s="45" t="s">
        <v>64</v>
      </c>
      <c r="K2" s="45">
        <f>IF(BrewdogNew[[#This Row],[Yeast]]=BrewdogNew[[#Headers],[Wyeast 1056 - American Ale]],1,0)</f>
        <v>1</v>
      </c>
      <c r="L2" s="45">
        <f>IF(BrewdogNew[[#This Row],[Yeast]]=BrewdogNew[[#Headers],[Wyeast 2007 - Pilsen Lager]],1,0)</f>
        <v>0</v>
      </c>
      <c r="M2" s="45">
        <f>IF(BrewdogNew[[#This Row],[Yeast]]=BrewdogNew[[#Headers],[Wyeast 3711 - French Saison]],1,0)</f>
        <v>0</v>
      </c>
      <c r="N2" s="45">
        <f>IF(BrewdogNew[[#This Row],[Yeast]]=BrewdogNew[[#Headers],[Wyeast 1272 - American Ale II]],1,0)</f>
        <v>0</v>
      </c>
      <c r="O2" s="45" t="str">
        <f>BrewdogNew[[#This Row],[Name]]</f>
        <v>Buzz</v>
      </c>
      <c r="P2" t="str">
        <f>IF(BrewdogNew[[#This Row],[ABV]]="*", BrewdogNew[[#This Row],[IBU]], "")</f>
        <v/>
      </c>
      <c r="Q2" t="str">
        <f>IF(BrewdogNew[[#This Row],[ABV]]="*", BrewdogNew[[#This Row],[OG]], "")</f>
        <v/>
      </c>
      <c r="R2" t="str">
        <f>IF(BrewdogNew[[#This Row],[ABV]]="*", BrewdogNew[[#This Row],[EBC]], "")</f>
        <v/>
      </c>
      <c r="S2" t="str">
        <f>IF(BrewdogNew[[#This Row],[ABV]]="*", BrewdogNew[[#This Row],[PH]], "")</f>
        <v/>
      </c>
      <c r="T2" t="str">
        <f>IF(BrewdogNew[[#This Row],[ABV]]="*", BrewdogNew[[#This Row],[AttenuationLevel]], "")</f>
        <v/>
      </c>
      <c r="U2" t="str">
        <f>IF(BrewdogNew[[#This Row],[ABV]]="*", BrewdogNew[[#This Row],[FermentationTempCelsius]], "")</f>
        <v/>
      </c>
      <c r="V2" t="str">
        <f>IF(BrewdogNew[[#This Row],[ABV]]="*", BrewdogNew[[#This Row],[Yeast]], "")</f>
        <v/>
      </c>
    </row>
    <row r="3" spans="1:22" hidden="1" x14ac:dyDescent="0.25">
      <c r="A3" s="45" t="s">
        <v>65</v>
      </c>
      <c r="B3">
        <v>4.0999999999999996</v>
      </c>
      <c r="C3" s="2" t="s">
        <v>274</v>
      </c>
      <c r="D3">
        <v>41.5</v>
      </c>
      <c r="E3">
        <v>1041.7</v>
      </c>
      <c r="F3">
        <v>15</v>
      </c>
      <c r="G3">
        <v>4.4000000000000004</v>
      </c>
      <c r="H3">
        <v>76</v>
      </c>
      <c r="I3">
        <v>18</v>
      </c>
      <c r="J3" s="45" t="s">
        <v>64</v>
      </c>
      <c r="K3" s="45">
        <f>IF(BrewdogNew[[#This Row],[Yeast]]=BrewdogNew[[#Headers],[Wyeast 1056 - American Ale]],1,0)</f>
        <v>1</v>
      </c>
      <c r="L3" s="45">
        <f>IF(BrewdogNew[[#This Row],[Yeast]]=BrewdogNew[[#Headers],[Wyeast 2007 - Pilsen Lager]],1,0)</f>
        <v>0</v>
      </c>
      <c r="M3" s="45">
        <f>IF(BrewdogNew[[#This Row],[Yeast]]=BrewdogNew[[#Headers],[Wyeast 3711 - French Saison]],1,0)</f>
        <v>0</v>
      </c>
      <c r="N3" s="45">
        <f>IF(BrewdogNew[[#This Row],[Yeast]]=BrewdogNew[[#Headers],[Wyeast 1272 - American Ale II]],1,0)</f>
        <v>0</v>
      </c>
      <c r="O3" s="45" t="str">
        <f>BrewdogNew[[#This Row],[Name]]</f>
        <v>Trashy Blonde</v>
      </c>
      <c r="P3" t="str">
        <f>IF(BrewdogNew[[#This Row],[ABV]]="*", BrewdogNew[[#This Row],[IBU]], "")</f>
        <v/>
      </c>
      <c r="Q3" t="str">
        <f>IF(BrewdogNew[[#This Row],[ABV]]="*", BrewdogNew[[#This Row],[OG]], "")</f>
        <v/>
      </c>
      <c r="R3" t="str">
        <f>IF(BrewdogNew[[#This Row],[ABV]]="*", BrewdogNew[[#This Row],[EBC]], "")</f>
        <v/>
      </c>
      <c r="S3" t="str">
        <f>IF(BrewdogNew[[#This Row],[ABV]]="*", BrewdogNew[[#This Row],[PH]], "")</f>
        <v/>
      </c>
      <c r="T3" t="str">
        <f>IF(BrewdogNew[[#This Row],[ABV]]="*", BrewdogNew[[#This Row],[AttenuationLevel]], "")</f>
        <v/>
      </c>
      <c r="U3" t="str">
        <f>IF(BrewdogNew[[#This Row],[ABV]]="*", BrewdogNew[[#This Row],[FermentationTempCelsius]], "")</f>
        <v/>
      </c>
      <c r="V3" t="str">
        <f>IF(BrewdogNew[[#This Row],[ABV]]="*", BrewdogNew[[#This Row],[Yeast]], "")</f>
        <v/>
      </c>
    </row>
    <row r="4" spans="1:22" hidden="1" x14ac:dyDescent="0.25">
      <c r="A4" s="45" t="s">
        <v>66</v>
      </c>
      <c r="B4">
        <v>4.2</v>
      </c>
      <c r="C4" s="2" t="s">
        <v>274</v>
      </c>
      <c r="D4">
        <v>8</v>
      </c>
      <c r="E4">
        <v>1040</v>
      </c>
      <c r="F4">
        <v>8</v>
      </c>
      <c r="G4">
        <v>3.2</v>
      </c>
      <c r="H4">
        <v>83</v>
      </c>
      <c r="I4">
        <v>21</v>
      </c>
      <c r="J4" s="45" t="s">
        <v>64</v>
      </c>
      <c r="K4" s="45">
        <f>IF(BrewdogNew[[#This Row],[Yeast]]=BrewdogNew[[#Headers],[Wyeast 1056 - American Ale]],1,0)</f>
        <v>1</v>
      </c>
      <c r="L4" s="45">
        <f>IF(BrewdogNew[[#This Row],[Yeast]]=BrewdogNew[[#Headers],[Wyeast 2007 - Pilsen Lager]],1,0)</f>
        <v>0</v>
      </c>
      <c r="M4" s="45">
        <f>IF(BrewdogNew[[#This Row],[Yeast]]=BrewdogNew[[#Headers],[Wyeast 3711 - French Saison]],1,0)</f>
        <v>0</v>
      </c>
      <c r="N4" s="45">
        <f>IF(BrewdogNew[[#This Row],[Yeast]]=BrewdogNew[[#Headers],[Wyeast 1272 - American Ale II]],1,0)</f>
        <v>0</v>
      </c>
      <c r="O4" s="45" t="str">
        <f>BrewdogNew[[#This Row],[Name]]</f>
        <v>Berliner Weisse With Yuzu - B-Sides</v>
      </c>
      <c r="P4" t="str">
        <f>IF(BrewdogNew[[#This Row],[ABV]]="*", BrewdogNew[[#This Row],[IBU]], "")</f>
        <v/>
      </c>
      <c r="Q4" t="str">
        <f>IF(BrewdogNew[[#This Row],[ABV]]="*", BrewdogNew[[#This Row],[OG]], "")</f>
        <v/>
      </c>
      <c r="R4" t="str">
        <f>IF(BrewdogNew[[#This Row],[ABV]]="*", BrewdogNew[[#This Row],[EBC]], "")</f>
        <v/>
      </c>
      <c r="S4" t="str">
        <f>IF(BrewdogNew[[#This Row],[ABV]]="*", BrewdogNew[[#This Row],[PH]], "")</f>
        <v/>
      </c>
      <c r="T4" t="str">
        <f>IF(BrewdogNew[[#This Row],[ABV]]="*", BrewdogNew[[#This Row],[AttenuationLevel]], "")</f>
        <v/>
      </c>
      <c r="U4" t="str">
        <f>IF(BrewdogNew[[#This Row],[ABV]]="*", BrewdogNew[[#This Row],[FermentationTempCelsius]], "")</f>
        <v/>
      </c>
      <c r="V4" t="str">
        <f>IF(BrewdogNew[[#This Row],[ABV]]="*", BrewdogNew[[#This Row],[Yeast]], "")</f>
        <v/>
      </c>
    </row>
    <row r="5" spans="1:22" hidden="1" x14ac:dyDescent="0.25">
      <c r="A5" s="45" t="s">
        <v>67</v>
      </c>
      <c r="B5">
        <v>6.3</v>
      </c>
      <c r="C5" s="2" t="s">
        <v>274</v>
      </c>
      <c r="D5">
        <v>55</v>
      </c>
      <c r="E5">
        <v>1060</v>
      </c>
      <c r="F5">
        <v>30</v>
      </c>
      <c r="G5">
        <v>4.4000000000000004</v>
      </c>
      <c r="H5">
        <v>80</v>
      </c>
      <c r="I5">
        <v>9</v>
      </c>
      <c r="J5" s="45" t="s">
        <v>68</v>
      </c>
      <c r="K5" s="45">
        <f>IF(BrewdogNew[[#This Row],[Yeast]]=BrewdogNew[[#Headers],[Wyeast 1056 - American Ale]],1,0)</f>
        <v>0</v>
      </c>
      <c r="L5" s="45">
        <f>IF(BrewdogNew[[#This Row],[Yeast]]=BrewdogNew[[#Headers],[Wyeast 2007 - Pilsen Lager]],1,0)</f>
        <v>1</v>
      </c>
      <c r="M5" s="45">
        <f>IF(BrewdogNew[[#This Row],[Yeast]]=BrewdogNew[[#Headers],[Wyeast 3711 - French Saison]],1,0)</f>
        <v>0</v>
      </c>
      <c r="N5" s="45">
        <f>IF(BrewdogNew[[#This Row],[Yeast]]=BrewdogNew[[#Headers],[Wyeast 1272 - American Ale II]],1,0)</f>
        <v>0</v>
      </c>
      <c r="O5" s="45" t="str">
        <f>BrewdogNew[[#This Row],[Name]]</f>
        <v>Pilsen Lager</v>
      </c>
      <c r="P5" t="str">
        <f>IF(BrewdogNew[[#This Row],[ABV]]="*", BrewdogNew[[#This Row],[IBU]], "")</f>
        <v/>
      </c>
      <c r="Q5" t="str">
        <f>IF(BrewdogNew[[#This Row],[ABV]]="*", BrewdogNew[[#This Row],[OG]], "")</f>
        <v/>
      </c>
      <c r="R5" t="str">
        <f>IF(BrewdogNew[[#This Row],[ABV]]="*", BrewdogNew[[#This Row],[EBC]], "")</f>
        <v/>
      </c>
      <c r="S5" t="str">
        <f>IF(BrewdogNew[[#This Row],[ABV]]="*", BrewdogNew[[#This Row],[PH]], "")</f>
        <v/>
      </c>
      <c r="T5" t="str">
        <f>IF(BrewdogNew[[#This Row],[ABV]]="*", BrewdogNew[[#This Row],[AttenuationLevel]], "")</f>
        <v/>
      </c>
      <c r="U5" t="str">
        <f>IF(BrewdogNew[[#This Row],[ABV]]="*", BrewdogNew[[#This Row],[FermentationTempCelsius]], "")</f>
        <v/>
      </c>
      <c r="V5" t="str">
        <f>IF(BrewdogNew[[#This Row],[ABV]]="*", BrewdogNew[[#This Row],[Yeast]], "")</f>
        <v/>
      </c>
    </row>
    <row r="6" spans="1:22" hidden="1" x14ac:dyDescent="0.25">
      <c r="A6" s="45" t="s">
        <v>69</v>
      </c>
      <c r="B6">
        <v>7.2</v>
      </c>
      <c r="C6" s="2" t="s">
        <v>274</v>
      </c>
      <c r="D6">
        <v>59</v>
      </c>
      <c r="E6">
        <v>1069</v>
      </c>
      <c r="F6">
        <v>10</v>
      </c>
      <c r="G6">
        <v>4.4000000000000004</v>
      </c>
      <c r="H6">
        <v>67</v>
      </c>
      <c r="I6">
        <v>10</v>
      </c>
      <c r="J6" s="45" t="s">
        <v>68</v>
      </c>
      <c r="K6" s="45">
        <f>IF(BrewdogNew[[#This Row],[Yeast]]=BrewdogNew[[#Headers],[Wyeast 1056 - American Ale]],1,0)</f>
        <v>0</v>
      </c>
      <c r="L6" s="45">
        <f>IF(BrewdogNew[[#This Row],[Yeast]]=BrewdogNew[[#Headers],[Wyeast 2007 - Pilsen Lager]],1,0)</f>
        <v>1</v>
      </c>
      <c r="M6" s="45">
        <f>IF(BrewdogNew[[#This Row],[Yeast]]=BrewdogNew[[#Headers],[Wyeast 3711 - French Saison]],1,0)</f>
        <v>0</v>
      </c>
      <c r="N6" s="45">
        <f>IF(BrewdogNew[[#This Row],[Yeast]]=BrewdogNew[[#Headers],[Wyeast 1272 - American Ale II]],1,0)</f>
        <v>0</v>
      </c>
      <c r="O6" s="45" t="str">
        <f>BrewdogNew[[#This Row],[Name]]</f>
        <v>Avery Brown Dredge</v>
      </c>
      <c r="P6" t="str">
        <f>IF(BrewdogNew[[#This Row],[ABV]]="*", BrewdogNew[[#This Row],[IBU]], "")</f>
        <v/>
      </c>
      <c r="Q6" t="str">
        <f>IF(BrewdogNew[[#This Row],[ABV]]="*", BrewdogNew[[#This Row],[OG]], "")</f>
        <v/>
      </c>
      <c r="R6" t="str">
        <f>IF(BrewdogNew[[#This Row],[ABV]]="*", BrewdogNew[[#This Row],[EBC]], "")</f>
        <v/>
      </c>
      <c r="S6" t="str">
        <f>IF(BrewdogNew[[#This Row],[ABV]]="*", BrewdogNew[[#This Row],[PH]], "")</f>
        <v/>
      </c>
      <c r="T6" t="str">
        <f>IF(BrewdogNew[[#This Row],[ABV]]="*", BrewdogNew[[#This Row],[AttenuationLevel]], "")</f>
        <v/>
      </c>
      <c r="U6" t="str">
        <f>IF(BrewdogNew[[#This Row],[ABV]]="*", BrewdogNew[[#This Row],[FermentationTempCelsius]], "")</f>
        <v/>
      </c>
      <c r="V6" t="str">
        <f>IF(BrewdogNew[[#This Row],[ABV]]="*", BrewdogNew[[#This Row],[Yeast]], "")</f>
        <v/>
      </c>
    </row>
    <row r="7" spans="1:22" x14ac:dyDescent="0.25">
      <c r="A7" s="45" t="s">
        <v>70</v>
      </c>
      <c r="B7" s="31" t="s">
        <v>32</v>
      </c>
      <c r="C7" s="51">
        <v>1</v>
      </c>
      <c r="D7">
        <v>38</v>
      </c>
      <c r="E7">
        <v>1045</v>
      </c>
      <c r="F7">
        <v>15</v>
      </c>
      <c r="G7">
        <v>4.4000000000000004</v>
      </c>
      <c r="H7">
        <v>88.9</v>
      </c>
      <c r="I7">
        <v>22</v>
      </c>
      <c r="J7" s="45" t="s">
        <v>71</v>
      </c>
      <c r="K7" s="45">
        <f>IF(BrewdogNew[[#This Row],[Yeast]]=BrewdogNew[[#Headers],[Wyeast 1056 - American Ale]],1,0)</f>
        <v>0</v>
      </c>
      <c r="L7" s="45">
        <f>IF(BrewdogNew[[#This Row],[Yeast]]=BrewdogNew[[#Headers],[Wyeast 2007 - Pilsen Lager]],1,0)</f>
        <v>0</v>
      </c>
      <c r="M7" s="45">
        <f>IF(BrewdogNew[[#This Row],[Yeast]]=BrewdogNew[[#Headers],[Wyeast 3711 - French Saison]],1,0)</f>
        <v>1</v>
      </c>
      <c r="N7" s="45">
        <f>IF(BrewdogNew[[#This Row],[Yeast]]=BrewdogNew[[#Headers],[Wyeast 1272 - American Ale II]],1,0)</f>
        <v>0</v>
      </c>
      <c r="O7" s="45" t="str">
        <f>BrewdogNew[[#This Row],[Name]]</f>
        <v>Electric India</v>
      </c>
      <c r="P7">
        <f>IF(BrewdogNew[[#This Row],[ABV]]="*", BrewdogNew[[#This Row],[IBU]], "")</f>
        <v>38</v>
      </c>
      <c r="Q7">
        <f>IF(BrewdogNew[[#This Row],[ABV]]="*", BrewdogNew[[#This Row],[OG]], "")</f>
        <v>1045</v>
      </c>
      <c r="R7">
        <f>IF(BrewdogNew[[#This Row],[ABV]]="*", BrewdogNew[[#This Row],[EBC]], "")</f>
        <v>15</v>
      </c>
      <c r="S7">
        <f>IF(BrewdogNew[[#This Row],[ABV]]="*", BrewdogNew[[#This Row],[PH]], "")</f>
        <v>4.4000000000000004</v>
      </c>
      <c r="T7">
        <f>IF(BrewdogNew[[#This Row],[ABV]]="*", BrewdogNew[[#This Row],[AttenuationLevel]], "")</f>
        <v>88.9</v>
      </c>
      <c r="U7">
        <f>IF(BrewdogNew[[#This Row],[ABV]]="*", BrewdogNew[[#This Row],[FermentationTempCelsius]], "")</f>
        <v>22</v>
      </c>
      <c r="V7" t="str">
        <f>IF(BrewdogNew[[#This Row],[ABV]]="*", BrewdogNew[[#This Row],[Yeast]], "")</f>
        <v>Wyeast 3711 - French Saison</v>
      </c>
    </row>
    <row r="8" spans="1:22" hidden="1" x14ac:dyDescent="0.25">
      <c r="A8" s="45" t="s">
        <v>72</v>
      </c>
      <c r="B8">
        <v>4.7</v>
      </c>
      <c r="C8" s="2" t="s">
        <v>274</v>
      </c>
      <c r="D8">
        <v>40</v>
      </c>
      <c r="E8">
        <v>1046</v>
      </c>
      <c r="F8">
        <v>12</v>
      </c>
      <c r="G8">
        <v>4.4000000000000004</v>
      </c>
      <c r="H8">
        <v>78</v>
      </c>
      <c r="I8">
        <v>10</v>
      </c>
      <c r="J8" s="45" t="s">
        <v>68</v>
      </c>
      <c r="K8" s="45">
        <f>IF(BrewdogNew[[#This Row],[Yeast]]=BrewdogNew[[#Headers],[Wyeast 1056 - American Ale]],1,0)</f>
        <v>0</v>
      </c>
      <c r="L8" s="45">
        <f>IF(BrewdogNew[[#This Row],[Yeast]]=BrewdogNew[[#Headers],[Wyeast 2007 - Pilsen Lager]],1,0)</f>
        <v>1</v>
      </c>
      <c r="M8" s="45">
        <f>IF(BrewdogNew[[#This Row],[Yeast]]=BrewdogNew[[#Headers],[Wyeast 3711 - French Saison]],1,0)</f>
        <v>0</v>
      </c>
      <c r="N8" s="45">
        <f>IF(BrewdogNew[[#This Row],[Yeast]]=BrewdogNew[[#Headers],[Wyeast 1272 - American Ale II]],1,0)</f>
        <v>0</v>
      </c>
      <c r="O8" s="45" t="str">
        <f>BrewdogNew[[#This Row],[Name]]</f>
        <v>Fake Lager</v>
      </c>
      <c r="P8" t="str">
        <f>IF(BrewdogNew[[#This Row],[ABV]]="*", BrewdogNew[[#This Row],[IBU]], "")</f>
        <v/>
      </c>
      <c r="Q8" t="str">
        <f>IF(BrewdogNew[[#This Row],[ABV]]="*", BrewdogNew[[#This Row],[OG]], "")</f>
        <v/>
      </c>
      <c r="R8" t="str">
        <f>IF(BrewdogNew[[#This Row],[ABV]]="*", BrewdogNew[[#This Row],[EBC]], "")</f>
        <v/>
      </c>
      <c r="S8" t="str">
        <f>IF(BrewdogNew[[#This Row],[ABV]]="*", BrewdogNew[[#This Row],[PH]], "")</f>
        <v/>
      </c>
      <c r="T8" t="str">
        <f>IF(BrewdogNew[[#This Row],[ABV]]="*", BrewdogNew[[#This Row],[AttenuationLevel]], "")</f>
        <v/>
      </c>
      <c r="U8" t="str">
        <f>IF(BrewdogNew[[#This Row],[ABV]]="*", BrewdogNew[[#This Row],[FermentationTempCelsius]], "")</f>
        <v/>
      </c>
      <c r="V8" t="str">
        <f>IF(BrewdogNew[[#This Row],[ABV]]="*", BrewdogNew[[#This Row],[Yeast]], "")</f>
        <v/>
      </c>
    </row>
    <row r="9" spans="1:22" hidden="1" x14ac:dyDescent="0.25">
      <c r="A9" s="45" t="s">
        <v>73</v>
      </c>
      <c r="B9">
        <v>7.5</v>
      </c>
      <c r="C9" s="2" t="s">
        <v>274</v>
      </c>
      <c r="D9">
        <v>75</v>
      </c>
      <c r="E9">
        <v>1068</v>
      </c>
      <c r="F9">
        <v>22</v>
      </c>
      <c r="G9">
        <v>4.4000000000000004</v>
      </c>
      <c r="H9">
        <v>80.900000000000006</v>
      </c>
      <c r="I9">
        <v>19</v>
      </c>
      <c r="J9" s="45" t="s">
        <v>64</v>
      </c>
      <c r="K9" s="45">
        <f>IF(BrewdogNew[[#This Row],[Yeast]]=BrewdogNew[[#Headers],[Wyeast 1056 - American Ale]],1,0)</f>
        <v>1</v>
      </c>
      <c r="L9" s="45">
        <f>IF(BrewdogNew[[#This Row],[Yeast]]=BrewdogNew[[#Headers],[Wyeast 2007 - Pilsen Lager]],1,0)</f>
        <v>0</v>
      </c>
      <c r="M9" s="45">
        <f>IF(BrewdogNew[[#This Row],[Yeast]]=BrewdogNew[[#Headers],[Wyeast 3711 - French Saison]],1,0)</f>
        <v>0</v>
      </c>
      <c r="N9" s="45">
        <f>IF(BrewdogNew[[#This Row],[Yeast]]=BrewdogNew[[#Headers],[Wyeast 1272 - American Ale II]],1,0)</f>
        <v>0</v>
      </c>
      <c r="O9" s="45" t="str">
        <f>BrewdogNew[[#This Row],[Name]]</f>
        <v>Bramling X</v>
      </c>
      <c r="P9" t="str">
        <f>IF(BrewdogNew[[#This Row],[ABV]]="*", BrewdogNew[[#This Row],[IBU]], "")</f>
        <v/>
      </c>
      <c r="Q9" t="str">
        <f>IF(BrewdogNew[[#This Row],[ABV]]="*", BrewdogNew[[#This Row],[OG]], "")</f>
        <v/>
      </c>
      <c r="R9" t="str">
        <f>IF(BrewdogNew[[#This Row],[ABV]]="*", BrewdogNew[[#This Row],[EBC]], "")</f>
        <v/>
      </c>
      <c r="S9" t="str">
        <f>IF(BrewdogNew[[#This Row],[ABV]]="*", BrewdogNew[[#This Row],[PH]], "")</f>
        <v/>
      </c>
      <c r="T9" t="str">
        <f>IF(BrewdogNew[[#This Row],[ABV]]="*", BrewdogNew[[#This Row],[AttenuationLevel]], "")</f>
        <v/>
      </c>
      <c r="U9" t="str">
        <f>IF(BrewdogNew[[#This Row],[ABV]]="*", BrewdogNew[[#This Row],[FermentationTempCelsius]], "")</f>
        <v/>
      </c>
      <c r="V9" t="str">
        <f>IF(BrewdogNew[[#This Row],[ABV]]="*", BrewdogNew[[#This Row],[Yeast]], "")</f>
        <v/>
      </c>
    </row>
    <row r="10" spans="1:22" hidden="1" x14ac:dyDescent="0.25">
      <c r="A10" s="45" t="s">
        <v>74</v>
      </c>
      <c r="B10">
        <v>7.3</v>
      </c>
      <c r="C10" s="2" t="s">
        <v>274</v>
      </c>
      <c r="D10">
        <v>30</v>
      </c>
      <c r="E10">
        <v>1079</v>
      </c>
      <c r="F10">
        <v>120</v>
      </c>
      <c r="G10">
        <v>4.4000000000000004</v>
      </c>
      <c r="H10">
        <v>74.7</v>
      </c>
      <c r="I10">
        <v>19</v>
      </c>
      <c r="J10" s="45" t="s">
        <v>64</v>
      </c>
      <c r="K10" s="45">
        <f>IF(BrewdogNew[[#This Row],[Yeast]]=BrewdogNew[[#Headers],[Wyeast 1056 - American Ale]],1,0)</f>
        <v>1</v>
      </c>
      <c r="L10" s="45">
        <f>IF(BrewdogNew[[#This Row],[Yeast]]=BrewdogNew[[#Headers],[Wyeast 2007 - Pilsen Lager]],1,0)</f>
        <v>0</v>
      </c>
      <c r="M10" s="45">
        <f>IF(BrewdogNew[[#This Row],[Yeast]]=BrewdogNew[[#Headers],[Wyeast 3711 - French Saison]],1,0)</f>
        <v>0</v>
      </c>
      <c r="N10" s="45">
        <f>IF(BrewdogNew[[#This Row],[Yeast]]=BrewdogNew[[#Headers],[Wyeast 1272 - American Ale II]],1,0)</f>
        <v>0</v>
      </c>
      <c r="O10" s="45" t="str">
        <f>BrewdogNew[[#This Row],[Name]]</f>
        <v>Misspent Youth</v>
      </c>
      <c r="P10" t="str">
        <f>IF(BrewdogNew[[#This Row],[ABV]]="*", BrewdogNew[[#This Row],[IBU]], "")</f>
        <v/>
      </c>
      <c r="Q10" t="str">
        <f>IF(BrewdogNew[[#This Row],[ABV]]="*", BrewdogNew[[#This Row],[OG]], "")</f>
        <v/>
      </c>
      <c r="R10" t="str">
        <f>IF(BrewdogNew[[#This Row],[ABV]]="*", BrewdogNew[[#This Row],[EBC]], "")</f>
        <v/>
      </c>
      <c r="S10" t="str">
        <f>IF(BrewdogNew[[#This Row],[ABV]]="*", BrewdogNew[[#This Row],[PH]], "")</f>
        <v/>
      </c>
      <c r="T10" t="str">
        <f>IF(BrewdogNew[[#This Row],[ABV]]="*", BrewdogNew[[#This Row],[AttenuationLevel]], "")</f>
        <v/>
      </c>
      <c r="U10" t="str">
        <f>IF(BrewdogNew[[#This Row],[ABV]]="*", BrewdogNew[[#This Row],[FermentationTempCelsius]], "")</f>
        <v/>
      </c>
      <c r="V10" t="str">
        <f>IF(BrewdogNew[[#This Row],[ABV]]="*", BrewdogNew[[#This Row],[Yeast]], "")</f>
        <v/>
      </c>
    </row>
    <row r="11" spans="1:22" hidden="1" x14ac:dyDescent="0.25">
      <c r="A11" s="45" t="s">
        <v>75</v>
      </c>
      <c r="B11">
        <v>5.3</v>
      </c>
      <c r="C11" s="2" t="s">
        <v>274</v>
      </c>
      <c r="D11">
        <v>60</v>
      </c>
      <c r="E11">
        <v>1052</v>
      </c>
      <c r="F11">
        <v>200</v>
      </c>
      <c r="G11">
        <v>4.2</v>
      </c>
      <c r="H11">
        <v>77</v>
      </c>
      <c r="I11">
        <v>19</v>
      </c>
      <c r="J11" s="45" t="s">
        <v>64</v>
      </c>
      <c r="K11" s="45">
        <f>IF(BrewdogNew[[#This Row],[Yeast]]=BrewdogNew[[#Headers],[Wyeast 1056 - American Ale]],1,0)</f>
        <v>1</v>
      </c>
      <c r="L11" s="45">
        <f>IF(BrewdogNew[[#This Row],[Yeast]]=BrewdogNew[[#Headers],[Wyeast 2007 - Pilsen Lager]],1,0)</f>
        <v>0</v>
      </c>
      <c r="M11" s="45">
        <f>IF(BrewdogNew[[#This Row],[Yeast]]=BrewdogNew[[#Headers],[Wyeast 3711 - French Saison]],1,0)</f>
        <v>0</v>
      </c>
      <c r="N11" s="45">
        <f>IF(BrewdogNew[[#This Row],[Yeast]]=BrewdogNew[[#Headers],[Wyeast 1272 - American Ale II]],1,0)</f>
        <v>0</v>
      </c>
      <c r="O11" s="45" t="str">
        <f>BrewdogNew[[#This Row],[Name]]</f>
        <v>Arcade Nation</v>
      </c>
      <c r="P11" t="str">
        <f>IF(BrewdogNew[[#This Row],[ABV]]="*", BrewdogNew[[#This Row],[IBU]], "")</f>
        <v/>
      </c>
      <c r="Q11" t="str">
        <f>IF(BrewdogNew[[#This Row],[ABV]]="*", BrewdogNew[[#This Row],[OG]], "")</f>
        <v/>
      </c>
      <c r="R11" t="str">
        <f>IF(BrewdogNew[[#This Row],[ABV]]="*", BrewdogNew[[#This Row],[EBC]], "")</f>
        <v/>
      </c>
      <c r="S11" t="str">
        <f>IF(BrewdogNew[[#This Row],[ABV]]="*", BrewdogNew[[#This Row],[PH]], "")</f>
        <v/>
      </c>
      <c r="T11" t="str">
        <f>IF(BrewdogNew[[#This Row],[ABV]]="*", BrewdogNew[[#This Row],[AttenuationLevel]], "")</f>
        <v/>
      </c>
      <c r="U11" t="str">
        <f>IF(BrewdogNew[[#This Row],[ABV]]="*", BrewdogNew[[#This Row],[FermentationTempCelsius]], "")</f>
        <v/>
      </c>
      <c r="V11" t="str">
        <f>IF(BrewdogNew[[#This Row],[ABV]]="*", BrewdogNew[[#This Row],[Yeast]], "")</f>
        <v/>
      </c>
    </row>
    <row r="12" spans="1:22" hidden="1" x14ac:dyDescent="0.25">
      <c r="A12" s="45" t="s">
        <v>76</v>
      </c>
      <c r="B12">
        <v>4.5</v>
      </c>
      <c r="C12" s="2" t="s">
        <v>274</v>
      </c>
      <c r="D12">
        <v>50</v>
      </c>
      <c r="E12">
        <v>1047</v>
      </c>
      <c r="F12">
        <v>140</v>
      </c>
      <c r="G12">
        <v>5.2</v>
      </c>
      <c r="H12">
        <v>74.5</v>
      </c>
      <c r="I12">
        <v>19</v>
      </c>
      <c r="J12" s="45" t="s">
        <v>64</v>
      </c>
      <c r="K12" s="45">
        <f>IF(BrewdogNew[[#This Row],[Yeast]]=BrewdogNew[[#Headers],[Wyeast 1056 - American Ale]],1,0)</f>
        <v>1</v>
      </c>
      <c r="L12" s="45">
        <f>IF(BrewdogNew[[#This Row],[Yeast]]=BrewdogNew[[#Headers],[Wyeast 2007 - Pilsen Lager]],1,0)</f>
        <v>0</v>
      </c>
      <c r="M12" s="45">
        <f>IF(BrewdogNew[[#This Row],[Yeast]]=BrewdogNew[[#Headers],[Wyeast 3711 - French Saison]],1,0)</f>
        <v>0</v>
      </c>
      <c r="N12" s="45">
        <f>IF(BrewdogNew[[#This Row],[Yeast]]=BrewdogNew[[#Headers],[Wyeast 1272 - American Ale II]],1,0)</f>
        <v>0</v>
      </c>
      <c r="O12" s="45" t="str">
        <f>BrewdogNew[[#This Row],[Name]]</f>
        <v>Movember</v>
      </c>
      <c r="P12" t="str">
        <f>IF(BrewdogNew[[#This Row],[ABV]]="*", BrewdogNew[[#This Row],[IBU]], "")</f>
        <v/>
      </c>
      <c r="Q12" t="str">
        <f>IF(BrewdogNew[[#This Row],[ABV]]="*", BrewdogNew[[#This Row],[OG]], "")</f>
        <v/>
      </c>
      <c r="R12" t="str">
        <f>IF(BrewdogNew[[#This Row],[ABV]]="*", BrewdogNew[[#This Row],[EBC]], "")</f>
        <v/>
      </c>
      <c r="S12" t="str">
        <f>IF(BrewdogNew[[#This Row],[ABV]]="*", BrewdogNew[[#This Row],[PH]], "")</f>
        <v/>
      </c>
      <c r="T12" t="str">
        <f>IF(BrewdogNew[[#This Row],[ABV]]="*", BrewdogNew[[#This Row],[AttenuationLevel]], "")</f>
        <v/>
      </c>
      <c r="U12" t="str">
        <f>IF(BrewdogNew[[#This Row],[ABV]]="*", BrewdogNew[[#This Row],[FermentationTempCelsius]], "")</f>
        <v/>
      </c>
      <c r="V12" t="str">
        <f>IF(BrewdogNew[[#This Row],[ABV]]="*", BrewdogNew[[#This Row],[Yeast]], "")</f>
        <v/>
      </c>
    </row>
    <row r="13" spans="1:22" hidden="1" x14ac:dyDescent="0.25">
      <c r="A13" s="45" t="s">
        <v>77</v>
      </c>
      <c r="B13">
        <v>4.5</v>
      </c>
      <c r="C13" s="2" t="s">
        <v>274</v>
      </c>
      <c r="D13">
        <v>42</v>
      </c>
      <c r="E13">
        <v>1046</v>
      </c>
      <c r="F13">
        <v>62</v>
      </c>
      <c r="G13">
        <v>4.4000000000000004</v>
      </c>
      <c r="H13">
        <v>72.8</v>
      </c>
      <c r="I13">
        <v>22</v>
      </c>
      <c r="J13" s="45" t="s">
        <v>64</v>
      </c>
      <c r="K13" s="45">
        <f>IF(BrewdogNew[[#This Row],[Yeast]]=BrewdogNew[[#Headers],[Wyeast 1056 - American Ale]],1,0)</f>
        <v>1</v>
      </c>
      <c r="L13" s="45">
        <f>IF(BrewdogNew[[#This Row],[Yeast]]=BrewdogNew[[#Headers],[Wyeast 2007 - Pilsen Lager]],1,0)</f>
        <v>0</v>
      </c>
      <c r="M13" s="45">
        <f>IF(BrewdogNew[[#This Row],[Yeast]]=BrewdogNew[[#Headers],[Wyeast 3711 - French Saison]],1,0)</f>
        <v>0</v>
      </c>
      <c r="N13" s="45">
        <f>IF(BrewdogNew[[#This Row],[Yeast]]=BrewdogNew[[#Headers],[Wyeast 1272 - American Ale II]],1,0)</f>
        <v>0</v>
      </c>
      <c r="O13" s="45" t="str">
        <f>BrewdogNew[[#This Row],[Name]]</f>
        <v>Alpha Dog</v>
      </c>
      <c r="P13" t="str">
        <f>IF(BrewdogNew[[#This Row],[ABV]]="*", BrewdogNew[[#This Row],[IBU]], "")</f>
        <v/>
      </c>
      <c r="Q13" t="str">
        <f>IF(BrewdogNew[[#This Row],[ABV]]="*", BrewdogNew[[#This Row],[OG]], "")</f>
        <v/>
      </c>
      <c r="R13" t="str">
        <f>IF(BrewdogNew[[#This Row],[ABV]]="*", BrewdogNew[[#This Row],[EBC]], "")</f>
        <v/>
      </c>
      <c r="S13" t="str">
        <f>IF(BrewdogNew[[#This Row],[ABV]]="*", BrewdogNew[[#This Row],[PH]], "")</f>
        <v/>
      </c>
      <c r="T13" t="str">
        <f>IF(BrewdogNew[[#This Row],[ABV]]="*", BrewdogNew[[#This Row],[AttenuationLevel]], "")</f>
        <v/>
      </c>
      <c r="U13" t="str">
        <f>IF(BrewdogNew[[#This Row],[ABV]]="*", BrewdogNew[[#This Row],[FermentationTempCelsius]], "")</f>
        <v/>
      </c>
      <c r="V13" t="str">
        <f>IF(BrewdogNew[[#This Row],[ABV]]="*", BrewdogNew[[#This Row],[Yeast]], "")</f>
        <v/>
      </c>
    </row>
    <row r="14" spans="1:22" hidden="1" x14ac:dyDescent="0.25">
      <c r="A14" s="45" t="s">
        <v>78</v>
      </c>
      <c r="B14">
        <v>6.1</v>
      </c>
      <c r="C14" s="2" t="s">
        <v>274</v>
      </c>
      <c r="D14">
        <v>45</v>
      </c>
      <c r="E14">
        <v>1067</v>
      </c>
      <c r="F14">
        <v>219</v>
      </c>
      <c r="G14">
        <v>4.4000000000000004</v>
      </c>
      <c r="H14">
        <v>70.099999999999994</v>
      </c>
      <c r="I14">
        <v>18</v>
      </c>
      <c r="J14" s="45" t="s">
        <v>64</v>
      </c>
      <c r="K14" s="45">
        <f>IF(BrewdogNew[[#This Row],[Yeast]]=BrewdogNew[[#Headers],[Wyeast 1056 - American Ale]],1,0)</f>
        <v>1</v>
      </c>
      <c r="L14" s="45">
        <f>IF(BrewdogNew[[#This Row],[Yeast]]=BrewdogNew[[#Headers],[Wyeast 2007 - Pilsen Lager]],1,0)</f>
        <v>0</v>
      </c>
      <c r="M14" s="45">
        <f>IF(BrewdogNew[[#This Row],[Yeast]]=BrewdogNew[[#Headers],[Wyeast 3711 - French Saison]],1,0)</f>
        <v>0</v>
      </c>
      <c r="N14" s="45">
        <f>IF(BrewdogNew[[#This Row],[Yeast]]=BrewdogNew[[#Headers],[Wyeast 1272 - American Ale II]],1,0)</f>
        <v>0</v>
      </c>
      <c r="O14" s="45" t="str">
        <f>BrewdogNew[[#This Row],[Name]]</f>
        <v>Libertine Porter</v>
      </c>
      <c r="P14" t="str">
        <f>IF(BrewdogNew[[#This Row],[ABV]]="*", BrewdogNew[[#This Row],[IBU]], "")</f>
        <v/>
      </c>
      <c r="Q14" t="str">
        <f>IF(BrewdogNew[[#This Row],[ABV]]="*", BrewdogNew[[#This Row],[OG]], "")</f>
        <v/>
      </c>
      <c r="R14" t="str">
        <f>IF(BrewdogNew[[#This Row],[ABV]]="*", BrewdogNew[[#This Row],[EBC]], "")</f>
        <v/>
      </c>
      <c r="S14" t="str">
        <f>IF(BrewdogNew[[#This Row],[ABV]]="*", BrewdogNew[[#This Row],[PH]], "")</f>
        <v/>
      </c>
      <c r="T14" t="str">
        <f>IF(BrewdogNew[[#This Row],[ABV]]="*", BrewdogNew[[#This Row],[AttenuationLevel]], "")</f>
        <v/>
      </c>
      <c r="U14" t="str">
        <f>IF(BrewdogNew[[#This Row],[ABV]]="*", BrewdogNew[[#This Row],[FermentationTempCelsius]], "")</f>
        <v/>
      </c>
      <c r="V14" t="str">
        <f>IF(BrewdogNew[[#This Row],[ABV]]="*", BrewdogNew[[#This Row],[Yeast]], "")</f>
        <v/>
      </c>
    </row>
    <row r="15" spans="1:22" hidden="1" x14ac:dyDescent="0.25">
      <c r="A15" s="45" t="s">
        <v>79</v>
      </c>
      <c r="B15">
        <v>11.2</v>
      </c>
      <c r="C15" s="2" t="s">
        <v>274</v>
      </c>
      <c r="D15">
        <v>150</v>
      </c>
      <c r="E15">
        <v>1098</v>
      </c>
      <c r="F15">
        <v>70</v>
      </c>
      <c r="G15">
        <v>4.4000000000000004</v>
      </c>
      <c r="H15">
        <v>87</v>
      </c>
      <c r="I15">
        <v>17</v>
      </c>
      <c r="J15" s="45" t="s">
        <v>80</v>
      </c>
      <c r="K15" s="45">
        <f>IF(BrewdogNew[[#This Row],[Yeast]]=BrewdogNew[[#Headers],[Wyeast 1056 - American Ale]],1,0)</f>
        <v>0</v>
      </c>
      <c r="L15" s="45">
        <f>IF(BrewdogNew[[#This Row],[Yeast]]=BrewdogNew[[#Headers],[Wyeast 2007 - Pilsen Lager]],1,0)</f>
        <v>0</v>
      </c>
      <c r="M15" s="45">
        <f>IF(BrewdogNew[[#This Row],[Yeast]]=BrewdogNew[[#Headers],[Wyeast 3711 - French Saison]],1,0)</f>
        <v>0</v>
      </c>
      <c r="N15" s="45">
        <f>IF(BrewdogNew[[#This Row],[Yeast]]=BrewdogNew[[#Headers],[Wyeast 1272 - American Ale II]],1,0)</f>
        <v>1</v>
      </c>
      <c r="O15" s="45" t="str">
        <f>BrewdogNew[[#This Row],[Name]]</f>
        <v>AB:06</v>
      </c>
      <c r="P15" t="str">
        <f>IF(BrewdogNew[[#This Row],[ABV]]="*", BrewdogNew[[#This Row],[IBU]], "")</f>
        <v/>
      </c>
      <c r="Q15" t="str">
        <f>IF(BrewdogNew[[#This Row],[ABV]]="*", BrewdogNew[[#This Row],[OG]], "")</f>
        <v/>
      </c>
      <c r="R15" t="str">
        <f>IF(BrewdogNew[[#This Row],[ABV]]="*", BrewdogNew[[#This Row],[EBC]], "")</f>
        <v/>
      </c>
      <c r="S15" t="str">
        <f>IF(BrewdogNew[[#This Row],[ABV]]="*", BrewdogNew[[#This Row],[PH]], "")</f>
        <v/>
      </c>
      <c r="T15" t="str">
        <f>IF(BrewdogNew[[#This Row],[ABV]]="*", BrewdogNew[[#This Row],[AttenuationLevel]], "")</f>
        <v/>
      </c>
      <c r="U15" t="str">
        <f>IF(BrewdogNew[[#This Row],[ABV]]="*", BrewdogNew[[#This Row],[FermentationTempCelsius]], "")</f>
        <v/>
      </c>
      <c r="V15" t="str">
        <f>IF(BrewdogNew[[#This Row],[ABV]]="*", BrewdogNew[[#This Row],[Yeast]], "")</f>
        <v/>
      </c>
    </row>
    <row r="16" spans="1:22" hidden="1" x14ac:dyDescent="0.25">
      <c r="A16" s="45" t="s">
        <v>81</v>
      </c>
      <c r="B16">
        <v>6</v>
      </c>
      <c r="C16" s="2" t="s">
        <v>274</v>
      </c>
      <c r="D16">
        <v>70</v>
      </c>
      <c r="E16">
        <v>1058</v>
      </c>
      <c r="F16">
        <v>25</v>
      </c>
      <c r="G16">
        <v>5.2</v>
      </c>
      <c r="H16">
        <v>79.3</v>
      </c>
      <c r="I16">
        <v>19</v>
      </c>
      <c r="J16" s="45" t="s">
        <v>64</v>
      </c>
      <c r="K16" s="45">
        <f>IF(BrewdogNew[[#This Row],[Yeast]]=BrewdogNew[[#Headers],[Wyeast 1056 - American Ale]],1,0)</f>
        <v>1</v>
      </c>
      <c r="L16" s="45">
        <f>IF(BrewdogNew[[#This Row],[Yeast]]=BrewdogNew[[#Headers],[Wyeast 2007 - Pilsen Lager]],1,0)</f>
        <v>0</v>
      </c>
      <c r="M16" s="45">
        <f>IF(BrewdogNew[[#This Row],[Yeast]]=BrewdogNew[[#Headers],[Wyeast 3711 - French Saison]],1,0)</f>
        <v>0</v>
      </c>
      <c r="N16" s="45">
        <f>IF(BrewdogNew[[#This Row],[Yeast]]=BrewdogNew[[#Headers],[Wyeast 1272 - American Ale II]],1,0)</f>
        <v>0</v>
      </c>
      <c r="O16" s="45" t="str">
        <f>BrewdogNew[[#This Row],[Name]]</f>
        <v>Russian Doll â€“ India Pale Ale</v>
      </c>
      <c r="P16" t="str">
        <f>IF(BrewdogNew[[#This Row],[ABV]]="*", BrewdogNew[[#This Row],[IBU]], "")</f>
        <v/>
      </c>
      <c r="Q16" t="str">
        <f>IF(BrewdogNew[[#This Row],[ABV]]="*", BrewdogNew[[#This Row],[OG]], "")</f>
        <v/>
      </c>
      <c r="R16" t="str">
        <f>IF(BrewdogNew[[#This Row],[ABV]]="*", BrewdogNew[[#This Row],[EBC]], "")</f>
        <v/>
      </c>
      <c r="S16" t="str">
        <f>IF(BrewdogNew[[#This Row],[ABV]]="*", BrewdogNew[[#This Row],[PH]], "")</f>
        <v/>
      </c>
      <c r="T16" t="str">
        <f>IF(BrewdogNew[[#This Row],[ABV]]="*", BrewdogNew[[#This Row],[AttenuationLevel]], "")</f>
        <v/>
      </c>
      <c r="U16" t="str">
        <f>IF(BrewdogNew[[#This Row],[ABV]]="*", BrewdogNew[[#This Row],[FermentationTempCelsius]], "")</f>
        <v/>
      </c>
      <c r="V16" t="str">
        <f>IF(BrewdogNew[[#This Row],[ABV]]="*", BrewdogNew[[#This Row],[Yeast]], "")</f>
        <v/>
      </c>
    </row>
    <row r="17" spans="1:22" hidden="1" x14ac:dyDescent="0.25">
      <c r="A17" s="45" t="s">
        <v>82</v>
      </c>
      <c r="B17">
        <v>8.1999999999999993</v>
      </c>
      <c r="C17" s="2" t="s">
        <v>274</v>
      </c>
      <c r="D17">
        <v>70</v>
      </c>
      <c r="E17">
        <v>1076</v>
      </c>
      <c r="F17" s="31" t="s">
        <v>32</v>
      </c>
      <c r="G17">
        <v>4.4000000000000004</v>
      </c>
      <c r="H17">
        <v>83</v>
      </c>
      <c r="I17">
        <v>19</v>
      </c>
      <c r="J17" s="45" t="s">
        <v>64</v>
      </c>
      <c r="K17" s="45">
        <f>IF(BrewdogNew[[#This Row],[Yeast]]=BrewdogNew[[#Headers],[Wyeast 1056 - American Ale]],1,0)</f>
        <v>1</v>
      </c>
      <c r="L17" s="45">
        <f>IF(BrewdogNew[[#This Row],[Yeast]]=BrewdogNew[[#Headers],[Wyeast 2007 - Pilsen Lager]],1,0)</f>
        <v>0</v>
      </c>
      <c r="M17" s="45">
        <f>IF(BrewdogNew[[#This Row],[Yeast]]=BrewdogNew[[#Headers],[Wyeast 3711 - French Saison]],1,0)</f>
        <v>0</v>
      </c>
      <c r="N17" s="45">
        <f>IF(BrewdogNew[[#This Row],[Yeast]]=BrewdogNew[[#Headers],[Wyeast 1272 - American Ale II]],1,0)</f>
        <v>0</v>
      </c>
      <c r="O17" s="45" t="str">
        <f>BrewdogNew[[#This Row],[Name]]</f>
        <v>Hello My Name Is Mette-Marit</v>
      </c>
      <c r="P17" t="str">
        <f>IF(BrewdogNew[[#This Row],[ABV]]="*", BrewdogNew[[#This Row],[IBU]], "")</f>
        <v/>
      </c>
      <c r="Q17" t="str">
        <f>IF(BrewdogNew[[#This Row],[ABV]]="*", BrewdogNew[[#This Row],[OG]], "")</f>
        <v/>
      </c>
      <c r="R17" t="str">
        <f>IF(BrewdogNew[[#This Row],[ABV]]="*", BrewdogNew[[#This Row],[EBC]], "")</f>
        <v/>
      </c>
      <c r="S17" t="str">
        <f>IF(BrewdogNew[[#This Row],[ABV]]="*", BrewdogNew[[#This Row],[PH]], "")</f>
        <v/>
      </c>
      <c r="T17" t="str">
        <f>IF(BrewdogNew[[#This Row],[ABV]]="*", BrewdogNew[[#This Row],[AttenuationLevel]], "")</f>
        <v/>
      </c>
      <c r="U17" t="str">
        <f>IF(BrewdogNew[[#This Row],[ABV]]="*", BrewdogNew[[#This Row],[FermentationTempCelsius]], "")</f>
        <v/>
      </c>
      <c r="V17" t="str">
        <f>IF(BrewdogNew[[#This Row],[ABV]]="*", BrewdogNew[[#This Row],[Yeast]], "")</f>
        <v/>
      </c>
    </row>
    <row r="18" spans="1:22" hidden="1" x14ac:dyDescent="0.25">
      <c r="A18" s="45" t="s">
        <v>83</v>
      </c>
      <c r="B18">
        <v>12.5</v>
      </c>
      <c r="C18" s="2" t="s">
        <v>274</v>
      </c>
      <c r="D18">
        <v>100</v>
      </c>
      <c r="E18">
        <v>1093</v>
      </c>
      <c r="F18">
        <v>36</v>
      </c>
      <c r="G18">
        <v>4.4000000000000004</v>
      </c>
      <c r="H18">
        <v>68</v>
      </c>
      <c r="I18">
        <v>19</v>
      </c>
      <c r="J18" s="45" t="s">
        <v>64</v>
      </c>
      <c r="K18" s="45">
        <f>IF(BrewdogNew[[#This Row],[Yeast]]=BrewdogNew[[#Headers],[Wyeast 1056 - American Ale]],1,0)</f>
        <v>1</v>
      </c>
      <c r="L18" s="45">
        <f>IF(BrewdogNew[[#This Row],[Yeast]]=BrewdogNew[[#Headers],[Wyeast 2007 - Pilsen Lager]],1,0)</f>
        <v>0</v>
      </c>
      <c r="M18" s="45">
        <f>IF(BrewdogNew[[#This Row],[Yeast]]=BrewdogNew[[#Headers],[Wyeast 3711 - French Saison]],1,0)</f>
        <v>0</v>
      </c>
      <c r="N18" s="45">
        <f>IF(BrewdogNew[[#This Row],[Yeast]]=BrewdogNew[[#Headers],[Wyeast 1272 - American Ale II]],1,0)</f>
        <v>0</v>
      </c>
      <c r="O18" s="45" t="str">
        <f>BrewdogNew[[#This Row],[Name]]</f>
        <v>Devine Rebel (w/ Mikkeller)</v>
      </c>
      <c r="P18" t="str">
        <f>IF(BrewdogNew[[#This Row],[ABV]]="*", BrewdogNew[[#This Row],[IBU]], "")</f>
        <v/>
      </c>
      <c r="Q18" t="str">
        <f>IF(BrewdogNew[[#This Row],[ABV]]="*", BrewdogNew[[#This Row],[OG]], "")</f>
        <v/>
      </c>
      <c r="R18" t="str">
        <f>IF(BrewdogNew[[#This Row],[ABV]]="*", BrewdogNew[[#This Row],[EBC]], "")</f>
        <v/>
      </c>
      <c r="S18" t="str">
        <f>IF(BrewdogNew[[#This Row],[ABV]]="*", BrewdogNew[[#This Row],[PH]], "")</f>
        <v/>
      </c>
      <c r="T18" t="str">
        <f>IF(BrewdogNew[[#This Row],[ABV]]="*", BrewdogNew[[#This Row],[AttenuationLevel]], "")</f>
        <v/>
      </c>
      <c r="U18" t="str">
        <f>IF(BrewdogNew[[#This Row],[ABV]]="*", BrewdogNew[[#This Row],[FermentationTempCelsius]], "")</f>
        <v/>
      </c>
      <c r="V18" t="str">
        <f>IF(BrewdogNew[[#This Row],[ABV]]="*", BrewdogNew[[#This Row],[Yeast]], "")</f>
        <v/>
      </c>
    </row>
    <row r="19" spans="1:22" hidden="1" x14ac:dyDescent="0.25">
      <c r="A19" s="45" t="s">
        <v>84</v>
      </c>
      <c r="B19">
        <v>8</v>
      </c>
      <c r="C19" s="2" t="s">
        <v>274</v>
      </c>
      <c r="D19">
        <v>60</v>
      </c>
      <c r="E19">
        <v>1082</v>
      </c>
      <c r="F19">
        <v>12</v>
      </c>
      <c r="G19">
        <v>4.4000000000000004</v>
      </c>
      <c r="H19">
        <v>86</v>
      </c>
      <c r="I19">
        <v>19</v>
      </c>
      <c r="J19" s="45" t="s">
        <v>64</v>
      </c>
      <c r="K19" s="45">
        <f>IF(BrewdogNew[[#This Row],[Yeast]]=BrewdogNew[[#Headers],[Wyeast 1056 - American Ale]],1,0)</f>
        <v>1</v>
      </c>
      <c r="L19" s="45">
        <f>IF(BrewdogNew[[#This Row],[Yeast]]=BrewdogNew[[#Headers],[Wyeast 2007 - Pilsen Lager]],1,0)</f>
        <v>0</v>
      </c>
      <c r="M19" s="45">
        <f>IF(BrewdogNew[[#This Row],[Yeast]]=BrewdogNew[[#Headers],[Wyeast 3711 - French Saison]],1,0)</f>
        <v>0</v>
      </c>
      <c r="N19" s="45">
        <f>IF(BrewdogNew[[#This Row],[Yeast]]=BrewdogNew[[#Headers],[Wyeast 1272 - American Ale II]],1,0)</f>
        <v>0</v>
      </c>
      <c r="O19" s="45" t="str">
        <f>BrewdogNew[[#This Row],[Name]]</f>
        <v>Storm</v>
      </c>
      <c r="P19" t="str">
        <f>IF(BrewdogNew[[#This Row],[ABV]]="*", BrewdogNew[[#This Row],[IBU]], "")</f>
        <v/>
      </c>
      <c r="Q19" t="str">
        <f>IF(BrewdogNew[[#This Row],[ABV]]="*", BrewdogNew[[#This Row],[OG]], "")</f>
        <v/>
      </c>
      <c r="R19" t="str">
        <f>IF(BrewdogNew[[#This Row],[ABV]]="*", BrewdogNew[[#This Row],[EBC]], "")</f>
        <v/>
      </c>
      <c r="S19" t="str">
        <f>IF(BrewdogNew[[#This Row],[ABV]]="*", BrewdogNew[[#This Row],[PH]], "")</f>
        <v/>
      </c>
      <c r="T19" t="str">
        <f>IF(BrewdogNew[[#This Row],[ABV]]="*", BrewdogNew[[#This Row],[AttenuationLevel]], "")</f>
        <v/>
      </c>
      <c r="U19" t="str">
        <f>IF(BrewdogNew[[#This Row],[ABV]]="*", BrewdogNew[[#This Row],[FermentationTempCelsius]], "")</f>
        <v/>
      </c>
      <c r="V19" t="str">
        <f>IF(BrewdogNew[[#This Row],[ABV]]="*", BrewdogNew[[#This Row],[Yeast]], "")</f>
        <v/>
      </c>
    </row>
    <row r="20" spans="1:22" hidden="1" x14ac:dyDescent="0.25">
      <c r="A20" s="45" t="s">
        <v>85</v>
      </c>
      <c r="B20">
        <v>4.7</v>
      </c>
      <c r="C20" s="2" t="s">
        <v>274</v>
      </c>
      <c r="D20">
        <v>45</v>
      </c>
      <c r="E20">
        <v>1047</v>
      </c>
      <c r="F20">
        <v>8</v>
      </c>
      <c r="G20">
        <v>4.4000000000000004</v>
      </c>
      <c r="H20">
        <v>79</v>
      </c>
      <c r="I20">
        <v>19</v>
      </c>
      <c r="J20" s="45" t="s">
        <v>64</v>
      </c>
      <c r="K20" s="45">
        <f>IF(BrewdogNew[[#This Row],[Yeast]]=BrewdogNew[[#Headers],[Wyeast 1056 - American Ale]],1,0)</f>
        <v>1</v>
      </c>
      <c r="L20" s="45">
        <f>IF(BrewdogNew[[#This Row],[Yeast]]=BrewdogNew[[#Headers],[Wyeast 2007 - Pilsen Lager]],1,0)</f>
        <v>0</v>
      </c>
      <c r="M20" s="45">
        <f>IF(BrewdogNew[[#This Row],[Yeast]]=BrewdogNew[[#Headers],[Wyeast 3711 - French Saison]],1,0)</f>
        <v>0</v>
      </c>
      <c r="N20" s="45">
        <f>IF(BrewdogNew[[#This Row],[Yeast]]=BrewdogNew[[#Headers],[Wyeast 1272 - American Ale II]],1,0)</f>
        <v>0</v>
      </c>
      <c r="O20" s="45" t="str">
        <f>BrewdogNew[[#This Row],[Name]]</f>
        <v>Bad Pixie</v>
      </c>
      <c r="P20" t="str">
        <f>IF(BrewdogNew[[#This Row],[ABV]]="*", BrewdogNew[[#This Row],[IBU]], "")</f>
        <v/>
      </c>
      <c r="Q20" t="str">
        <f>IF(BrewdogNew[[#This Row],[ABV]]="*", BrewdogNew[[#This Row],[OG]], "")</f>
        <v/>
      </c>
      <c r="R20" t="str">
        <f>IF(BrewdogNew[[#This Row],[ABV]]="*", BrewdogNew[[#This Row],[EBC]], "")</f>
        <v/>
      </c>
      <c r="S20" t="str">
        <f>IF(BrewdogNew[[#This Row],[ABV]]="*", BrewdogNew[[#This Row],[PH]], "")</f>
        <v/>
      </c>
      <c r="T20" t="str">
        <f>IF(BrewdogNew[[#This Row],[ABV]]="*", BrewdogNew[[#This Row],[AttenuationLevel]], "")</f>
        <v/>
      </c>
      <c r="U20" t="str">
        <f>IF(BrewdogNew[[#This Row],[ABV]]="*", BrewdogNew[[#This Row],[FermentationTempCelsius]], "")</f>
        <v/>
      </c>
      <c r="V20" t="str">
        <f>IF(BrewdogNew[[#This Row],[ABV]]="*", BrewdogNew[[#This Row],[Yeast]], "")</f>
        <v/>
      </c>
    </row>
    <row r="21" spans="1:22" hidden="1" x14ac:dyDescent="0.25">
      <c r="A21" s="45" t="s">
        <v>86</v>
      </c>
      <c r="B21">
        <v>3.5</v>
      </c>
      <c r="C21" s="2" t="s">
        <v>274</v>
      </c>
      <c r="D21">
        <v>33</v>
      </c>
      <c r="E21">
        <v>1038</v>
      </c>
      <c r="F21">
        <v>50</v>
      </c>
      <c r="G21">
        <v>4.4000000000000004</v>
      </c>
      <c r="H21">
        <v>68.400000000000006</v>
      </c>
      <c r="I21">
        <v>19</v>
      </c>
      <c r="J21" s="45" t="s">
        <v>64</v>
      </c>
      <c r="K21" s="45">
        <f>IF(BrewdogNew[[#This Row],[Yeast]]=BrewdogNew[[#Headers],[Wyeast 1056 - American Ale]],1,0)</f>
        <v>1</v>
      </c>
      <c r="L21" s="45">
        <f>IF(BrewdogNew[[#This Row],[Yeast]]=BrewdogNew[[#Headers],[Wyeast 2007 - Pilsen Lager]],1,0)</f>
        <v>0</v>
      </c>
      <c r="M21" s="45">
        <f>IF(BrewdogNew[[#This Row],[Yeast]]=BrewdogNew[[#Headers],[Wyeast 3711 - French Saison]],1,0)</f>
        <v>0</v>
      </c>
      <c r="N21" s="45">
        <f>IF(BrewdogNew[[#This Row],[Yeast]]=BrewdogNew[[#Headers],[Wyeast 1272 - American Ale II]],1,0)</f>
        <v>0</v>
      </c>
      <c r="O21" s="45" t="str">
        <f>BrewdogNew[[#This Row],[Name]]</f>
        <v>Skull Candy</v>
      </c>
      <c r="P21" t="str">
        <f>IF(BrewdogNew[[#This Row],[ABV]]="*", BrewdogNew[[#This Row],[IBU]], "")</f>
        <v/>
      </c>
      <c r="Q21" t="str">
        <f>IF(BrewdogNew[[#This Row],[ABV]]="*", BrewdogNew[[#This Row],[OG]], "")</f>
        <v/>
      </c>
      <c r="R21" t="str">
        <f>IF(BrewdogNew[[#This Row],[ABV]]="*", BrewdogNew[[#This Row],[EBC]], "")</f>
        <v/>
      </c>
      <c r="S21" t="str">
        <f>IF(BrewdogNew[[#This Row],[ABV]]="*", BrewdogNew[[#This Row],[PH]], "")</f>
        <v/>
      </c>
      <c r="T21" t="str">
        <f>IF(BrewdogNew[[#This Row],[ABV]]="*", BrewdogNew[[#This Row],[AttenuationLevel]], "")</f>
        <v/>
      </c>
      <c r="U21" t="str">
        <f>IF(BrewdogNew[[#This Row],[ABV]]="*", BrewdogNew[[#This Row],[FermentationTempCelsius]], "")</f>
        <v/>
      </c>
      <c r="V21" t="str">
        <f>IF(BrewdogNew[[#This Row],[ABV]]="*", BrewdogNew[[#This Row],[Yeast]], "")</f>
        <v/>
      </c>
    </row>
    <row r="22" spans="1:22" hidden="1" x14ac:dyDescent="0.25">
      <c r="A22" s="45" t="s">
        <v>87</v>
      </c>
      <c r="B22">
        <v>15</v>
      </c>
      <c r="C22" s="2" t="s">
        <v>274</v>
      </c>
      <c r="D22">
        <v>90</v>
      </c>
      <c r="E22">
        <v>1120</v>
      </c>
      <c r="F22">
        <v>100</v>
      </c>
      <c r="G22">
        <v>4.4000000000000004</v>
      </c>
      <c r="H22">
        <v>98</v>
      </c>
      <c r="I22">
        <v>19</v>
      </c>
      <c r="J22" s="45" t="s">
        <v>64</v>
      </c>
      <c r="K22" s="45">
        <f>IF(BrewdogNew[[#This Row],[Yeast]]=BrewdogNew[[#Headers],[Wyeast 1056 - American Ale]],1,0)</f>
        <v>1</v>
      </c>
      <c r="L22" s="45">
        <f>IF(BrewdogNew[[#This Row],[Yeast]]=BrewdogNew[[#Headers],[Wyeast 2007 - Pilsen Lager]],1,0)</f>
        <v>0</v>
      </c>
      <c r="M22" s="45">
        <f>IF(BrewdogNew[[#This Row],[Yeast]]=BrewdogNew[[#Headers],[Wyeast 3711 - French Saison]],1,0)</f>
        <v>0</v>
      </c>
      <c r="N22" s="45">
        <f>IF(BrewdogNew[[#This Row],[Yeast]]=BrewdogNew[[#Headers],[Wyeast 1272 - American Ale II]],1,0)</f>
        <v>0</v>
      </c>
      <c r="O22" s="45" t="str">
        <f>BrewdogNew[[#This Row],[Name]]</f>
        <v>Dog B</v>
      </c>
      <c r="P22" t="str">
        <f>IF(BrewdogNew[[#This Row],[ABV]]="*", BrewdogNew[[#This Row],[IBU]], "")</f>
        <v/>
      </c>
      <c r="Q22" t="str">
        <f>IF(BrewdogNew[[#This Row],[ABV]]="*", BrewdogNew[[#This Row],[OG]], "")</f>
        <v/>
      </c>
      <c r="R22" t="str">
        <f>IF(BrewdogNew[[#This Row],[ABV]]="*", BrewdogNew[[#This Row],[EBC]], "")</f>
        <v/>
      </c>
      <c r="S22" t="str">
        <f>IF(BrewdogNew[[#This Row],[ABV]]="*", BrewdogNew[[#This Row],[PH]], "")</f>
        <v/>
      </c>
      <c r="T22" t="str">
        <f>IF(BrewdogNew[[#This Row],[ABV]]="*", BrewdogNew[[#This Row],[AttenuationLevel]], "")</f>
        <v/>
      </c>
      <c r="U22" t="str">
        <f>IF(BrewdogNew[[#This Row],[ABV]]="*", BrewdogNew[[#This Row],[FermentationTempCelsius]], "")</f>
        <v/>
      </c>
      <c r="V22" t="str">
        <f>IF(BrewdogNew[[#This Row],[ABV]]="*", BrewdogNew[[#This Row],[Yeast]], "")</f>
        <v/>
      </c>
    </row>
    <row r="23" spans="1:22" hidden="1" x14ac:dyDescent="0.25">
      <c r="A23" s="45" t="s">
        <v>88</v>
      </c>
      <c r="B23">
        <v>6.7</v>
      </c>
      <c r="C23" s="2" t="s">
        <v>274</v>
      </c>
      <c r="D23">
        <v>67</v>
      </c>
      <c r="E23">
        <v>1013</v>
      </c>
      <c r="F23">
        <v>19</v>
      </c>
      <c r="G23">
        <v>4.4000000000000004</v>
      </c>
      <c r="H23">
        <v>79.7</v>
      </c>
      <c r="I23">
        <v>19</v>
      </c>
      <c r="J23" s="45" t="s">
        <v>64</v>
      </c>
      <c r="K23" s="45">
        <f>IF(BrewdogNew[[#This Row],[Yeast]]=BrewdogNew[[#Headers],[Wyeast 1056 - American Ale]],1,0)</f>
        <v>1</v>
      </c>
      <c r="L23" s="45">
        <f>IF(BrewdogNew[[#This Row],[Yeast]]=BrewdogNew[[#Headers],[Wyeast 2007 - Pilsen Lager]],1,0)</f>
        <v>0</v>
      </c>
      <c r="M23" s="45">
        <f>IF(BrewdogNew[[#This Row],[Yeast]]=BrewdogNew[[#Headers],[Wyeast 3711 - French Saison]],1,0)</f>
        <v>0</v>
      </c>
      <c r="N23" s="45">
        <f>IF(BrewdogNew[[#This Row],[Yeast]]=BrewdogNew[[#Headers],[Wyeast 1272 - American Ale II]],1,0)</f>
        <v>0</v>
      </c>
      <c r="O23" s="45" t="str">
        <f>BrewdogNew[[#This Row],[Name]]</f>
        <v>HBC 369</v>
      </c>
      <c r="P23" t="str">
        <f>IF(BrewdogNew[[#This Row],[ABV]]="*", BrewdogNew[[#This Row],[IBU]], "")</f>
        <v/>
      </c>
      <c r="Q23" t="str">
        <f>IF(BrewdogNew[[#This Row],[ABV]]="*", BrewdogNew[[#This Row],[OG]], "")</f>
        <v/>
      </c>
      <c r="R23" t="str">
        <f>IF(BrewdogNew[[#This Row],[ABV]]="*", BrewdogNew[[#This Row],[EBC]], "")</f>
        <v/>
      </c>
      <c r="S23" t="str">
        <f>IF(BrewdogNew[[#This Row],[ABV]]="*", BrewdogNew[[#This Row],[PH]], "")</f>
        <v/>
      </c>
      <c r="T23" t="str">
        <f>IF(BrewdogNew[[#This Row],[ABV]]="*", BrewdogNew[[#This Row],[AttenuationLevel]], "")</f>
        <v/>
      </c>
      <c r="U23" t="str">
        <f>IF(BrewdogNew[[#This Row],[ABV]]="*", BrewdogNew[[#This Row],[FermentationTempCelsius]], "")</f>
        <v/>
      </c>
      <c r="V23" t="str">
        <f>IF(BrewdogNew[[#This Row],[ABV]]="*", BrewdogNew[[#This Row],[Yeast]], "")</f>
        <v/>
      </c>
    </row>
    <row r="24" spans="1:22" hidden="1" x14ac:dyDescent="0.25">
      <c r="A24" s="45" t="s">
        <v>89</v>
      </c>
      <c r="B24">
        <v>7.8</v>
      </c>
      <c r="C24" s="2" t="s">
        <v>274</v>
      </c>
      <c r="D24">
        <v>70</v>
      </c>
      <c r="E24">
        <v>1074</v>
      </c>
      <c r="F24">
        <v>90</v>
      </c>
      <c r="G24">
        <v>4.4000000000000004</v>
      </c>
      <c r="H24">
        <v>79.7</v>
      </c>
      <c r="I24">
        <v>18</v>
      </c>
      <c r="J24" s="45" t="s">
        <v>80</v>
      </c>
      <c r="K24" s="45">
        <f>IF(BrewdogNew[[#This Row],[Yeast]]=BrewdogNew[[#Headers],[Wyeast 1056 - American Ale]],1,0)</f>
        <v>0</v>
      </c>
      <c r="L24" s="45">
        <f>IF(BrewdogNew[[#This Row],[Yeast]]=BrewdogNew[[#Headers],[Wyeast 2007 - Pilsen Lager]],1,0)</f>
        <v>0</v>
      </c>
      <c r="M24" s="45">
        <f>IF(BrewdogNew[[#This Row],[Yeast]]=BrewdogNew[[#Headers],[Wyeast 3711 - French Saison]],1,0)</f>
        <v>0</v>
      </c>
      <c r="N24" s="45">
        <f>IF(BrewdogNew[[#This Row],[Yeast]]=BrewdogNew[[#Headers],[Wyeast 1272 - American Ale II]],1,0)</f>
        <v>1</v>
      </c>
      <c r="O24" s="45" t="str">
        <f>BrewdogNew[[#This Row],[Name]]</f>
        <v>10 Heads High</v>
      </c>
      <c r="P24" t="str">
        <f>IF(BrewdogNew[[#This Row],[ABV]]="*", BrewdogNew[[#This Row],[IBU]], "")</f>
        <v/>
      </c>
      <c r="Q24" t="str">
        <f>IF(BrewdogNew[[#This Row],[ABV]]="*", BrewdogNew[[#This Row],[OG]], "")</f>
        <v/>
      </c>
      <c r="R24" t="str">
        <f>IF(BrewdogNew[[#This Row],[ABV]]="*", BrewdogNew[[#This Row],[EBC]], "")</f>
        <v/>
      </c>
      <c r="S24" t="str">
        <f>IF(BrewdogNew[[#This Row],[ABV]]="*", BrewdogNew[[#This Row],[PH]], "")</f>
        <v/>
      </c>
      <c r="T24" t="str">
        <f>IF(BrewdogNew[[#This Row],[ABV]]="*", BrewdogNew[[#This Row],[AttenuationLevel]], "")</f>
        <v/>
      </c>
      <c r="U24" t="str">
        <f>IF(BrewdogNew[[#This Row],[ABV]]="*", BrewdogNew[[#This Row],[FermentationTempCelsius]], "")</f>
        <v/>
      </c>
      <c r="V24" t="str">
        <f>IF(BrewdogNew[[#This Row],[ABV]]="*", BrewdogNew[[#This Row],[Yeast]], "")</f>
        <v/>
      </c>
    </row>
    <row r="25" spans="1:22" hidden="1" x14ac:dyDescent="0.25">
      <c r="A25" s="45" t="s">
        <v>90</v>
      </c>
      <c r="B25">
        <v>6.7</v>
      </c>
      <c r="C25" s="2" t="s">
        <v>274</v>
      </c>
      <c r="D25">
        <v>70</v>
      </c>
      <c r="E25">
        <v>1066</v>
      </c>
      <c r="F25">
        <v>30</v>
      </c>
      <c r="G25">
        <v>4.4000000000000004</v>
      </c>
      <c r="H25">
        <v>77.3</v>
      </c>
      <c r="I25">
        <v>19</v>
      </c>
      <c r="J25" s="45" t="s">
        <v>64</v>
      </c>
      <c r="K25" s="45">
        <f>IF(BrewdogNew[[#This Row],[Yeast]]=BrewdogNew[[#Headers],[Wyeast 1056 - American Ale]],1,0)</f>
        <v>1</v>
      </c>
      <c r="L25" s="45">
        <f>IF(BrewdogNew[[#This Row],[Yeast]]=BrewdogNew[[#Headers],[Wyeast 2007 - Pilsen Lager]],1,0)</f>
        <v>0</v>
      </c>
      <c r="M25" s="45">
        <f>IF(BrewdogNew[[#This Row],[Yeast]]=BrewdogNew[[#Headers],[Wyeast 3711 - French Saison]],1,0)</f>
        <v>0</v>
      </c>
      <c r="N25" s="45">
        <f>IF(BrewdogNew[[#This Row],[Yeast]]=BrewdogNew[[#Headers],[Wyeast 1272 - American Ale II]],1,0)</f>
        <v>0</v>
      </c>
      <c r="O25" s="45" t="str">
        <f>BrewdogNew[[#This Row],[Name]]</f>
        <v>Dana - IPA Is Dead</v>
      </c>
      <c r="P25" t="str">
        <f>IF(BrewdogNew[[#This Row],[ABV]]="*", BrewdogNew[[#This Row],[IBU]], "")</f>
        <v/>
      </c>
      <c r="Q25" t="str">
        <f>IF(BrewdogNew[[#This Row],[ABV]]="*", BrewdogNew[[#This Row],[OG]], "")</f>
        <v/>
      </c>
      <c r="R25" t="str">
        <f>IF(BrewdogNew[[#This Row],[ABV]]="*", BrewdogNew[[#This Row],[EBC]], "")</f>
        <v/>
      </c>
      <c r="S25" t="str">
        <f>IF(BrewdogNew[[#This Row],[ABV]]="*", BrewdogNew[[#This Row],[PH]], "")</f>
        <v/>
      </c>
      <c r="T25" t="str">
        <f>IF(BrewdogNew[[#This Row],[ABV]]="*", BrewdogNew[[#This Row],[AttenuationLevel]], "")</f>
        <v/>
      </c>
      <c r="U25" t="str">
        <f>IF(BrewdogNew[[#This Row],[ABV]]="*", BrewdogNew[[#This Row],[FermentationTempCelsius]], "")</f>
        <v/>
      </c>
      <c r="V25" t="str">
        <f>IF(BrewdogNew[[#This Row],[ABV]]="*", BrewdogNew[[#This Row],[Yeast]], "")</f>
        <v/>
      </c>
    </row>
    <row r="26" spans="1:22" hidden="1" x14ac:dyDescent="0.25">
      <c r="A26" s="45" t="s">
        <v>91</v>
      </c>
      <c r="B26">
        <v>0.5</v>
      </c>
      <c r="C26" s="2" t="s">
        <v>274</v>
      </c>
      <c r="D26">
        <v>55</v>
      </c>
      <c r="E26">
        <v>1007</v>
      </c>
      <c r="F26">
        <v>30</v>
      </c>
      <c r="G26">
        <v>4.4000000000000004</v>
      </c>
      <c r="H26">
        <v>28.6</v>
      </c>
      <c r="I26">
        <v>19</v>
      </c>
      <c r="J26" s="45" t="s">
        <v>64</v>
      </c>
      <c r="K26" s="45">
        <f>IF(BrewdogNew[[#This Row],[Yeast]]=BrewdogNew[[#Headers],[Wyeast 1056 - American Ale]],1,0)</f>
        <v>1</v>
      </c>
      <c r="L26" s="45">
        <f>IF(BrewdogNew[[#This Row],[Yeast]]=BrewdogNew[[#Headers],[Wyeast 2007 - Pilsen Lager]],1,0)</f>
        <v>0</v>
      </c>
      <c r="M26" s="45">
        <f>IF(BrewdogNew[[#This Row],[Yeast]]=BrewdogNew[[#Headers],[Wyeast 3711 - French Saison]],1,0)</f>
        <v>0</v>
      </c>
      <c r="N26" s="45">
        <f>IF(BrewdogNew[[#This Row],[Yeast]]=BrewdogNew[[#Headers],[Wyeast 1272 - American Ale II]],1,0)</f>
        <v>0</v>
      </c>
      <c r="O26" s="45" t="str">
        <f>BrewdogNew[[#This Row],[Name]]</f>
        <v>Nanny State</v>
      </c>
      <c r="P26" t="str">
        <f>IF(BrewdogNew[[#This Row],[ABV]]="*", BrewdogNew[[#This Row],[IBU]], "")</f>
        <v/>
      </c>
      <c r="Q26" t="str">
        <f>IF(BrewdogNew[[#This Row],[ABV]]="*", BrewdogNew[[#This Row],[OG]], "")</f>
        <v/>
      </c>
      <c r="R26" t="str">
        <f>IF(BrewdogNew[[#This Row],[ABV]]="*", BrewdogNew[[#This Row],[EBC]], "")</f>
        <v/>
      </c>
      <c r="S26" t="str">
        <f>IF(BrewdogNew[[#This Row],[ABV]]="*", BrewdogNew[[#This Row],[PH]], "")</f>
        <v/>
      </c>
      <c r="T26" t="str">
        <f>IF(BrewdogNew[[#This Row],[ABV]]="*", BrewdogNew[[#This Row],[AttenuationLevel]], "")</f>
        <v/>
      </c>
      <c r="U26" t="str">
        <f>IF(BrewdogNew[[#This Row],[ABV]]="*", BrewdogNew[[#This Row],[FermentationTempCelsius]], "")</f>
        <v/>
      </c>
      <c r="V26" t="str">
        <f>IF(BrewdogNew[[#This Row],[ABV]]="*", BrewdogNew[[#This Row],[Yeast]], "")</f>
        <v/>
      </c>
    </row>
    <row r="27" spans="1:22" hidden="1" x14ac:dyDescent="0.25">
      <c r="A27" s="45" t="s">
        <v>92</v>
      </c>
      <c r="B27">
        <v>7.5</v>
      </c>
      <c r="C27" s="2" t="s">
        <v>274</v>
      </c>
      <c r="D27">
        <v>75</v>
      </c>
      <c r="E27">
        <v>1068</v>
      </c>
      <c r="F27">
        <v>30</v>
      </c>
      <c r="G27">
        <v>4.4000000000000004</v>
      </c>
      <c r="H27">
        <v>82.1</v>
      </c>
      <c r="I27">
        <v>19</v>
      </c>
      <c r="J27" s="45" t="s">
        <v>64</v>
      </c>
      <c r="K27" s="45">
        <f>IF(BrewdogNew[[#This Row],[Yeast]]=BrewdogNew[[#Headers],[Wyeast 1056 - American Ale]],1,0)</f>
        <v>1</v>
      </c>
      <c r="L27" s="45">
        <f>IF(BrewdogNew[[#This Row],[Yeast]]=BrewdogNew[[#Headers],[Wyeast 2007 - Pilsen Lager]],1,0)</f>
        <v>0</v>
      </c>
      <c r="M27" s="45">
        <f>IF(BrewdogNew[[#This Row],[Yeast]]=BrewdogNew[[#Headers],[Wyeast 3711 - French Saison]],1,0)</f>
        <v>0</v>
      </c>
      <c r="N27" s="45">
        <f>IF(BrewdogNew[[#This Row],[Yeast]]=BrewdogNew[[#Headers],[Wyeast 1272 - American Ale II]],1,0)</f>
        <v>0</v>
      </c>
      <c r="O27" s="45" t="str">
        <f>BrewdogNew[[#This Row],[Name]]</f>
        <v>Sorachi Ace</v>
      </c>
      <c r="P27" t="str">
        <f>IF(BrewdogNew[[#This Row],[ABV]]="*", BrewdogNew[[#This Row],[IBU]], "")</f>
        <v/>
      </c>
      <c r="Q27" t="str">
        <f>IF(BrewdogNew[[#This Row],[ABV]]="*", BrewdogNew[[#This Row],[OG]], "")</f>
        <v/>
      </c>
      <c r="R27" t="str">
        <f>IF(BrewdogNew[[#This Row],[ABV]]="*", BrewdogNew[[#This Row],[EBC]], "")</f>
        <v/>
      </c>
      <c r="S27" t="str">
        <f>IF(BrewdogNew[[#This Row],[ABV]]="*", BrewdogNew[[#This Row],[PH]], "")</f>
        <v/>
      </c>
      <c r="T27" t="str">
        <f>IF(BrewdogNew[[#This Row],[ABV]]="*", BrewdogNew[[#This Row],[AttenuationLevel]], "")</f>
        <v/>
      </c>
      <c r="U27" t="str">
        <f>IF(BrewdogNew[[#This Row],[ABV]]="*", BrewdogNew[[#This Row],[FermentationTempCelsius]], "")</f>
        <v/>
      </c>
      <c r="V27" t="str">
        <f>IF(BrewdogNew[[#This Row],[ABV]]="*", BrewdogNew[[#This Row],[Yeast]], "")</f>
        <v/>
      </c>
    </row>
    <row r="28" spans="1:22" hidden="1" x14ac:dyDescent="0.25">
      <c r="A28" s="45" t="s">
        <v>93</v>
      </c>
      <c r="B28">
        <v>5.8</v>
      </c>
      <c r="C28" s="2" t="s">
        <v>274</v>
      </c>
      <c r="D28">
        <v>35</v>
      </c>
      <c r="E28">
        <v>1049</v>
      </c>
      <c r="F28">
        <v>44</v>
      </c>
      <c r="G28">
        <v>4.4000000000000004</v>
      </c>
      <c r="H28">
        <v>90</v>
      </c>
      <c r="I28">
        <v>19</v>
      </c>
      <c r="J28" s="45" t="s">
        <v>64</v>
      </c>
      <c r="K28" s="45">
        <f>IF(BrewdogNew[[#This Row],[Yeast]]=BrewdogNew[[#Headers],[Wyeast 1056 - American Ale]],1,0)</f>
        <v>1</v>
      </c>
      <c r="L28" s="45">
        <f>IF(BrewdogNew[[#This Row],[Yeast]]=BrewdogNew[[#Headers],[Wyeast 2007 - Pilsen Lager]],1,0)</f>
        <v>0</v>
      </c>
      <c r="M28" s="45">
        <f>IF(BrewdogNew[[#This Row],[Yeast]]=BrewdogNew[[#Headers],[Wyeast 3711 - French Saison]],1,0)</f>
        <v>0</v>
      </c>
      <c r="N28" s="45">
        <f>IF(BrewdogNew[[#This Row],[Yeast]]=BrewdogNew[[#Headers],[Wyeast 1272 - American Ale II]],1,0)</f>
        <v>0</v>
      </c>
      <c r="O28" s="45" t="str">
        <f>BrewdogNew[[#This Row],[Name]]</f>
        <v>Bourbon Baby</v>
      </c>
      <c r="P28" t="str">
        <f>IF(BrewdogNew[[#This Row],[ABV]]="*", BrewdogNew[[#This Row],[IBU]], "")</f>
        <v/>
      </c>
      <c r="Q28" t="str">
        <f>IF(BrewdogNew[[#This Row],[ABV]]="*", BrewdogNew[[#This Row],[OG]], "")</f>
        <v/>
      </c>
      <c r="R28" t="str">
        <f>IF(BrewdogNew[[#This Row],[ABV]]="*", BrewdogNew[[#This Row],[EBC]], "")</f>
        <v/>
      </c>
      <c r="S28" t="str">
        <f>IF(BrewdogNew[[#This Row],[ABV]]="*", BrewdogNew[[#This Row],[PH]], "")</f>
        <v/>
      </c>
      <c r="T28" t="str">
        <f>IF(BrewdogNew[[#This Row],[ABV]]="*", BrewdogNew[[#This Row],[AttenuationLevel]], "")</f>
        <v/>
      </c>
      <c r="U28" t="str">
        <f>IF(BrewdogNew[[#This Row],[ABV]]="*", BrewdogNew[[#This Row],[FermentationTempCelsius]], "")</f>
        <v/>
      </c>
      <c r="V28" t="str">
        <f>IF(BrewdogNew[[#This Row],[ABV]]="*", BrewdogNew[[#This Row],[Yeast]], "")</f>
        <v/>
      </c>
    </row>
    <row r="29" spans="1:22" hidden="1" x14ac:dyDescent="0.25">
      <c r="A29" s="45" t="s">
        <v>94</v>
      </c>
      <c r="B29">
        <v>3.6</v>
      </c>
      <c r="C29" s="2" t="s">
        <v>274</v>
      </c>
      <c r="D29">
        <v>8</v>
      </c>
      <c r="E29">
        <v>1040</v>
      </c>
      <c r="F29" s="31" t="s">
        <v>32</v>
      </c>
      <c r="G29">
        <v>3.2</v>
      </c>
      <c r="H29">
        <v>83</v>
      </c>
      <c r="I29">
        <v>21</v>
      </c>
      <c r="J29" s="45" t="s">
        <v>64</v>
      </c>
      <c r="K29" s="45">
        <f>IF(BrewdogNew[[#This Row],[Yeast]]=BrewdogNew[[#Headers],[Wyeast 1056 - American Ale]],1,0)</f>
        <v>1</v>
      </c>
      <c r="L29" s="45">
        <f>IF(BrewdogNew[[#This Row],[Yeast]]=BrewdogNew[[#Headers],[Wyeast 2007 - Pilsen Lager]],1,0)</f>
        <v>0</v>
      </c>
      <c r="M29" s="45">
        <f>IF(BrewdogNew[[#This Row],[Yeast]]=BrewdogNew[[#Headers],[Wyeast 3711 - French Saison]],1,0)</f>
        <v>0</v>
      </c>
      <c r="N29" s="45">
        <f>IF(BrewdogNew[[#This Row],[Yeast]]=BrewdogNew[[#Headers],[Wyeast 1272 - American Ale II]],1,0)</f>
        <v>0</v>
      </c>
      <c r="O29" s="45" t="str">
        <f>BrewdogNew[[#This Row],[Name]]</f>
        <v>Berliner Weisse With Raspberries And Rhubarb - B-Sides</v>
      </c>
      <c r="P29" t="str">
        <f>IF(BrewdogNew[[#This Row],[ABV]]="*", BrewdogNew[[#This Row],[IBU]], "")</f>
        <v/>
      </c>
      <c r="Q29" t="str">
        <f>IF(BrewdogNew[[#This Row],[ABV]]="*", BrewdogNew[[#This Row],[OG]], "")</f>
        <v/>
      </c>
      <c r="R29" t="str">
        <f>IF(BrewdogNew[[#This Row],[ABV]]="*", BrewdogNew[[#This Row],[EBC]], "")</f>
        <v/>
      </c>
      <c r="S29" t="str">
        <f>IF(BrewdogNew[[#This Row],[ABV]]="*", BrewdogNew[[#This Row],[PH]], "")</f>
        <v/>
      </c>
      <c r="T29" t="str">
        <f>IF(BrewdogNew[[#This Row],[ABV]]="*", BrewdogNew[[#This Row],[AttenuationLevel]], "")</f>
        <v/>
      </c>
      <c r="U29" t="str">
        <f>IF(BrewdogNew[[#This Row],[ABV]]="*", BrewdogNew[[#This Row],[FermentationTempCelsius]], "")</f>
        <v/>
      </c>
      <c r="V29" t="str">
        <f>IF(BrewdogNew[[#This Row],[ABV]]="*", BrewdogNew[[#This Row],[Yeast]], "")</f>
        <v/>
      </c>
    </row>
    <row r="30" spans="1:22" hidden="1" x14ac:dyDescent="0.25">
      <c r="A30" s="45" t="s">
        <v>95</v>
      </c>
      <c r="B30">
        <v>10.5</v>
      </c>
      <c r="C30" s="2" t="s">
        <v>274</v>
      </c>
      <c r="D30">
        <v>85</v>
      </c>
      <c r="E30">
        <v>1102</v>
      </c>
      <c r="F30">
        <v>64</v>
      </c>
      <c r="G30">
        <v>4.4000000000000004</v>
      </c>
      <c r="H30">
        <v>102</v>
      </c>
      <c r="I30">
        <v>21</v>
      </c>
      <c r="J30" s="45" t="s">
        <v>80</v>
      </c>
      <c r="K30" s="45">
        <f>IF(BrewdogNew[[#This Row],[Yeast]]=BrewdogNew[[#Headers],[Wyeast 1056 - American Ale]],1,0)</f>
        <v>0</v>
      </c>
      <c r="L30" s="45">
        <f>IF(BrewdogNew[[#This Row],[Yeast]]=BrewdogNew[[#Headers],[Wyeast 2007 - Pilsen Lager]],1,0)</f>
        <v>0</v>
      </c>
      <c r="M30" s="45">
        <f>IF(BrewdogNew[[#This Row],[Yeast]]=BrewdogNew[[#Headers],[Wyeast 3711 - French Saison]],1,0)</f>
        <v>0</v>
      </c>
      <c r="N30" s="45">
        <f>IF(BrewdogNew[[#This Row],[Yeast]]=BrewdogNew[[#Headers],[Wyeast 1272 - American Ale II]],1,0)</f>
        <v>1</v>
      </c>
      <c r="O30" s="45" t="str">
        <f>BrewdogNew[[#This Row],[Name]]</f>
        <v>Shipwrecker Circus (w/ Oskar Blues)</v>
      </c>
      <c r="P30" t="str">
        <f>IF(BrewdogNew[[#This Row],[ABV]]="*", BrewdogNew[[#This Row],[IBU]], "")</f>
        <v/>
      </c>
      <c r="Q30" t="str">
        <f>IF(BrewdogNew[[#This Row],[ABV]]="*", BrewdogNew[[#This Row],[OG]], "")</f>
        <v/>
      </c>
      <c r="R30" t="str">
        <f>IF(BrewdogNew[[#This Row],[ABV]]="*", BrewdogNew[[#This Row],[EBC]], "")</f>
        <v/>
      </c>
      <c r="S30" t="str">
        <f>IF(BrewdogNew[[#This Row],[ABV]]="*", BrewdogNew[[#This Row],[PH]], "")</f>
        <v/>
      </c>
      <c r="T30" t="str">
        <f>IF(BrewdogNew[[#This Row],[ABV]]="*", BrewdogNew[[#This Row],[AttenuationLevel]], "")</f>
        <v/>
      </c>
      <c r="U30" t="str">
        <f>IF(BrewdogNew[[#This Row],[ABV]]="*", BrewdogNew[[#This Row],[FermentationTempCelsius]], "")</f>
        <v/>
      </c>
      <c r="V30" t="str">
        <f>IF(BrewdogNew[[#This Row],[ABV]]="*", BrewdogNew[[#This Row],[Yeast]], "")</f>
        <v/>
      </c>
    </row>
    <row r="31" spans="1:22" hidden="1" x14ac:dyDescent="0.25">
      <c r="A31" s="45" t="s">
        <v>96</v>
      </c>
      <c r="B31">
        <v>12.5</v>
      </c>
      <c r="C31" s="2" t="s">
        <v>274</v>
      </c>
      <c r="D31">
        <v>125</v>
      </c>
      <c r="E31">
        <v>1087</v>
      </c>
      <c r="F31">
        <v>40</v>
      </c>
      <c r="G31">
        <v>4.4000000000000004</v>
      </c>
      <c r="H31">
        <v>81.2</v>
      </c>
      <c r="I31">
        <v>21</v>
      </c>
      <c r="J31" s="45" t="s">
        <v>80</v>
      </c>
      <c r="K31" s="45">
        <f>IF(BrewdogNew[[#This Row],[Yeast]]=BrewdogNew[[#Headers],[Wyeast 1056 - American Ale]],1,0)</f>
        <v>0</v>
      </c>
      <c r="L31" s="45">
        <f>IF(BrewdogNew[[#This Row],[Yeast]]=BrewdogNew[[#Headers],[Wyeast 2007 - Pilsen Lager]],1,0)</f>
        <v>0</v>
      </c>
      <c r="M31" s="45">
        <f>IF(BrewdogNew[[#This Row],[Yeast]]=BrewdogNew[[#Headers],[Wyeast 3711 - French Saison]],1,0)</f>
        <v>0</v>
      </c>
      <c r="N31" s="45">
        <f>IF(BrewdogNew[[#This Row],[Yeast]]=BrewdogNew[[#Headers],[Wyeast 1272 - American Ale II]],1,0)</f>
        <v>1</v>
      </c>
      <c r="O31" s="45" t="str">
        <f>BrewdogNew[[#This Row],[Name]]</f>
        <v>Zephyr</v>
      </c>
      <c r="P31" t="str">
        <f>IF(BrewdogNew[[#This Row],[ABV]]="*", BrewdogNew[[#This Row],[IBU]], "")</f>
        <v/>
      </c>
      <c r="Q31" t="str">
        <f>IF(BrewdogNew[[#This Row],[ABV]]="*", BrewdogNew[[#This Row],[OG]], "")</f>
        <v/>
      </c>
      <c r="R31" t="str">
        <f>IF(BrewdogNew[[#This Row],[ABV]]="*", BrewdogNew[[#This Row],[EBC]], "")</f>
        <v/>
      </c>
      <c r="S31" t="str">
        <f>IF(BrewdogNew[[#This Row],[ABV]]="*", BrewdogNew[[#This Row],[PH]], "")</f>
        <v/>
      </c>
      <c r="T31" t="str">
        <f>IF(BrewdogNew[[#This Row],[ABV]]="*", BrewdogNew[[#This Row],[AttenuationLevel]], "")</f>
        <v/>
      </c>
      <c r="U31" t="str">
        <f>IF(BrewdogNew[[#This Row],[ABV]]="*", BrewdogNew[[#This Row],[FermentationTempCelsius]], "")</f>
        <v/>
      </c>
      <c r="V31" t="str">
        <f>IF(BrewdogNew[[#This Row],[ABV]]="*", BrewdogNew[[#This Row],[Yeast]], "")</f>
        <v/>
      </c>
    </row>
    <row r="32" spans="1:22" hidden="1" x14ac:dyDescent="0.25">
      <c r="A32" s="45" t="s">
        <v>97</v>
      </c>
      <c r="B32">
        <v>7.2</v>
      </c>
      <c r="C32" s="2" t="s">
        <v>274</v>
      </c>
      <c r="D32">
        <v>70</v>
      </c>
      <c r="E32">
        <v>1067</v>
      </c>
      <c r="F32">
        <v>30</v>
      </c>
      <c r="G32">
        <v>4.4000000000000004</v>
      </c>
      <c r="H32">
        <v>82.1</v>
      </c>
      <c r="I32">
        <v>19</v>
      </c>
      <c r="J32" s="45" t="s">
        <v>64</v>
      </c>
      <c r="K32" s="45">
        <f>IF(BrewdogNew[[#This Row],[Yeast]]=BrewdogNew[[#Headers],[Wyeast 1056 - American Ale]],1,0)</f>
        <v>1</v>
      </c>
      <c r="L32" s="45">
        <f>IF(BrewdogNew[[#This Row],[Yeast]]=BrewdogNew[[#Headers],[Wyeast 2007 - Pilsen Lager]],1,0)</f>
        <v>0</v>
      </c>
      <c r="M32" s="45">
        <f>IF(BrewdogNew[[#This Row],[Yeast]]=BrewdogNew[[#Headers],[Wyeast 3711 - French Saison]],1,0)</f>
        <v>0</v>
      </c>
      <c r="N32" s="45">
        <f>IF(BrewdogNew[[#This Row],[Yeast]]=BrewdogNew[[#Headers],[Wyeast 1272 - American Ale II]],1,0)</f>
        <v>0</v>
      </c>
      <c r="O32" s="45" t="str">
        <f>BrewdogNew[[#This Row],[Name]]</f>
        <v>Kohatu - IPA Is Dead</v>
      </c>
      <c r="P32" t="str">
        <f>IF(BrewdogNew[[#This Row],[ABV]]="*", BrewdogNew[[#This Row],[IBU]], "")</f>
        <v/>
      </c>
      <c r="Q32" t="str">
        <f>IF(BrewdogNew[[#This Row],[ABV]]="*", BrewdogNew[[#This Row],[OG]], "")</f>
        <v/>
      </c>
      <c r="R32" t="str">
        <f>IF(BrewdogNew[[#This Row],[ABV]]="*", BrewdogNew[[#This Row],[EBC]], "")</f>
        <v/>
      </c>
      <c r="S32" t="str">
        <f>IF(BrewdogNew[[#This Row],[ABV]]="*", BrewdogNew[[#This Row],[PH]], "")</f>
        <v/>
      </c>
      <c r="T32" t="str">
        <f>IF(BrewdogNew[[#This Row],[ABV]]="*", BrewdogNew[[#This Row],[AttenuationLevel]], "")</f>
        <v/>
      </c>
      <c r="U32" t="str">
        <f>IF(BrewdogNew[[#This Row],[ABV]]="*", BrewdogNew[[#This Row],[FermentationTempCelsius]], "")</f>
        <v/>
      </c>
      <c r="V32" t="str">
        <f>IF(BrewdogNew[[#This Row],[ABV]]="*", BrewdogNew[[#This Row],[Yeast]], "")</f>
        <v/>
      </c>
    </row>
    <row r="33" spans="1:22" hidden="1" x14ac:dyDescent="0.25">
      <c r="A33" s="45" t="s">
        <v>98</v>
      </c>
      <c r="B33">
        <v>8.1999999999999993</v>
      </c>
      <c r="C33" s="2" t="s">
        <v>274</v>
      </c>
      <c r="D33">
        <v>70</v>
      </c>
      <c r="E33">
        <v>1076</v>
      </c>
      <c r="F33">
        <v>16</v>
      </c>
      <c r="G33">
        <v>4.4000000000000004</v>
      </c>
      <c r="H33">
        <v>83</v>
      </c>
      <c r="I33">
        <v>21</v>
      </c>
      <c r="J33" s="45" t="s">
        <v>64</v>
      </c>
      <c r="K33" s="45">
        <f>IF(BrewdogNew[[#This Row],[Yeast]]=BrewdogNew[[#Headers],[Wyeast 1056 - American Ale]],1,0)</f>
        <v>1</v>
      </c>
      <c r="L33" s="45">
        <f>IF(BrewdogNew[[#This Row],[Yeast]]=BrewdogNew[[#Headers],[Wyeast 2007 - Pilsen Lager]],1,0)</f>
        <v>0</v>
      </c>
      <c r="M33" s="45">
        <f>IF(BrewdogNew[[#This Row],[Yeast]]=BrewdogNew[[#Headers],[Wyeast 3711 - French Saison]],1,0)</f>
        <v>0</v>
      </c>
      <c r="N33" s="45">
        <f>IF(BrewdogNew[[#This Row],[Yeast]]=BrewdogNew[[#Headers],[Wyeast 1272 - American Ale II]],1,0)</f>
        <v>0</v>
      </c>
      <c r="O33" s="45" t="str">
        <f>BrewdogNew[[#This Row],[Name]]</f>
        <v>Hello My Name is Vladimir</v>
      </c>
      <c r="P33" t="str">
        <f>IF(BrewdogNew[[#This Row],[ABV]]="*", BrewdogNew[[#This Row],[IBU]], "")</f>
        <v/>
      </c>
      <c r="Q33" t="str">
        <f>IF(BrewdogNew[[#This Row],[ABV]]="*", BrewdogNew[[#This Row],[OG]], "")</f>
        <v/>
      </c>
      <c r="R33" t="str">
        <f>IF(BrewdogNew[[#This Row],[ABV]]="*", BrewdogNew[[#This Row],[EBC]], "")</f>
        <v/>
      </c>
      <c r="S33" t="str">
        <f>IF(BrewdogNew[[#This Row],[ABV]]="*", BrewdogNew[[#This Row],[PH]], "")</f>
        <v/>
      </c>
      <c r="T33" t="str">
        <f>IF(BrewdogNew[[#This Row],[ABV]]="*", BrewdogNew[[#This Row],[AttenuationLevel]], "")</f>
        <v/>
      </c>
      <c r="U33" t="str">
        <f>IF(BrewdogNew[[#This Row],[ABV]]="*", BrewdogNew[[#This Row],[FermentationTempCelsius]], "")</f>
        <v/>
      </c>
      <c r="V33" t="str">
        <f>IF(BrewdogNew[[#This Row],[ABV]]="*", BrewdogNew[[#This Row],[Yeast]], "")</f>
        <v/>
      </c>
    </row>
    <row r="34" spans="1:22" hidden="1" x14ac:dyDescent="0.25">
      <c r="A34" s="45" t="s">
        <v>99</v>
      </c>
      <c r="B34">
        <v>10.7</v>
      </c>
      <c r="C34" s="2" t="s">
        <v>274</v>
      </c>
      <c r="D34">
        <v>100</v>
      </c>
      <c r="E34">
        <v>1105</v>
      </c>
      <c r="F34">
        <v>300</v>
      </c>
      <c r="G34">
        <v>4.3</v>
      </c>
      <c r="H34">
        <v>76.2</v>
      </c>
      <c r="I34">
        <v>21</v>
      </c>
      <c r="J34" s="45" t="s">
        <v>80</v>
      </c>
      <c r="K34" s="45">
        <f>IF(BrewdogNew[[#This Row],[Yeast]]=BrewdogNew[[#Headers],[Wyeast 1056 - American Ale]],1,0)</f>
        <v>0</v>
      </c>
      <c r="L34" s="45">
        <f>IF(BrewdogNew[[#This Row],[Yeast]]=BrewdogNew[[#Headers],[Wyeast 2007 - Pilsen Lager]],1,0)</f>
        <v>0</v>
      </c>
      <c r="M34" s="45">
        <f>IF(BrewdogNew[[#This Row],[Yeast]]=BrewdogNew[[#Headers],[Wyeast 3711 - French Saison]],1,0)</f>
        <v>0</v>
      </c>
      <c r="N34" s="45">
        <f>IF(BrewdogNew[[#This Row],[Yeast]]=BrewdogNew[[#Headers],[Wyeast 1272 - American Ale II]],1,0)</f>
        <v>1</v>
      </c>
      <c r="O34" s="45" t="str">
        <f>BrewdogNew[[#This Row],[Name]]</f>
        <v>AB:17</v>
      </c>
      <c r="P34" t="str">
        <f>IF(BrewdogNew[[#This Row],[ABV]]="*", BrewdogNew[[#This Row],[IBU]], "")</f>
        <v/>
      </c>
      <c r="Q34" t="str">
        <f>IF(BrewdogNew[[#This Row],[ABV]]="*", BrewdogNew[[#This Row],[OG]], "")</f>
        <v/>
      </c>
      <c r="R34" t="str">
        <f>IF(BrewdogNew[[#This Row],[ABV]]="*", BrewdogNew[[#This Row],[EBC]], "")</f>
        <v/>
      </c>
      <c r="S34" t="str">
        <f>IF(BrewdogNew[[#This Row],[ABV]]="*", BrewdogNew[[#This Row],[PH]], "")</f>
        <v/>
      </c>
      <c r="T34" t="str">
        <f>IF(BrewdogNew[[#This Row],[ABV]]="*", BrewdogNew[[#This Row],[AttenuationLevel]], "")</f>
        <v/>
      </c>
      <c r="U34" t="str">
        <f>IF(BrewdogNew[[#This Row],[ABV]]="*", BrewdogNew[[#This Row],[FermentationTempCelsius]], "")</f>
        <v/>
      </c>
      <c r="V34" t="str">
        <f>IF(BrewdogNew[[#This Row],[ABV]]="*", BrewdogNew[[#This Row],[Yeast]], "")</f>
        <v/>
      </c>
    </row>
    <row r="35" spans="1:22" hidden="1" x14ac:dyDescent="0.25">
      <c r="A35" s="45" t="s">
        <v>100</v>
      </c>
      <c r="B35">
        <v>9.1999999999999993</v>
      </c>
      <c r="C35" s="2" t="s">
        <v>274</v>
      </c>
      <c r="D35">
        <v>125</v>
      </c>
      <c r="E35">
        <v>1085</v>
      </c>
      <c r="F35">
        <v>40</v>
      </c>
      <c r="G35">
        <v>4.4000000000000004</v>
      </c>
      <c r="H35">
        <v>81.2</v>
      </c>
      <c r="I35">
        <v>21</v>
      </c>
      <c r="J35" s="45" t="s">
        <v>80</v>
      </c>
      <c r="K35" s="45">
        <f>IF(BrewdogNew[[#This Row],[Yeast]]=BrewdogNew[[#Headers],[Wyeast 1056 - American Ale]],1,0)</f>
        <v>0</v>
      </c>
      <c r="L35" s="45">
        <f>IF(BrewdogNew[[#This Row],[Yeast]]=BrewdogNew[[#Headers],[Wyeast 2007 - Pilsen Lager]],1,0)</f>
        <v>0</v>
      </c>
      <c r="M35" s="45">
        <f>IF(BrewdogNew[[#This Row],[Yeast]]=BrewdogNew[[#Headers],[Wyeast 3711 - French Saison]],1,0)</f>
        <v>0</v>
      </c>
      <c r="N35" s="45">
        <f>IF(BrewdogNew[[#This Row],[Yeast]]=BrewdogNew[[#Headers],[Wyeast 1272 - American Ale II]],1,0)</f>
        <v>1</v>
      </c>
      <c r="O35" s="45" t="str">
        <f>BrewdogNew[[#This Row],[Name]]</f>
        <v>Hardcore IPA</v>
      </c>
      <c r="P35" t="str">
        <f>IF(BrewdogNew[[#This Row],[ABV]]="*", BrewdogNew[[#This Row],[IBU]], "")</f>
        <v/>
      </c>
      <c r="Q35" t="str">
        <f>IF(BrewdogNew[[#This Row],[ABV]]="*", BrewdogNew[[#This Row],[OG]], "")</f>
        <v/>
      </c>
      <c r="R35" t="str">
        <f>IF(BrewdogNew[[#This Row],[ABV]]="*", BrewdogNew[[#This Row],[EBC]], "")</f>
        <v/>
      </c>
      <c r="S35" t="str">
        <f>IF(BrewdogNew[[#This Row],[ABV]]="*", BrewdogNew[[#This Row],[PH]], "")</f>
        <v/>
      </c>
      <c r="T35" t="str">
        <f>IF(BrewdogNew[[#This Row],[ABV]]="*", BrewdogNew[[#This Row],[AttenuationLevel]], "")</f>
        <v/>
      </c>
      <c r="U35" t="str">
        <f>IF(BrewdogNew[[#This Row],[ABV]]="*", BrewdogNew[[#This Row],[FermentationTempCelsius]], "")</f>
        <v/>
      </c>
      <c r="V35" t="str">
        <f>IF(BrewdogNew[[#This Row],[ABV]]="*", BrewdogNew[[#This Row],[Yeast]], "")</f>
        <v/>
      </c>
    </row>
    <row r="36" spans="1:22" hidden="1" x14ac:dyDescent="0.25">
      <c r="A36" s="45" t="s">
        <v>101</v>
      </c>
      <c r="B36">
        <v>7.1</v>
      </c>
      <c r="C36" s="2" t="s">
        <v>274</v>
      </c>
      <c r="D36">
        <v>65</v>
      </c>
      <c r="E36">
        <v>1065</v>
      </c>
      <c r="F36">
        <v>13</v>
      </c>
      <c r="G36">
        <v>4.4000000000000004</v>
      </c>
      <c r="H36">
        <v>85</v>
      </c>
      <c r="I36">
        <v>9</v>
      </c>
      <c r="J36" s="45" t="s">
        <v>68</v>
      </c>
      <c r="K36" s="45">
        <f>IF(BrewdogNew[[#This Row],[Yeast]]=BrewdogNew[[#Headers],[Wyeast 1056 - American Ale]],1,0)</f>
        <v>0</v>
      </c>
      <c r="L36" s="45">
        <f>IF(BrewdogNew[[#This Row],[Yeast]]=BrewdogNew[[#Headers],[Wyeast 2007 - Pilsen Lager]],1,0)</f>
        <v>1</v>
      </c>
      <c r="M36" s="45">
        <f>IF(BrewdogNew[[#This Row],[Yeast]]=BrewdogNew[[#Headers],[Wyeast 3711 - French Saison]],1,0)</f>
        <v>0</v>
      </c>
      <c r="N36" s="45">
        <f>IF(BrewdogNew[[#This Row],[Yeast]]=BrewdogNew[[#Headers],[Wyeast 1272 - American Ale II]],1,0)</f>
        <v>0</v>
      </c>
      <c r="O36" s="45" t="str">
        <f>BrewdogNew[[#This Row],[Name]]</f>
        <v>Dog Wired (w/8 Wired)</v>
      </c>
      <c r="P36" t="str">
        <f>IF(BrewdogNew[[#This Row],[ABV]]="*", BrewdogNew[[#This Row],[IBU]], "")</f>
        <v/>
      </c>
      <c r="Q36" t="str">
        <f>IF(BrewdogNew[[#This Row],[ABV]]="*", BrewdogNew[[#This Row],[OG]], "")</f>
        <v/>
      </c>
      <c r="R36" t="str">
        <f>IF(BrewdogNew[[#This Row],[ABV]]="*", BrewdogNew[[#This Row],[EBC]], "")</f>
        <v/>
      </c>
      <c r="S36" t="str">
        <f>IF(BrewdogNew[[#This Row],[ABV]]="*", BrewdogNew[[#This Row],[PH]], "")</f>
        <v/>
      </c>
      <c r="T36" t="str">
        <f>IF(BrewdogNew[[#This Row],[ABV]]="*", BrewdogNew[[#This Row],[AttenuationLevel]], "")</f>
        <v/>
      </c>
      <c r="U36" t="str">
        <f>IF(BrewdogNew[[#This Row],[ABV]]="*", BrewdogNew[[#This Row],[FermentationTempCelsius]], "")</f>
        <v/>
      </c>
      <c r="V36" t="str">
        <f>IF(BrewdogNew[[#This Row],[ABV]]="*", BrewdogNew[[#This Row],[Yeast]], "")</f>
        <v/>
      </c>
    </row>
    <row r="37" spans="1:22" hidden="1" x14ac:dyDescent="0.25">
      <c r="A37" s="45" t="s">
        <v>102</v>
      </c>
      <c r="B37">
        <v>5</v>
      </c>
      <c r="C37" s="2" t="s">
        <v>274</v>
      </c>
      <c r="D37">
        <v>47</v>
      </c>
      <c r="E37">
        <v>1048.5</v>
      </c>
      <c r="F37">
        <v>65</v>
      </c>
      <c r="G37">
        <v>4.4000000000000004</v>
      </c>
      <c r="H37">
        <v>79.400000000000006</v>
      </c>
      <c r="I37">
        <v>19</v>
      </c>
      <c r="J37" s="45" t="s">
        <v>64</v>
      </c>
      <c r="K37" s="45">
        <f>IF(BrewdogNew[[#This Row],[Yeast]]=BrewdogNew[[#Headers],[Wyeast 1056 - American Ale]],1,0)</f>
        <v>1</v>
      </c>
      <c r="L37" s="45">
        <f>IF(BrewdogNew[[#This Row],[Yeast]]=BrewdogNew[[#Headers],[Wyeast 2007 - Pilsen Lager]],1,0)</f>
        <v>0</v>
      </c>
      <c r="M37" s="45">
        <f>IF(BrewdogNew[[#This Row],[Yeast]]=BrewdogNew[[#Headers],[Wyeast 3711 - French Saison]],1,0)</f>
        <v>0</v>
      </c>
      <c r="N37" s="45">
        <f>IF(BrewdogNew[[#This Row],[Yeast]]=BrewdogNew[[#Headers],[Wyeast 1272 - American Ale II]],1,0)</f>
        <v>0</v>
      </c>
      <c r="O37" s="45" t="str">
        <f>BrewdogNew[[#This Row],[Name]]</f>
        <v>The Physics</v>
      </c>
      <c r="P37" t="str">
        <f>IF(BrewdogNew[[#This Row],[ABV]]="*", BrewdogNew[[#This Row],[IBU]], "")</f>
        <v/>
      </c>
      <c r="Q37" t="str">
        <f>IF(BrewdogNew[[#This Row],[ABV]]="*", BrewdogNew[[#This Row],[OG]], "")</f>
        <v/>
      </c>
      <c r="R37" t="str">
        <f>IF(BrewdogNew[[#This Row],[ABV]]="*", BrewdogNew[[#This Row],[EBC]], "")</f>
        <v/>
      </c>
      <c r="S37" t="str">
        <f>IF(BrewdogNew[[#This Row],[ABV]]="*", BrewdogNew[[#This Row],[PH]], "")</f>
        <v/>
      </c>
      <c r="T37" t="str">
        <f>IF(BrewdogNew[[#This Row],[ABV]]="*", BrewdogNew[[#This Row],[AttenuationLevel]], "")</f>
        <v/>
      </c>
      <c r="U37" t="str">
        <f>IF(BrewdogNew[[#This Row],[ABV]]="*", BrewdogNew[[#This Row],[FermentationTempCelsius]], "")</f>
        <v/>
      </c>
      <c r="V37" t="str">
        <f>IF(BrewdogNew[[#This Row],[ABV]]="*", BrewdogNew[[#This Row],[Yeast]], "")</f>
        <v/>
      </c>
    </row>
    <row r="38" spans="1:22" hidden="1" x14ac:dyDescent="0.25">
      <c r="A38" s="45" t="s">
        <v>103</v>
      </c>
      <c r="B38">
        <v>16.5</v>
      </c>
      <c r="C38" s="2" t="s">
        <v>274</v>
      </c>
      <c r="D38">
        <v>20.5</v>
      </c>
      <c r="E38">
        <v>1112</v>
      </c>
      <c r="F38">
        <v>20</v>
      </c>
      <c r="G38">
        <v>4.4000000000000004</v>
      </c>
      <c r="H38">
        <v>100</v>
      </c>
      <c r="I38">
        <v>20</v>
      </c>
      <c r="J38" s="45" t="s">
        <v>80</v>
      </c>
      <c r="K38" s="45">
        <f>IF(BrewdogNew[[#This Row],[Yeast]]=BrewdogNew[[#Headers],[Wyeast 1056 - American Ale]],1,0)</f>
        <v>0</v>
      </c>
      <c r="L38" s="45">
        <f>IF(BrewdogNew[[#This Row],[Yeast]]=BrewdogNew[[#Headers],[Wyeast 2007 - Pilsen Lager]],1,0)</f>
        <v>0</v>
      </c>
      <c r="M38" s="45">
        <f>IF(BrewdogNew[[#This Row],[Yeast]]=BrewdogNew[[#Headers],[Wyeast 3711 - French Saison]],1,0)</f>
        <v>0</v>
      </c>
      <c r="N38" s="45">
        <f>IF(BrewdogNew[[#This Row],[Yeast]]=BrewdogNew[[#Headers],[Wyeast 1272 - American Ale II]],1,0)</f>
        <v>1</v>
      </c>
      <c r="O38" s="45" t="str">
        <f>BrewdogNew[[#This Row],[Name]]</f>
        <v>Anarchist Alchemist</v>
      </c>
      <c r="P38" t="str">
        <f>IF(BrewdogNew[[#This Row],[ABV]]="*", BrewdogNew[[#This Row],[IBU]], "")</f>
        <v/>
      </c>
      <c r="Q38" t="str">
        <f>IF(BrewdogNew[[#This Row],[ABV]]="*", BrewdogNew[[#This Row],[OG]], "")</f>
        <v/>
      </c>
      <c r="R38" t="str">
        <f>IF(BrewdogNew[[#This Row],[ABV]]="*", BrewdogNew[[#This Row],[EBC]], "")</f>
        <v/>
      </c>
      <c r="S38" t="str">
        <f>IF(BrewdogNew[[#This Row],[ABV]]="*", BrewdogNew[[#This Row],[PH]], "")</f>
        <v/>
      </c>
      <c r="T38" t="str">
        <f>IF(BrewdogNew[[#This Row],[ABV]]="*", BrewdogNew[[#This Row],[AttenuationLevel]], "")</f>
        <v/>
      </c>
      <c r="U38" t="str">
        <f>IF(BrewdogNew[[#This Row],[ABV]]="*", BrewdogNew[[#This Row],[FermentationTempCelsius]], "")</f>
        <v/>
      </c>
      <c r="V38" t="str">
        <f>IF(BrewdogNew[[#This Row],[ABV]]="*", BrewdogNew[[#This Row],[Yeast]], "")</f>
        <v/>
      </c>
    </row>
    <row r="39" spans="1:22" hidden="1" x14ac:dyDescent="0.25">
      <c r="A39" s="45" t="s">
        <v>104</v>
      </c>
      <c r="B39">
        <v>12.8</v>
      </c>
      <c r="C39" s="2" t="s">
        <v>274</v>
      </c>
      <c r="D39">
        <v>50</v>
      </c>
      <c r="E39">
        <v>1096</v>
      </c>
      <c r="F39">
        <v>111</v>
      </c>
      <c r="G39">
        <v>4.4000000000000004</v>
      </c>
      <c r="H39">
        <v>79.17</v>
      </c>
      <c r="I39">
        <v>21</v>
      </c>
      <c r="J39" s="45" t="s">
        <v>80</v>
      </c>
      <c r="K39" s="45">
        <f>IF(BrewdogNew[[#This Row],[Yeast]]=BrewdogNew[[#Headers],[Wyeast 1056 - American Ale]],1,0)</f>
        <v>0</v>
      </c>
      <c r="L39" s="45">
        <f>IF(BrewdogNew[[#This Row],[Yeast]]=BrewdogNew[[#Headers],[Wyeast 2007 - Pilsen Lager]],1,0)</f>
        <v>0</v>
      </c>
      <c r="M39" s="45">
        <f>IF(BrewdogNew[[#This Row],[Yeast]]=BrewdogNew[[#Headers],[Wyeast 3711 - French Saison]],1,0)</f>
        <v>0</v>
      </c>
      <c r="N39" s="45">
        <f>IF(BrewdogNew[[#This Row],[Yeast]]=BrewdogNew[[#Headers],[Wyeast 1272 - American Ale II]],1,0)</f>
        <v>1</v>
      </c>
      <c r="O39" s="45" t="str">
        <f>BrewdogNew[[#This Row],[Name]]</f>
        <v>AB:15</v>
      </c>
      <c r="P39" t="str">
        <f>IF(BrewdogNew[[#This Row],[ABV]]="*", BrewdogNew[[#This Row],[IBU]], "")</f>
        <v/>
      </c>
      <c r="Q39" t="str">
        <f>IF(BrewdogNew[[#This Row],[ABV]]="*", BrewdogNew[[#This Row],[OG]], "")</f>
        <v/>
      </c>
      <c r="R39" t="str">
        <f>IF(BrewdogNew[[#This Row],[ABV]]="*", BrewdogNew[[#This Row],[EBC]], "")</f>
        <v/>
      </c>
      <c r="S39" t="str">
        <f>IF(BrewdogNew[[#This Row],[ABV]]="*", BrewdogNew[[#This Row],[PH]], "")</f>
        <v/>
      </c>
      <c r="T39" t="str">
        <f>IF(BrewdogNew[[#This Row],[ABV]]="*", BrewdogNew[[#This Row],[AttenuationLevel]], "")</f>
        <v/>
      </c>
      <c r="U39" t="str">
        <f>IF(BrewdogNew[[#This Row],[ABV]]="*", BrewdogNew[[#This Row],[FermentationTempCelsius]], "")</f>
        <v/>
      </c>
      <c r="V39" t="str">
        <f>IF(BrewdogNew[[#This Row],[ABV]]="*", BrewdogNew[[#This Row],[Yeast]], "")</f>
        <v/>
      </c>
    </row>
    <row r="40" spans="1:22" hidden="1" x14ac:dyDescent="0.25">
      <c r="A40" s="45" t="s">
        <v>105</v>
      </c>
      <c r="B40">
        <v>6.7</v>
      </c>
      <c r="C40" s="2" t="s">
        <v>274</v>
      </c>
      <c r="D40">
        <v>70</v>
      </c>
      <c r="E40">
        <v>1066</v>
      </c>
      <c r="F40">
        <v>30</v>
      </c>
      <c r="G40">
        <v>4.4000000000000004</v>
      </c>
      <c r="H40">
        <v>77.3</v>
      </c>
      <c r="I40">
        <v>19</v>
      </c>
      <c r="J40" s="45" t="s">
        <v>64</v>
      </c>
      <c r="K40" s="45">
        <f>IF(BrewdogNew[[#This Row],[Yeast]]=BrewdogNew[[#Headers],[Wyeast 1056 - American Ale]],1,0)</f>
        <v>1</v>
      </c>
      <c r="L40" s="45">
        <f>IF(BrewdogNew[[#This Row],[Yeast]]=BrewdogNew[[#Headers],[Wyeast 2007 - Pilsen Lager]],1,0)</f>
        <v>0</v>
      </c>
      <c r="M40" s="45">
        <f>IF(BrewdogNew[[#This Row],[Yeast]]=BrewdogNew[[#Headers],[Wyeast 3711 - French Saison]],1,0)</f>
        <v>0</v>
      </c>
      <c r="N40" s="45">
        <f>IF(BrewdogNew[[#This Row],[Yeast]]=BrewdogNew[[#Headers],[Wyeast 1272 - American Ale II]],1,0)</f>
        <v>0</v>
      </c>
      <c r="O40" s="45" t="str">
        <f>BrewdogNew[[#This Row],[Name]]</f>
        <v>Goldings - IPA Is Dead</v>
      </c>
      <c r="P40" t="str">
        <f>IF(BrewdogNew[[#This Row],[ABV]]="*", BrewdogNew[[#This Row],[IBU]], "")</f>
        <v/>
      </c>
      <c r="Q40" t="str">
        <f>IF(BrewdogNew[[#This Row],[ABV]]="*", BrewdogNew[[#This Row],[OG]], "")</f>
        <v/>
      </c>
      <c r="R40" t="str">
        <f>IF(BrewdogNew[[#This Row],[ABV]]="*", BrewdogNew[[#This Row],[EBC]], "")</f>
        <v/>
      </c>
      <c r="S40" t="str">
        <f>IF(BrewdogNew[[#This Row],[ABV]]="*", BrewdogNew[[#This Row],[PH]], "")</f>
        <v/>
      </c>
      <c r="T40" t="str">
        <f>IF(BrewdogNew[[#This Row],[ABV]]="*", BrewdogNew[[#This Row],[AttenuationLevel]], "")</f>
        <v/>
      </c>
      <c r="U40" t="str">
        <f>IF(BrewdogNew[[#This Row],[ABV]]="*", BrewdogNew[[#This Row],[FermentationTempCelsius]], "")</f>
        <v/>
      </c>
      <c r="V40" t="str">
        <f>IF(BrewdogNew[[#This Row],[ABV]]="*", BrewdogNew[[#This Row],[Yeast]], "")</f>
        <v/>
      </c>
    </row>
    <row r="41" spans="1:22" hidden="1" x14ac:dyDescent="0.25">
      <c r="A41" s="45" t="s">
        <v>106</v>
      </c>
      <c r="B41">
        <v>10</v>
      </c>
      <c r="C41" s="2" t="s">
        <v>274</v>
      </c>
      <c r="D41">
        <v>35</v>
      </c>
      <c r="E41">
        <v>1080</v>
      </c>
      <c r="F41">
        <v>80</v>
      </c>
      <c r="G41">
        <v>4.4000000000000004</v>
      </c>
      <c r="H41">
        <v>85</v>
      </c>
      <c r="I41">
        <v>19</v>
      </c>
      <c r="J41" s="45" t="s">
        <v>80</v>
      </c>
      <c r="K41" s="45">
        <f>IF(BrewdogNew[[#This Row],[Yeast]]=BrewdogNew[[#Headers],[Wyeast 1056 - American Ale]],1,0)</f>
        <v>0</v>
      </c>
      <c r="L41" s="45">
        <f>IF(BrewdogNew[[#This Row],[Yeast]]=BrewdogNew[[#Headers],[Wyeast 2007 - Pilsen Lager]],1,0)</f>
        <v>0</v>
      </c>
      <c r="M41" s="45">
        <f>IF(BrewdogNew[[#This Row],[Yeast]]=BrewdogNew[[#Headers],[Wyeast 3711 - French Saison]],1,0)</f>
        <v>0</v>
      </c>
      <c r="N41" s="45">
        <f>IF(BrewdogNew[[#This Row],[Yeast]]=BrewdogNew[[#Headers],[Wyeast 1272 - American Ale II]],1,0)</f>
        <v>1</v>
      </c>
      <c r="O41" s="45" t="str">
        <f>BrewdogNew[[#This Row],[Name]]</f>
        <v>Lost Dog (w/Lost Abbey)</v>
      </c>
      <c r="P41" t="str">
        <f>IF(BrewdogNew[[#This Row],[ABV]]="*", BrewdogNew[[#This Row],[IBU]], "")</f>
        <v/>
      </c>
      <c r="Q41" t="str">
        <f>IF(BrewdogNew[[#This Row],[ABV]]="*", BrewdogNew[[#This Row],[OG]], "")</f>
        <v/>
      </c>
      <c r="R41" t="str">
        <f>IF(BrewdogNew[[#This Row],[ABV]]="*", BrewdogNew[[#This Row],[EBC]], "")</f>
        <v/>
      </c>
      <c r="S41" t="str">
        <f>IF(BrewdogNew[[#This Row],[ABV]]="*", BrewdogNew[[#This Row],[PH]], "")</f>
        <v/>
      </c>
      <c r="T41" t="str">
        <f>IF(BrewdogNew[[#This Row],[ABV]]="*", BrewdogNew[[#This Row],[AttenuationLevel]], "")</f>
        <v/>
      </c>
      <c r="U41" t="str">
        <f>IF(BrewdogNew[[#This Row],[ABV]]="*", BrewdogNew[[#This Row],[FermentationTempCelsius]], "")</f>
        <v/>
      </c>
      <c r="V41" t="str">
        <f>IF(BrewdogNew[[#This Row],[ABV]]="*", BrewdogNew[[#This Row],[Yeast]], "")</f>
        <v/>
      </c>
    </row>
    <row r="42" spans="1:22" x14ac:dyDescent="0.25">
      <c r="A42" s="45" t="s">
        <v>107</v>
      </c>
      <c r="B42" s="31" t="s">
        <v>32</v>
      </c>
      <c r="C42" s="51">
        <v>1</v>
      </c>
      <c r="D42">
        <v>20</v>
      </c>
      <c r="E42">
        <v>1048</v>
      </c>
      <c r="F42">
        <v>14</v>
      </c>
      <c r="G42">
        <v>4.2</v>
      </c>
      <c r="H42">
        <v>89.6</v>
      </c>
      <c r="I42">
        <v>22</v>
      </c>
      <c r="J42" s="45" t="s">
        <v>71</v>
      </c>
      <c r="K42" s="45">
        <f>IF(BrewdogNew[[#This Row],[Yeast]]=BrewdogNew[[#Headers],[Wyeast 1056 - American Ale]],1,0)</f>
        <v>0</v>
      </c>
      <c r="L42" s="45">
        <f>IF(BrewdogNew[[#This Row],[Yeast]]=BrewdogNew[[#Headers],[Wyeast 2007 - Pilsen Lager]],1,0)</f>
        <v>0</v>
      </c>
      <c r="M42" s="45">
        <f>IF(BrewdogNew[[#This Row],[Yeast]]=BrewdogNew[[#Headers],[Wyeast 3711 - French Saison]],1,0)</f>
        <v>1</v>
      </c>
      <c r="N42" s="45">
        <f>IF(BrewdogNew[[#This Row],[Yeast]]=BrewdogNew[[#Headers],[Wyeast 1272 - American Ale II]],1,0)</f>
        <v>0</v>
      </c>
      <c r="O42" s="45" t="str">
        <f>BrewdogNew[[#This Row],[Name]]</f>
        <v>TM10</v>
      </c>
      <c r="P42">
        <f>IF(BrewdogNew[[#This Row],[ABV]]="*", BrewdogNew[[#This Row],[IBU]], "")</f>
        <v>20</v>
      </c>
      <c r="Q42">
        <f>IF(BrewdogNew[[#This Row],[ABV]]="*", BrewdogNew[[#This Row],[OG]], "")</f>
        <v>1048</v>
      </c>
      <c r="R42">
        <f>IF(BrewdogNew[[#This Row],[ABV]]="*", BrewdogNew[[#This Row],[EBC]], "")</f>
        <v>14</v>
      </c>
      <c r="S42">
        <f>IF(BrewdogNew[[#This Row],[ABV]]="*", BrewdogNew[[#This Row],[PH]], "")</f>
        <v>4.2</v>
      </c>
      <c r="T42">
        <f>IF(BrewdogNew[[#This Row],[ABV]]="*", BrewdogNew[[#This Row],[AttenuationLevel]], "")</f>
        <v>89.6</v>
      </c>
      <c r="U42">
        <f>IF(BrewdogNew[[#This Row],[ABV]]="*", BrewdogNew[[#This Row],[FermentationTempCelsius]], "")</f>
        <v>22</v>
      </c>
      <c r="V42" t="str">
        <f>IF(BrewdogNew[[#This Row],[ABV]]="*", BrewdogNew[[#This Row],[Yeast]], "")</f>
        <v>Wyeast 3711 - French Saison</v>
      </c>
    </row>
    <row r="43" spans="1:22" hidden="1" x14ac:dyDescent="0.25">
      <c r="A43" s="45" t="s">
        <v>108</v>
      </c>
      <c r="B43">
        <v>10</v>
      </c>
      <c r="C43" s="2" t="s">
        <v>274</v>
      </c>
      <c r="D43">
        <v>55</v>
      </c>
      <c r="E43">
        <v>1090</v>
      </c>
      <c r="F43">
        <v>300</v>
      </c>
      <c r="G43">
        <v>4.4000000000000004</v>
      </c>
      <c r="H43">
        <v>84.4</v>
      </c>
      <c r="I43">
        <v>21</v>
      </c>
      <c r="J43" s="45" t="s">
        <v>80</v>
      </c>
      <c r="K43" s="45">
        <f>IF(BrewdogNew[[#This Row],[Yeast]]=BrewdogNew[[#Headers],[Wyeast 1056 - American Ale]],1,0)</f>
        <v>0</v>
      </c>
      <c r="L43" s="45">
        <f>IF(BrewdogNew[[#This Row],[Yeast]]=BrewdogNew[[#Headers],[Wyeast 2007 - Pilsen Lager]],1,0)</f>
        <v>0</v>
      </c>
      <c r="M43" s="45">
        <f>IF(BrewdogNew[[#This Row],[Yeast]]=BrewdogNew[[#Headers],[Wyeast 3711 - French Saison]],1,0)</f>
        <v>0</v>
      </c>
      <c r="N43" s="45">
        <f>IF(BrewdogNew[[#This Row],[Yeast]]=BrewdogNew[[#Headers],[Wyeast 1272 - American Ale II]],1,0)</f>
        <v>1</v>
      </c>
      <c r="O43" s="45" t="str">
        <f>BrewdogNew[[#This Row],[Name]]</f>
        <v>Paradox Islay</v>
      </c>
      <c r="P43" t="str">
        <f>IF(BrewdogNew[[#This Row],[ABV]]="*", BrewdogNew[[#This Row],[IBU]], "")</f>
        <v/>
      </c>
      <c r="Q43" t="str">
        <f>IF(BrewdogNew[[#This Row],[ABV]]="*", BrewdogNew[[#This Row],[OG]], "")</f>
        <v/>
      </c>
      <c r="R43" t="str">
        <f>IF(BrewdogNew[[#This Row],[ABV]]="*", BrewdogNew[[#This Row],[EBC]], "")</f>
        <v/>
      </c>
      <c r="S43" t="str">
        <f>IF(BrewdogNew[[#This Row],[ABV]]="*", BrewdogNew[[#This Row],[PH]], "")</f>
        <v/>
      </c>
      <c r="T43" t="str">
        <f>IF(BrewdogNew[[#This Row],[ABV]]="*", BrewdogNew[[#This Row],[AttenuationLevel]], "")</f>
        <v/>
      </c>
      <c r="U43" t="str">
        <f>IF(BrewdogNew[[#This Row],[ABV]]="*", BrewdogNew[[#This Row],[FermentationTempCelsius]], "")</f>
        <v/>
      </c>
      <c r="V43" t="str">
        <f>IF(BrewdogNew[[#This Row],[ABV]]="*", BrewdogNew[[#This Row],[Yeast]], "")</f>
        <v/>
      </c>
    </row>
    <row r="44" spans="1:22" hidden="1" x14ac:dyDescent="0.25">
      <c r="A44" s="45" t="s">
        <v>109</v>
      </c>
      <c r="B44">
        <v>4.5</v>
      </c>
      <c r="C44" s="2" t="s">
        <v>274</v>
      </c>
      <c r="D44">
        <v>35</v>
      </c>
      <c r="E44">
        <v>1048</v>
      </c>
      <c r="F44">
        <v>40</v>
      </c>
      <c r="G44">
        <v>4.4000000000000004</v>
      </c>
      <c r="H44">
        <v>72.900000000000006</v>
      </c>
      <c r="I44">
        <v>19</v>
      </c>
      <c r="J44" s="45" t="s">
        <v>64</v>
      </c>
      <c r="K44" s="45">
        <f>IF(BrewdogNew[[#This Row],[Yeast]]=BrewdogNew[[#Headers],[Wyeast 1056 - American Ale]],1,0)</f>
        <v>1</v>
      </c>
      <c r="L44" s="45">
        <f>IF(BrewdogNew[[#This Row],[Yeast]]=BrewdogNew[[#Headers],[Wyeast 2007 - Pilsen Lager]],1,0)</f>
        <v>0</v>
      </c>
      <c r="M44" s="45">
        <f>IF(BrewdogNew[[#This Row],[Yeast]]=BrewdogNew[[#Headers],[Wyeast 3711 - French Saison]],1,0)</f>
        <v>0</v>
      </c>
      <c r="N44" s="45">
        <f>IF(BrewdogNew[[#This Row],[Yeast]]=BrewdogNew[[#Headers],[Wyeast 1272 - American Ale II]],1,0)</f>
        <v>0</v>
      </c>
      <c r="O44" s="45" t="str">
        <f>BrewdogNew[[#This Row],[Name]]</f>
        <v>Baby Dogma</v>
      </c>
      <c r="P44" t="str">
        <f>IF(BrewdogNew[[#This Row],[ABV]]="*", BrewdogNew[[#This Row],[IBU]], "")</f>
        <v/>
      </c>
      <c r="Q44" t="str">
        <f>IF(BrewdogNew[[#This Row],[ABV]]="*", BrewdogNew[[#This Row],[OG]], "")</f>
        <v/>
      </c>
      <c r="R44" t="str">
        <f>IF(BrewdogNew[[#This Row],[ABV]]="*", BrewdogNew[[#This Row],[EBC]], "")</f>
        <v/>
      </c>
      <c r="S44" t="str">
        <f>IF(BrewdogNew[[#This Row],[ABV]]="*", BrewdogNew[[#This Row],[PH]], "")</f>
        <v/>
      </c>
      <c r="T44" t="str">
        <f>IF(BrewdogNew[[#This Row],[ABV]]="*", BrewdogNew[[#This Row],[AttenuationLevel]], "")</f>
        <v/>
      </c>
      <c r="U44" t="str">
        <f>IF(BrewdogNew[[#This Row],[ABV]]="*", BrewdogNew[[#This Row],[FermentationTempCelsius]], "")</f>
        <v/>
      </c>
      <c r="V44" t="str">
        <f>IF(BrewdogNew[[#This Row],[ABV]]="*", BrewdogNew[[#This Row],[Yeast]], "")</f>
        <v/>
      </c>
    </row>
    <row r="45" spans="1:22" hidden="1" x14ac:dyDescent="0.25">
      <c r="A45" s="45" t="s">
        <v>110</v>
      </c>
      <c r="B45">
        <v>7.4</v>
      </c>
      <c r="C45" s="2" t="s">
        <v>274</v>
      </c>
      <c r="D45">
        <v>65</v>
      </c>
      <c r="E45">
        <v>1069</v>
      </c>
      <c r="F45">
        <v>60</v>
      </c>
      <c r="G45">
        <v>4.2</v>
      </c>
      <c r="H45">
        <v>82.6</v>
      </c>
      <c r="I45">
        <v>18</v>
      </c>
      <c r="J45" s="45" t="s">
        <v>64</v>
      </c>
      <c r="K45" s="45">
        <f>IF(BrewdogNew[[#This Row],[Yeast]]=BrewdogNew[[#Headers],[Wyeast 1056 - American Ale]],1,0)</f>
        <v>1</v>
      </c>
      <c r="L45" s="45">
        <f>IF(BrewdogNew[[#This Row],[Yeast]]=BrewdogNew[[#Headers],[Wyeast 2007 - Pilsen Lager]],1,0)</f>
        <v>0</v>
      </c>
      <c r="M45" s="45">
        <f>IF(BrewdogNew[[#This Row],[Yeast]]=BrewdogNew[[#Headers],[Wyeast 3711 - French Saison]],1,0)</f>
        <v>0</v>
      </c>
      <c r="N45" s="45">
        <f>IF(BrewdogNew[[#This Row],[Yeast]]=BrewdogNew[[#Headers],[Wyeast 1272 - American Ale II]],1,0)</f>
        <v>0</v>
      </c>
      <c r="O45" s="45" t="str">
        <f>BrewdogNew[[#This Row],[Name]]</f>
        <v>Albino Squid Assasin</v>
      </c>
      <c r="P45" t="str">
        <f>IF(BrewdogNew[[#This Row],[ABV]]="*", BrewdogNew[[#This Row],[IBU]], "")</f>
        <v/>
      </c>
      <c r="Q45" t="str">
        <f>IF(BrewdogNew[[#This Row],[ABV]]="*", BrewdogNew[[#This Row],[OG]], "")</f>
        <v/>
      </c>
      <c r="R45" t="str">
        <f>IF(BrewdogNew[[#This Row],[ABV]]="*", BrewdogNew[[#This Row],[EBC]], "")</f>
        <v/>
      </c>
      <c r="S45" t="str">
        <f>IF(BrewdogNew[[#This Row],[ABV]]="*", BrewdogNew[[#This Row],[PH]], "")</f>
        <v/>
      </c>
      <c r="T45" t="str">
        <f>IF(BrewdogNew[[#This Row],[ABV]]="*", BrewdogNew[[#This Row],[AttenuationLevel]], "")</f>
        <v/>
      </c>
      <c r="U45" t="str">
        <f>IF(BrewdogNew[[#This Row],[ABV]]="*", BrewdogNew[[#This Row],[FermentationTempCelsius]], "")</f>
        <v/>
      </c>
      <c r="V45" t="str">
        <f>IF(BrewdogNew[[#This Row],[ABV]]="*", BrewdogNew[[#This Row],[Yeast]], "")</f>
        <v/>
      </c>
    </row>
    <row r="46" spans="1:22" hidden="1" x14ac:dyDescent="0.25">
      <c r="A46" s="45" t="s">
        <v>111</v>
      </c>
      <c r="B46">
        <v>7.2</v>
      </c>
      <c r="C46" s="2" t="s">
        <v>274</v>
      </c>
      <c r="D46">
        <v>70</v>
      </c>
      <c r="E46">
        <v>1067</v>
      </c>
      <c r="F46">
        <v>30</v>
      </c>
      <c r="G46">
        <v>4.4000000000000004</v>
      </c>
      <c r="H46">
        <v>82.1</v>
      </c>
      <c r="I46">
        <v>19</v>
      </c>
      <c r="J46" s="45" t="s">
        <v>64</v>
      </c>
      <c r="K46" s="45">
        <f>IF(BrewdogNew[[#This Row],[Yeast]]=BrewdogNew[[#Headers],[Wyeast 1056 - American Ale]],1,0)</f>
        <v>1</v>
      </c>
      <c r="L46" s="45">
        <f>IF(BrewdogNew[[#This Row],[Yeast]]=BrewdogNew[[#Headers],[Wyeast 2007 - Pilsen Lager]],1,0)</f>
        <v>0</v>
      </c>
      <c r="M46" s="45">
        <f>IF(BrewdogNew[[#This Row],[Yeast]]=BrewdogNew[[#Headers],[Wyeast 3711 - French Saison]],1,0)</f>
        <v>0</v>
      </c>
      <c r="N46" s="45">
        <f>IF(BrewdogNew[[#This Row],[Yeast]]=BrewdogNew[[#Headers],[Wyeast 1272 - American Ale II]],1,0)</f>
        <v>0</v>
      </c>
      <c r="O46" s="45" t="str">
        <f>BrewdogNew[[#This Row],[Name]]</f>
        <v>Amarillo - IPA Is Dead</v>
      </c>
      <c r="P46" t="str">
        <f>IF(BrewdogNew[[#This Row],[ABV]]="*", BrewdogNew[[#This Row],[IBU]], "")</f>
        <v/>
      </c>
      <c r="Q46" t="str">
        <f>IF(BrewdogNew[[#This Row],[ABV]]="*", BrewdogNew[[#This Row],[OG]], "")</f>
        <v/>
      </c>
      <c r="R46" t="str">
        <f>IF(BrewdogNew[[#This Row],[ABV]]="*", BrewdogNew[[#This Row],[EBC]], "")</f>
        <v/>
      </c>
      <c r="S46" t="str">
        <f>IF(BrewdogNew[[#This Row],[ABV]]="*", BrewdogNew[[#This Row],[PH]], "")</f>
        <v/>
      </c>
      <c r="T46" t="str">
        <f>IF(BrewdogNew[[#This Row],[ABV]]="*", BrewdogNew[[#This Row],[AttenuationLevel]], "")</f>
        <v/>
      </c>
      <c r="U46" t="str">
        <f>IF(BrewdogNew[[#This Row],[ABV]]="*", BrewdogNew[[#This Row],[FermentationTempCelsius]], "")</f>
        <v/>
      </c>
      <c r="V46" t="str">
        <f>IF(BrewdogNew[[#This Row],[ABV]]="*", BrewdogNew[[#This Row],[Yeast]], "")</f>
        <v/>
      </c>
    </row>
    <row r="47" spans="1:22" hidden="1" x14ac:dyDescent="0.25">
      <c r="A47" s="45" t="s">
        <v>112</v>
      </c>
      <c r="B47">
        <v>9.5</v>
      </c>
      <c r="C47" s="2" t="s">
        <v>274</v>
      </c>
      <c r="D47">
        <v>85</v>
      </c>
      <c r="E47">
        <v>1095</v>
      </c>
      <c r="F47">
        <v>250</v>
      </c>
      <c r="G47">
        <v>4.4000000000000004</v>
      </c>
      <c r="H47">
        <v>76.8</v>
      </c>
      <c r="I47">
        <v>18</v>
      </c>
      <c r="J47" s="45" t="s">
        <v>80</v>
      </c>
      <c r="K47" s="45">
        <f>IF(BrewdogNew[[#This Row],[Yeast]]=BrewdogNew[[#Headers],[Wyeast 1056 - American Ale]],1,0)</f>
        <v>0</v>
      </c>
      <c r="L47" s="45">
        <f>IF(BrewdogNew[[#This Row],[Yeast]]=BrewdogNew[[#Headers],[Wyeast 2007 - Pilsen Lager]],1,0)</f>
        <v>0</v>
      </c>
      <c r="M47" s="45">
        <f>IF(BrewdogNew[[#This Row],[Yeast]]=BrewdogNew[[#Headers],[Wyeast 3711 - French Saison]],1,0)</f>
        <v>0</v>
      </c>
      <c r="N47" s="45">
        <f>IF(BrewdogNew[[#This Row],[Yeast]]=BrewdogNew[[#Headers],[Wyeast 1272 - American Ale II]],1,0)</f>
        <v>1</v>
      </c>
      <c r="O47" s="45" t="str">
        <f>BrewdogNew[[#This Row],[Name]]</f>
        <v>Black Eyed King Imp</v>
      </c>
      <c r="P47" t="str">
        <f>IF(BrewdogNew[[#This Row],[ABV]]="*", BrewdogNew[[#This Row],[IBU]], "")</f>
        <v/>
      </c>
      <c r="Q47" t="str">
        <f>IF(BrewdogNew[[#This Row],[ABV]]="*", BrewdogNew[[#This Row],[OG]], "")</f>
        <v/>
      </c>
      <c r="R47" t="str">
        <f>IF(BrewdogNew[[#This Row],[ABV]]="*", BrewdogNew[[#This Row],[EBC]], "")</f>
        <v/>
      </c>
      <c r="S47" t="str">
        <f>IF(BrewdogNew[[#This Row],[ABV]]="*", BrewdogNew[[#This Row],[PH]], "")</f>
        <v/>
      </c>
      <c r="T47" t="str">
        <f>IF(BrewdogNew[[#This Row],[ABV]]="*", BrewdogNew[[#This Row],[AttenuationLevel]], "")</f>
        <v/>
      </c>
      <c r="U47" t="str">
        <f>IF(BrewdogNew[[#This Row],[ABV]]="*", BrewdogNew[[#This Row],[FermentationTempCelsius]], "")</f>
        <v/>
      </c>
      <c r="V47" t="str">
        <f>IF(BrewdogNew[[#This Row],[ABV]]="*", BrewdogNew[[#This Row],[Yeast]], "")</f>
        <v/>
      </c>
    </row>
    <row r="48" spans="1:22" hidden="1" x14ac:dyDescent="0.25">
      <c r="A48" s="45" t="s">
        <v>113</v>
      </c>
      <c r="B48">
        <v>9.1999999999999993</v>
      </c>
      <c r="C48" s="2" t="s">
        <v>274</v>
      </c>
      <c r="D48">
        <v>149</v>
      </c>
      <c r="E48">
        <v>1083</v>
      </c>
      <c r="F48">
        <v>19.5</v>
      </c>
      <c r="G48">
        <v>4.4000000000000004</v>
      </c>
      <c r="H48">
        <v>83</v>
      </c>
      <c r="I48">
        <v>19</v>
      </c>
      <c r="J48" s="45" t="s">
        <v>80</v>
      </c>
      <c r="K48" s="45">
        <f>IF(BrewdogNew[[#This Row],[Yeast]]=BrewdogNew[[#Headers],[Wyeast 1056 - American Ale]],1,0)</f>
        <v>0</v>
      </c>
      <c r="L48" s="45">
        <f>IF(BrewdogNew[[#This Row],[Yeast]]=BrewdogNew[[#Headers],[Wyeast 2007 - Pilsen Lager]],1,0)</f>
        <v>0</v>
      </c>
      <c r="M48" s="45">
        <f>IF(BrewdogNew[[#This Row],[Yeast]]=BrewdogNew[[#Headers],[Wyeast 3711 - French Saison]],1,0)</f>
        <v>0</v>
      </c>
      <c r="N48" s="45">
        <f>IF(BrewdogNew[[#This Row],[Yeast]]=BrewdogNew[[#Headers],[Wyeast 1272 - American Ale II]],1,0)</f>
        <v>1</v>
      </c>
      <c r="O48" s="45" t="str">
        <f>BrewdogNew[[#This Row],[Name]]</f>
        <v>Prototype 27</v>
      </c>
      <c r="P48" t="str">
        <f>IF(BrewdogNew[[#This Row],[ABV]]="*", BrewdogNew[[#This Row],[IBU]], "")</f>
        <v/>
      </c>
      <c r="Q48" t="str">
        <f>IF(BrewdogNew[[#This Row],[ABV]]="*", BrewdogNew[[#This Row],[OG]], "")</f>
        <v/>
      </c>
      <c r="R48" t="str">
        <f>IF(BrewdogNew[[#This Row],[ABV]]="*", BrewdogNew[[#This Row],[EBC]], "")</f>
        <v/>
      </c>
      <c r="S48" t="str">
        <f>IF(BrewdogNew[[#This Row],[ABV]]="*", BrewdogNew[[#This Row],[PH]], "")</f>
        <v/>
      </c>
      <c r="T48" t="str">
        <f>IF(BrewdogNew[[#This Row],[ABV]]="*", BrewdogNew[[#This Row],[AttenuationLevel]], "")</f>
        <v/>
      </c>
      <c r="U48" t="str">
        <f>IF(BrewdogNew[[#This Row],[ABV]]="*", BrewdogNew[[#This Row],[FermentationTempCelsius]], "")</f>
        <v/>
      </c>
      <c r="V48" t="str">
        <f>IF(BrewdogNew[[#This Row],[ABV]]="*", BrewdogNew[[#This Row],[Yeast]], "")</f>
        <v/>
      </c>
    </row>
    <row r="49" spans="1:22" hidden="1" x14ac:dyDescent="0.25">
      <c r="A49" s="45" t="s">
        <v>114</v>
      </c>
      <c r="B49">
        <v>9</v>
      </c>
      <c r="C49" s="2" t="s">
        <v>274</v>
      </c>
      <c r="D49">
        <v>65</v>
      </c>
      <c r="E49">
        <v>1080</v>
      </c>
      <c r="F49">
        <v>97</v>
      </c>
      <c r="G49">
        <v>4.4000000000000004</v>
      </c>
      <c r="H49">
        <v>76</v>
      </c>
      <c r="I49">
        <v>19</v>
      </c>
      <c r="J49" s="45" t="s">
        <v>64</v>
      </c>
      <c r="K49" s="45">
        <f>IF(BrewdogNew[[#This Row],[Yeast]]=BrewdogNew[[#Headers],[Wyeast 1056 - American Ale]],1,0)</f>
        <v>1</v>
      </c>
      <c r="L49" s="45">
        <f>IF(BrewdogNew[[#This Row],[Yeast]]=BrewdogNew[[#Headers],[Wyeast 2007 - Pilsen Lager]],1,0)</f>
        <v>0</v>
      </c>
      <c r="M49" s="45">
        <f>IF(BrewdogNew[[#This Row],[Yeast]]=BrewdogNew[[#Headers],[Wyeast 3711 - French Saison]],1,0)</f>
        <v>0</v>
      </c>
      <c r="N49" s="45">
        <f>IF(BrewdogNew[[#This Row],[Yeast]]=BrewdogNew[[#Headers],[Wyeast 1272 - American Ale II]],1,0)</f>
        <v>0</v>
      </c>
      <c r="O49" s="45" t="str">
        <f>BrewdogNew[[#This Row],[Name]]</f>
        <v>Coffee Imperial Stout</v>
      </c>
      <c r="P49" t="str">
        <f>IF(BrewdogNew[[#This Row],[ABV]]="*", BrewdogNew[[#This Row],[IBU]], "")</f>
        <v/>
      </c>
      <c r="Q49" t="str">
        <f>IF(BrewdogNew[[#This Row],[ABV]]="*", BrewdogNew[[#This Row],[OG]], "")</f>
        <v/>
      </c>
      <c r="R49" t="str">
        <f>IF(BrewdogNew[[#This Row],[ABV]]="*", BrewdogNew[[#This Row],[EBC]], "")</f>
        <v/>
      </c>
      <c r="S49" t="str">
        <f>IF(BrewdogNew[[#This Row],[ABV]]="*", BrewdogNew[[#This Row],[PH]], "")</f>
        <v/>
      </c>
      <c r="T49" t="str">
        <f>IF(BrewdogNew[[#This Row],[ABV]]="*", BrewdogNew[[#This Row],[AttenuationLevel]], "")</f>
        <v/>
      </c>
      <c r="U49" t="str">
        <f>IF(BrewdogNew[[#This Row],[ABV]]="*", BrewdogNew[[#This Row],[FermentationTempCelsius]], "")</f>
        <v/>
      </c>
      <c r="V49" t="str">
        <f>IF(BrewdogNew[[#This Row],[ABV]]="*", BrewdogNew[[#This Row],[Yeast]], "")</f>
        <v/>
      </c>
    </row>
    <row r="50" spans="1:22" hidden="1" x14ac:dyDescent="0.25">
      <c r="A50" s="45" t="s">
        <v>115</v>
      </c>
      <c r="B50">
        <v>7.2</v>
      </c>
      <c r="C50" s="2" t="s">
        <v>274</v>
      </c>
      <c r="D50">
        <v>100</v>
      </c>
      <c r="E50">
        <v>1064</v>
      </c>
      <c r="F50">
        <v>12</v>
      </c>
      <c r="G50">
        <v>4.4000000000000004</v>
      </c>
      <c r="H50">
        <v>84</v>
      </c>
      <c r="I50">
        <v>19</v>
      </c>
      <c r="J50" s="45" t="s">
        <v>64</v>
      </c>
      <c r="K50" s="45">
        <f>IF(BrewdogNew[[#This Row],[Yeast]]=BrewdogNew[[#Headers],[Wyeast 1056 - American Ale]],1,0)</f>
        <v>1</v>
      </c>
      <c r="L50" s="45">
        <f>IF(BrewdogNew[[#This Row],[Yeast]]=BrewdogNew[[#Headers],[Wyeast 2007 - Pilsen Lager]],1,0)</f>
        <v>0</v>
      </c>
      <c r="M50" s="45">
        <f>IF(BrewdogNew[[#This Row],[Yeast]]=BrewdogNew[[#Headers],[Wyeast 3711 - French Saison]],1,0)</f>
        <v>0</v>
      </c>
      <c r="N50" s="45">
        <f>IF(BrewdogNew[[#This Row],[Yeast]]=BrewdogNew[[#Headers],[Wyeast 1272 - American Ale II]],1,0)</f>
        <v>0</v>
      </c>
      <c r="O50" s="45" t="str">
        <f>BrewdogNew[[#This Row],[Name]]</f>
        <v>Mandarina Bavaria - IPA Is Dead</v>
      </c>
      <c r="P50" t="str">
        <f>IF(BrewdogNew[[#This Row],[ABV]]="*", BrewdogNew[[#This Row],[IBU]], "")</f>
        <v/>
      </c>
      <c r="Q50" t="str">
        <f>IF(BrewdogNew[[#This Row],[ABV]]="*", BrewdogNew[[#This Row],[OG]], "")</f>
        <v/>
      </c>
      <c r="R50" t="str">
        <f>IF(BrewdogNew[[#This Row],[ABV]]="*", BrewdogNew[[#This Row],[EBC]], "")</f>
        <v/>
      </c>
      <c r="S50" t="str">
        <f>IF(BrewdogNew[[#This Row],[ABV]]="*", BrewdogNew[[#This Row],[PH]], "")</f>
        <v/>
      </c>
      <c r="T50" t="str">
        <f>IF(BrewdogNew[[#This Row],[ABV]]="*", BrewdogNew[[#This Row],[AttenuationLevel]], "")</f>
        <v/>
      </c>
      <c r="U50" t="str">
        <f>IF(BrewdogNew[[#This Row],[ABV]]="*", BrewdogNew[[#This Row],[FermentationTempCelsius]], "")</f>
        <v/>
      </c>
      <c r="V50" t="str">
        <f>IF(BrewdogNew[[#This Row],[ABV]]="*", BrewdogNew[[#This Row],[Yeast]], "")</f>
        <v/>
      </c>
    </row>
    <row r="51" spans="1:22" hidden="1" x14ac:dyDescent="0.25">
      <c r="A51" s="45" t="s">
        <v>116</v>
      </c>
      <c r="B51">
        <v>7.5</v>
      </c>
      <c r="C51" s="2" t="s">
        <v>274</v>
      </c>
      <c r="D51">
        <v>30</v>
      </c>
      <c r="E51">
        <v>1080</v>
      </c>
      <c r="F51">
        <v>46</v>
      </c>
      <c r="G51">
        <v>4.5</v>
      </c>
      <c r="H51">
        <v>70</v>
      </c>
      <c r="I51">
        <v>12</v>
      </c>
      <c r="J51" s="45" t="s">
        <v>68</v>
      </c>
      <c r="K51" s="45">
        <f>IF(BrewdogNew[[#This Row],[Yeast]]=BrewdogNew[[#Headers],[Wyeast 1056 - American Ale]],1,0)</f>
        <v>0</v>
      </c>
      <c r="L51" s="45">
        <f>IF(BrewdogNew[[#This Row],[Yeast]]=BrewdogNew[[#Headers],[Wyeast 2007 - Pilsen Lager]],1,0)</f>
        <v>1</v>
      </c>
      <c r="M51" s="45">
        <f>IF(BrewdogNew[[#This Row],[Yeast]]=BrewdogNew[[#Headers],[Wyeast 3711 - French Saison]],1,0)</f>
        <v>0</v>
      </c>
      <c r="N51" s="45">
        <f>IF(BrewdogNew[[#This Row],[Yeast]]=BrewdogNew[[#Headers],[Wyeast 1272 - American Ale II]],1,0)</f>
        <v>0</v>
      </c>
      <c r="O51" s="45" t="str">
        <f>BrewdogNew[[#This Row],[Name]]</f>
        <v>Dogma</v>
      </c>
      <c r="P51" t="str">
        <f>IF(BrewdogNew[[#This Row],[ABV]]="*", BrewdogNew[[#This Row],[IBU]], "")</f>
        <v/>
      </c>
      <c r="Q51" t="str">
        <f>IF(BrewdogNew[[#This Row],[ABV]]="*", BrewdogNew[[#This Row],[OG]], "")</f>
        <v/>
      </c>
      <c r="R51" t="str">
        <f>IF(BrewdogNew[[#This Row],[ABV]]="*", BrewdogNew[[#This Row],[EBC]], "")</f>
        <v/>
      </c>
      <c r="S51" t="str">
        <f>IF(BrewdogNew[[#This Row],[ABV]]="*", BrewdogNew[[#This Row],[PH]], "")</f>
        <v/>
      </c>
      <c r="T51" t="str">
        <f>IF(BrewdogNew[[#This Row],[ABV]]="*", BrewdogNew[[#This Row],[AttenuationLevel]], "")</f>
        <v/>
      </c>
      <c r="U51" t="str">
        <f>IF(BrewdogNew[[#This Row],[ABV]]="*", BrewdogNew[[#This Row],[FermentationTempCelsius]], "")</f>
        <v/>
      </c>
      <c r="V51" t="str">
        <f>IF(BrewdogNew[[#This Row],[ABV]]="*", BrewdogNew[[#This Row],[Yeast]], "")</f>
        <v/>
      </c>
    </row>
    <row r="52" spans="1:22" x14ac:dyDescent="0.25">
      <c r="A52" s="45" t="s">
        <v>117</v>
      </c>
      <c r="B52" s="31" t="s">
        <v>32</v>
      </c>
      <c r="C52" s="51">
        <v>1</v>
      </c>
      <c r="D52">
        <v>30</v>
      </c>
      <c r="E52">
        <v>1043</v>
      </c>
      <c r="F52">
        <v>15</v>
      </c>
      <c r="G52">
        <v>4.4000000000000004</v>
      </c>
      <c r="H52">
        <v>81.400000000000006</v>
      </c>
      <c r="I52">
        <v>23</v>
      </c>
      <c r="J52" s="45" t="s">
        <v>71</v>
      </c>
      <c r="K52" s="45">
        <f>IF(BrewdogNew[[#This Row],[Yeast]]=BrewdogNew[[#Headers],[Wyeast 1056 - American Ale]],1,0)</f>
        <v>0</v>
      </c>
      <c r="L52" s="45">
        <f>IF(BrewdogNew[[#This Row],[Yeast]]=BrewdogNew[[#Headers],[Wyeast 2007 - Pilsen Lager]],1,0)</f>
        <v>0</v>
      </c>
      <c r="M52" s="45">
        <f>IF(BrewdogNew[[#This Row],[Yeast]]=BrewdogNew[[#Headers],[Wyeast 3711 - French Saison]],1,0)</f>
        <v>1</v>
      </c>
      <c r="N52" s="45">
        <f>IF(BrewdogNew[[#This Row],[Yeast]]=BrewdogNew[[#Headers],[Wyeast 1272 - American Ale II]],1,0)</f>
        <v>0</v>
      </c>
      <c r="O52" s="45" t="str">
        <f>BrewdogNew[[#This Row],[Name]]</f>
        <v>Magic Stone Dog (w/Magic Rock &amp; Stone Brewing Co.)</v>
      </c>
      <c r="P52">
        <f>IF(BrewdogNew[[#This Row],[ABV]]="*", BrewdogNew[[#This Row],[IBU]], "")</f>
        <v>30</v>
      </c>
      <c r="Q52">
        <f>IF(BrewdogNew[[#This Row],[ABV]]="*", BrewdogNew[[#This Row],[OG]], "")</f>
        <v>1043</v>
      </c>
      <c r="R52">
        <f>IF(BrewdogNew[[#This Row],[ABV]]="*", BrewdogNew[[#This Row],[EBC]], "")</f>
        <v>15</v>
      </c>
      <c r="S52">
        <f>IF(BrewdogNew[[#This Row],[ABV]]="*", BrewdogNew[[#This Row],[PH]], "")</f>
        <v>4.4000000000000004</v>
      </c>
      <c r="T52">
        <f>IF(BrewdogNew[[#This Row],[ABV]]="*", BrewdogNew[[#This Row],[AttenuationLevel]], "")</f>
        <v>81.400000000000006</v>
      </c>
      <c r="U52">
        <f>IF(BrewdogNew[[#This Row],[ABV]]="*", BrewdogNew[[#This Row],[FermentationTempCelsius]], "")</f>
        <v>23</v>
      </c>
      <c r="V52" t="str">
        <f>IF(BrewdogNew[[#This Row],[ABV]]="*", BrewdogNew[[#This Row],[Yeast]], "")</f>
        <v>Wyeast 3711 - French Saison</v>
      </c>
    </row>
    <row r="53" spans="1:22" hidden="1" x14ac:dyDescent="0.25">
      <c r="A53" s="45" t="s">
        <v>118</v>
      </c>
      <c r="B53">
        <v>10.43</v>
      </c>
      <c r="C53" s="2" t="s">
        <v>274</v>
      </c>
      <c r="D53">
        <v>65</v>
      </c>
      <c r="E53">
        <v>1095</v>
      </c>
      <c r="F53">
        <v>23</v>
      </c>
      <c r="G53">
        <v>4.4000000000000004</v>
      </c>
      <c r="H53">
        <v>83.2</v>
      </c>
      <c r="I53">
        <v>21</v>
      </c>
      <c r="J53" s="45" t="s">
        <v>80</v>
      </c>
      <c r="K53" s="45">
        <f>IF(BrewdogNew[[#This Row],[Yeast]]=BrewdogNew[[#Headers],[Wyeast 1056 - American Ale]],1,0)</f>
        <v>0</v>
      </c>
      <c r="L53" s="45">
        <f>IF(BrewdogNew[[#This Row],[Yeast]]=BrewdogNew[[#Headers],[Wyeast 2007 - Pilsen Lager]],1,0)</f>
        <v>0</v>
      </c>
      <c r="M53" s="45">
        <f>IF(BrewdogNew[[#This Row],[Yeast]]=BrewdogNew[[#Headers],[Wyeast 3711 - French Saison]],1,0)</f>
        <v>0</v>
      </c>
      <c r="N53" s="45">
        <f>IF(BrewdogNew[[#This Row],[Yeast]]=BrewdogNew[[#Headers],[Wyeast 1272 - American Ale II]],1,0)</f>
        <v>1</v>
      </c>
      <c r="O53" s="45" t="str">
        <f>BrewdogNew[[#This Row],[Name]]</f>
        <v>AB:08</v>
      </c>
      <c r="P53" t="str">
        <f>IF(BrewdogNew[[#This Row],[ABV]]="*", BrewdogNew[[#This Row],[IBU]], "")</f>
        <v/>
      </c>
      <c r="Q53" t="str">
        <f>IF(BrewdogNew[[#This Row],[ABV]]="*", BrewdogNew[[#This Row],[OG]], "")</f>
        <v/>
      </c>
      <c r="R53" t="str">
        <f>IF(BrewdogNew[[#This Row],[ABV]]="*", BrewdogNew[[#This Row],[EBC]], "")</f>
        <v/>
      </c>
      <c r="S53" t="str">
        <f>IF(BrewdogNew[[#This Row],[ABV]]="*", BrewdogNew[[#This Row],[PH]], "")</f>
        <v/>
      </c>
      <c r="T53" t="str">
        <f>IF(BrewdogNew[[#This Row],[ABV]]="*", BrewdogNew[[#This Row],[AttenuationLevel]], "")</f>
        <v/>
      </c>
      <c r="U53" t="str">
        <f>IF(BrewdogNew[[#This Row],[ABV]]="*", BrewdogNew[[#This Row],[FermentationTempCelsius]], "")</f>
        <v/>
      </c>
      <c r="V53" t="str">
        <f>IF(BrewdogNew[[#This Row],[ABV]]="*", BrewdogNew[[#This Row],[Yeast]], "")</f>
        <v/>
      </c>
    </row>
    <row r="54" spans="1:22" hidden="1" x14ac:dyDescent="0.25">
      <c r="A54" s="45" t="s">
        <v>119</v>
      </c>
      <c r="B54">
        <v>7.1</v>
      </c>
      <c r="C54" s="2" t="s">
        <v>274</v>
      </c>
      <c r="D54">
        <v>68</v>
      </c>
      <c r="E54">
        <v>1056</v>
      </c>
      <c r="F54">
        <v>14</v>
      </c>
      <c r="G54">
        <v>4.4000000000000004</v>
      </c>
      <c r="H54">
        <v>82.1</v>
      </c>
      <c r="I54">
        <v>10</v>
      </c>
      <c r="J54" s="45" t="s">
        <v>68</v>
      </c>
      <c r="K54" s="45">
        <f>IF(BrewdogNew[[#This Row],[Yeast]]=BrewdogNew[[#Headers],[Wyeast 1056 - American Ale]],1,0)</f>
        <v>0</v>
      </c>
      <c r="L54" s="45">
        <f>IF(BrewdogNew[[#This Row],[Yeast]]=BrewdogNew[[#Headers],[Wyeast 2007 - Pilsen Lager]],1,0)</f>
        <v>1</v>
      </c>
      <c r="M54" s="45">
        <f>IF(BrewdogNew[[#This Row],[Yeast]]=BrewdogNew[[#Headers],[Wyeast 3711 - French Saison]],1,0)</f>
        <v>0</v>
      </c>
      <c r="N54" s="45">
        <f>IF(BrewdogNew[[#This Row],[Yeast]]=BrewdogNew[[#Headers],[Wyeast 1272 - American Ale II]],1,0)</f>
        <v>0</v>
      </c>
      <c r="O54" s="45" t="str">
        <f>BrewdogNew[[#This Row],[Name]]</f>
        <v>Sunk Punk</v>
      </c>
      <c r="P54" t="str">
        <f>IF(BrewdogNew[[#This Row],[ABV]]="*", BrewdogNew[[#This Row],[IBU]], "")</f>
        <v/>
      </c>
      <c r="Q54" t="str">
        <f>IF(BrewdogNew[[#This Row],[ABV]]="*", BrewdogNew[[#This Row],[OG]], "")</f>
        <v/>
      </c>
      <c r="R54" t="str">
        <f>IF(BrewdogNew[[#This Row],[ABV]]="*", BrewdogNew[[#This Row],[EBC]], "")</f>
        <v/>
      </c>
      <c r="S54" t="str">
        <f>IF(BrewdogNew[[#This Row],[ABV]]="*", BrewdogNew[[#This Row],[PH]], "")</f>
        <v/>
      </c>
      <c r="T54" t="str">
        <f>IF(BrewdogNew[[#This Row],[ABV]]="*", BrewdogNew[[#This Row],[AttenuationLevel]], "")</f>
        <v/>
      </c>
      <c r="U54" t="str">
        <f>IF(BrewdogNew[[#This Row],[ABV]]="*", BrewdogNew[[#This Row],[FermentationTempCelsius]], "")</f>
        <v/>
      </c>
      <c r="V54" t="str">
        <f>IF(BrewdogNew[[#This Row],[ABV]]="*", BrewdogNew[[#This Row],[Yeast]], "")</f>
        <v/>
      </c>
    </row>
    <row r="55" spans="1:22" hidden="1" x14ac:dyDescent="0.25">
      <c r="A55" s="45" t="s">
        <v>120</v>
      </c>
      <c r="B55">
        <v>8</v>
      </c>
      <c r="C55" s="2" t="s">
        <v>274</v>
      </c>
      <c r="D55">
        <v>35</v>
      </c>
      <c r="E55">
        <v>1077</v>
      </c>
      <c r="F55">
        <v>15</v>
      </c>
      <c r="G55">
        <v>4.4000000000000004</v>
      </c>
      <c r="H55">
        <v>79.2</v>
      </c>
      <c r="I55">
        <v>9</v>
      </c>
      <c r="J55" s="45" t="s">
        <v>68</v>
      </c>
      <c r="K55" s="45">
        <f>IF(BrewdogNew[[#This Row],[Yeast]]=BrewdogNew[[#Headers],[Wyeast 1056 - American Ale]],1,0)</f>
        <v>0</v>
      </c>
      <c r="L55" s="45">
        <f>IF(BrewdogNew[[#This Row],[Yeast]]=BrewdogNew[[#Headers],[Wyeast 2007 - Pilsen Lager]],1,0)</f>
        <v>1</v>
      </c>
      <c r="M55" s="45">
        <f>IF(BrewdogNew[[#This Row],[Yeast]]=BrewdogNew[[#Headers],[Wyeast 3711 - French Saison]],1,0)</f>
        <v>0</v>
      </c>
      <c r="N55" s="45">
        <f>IF(BrewdogNew[[#This Row],[Yeast]]=BrewdogNew[[#Headers],[Wyeast 1272 - American Ale II]],1,0)</f>
        <v>0</v>
      </c>
      <c r="O55" s="45" t="str">
        <f>BrewdogNew[[#This Row],[Name]]</f>
        <v>Sub Hop</v>
      </c>
      <c r="P55" t="str">
        <f>IF(BrewdogNew[[#This Row],[ABV]]="*", BrewdogNew[[#This Row],[IBU]], "")</f>
        <v/>
      </c>
      <c r="Q55" t="str">
        <f>IF(BrewdogNew[[#This Row],[ABV]]="*", BrewdogNew[[#This Row],[OG]], "")</f>
        <v/>
      </c>
      <c r="R55" t="str">
        <f>IF(BrewdogNew[[#This Row],[ABV]]="*", BrewdogNew[[#This Row],[EBC]], "")</f>
        <v/>
      </c>
      <c r="S55" t="str">
        <f>IF(BrewdogNew[[#This Row],[ABV]]="*", BrewdogNew[[#This Row],[PH]], "")</f>
        <v/>
      </c>
      <c r="T55" t="str">
        <f>IF(BrewdogNew[[#This Row],[ABV]]="*", BrewdogNew[[#This Row],[AttenuationLevel]], "")</f>
        <v/>
      </c>
      <c r="U55" t="str">
        <f>IF(BrewdogNew[[#This Row],[ABV]]="*", BrewdogNew[[#This Row],[FermentationTempCelsius]], "")</f>
        <v/>
      </c>
      <c r="V55" t="str">
        <f>IF(BrewdogNew[[#This Row],[ABV]]="*", BrewdogNew[[#This Row],[Yeast]], "")</f>
        <v/>
      </c>
    </row>
    <row r="56" spans="1:22" hidden="1" x14ac:dyDescent="0.25">
      <c r="A56" s="45" t="s">
        <v>121</v>
      </c>
      <c r="B56">
        <v>5</v>
      </c>
      <c r="C56" s="2" t="s">
        <v>274</v>
      </c>
      <c r="D56">
        <v>50</v>
      </c>
      <c r="E56">
        <v>1049</v>
      </c>
      <c r="F56">
        <v>110</v>
      </c>
      <c r="G56">
        <v>4.4000000000000004</v>
      </c>
      <c r="H56">
        <v>79</v>
      </c>
      <c r="I56">
        <v>19</v>
      </c>
      <c r="J56" s="45" t="s">
        <v>64</v>
      </c>
      <c r="K56" s="45">
        <f>IF(BrewdogNew[[#This Row],[Yeast]]=BrewdogNew[[#Headers],[Wyeast 1056 - American Ale]],1,0)</f>
        <v>1</v>
      </c>
      <c r="L56" s="45">
        <f>IF(BrewdogNew[[#This Row],[Yeast]]=BrewdogNew[[#Headers],[Wyeast 2007 - Pilsen Lager]],1,0)</f>
        <v>0</v>
      </c>
      <c r="M56" s="45">
        <f>IF(BrewdogNew[[#This Row],[Yeast]]=BrewdogNew[[#Headers],[Wyeast 3711 - French Saison]],1,0)</f>
        <v>0</v>
      </c>
      <c r="N56" s="45">
        <f>IF(BrewdogNew[[#This Row],[Yeast]]=BrewdogNew[[#Headers],[Wyeast 1272 - American Ale II]],1,0)</f>
        <v>0</v>
      </c>
      <c r="O56" s="45" t="str">
        <f>BrewdogNew[[#This Row],[Name]]</f>
        <v>Bracken's Porter</v>
      </c>
      <c r="P56" t="str">
        <f>IF(BrewdogNew[[#This Row],[ABV]]="*", BrewdogNew[[#This Row],[IBU]], "")</f>
        <v/>
      </c>
      <c r="Q56" t="str">
        <f>IF(BrewdogNew[[#This Row],[ABV]]="*", BrewdogNew[[#This Row],[OG]], "")</f>
        <v/>
      </c>
      <c r="R56" t="str">
        <f>IF(BrewdogNew[[#This Row],[ABV]]="*", BrewdogNew[[#This Row],[EBC]], "")</f>
        <v/>
      </c>
      <c r="S56" t="str">
        <f>IF(BrewdogNew[[#This Row],[ABV]]="*", BrewdogNew[[#This Row],[PH]], "")</f>
        <v/>
      </c>
      <c r="T56" t="str">
        <f>IF(BrewdogNew[[#This Row],[ABV]]="*", BrewdogNew[[#This Row],[AttenuationLevel]], "")</f>
        <v/>
      </c>
      <c r="U56" t="str">
        <f>IF(BrewdogNew[[#This Row],[ABV]]="*", BrewdogNew[[#This Row],[FermentationTempCelsius]], "")</f>
        <v/>
      </c>
      <c r="V56" t="str">
        <f>IF(BrewdogNew[[#This Row],[ABV]]="*", BrewdogNew[[#This Row],[Yeast]], "")</f>
        <v/>
      </c>
    </row>
    <row r="57" spans="1:22" hidden="1" x14ac:dyDescent="0.25">
      <c r="A57" s="45" t="s">
        <v>122</v>
      </c>
      <c r="B57">
        <v>5.4</v>
      </c>
      <c r="C57" s="2" t="s">
        <v>274</v>
      </c>
      <c r="D57">
        <v>35</v>
      </c>
      <c r="E57">
        <v>1050</v>
      </c>
      <c r="F57">
        <v>11.5</v>
      </c>
      <c r="G57">
        <v>4.4000000000000004</v>
      </c>
      <c r="H57">
        <v>84</v>
      </c>
      <c r="I57">
        <v>19</v>
      </c>
      <c r="J57" s="45" t="s">
        <v>64</v>
      </c>
      <c r="K57" s="45">
        <f>IF(BrewdogNew[[#This Row],[Yeast]]=BrewdogNew[[#Headers],[Wyeast 1056 - American Ale]],1,0)</f>
        <v>1</v>
      </c>
      <c r="L57" s="45">
        <f>IF(BrewdogNew[[#This Row],[Yeast]]=BrewdogNew[[#Headers],[Wyeast 2007 - Pilsen Lager]],1,0)</f>
        <v>0</v>
      </c>
      <c r="M57" s="45">
        <f>IF(BrewdogNew[[#This Row],[Yeast]]=BrewdogNew[[#Headers],[Wyeast 3711 - French Saison]],1,0)</f>
        <v>0</v>
      </c>
      <c r="N57" s="45">
        <f>IF(BrewdogNew[[#This Row],[Yeast]]=BrewdogNew[[#Headers],[Wyeast 1272 - American Ale II]],1,0)</f>
        <v>0</v>
      </c>
      <c r="O57" s="45" t="str">
        <f>BrewdogNew[[#This Row],[Name]]</f>
        <v>Hunter Foundation Pale Ale</v>
      </c>
      <c r="P57" t="str">
        <f>IF(BrewdogNew[[#This Row],[ABV]]="*", BrewdogNew[[#This Row],[IBU]], "")</f>
        <v/>
      </c>
      <c r="Q57" t="str">
        <f>IF(BrewdogNew[[#This Row],[ABV]]="*", BrewdogNew[[#This Row],[OG]], "")</f>
        <v/>
      </c>
      <c r="R57" t="str">
        <f>IF(BrewdogNew[[#This Row],[ABV]]="*", BrewdogNew[[#This Row],[EBC]], "")</f>
        <v/>
      </c>
      <c r="S57" t="str">
        <f>IF(BrewdogNew[[#This Row],[ABV]]="*", BrewdogNew[[#This Row],[PH]], "")</f>
        <v/>
      </c>
      <c r="T57" t="str">
        <f>IF(BrewdogNew[[#This Row],[ABV]]="*", BrewdogNew[[#This Row],[AttenuationLevel]], "")</f>
        <v/>
      </c>
      <c r="U57" t="str">
        <f>IF(BrewdogNew[[#This Row],[ABV]]="*", BrewdogNew[[#This Row],[FermentationTempCelsius]], "")</f>
        <v/>
      </c>
      <c r="V57" t="str">
        <f>IF(BrewdogNew[[#This Row],[ABV]]="*", BrewdogNew[[#This Row],[Yeast]], "")</f>
        <v/>
      </c>
    </row>
    <row r="58" spans="1:22" hidden="1" x14ac:dyDescent="0.25">
      <c r="A58" s="45" t="s">
        <v>123</v>
      </c>
      <c r="B58">
        <v>4.0999999999999996</v>
      </c>
      <c r="C58" s="2" t="s">
        <v>274</v>
      </c>
      <c r="D58">
        <v>65</v>
      </c>
      <c r="E58">
        <v>1042</v>
      </c>
      <c r="F58">
        <v>17</v>
      </c>
      <c r="G58">
        <v>4.4000000000000004</v>
      </c>
      <c r="H58">
        <v>76.2</v>
      </c>
      <c r="I58">
        <v>19</v>
      </c>
      <c r="J58" s="45" t="s">
        <v>80</v>
      </c>
      <c r="K58" s="45">
        <f>IF(BrewdogNew[[#This Row],[Yeast]]=BrewdogNew[[#Headers],[Wyeast 1056 - American Ale]],1,0)</f>
        <v>0</v>
      </c>
      <c r="L58" s="45">
        <f>IF(BrewdogNew[[#This Row],[Yeast]]=BrewdogNew[[#Headers],[Wyeast 2007 - Pilsen Lager]],1,0)</f>
        <v>0</v>
      </c>
      <c r="M58" s="45">
        <f>IF(BrewdogNew[[#This Row],[Yeast]]=BrewdogNew[[#Headers],[Wyeast 3711 - French Saison]],1,0)</f>
        <v>0</v>
      </c>
      <c r="N58" s="45">
        <f>IF(BrewdogNew[[#This Row],[Yeast]]=BrewdogNew[[#Headers],[Wyeast 1272 - American Ale II]],1,0)</f>
        <v>1</v>
      </c>
      <c r="O58" s="45" t="str">
        <f>BrewdogNew[[#This Row],[Name]]</f>
        <v>Hype</v>
      </c>
      <c r="P58" t="str">
        <f>IF(BrewdogNew[[#This Row],[ABV]]="*", BrewdogNew[[#This Row],[IBU]], "")</f>
        <v/>
      </c>
      <c r="Q58" t="str">
        <f>IF(BrewdogNew[[#This Row],[ABV]]="*", BrewdogNew[[#This Row],[OG]], "")</f>
        <v/>
      </c>
      <c r="R58" t="str">
        <f>IF(BrewdogNew[[#This Row],[ABV]]="*", BrewdogNew[[#This Row],[EBC]], "")</f>
        <v/>
      </c>
      <c r="S58" t="str">
        <f>IF(BrewdogNew[[#This Row],[ABV]]="*", BrewdogNew[[#This Row],[PH]], "")</f>
        <v/>
      </c>
      <c r="T58" t="str">
        <f>IF(BrewdogNew[[#This Row],[ABV]]="*", BrewdogNew[[#This Row],[AttenuationLevel]], "")</f>
        <v/>
      </c>
      <c r="U58" t="str">
        <f>IF(BrewdogNew[[#This Row],[ABV]]="*", BrewdogNew[[#This Row],[FermentationTempCelsius]], "")</f>
        <v/>
      </c>
      <c r="V58" t="str">
        <f>IF(BrewdogNew[[#This Row],[ABV]]="*", BrewdogNew[[#This Row],[Yeast]], "")</f>
        <v/>
      </c>
    </row>
    <row r="59" spans="1:22" hidden="1" x14ac:dyDescent="0.25">
      <c r="A59" s="45" t="s">
        <v>124</v>
      </c>
      <c r="B59">
        <v>10.199999999999999</v>
      </c>
      <c r="C59" s="2" t="s">
        <v>274</v>
      </c>
      <c r="D59">
        <v>50</v>
      </c>
      <c r="E59">
        <v>1026</v>
      </c>
      <c r="F59">
        <v>197</v>
      </c>
      <c r="G59">
        <v>4.4000000000000004</v>
      </c>
      <c r="H59">
        <v>74.5</v>
      </c>
      <c r="I59">
        <v>21</v>
      </c>
      <c r="J59" s="45" t="s">
        <v>80</v>
      </c>
      <c r="K59" s="45">
        <f>IF(BrewdogNew[[#This Row],[Yeast]]=BrewdogNew[[#Headers],[Wyeast 1056 - American Ale]],1,0)</f>
        <v>0</v>
      </c>
      <c r="L59" s="45">
        <f>IF(BrewdogNew[[#This Row],[Yeast]]=BrewdogNew[[#Headers],[Wyeast 2007 - Pilsen Lager]],1,0)</f>
        <v>0</v>
      </c>
      <c r="M59" s="45">
        <f>IF(BrewdogNew[[#This Row],[Yeast]]=BrewdogNew[[#Headers],[Wyeast 3711 - French Saison]],1,0)</f>
        <v>0</v>
      </c>
      <c r="N59" s="45">
        <f>IF(BrewdogNew[[#This Row],[Yeast]]=BrewdogNew[[#Headers],[Wyeast 1272 - American Ale II]],1,0)</f>
        <v>1</v>
      </c>
      <c r="O59" s="45" t="str">
        <f>BrewdogNew[[#This Row],[Name]]</f>
        <v>Sunmaid Stout</v>
      </c>
      <c r="P59" t="str">
        <f>IF(BrewdogNew[[#This Row],[ABV]]="*", BrewdogNew[[#This Row],[IBU]], "")</f>
        <v/>
      </c>
      <c r="Q59" t="str">
        <f>IF(BrewdogNew[[#This Row],[ABV]]="*", BrewdogNew[[#This Row],[OG]], "")</f>
        <v/>
      </c>
      <c r="R59" t="str">
        <f>IF(BrewdogNew[[#This Row],[ABV]]="*", BrewdogNew[[#This Row],[EBC]], "")</f>
        <v/>
      </c>
      <c r="S59" t="str">
        <f>IF(BrewdogNew[[#This Row],[ABV]]="*", BrewdogNew[[#This Row],[PH]], "")</f>
        <v/>
      </c>
      <c r="T59" t="str">
        <f>IF(BrewdogNew[[#This Row],[ABV]]="*", BrewdogNew[[#This Row],[AttenuationLevel]], "")</f>
        <v/>
      </c>
      <c r="U59" t="str">
        <f>IF(BrewdogNew[[#This Row],[ABV]]="*", BrewdogNew[[#This Row],[FermentationTempCelsius]], "")</f>
        <v/>
      </c>
      <c r="V59" t="str">
        <f>IF(BrewdogNew[[#This Row],[ABV]]="*", BrewdogNew[[#This Row],[Yeast]], "")</f>
        <v/>
      </c>
    </row>
    <row r="60" spans="1:22" hidden="1" x14ac:dyDescent="0.25">
      <c r="A60" s="45" t="s">
        <v>125</v>
      </c>
      <c r="B60">
        <v>4</v>
      </c>
      <c r="C60" s="2" t="s">
        <v>274</v>
      </c>
      <c r="D60">
        <v>35</v>
      </c>
      <c r="E60">
        <v>1041</v>
      </c>
      <c r="F60">
        <v>45</v>
      </c>
      <c r="G60">
        <v>5.2</v>
      </c>
      <c r="H60">
        <v>75.599999999999994</v>
      </c>
      <c r="I60">
        <v>19</v>
      </c>
      <c r="J60" s="45" t="s">
        <v>64</v>
      </c>
      <c r="K60" s="45">
        <f>IF(BrewdogNew[[#This Row],[Yeast]]=BrewdogNew[[#Headers],[Wyeast 1056 - American Ale]],1,0)</f>
        <v>1</v>
      </c>
      <c r="L60" s="45">
        <f>IF(BrewdogNew[[#This Row],[Yeast]]=BrewdogNew[[#Headers],[Wyeast 2007 - Pilsen Lager]],1,0)</f>
        <v>0</v>
      </c>
      <c r="M60" s="45">
        <f>IF(BrewdogNew[[#This Row],[Yeast]]=BrewdogNew[[#Headers],[Wyeast 3711 - French Saison]],1,0)</f>
        <v>0</v>
      </c>
      <c r="N60" s="45">
        <f>IF(BrewdogNew[[#This Row],[Yeast]]=BrewdogNew[[#Headers],[Wyeast 1272 - American Ale II]],1,0)</f>
        <v>0</v>
      </c>
      <c r="O60" s="45" t="str">
        <f>BrewdogNew[[#This Row],[Name]]</f>
        <v>Pale - Russian Doll</v>
      </c>
      <c r="P60" t="str">
        <f>IF(BrewdogNew[[#This Row],[ABV]]="*", BrewdogNew[[#This Row],[IBU]], "")</f>
        <v/>
      </c>
      <c r="Q60" t="str">
        <f>IF(BrewdogNew[[#This Row],[ABV]]="*", BrewdogNew[[#This Row],[OG]], "")</f>
        <v/>
      </c>
      <c r="R60" t="str">
        <f>IF(BrewdogNew[[#This Row],[ABV]]="*", BrewdogNew[[#This Row],[EBC]], "")</f>
        <v/>
      </c>
      <c r="S60" t="str">
        <f>IF(BrewdogNew[[#This Row],[ABV]]="*", BrewdogNew[[#This Row],[PH]], "")</f>
        <v/>
      </c>
      <c r="T60" t="str">
        <f>IF(BrewdogNew[[#This Row],[ABV]]="*", BrewdogNew[[#This Row],[AttenuationLevel]], "")</f>
        <v/>
      </c>
      <c r="U60" t="str">
        <f>IF(BrewdogNew[[#This Row],[ABV]]="*", BrewdogNew[[#This Row],[FermentationTempCelsius]], "")</f>
        <v/>
      </c>
      <c r="V60" t="str">
        <f>IF(BrewdogNew[[#This Row],[ABV]]="*", BrewdogNew[[#This Row],[Yeast]], "")</f>
        <v/>
      </c>
    </row>
    <row r="61" spans="1:22" hidden="1" x14ac:dyDescent="0.25">
      <c r="A61" s="45" t="s">
        <v>126</v>
      </c>
      <c r="B61">
        <v>7</v>
      </c>
      <c r="C61" s="2" t="s">
        <v>274</v>
      </c>
      <c r="D61">
        <v>20</v>
      </c>
      <c r="E61">
        <v>1081</v>
      </c>
      <c r="F61">
        <v>12</v>
      </c>
      <c r="G61">
        <v>3.2</v>
      </c>
      <c r="H61">
        <v>74</v>
      </c>
      <c r="I61">
        <v>19</v>
      </c>
      <c r="J61" s="45" t="s">
        <v>80</v>
      </c>
      <c r="K61" s="45">
        <f>IF(BrewdogNew[[#This Row],[Yeast]]=BrewdogNew[[#Headers],[Wyeast 1056 - American Ale]],1,0)</f>
        <v>0</v>
      </c>
      <c r="L61" s="45">
        <f>IF(BrewdogNew[[#This Row],[Yeast]]=BrewdogNew[[#Headers],[Wyeast 2007 - Pilsen Lager]],1,0)</f>
        <v>0</v>
      </c>
      <c r="M61" s="45">
        <f>IF(BrewdogNew[[#This Row],[Yeast]]=BrewdogNew[[#Headers],[Wyeast 3711 - French Saison]],1,0)</f>
        <v>0</v>
      </c>
      <c r="N61" s="45">
        <f>IF(BrewdogNew[[#This Row],[Yeast]]=BrewdogNew[[#Headers],[Wyeast 1272 - American Ale II]],1,0)</f>
        <v>1</v>
      </c>
      <c r="O61" s="45" t="str">
        <f>BrewdogNew[[#This Row],[Name]]</f>
        <v>Whisky Sour - B-Sides</v>
      </c>
      <c r="P61" t="str">
        <f>IF(BrewdogNew[[#This Row],[ABV]]="*", BrewdogNew[[#This Row],[IBU]], "")</f>
        <v/>
      </c>
      <c r="Q61" t="str">
        <f>IF(BrewdogNew[[#This Row],[ABV]]="*", BrewdogNew[[#This Row],[OG]], "")</f>
        <v/>
      </c>
      <c r="R61" t="str">
        <f>IF(BrewdogNew[[#This Row],[ABV]]="*", BrewdogNew[[#This Row],[EBC]], "")</f>
        <v/>
      </c>
      <c r="S61" t="str">
        <f>IF(BrewdogNew[[#This Row],[ABV]]="*", BrewdogNew[[#This Row],[PH]], "")</f>
        <v/>
      </c>
      <c r="T61" t="str">
        <f>IF(BrewdogNew[[#This Row],[ABV]]="*", BrewdogNew[[#This Row],[AttenuationLevel]], "")</f>
        <v/>
      </c>
      <c r="U61" t="str">
        <f>IF(BrewdogNew[[#This Row],[ABV]]="*", BrewdogNew[[#This Row],[FermentationTempCelsius]], "")</f>
        <v/>
      </c>
      <c r="V61" t="str">
        <f>IF(BrewdogNew[[#This Row],[ABV]]="*", BrewdogNew[[#This Row],[Yeast]], "")</f>
        <v/>
      </c>
    </row>
    <row r="62" spans="1:22" hidden="1" x14ac:dyDescent="0.25">
      <c r="A62" s="45" t="s">
        <v>127</v>
      </c>
      <c r="B62">
        <v>12.7</v>
      </c>
      <c r="C62" s="2" t="s">
        <v>274</v>
      </c>
      <c r="D62">
        <v>85</v>
      </c>
      <c r="E62">
        <v>1113.5</v>
      </c>
      <c r="F62">
        <v>250</v>
      </c>
      <c r="G62">
        <v>5.2</v>
      </c>
      <c r="H62">
        <v>76.8</v>
      </c>
      <c r="I62">
        <v>18</v>
      </c>
      <c r="J62" s="45" t="s">
        <v>80</v>
      </c>
      <c r="K62" s="45">
        <f>IF(BrewdogNew[[#This Row],[Yeast]]=BrewdogNew[[#Headers],[Wyeast 1056 - American Ale]],1,0)</f>
        <v>0</v>
      </c>
      <c r="L62" s="45">
        <f>IF(BrewdogNew[[#This Row],[Yeast]]=BrewdogNew[[#Headers],[Wyeast 2007 - Pilsen Lager]],1,0)</f>
        <v>0</v>
      </c>
      <c r="M62" s="45">
        <f>IF(BrewdogNew[[#This Row],[Yeast]]=BrewdogNew[[#Headers],[Wyeast 3711 - French Saison]],1,0)</f>
        <v>0</v>
      </c>
      <c r="N62" s="45">
        <f>IF(BrewdogNew[[#This Row],[Yeast]]=BrewdogNew[[#Headers],[Wyeast 1272 - American Ale II]],1,0)</f>
        <v>1</v>
      </c>
      <c r="O62" s="45" t="str">
        <f>BrewdogNew[[#This Row],[Name]]</f>
        <v>Black Eyed King Imp - Vietnamese Coffee Edition</v>
      </c>
      <c r="P62" t="str">
        <f>IF(BrewdogNew[[#This Row],[ABV]]="*", BrewdogNew[[#This Row],[IBU]], "")</f>
        <v/>
      </c>
      <c r="Q62" t="str">
        <f>IF(BrewdogNew[[#This Row],[ABV]]="*", BrewdogNew[[#This Row],[OG]], "")</f>
        <v/>
      </c>
      <c r="R62" t="str">
        <f>IF(BrewdogNew[[#This Row],[ABV]]="*", BrewdogNew[[#This Row],[EBC]], "")</f>
        <v/>
      </c>
      <c r="S62" t="str">
        <f>IF(BrewdogNew[[#This Row],[ABV]]="*", BrewdogNew[[#This Row],[PH]], "")</f>
        <v/>
      </c>
      <c r="T62" t="str">
        <f>IF(BrewdogNew[[#This Row],[ABV]]="*", BrewdogNew[[#This Row],[AttenuationLevel]], "")</f>
        <v/>
      </c>
      <c r="U62" t="str">
        <f>IF(BrewdogNew[[#This Row],[ABV]]="*", BrewdogNew[[#This Row],[FermentationTempCelsius]], "")</f>
        <v/>
      </c>
      <c r="V62" t="str">
        <f>IF(BrewdogNew[[#This Row],[ABV]]="*", BrewdogNew[[#This Row],[Yeast]], "")</f>
        <v/>
      </c>
    </row>
    <row r="63" spans="1:22" hidden="1" x14ac:dyDescent="0.25">
      <c r="A63" s="45" t="s">
        <v>128</v>
      </c>
      <c r="B63">
        <v>6.5</v>
      </c>
      <c r="C63" s="2" t="s">
        <v>274</v>
      </c>
      <c r="D63">
        <v>35</v>
      </c>
      <c r="E63">
        <v>1050</v>
      </c>
      <c r="F63">
        <v>23</v>
      </c>
      <c r="G63">
        <v>4.4000000000000004</v>
      </c>
      <c r="H63">
        <v>76</v>
      </c>
      <c r="I63">
        <v>18</v>
      </c>
      <c r="J63" s="45" t="s">
        <v>64</v>
      </c>
      <c r="K63" s="45">
        <f>IF(BrewdogNew[[#This Row],[Yeast]]=BrewdogNew[[#Headers],[Wyeast 1056 - American Ale]],1,0)</f>
        <v>1</v>
      </c>
      <c r="L63" s="45">
        <f>IF(BrewdogNew[[#This Row],[Yeast]]=BrewdogNew[[#Headers],[Wyeast 2007 - Pilsen Lager]],1,0)</f>
        <v>0</v>
      </c>
      <c r="M63" s="45">
        <f>IF(BrewdogNew[[#This Row],[Yeast]]=BrewdogNew[[#Headers],[Wyeast 3711 - French Saison]],1,0)</f>
        <v>0</v>
      </c>
      <c r="N63" s="45">
        <f>IF(BrewdogNew[[#This Row],[Yeast]]=BrewdogNew[[#Headers],[Wyeast 1272 - American Ale II]],1,0)</f>
        <v>0</v>
      </c>
      <c r="O63" s="45" t="str">
        <f>BrewdogNew[[#This Row],[Name]]</f>
        <v>Never Mind The Anabolics</v>
      </c>
      <c r="P63" t="str">
        <f>IF(BrewdogNew[[#This Row],[ABV]]="*", BrewdogNew[[#This Row],[IBU]], "")</f>
        <v/>
      </c>
      <c r="Q63" t="str">
        <f>IF(BrewdogNew[[#This Row],[ABV]]="*", BrewdogNew[[#This Row],[OG]], "")</f>
        <v/>
      </c>
      <c r="R63" t="str">
        <f>IF(BrewdogNew[[#This Row],[ABV]]="*", BrewdogNew[[#This Row],[EBC]], "")</f>
        <v/>
      </c>
      <c r="S63" t="str">
        <f>IF(BrewdogNew[[#This Row],[ABV]]="*", BrewdogNew[[#This Row],[PH]], "")</f>
        <v/>
      </c>
      <c r="T63" t="str">
        <f>IF(BrewdogNew[[#This Row],[ABV]]="*", BrewdogNew[[#This Row],[AttenuationLevel]], "")</f>
        <v/>
      </c>
      <c r="U63" t="str">
        <f>IF(BrewdogNew[[#This Row],[ABV]]="*", BrewdogNew[[#This Row],[FermentationTempCelsius]], "")</f>
        <v/>
      </c>
      <c r="V63" t="str">
        <f>IF(BrewdogNew[[#This Row],[ABV]]="*", BrewdogNew[[#This Row],[Yeast]], "")</f>
        <v/>
      </c>
    </row>
    <row r="64" spans="1:22" hidden="1" x14ac:dyDescent="0.25">
      <c r="A64" s="45" t="s">
        <v>129</v>
      </c>
      <c r="B64">
        <v>7.5</v>
      </c>
      <c r="C64" s="2" t="s">
        <v>274</v>
      </c>
      <c r="D64">
        <v>50</v>
      </c>
      <c r="E64">
        <v>1070</v>
      </c>
      <c r="F64">
        <v>40</v>
      </c>
      <c r="G64">
        <v>4.4000000000000004</v>
      </c>
      <c r="H64">
        <v>81.400000000000006</v>
      </c>
      <c r="I64">
        <v>21</v>
      </c>
      <c r="J64" s="45" t="s">
        <v>80</v>
      </c>
      <c r="K64" s="45">
        <f>IF(BrewdogNew[[#This Row],[Yeast]]=BrewdogNew[[#Headers],[Wyeast 1056 - American Ale]],1,0)</f>
        <v>0</v>
      </c>
      <c r="L64" s="45">
        <f>IF(BrewdogNew[[#This Row],[Yeast]]=BrewdogNew[[#Headers],[Wyeast 2007 - Pilsen Lager]],1,0)</f>
        <v>0</v>
      </c>
      <c r="M64" s="45">
        <f>IF(BrewdogNew[[#This Row],[Yeast]]=BrewdogNew[[#Headers],[Wyeast 3711 - French Saison]],1,0)</f>
        <v>0</v>
      </c>
      <c r="N64" s="45">
        <f>IF(BrewdogNew[[#This Row],[Yeast]]=BrewdogNew[[#Headers],[Wyeast 1272 - American Ale II]],1,0)</f>
        <v>1</v>
      </c>
      <c r="O64" s="45" t="str">
        <f>BrewdogNew[[#This Row],[Name]]</f>
        <v>#Mashtag 2013</v>
      </c>
      <c r="P64" t="str">
        <f>IF(BrewdogNew[[#This Row],[ABV]]="*", BrewdogNew[[#This Row],[IBU]], "")</f>
        <v/>
      </c>
      <c r="Q64" t="str">
        <f>IF(BrewdogNew[[#This Row],[ABV]]="*", BrewdogNew[[#This Row],[OG]], "")</f>
        <v/>
      </c>
      <c r="R64" t="str">
        <f>IF(BrewdogNew[[#This Row],[ABV]]="*", BrewdogNew[[#This Row],[EBC]], "")</f>
        <v/>
      </c>
      <c r="S64" t="str">
        <f>IF(BrewdogNew[[#This Row],[ABV]]="*", BrewdogNew[[#This Row],[PH]], "")</f>
        <v/>
      </c>
      <c r="T64" t="str">
        <f>IF(BrewdogNew[[#This Row],[ABV]]="*", BrewdogNew[[#This Row],[AttenuationLevel]], "")</f>
        <v/>
      </c>
      <c r="U64" t="str">
        <f>IF(BrewdogNew[[#This Row],[ABV]]="*", BrewdogNew[[#This Row],[FermentationTempCelsius]], "")</f>
        <v/>
      </c>
      <c r="V64" t="str">
        <f>IF(BrewdogNew[[#This Row],[ABV]]="*", BrewdogNew[[#This Row],[Yeast]], "")</f>
        <v/>
      </c>
    </row>
    <row r="65" spans="1:22" hidden="1" x14ac:dyDescent="0.25">
      <c r="A65" s="45" t="s">
        <v>130</v>
      </c>
      <c r="B65">
        <v>4.2</v>
      </c>
      <c r="C65" s="2" t="s">
        <v>274</v>
      </c>
      <c r="D65">
        <v>50</v>
      </c>
      <c r="E65">
        <v>1042</v>
      </c>
      <c r="F65">
        <v>30</v>
      </c>
      <c r="G65">
        <v>4.4000000000000004</v>
      </c>
      <c r="H65">
        <v>76.2</v>
      </c>
      <c r="I65">
        <v>19</v>
      </c>
      <c r="J65" s="45" t="s">
        <v>64</v>
      </c>
      <c r="K65" s="45">
        <f>IF(BrewdogNew[[#This Row],[Yeast]]=BrewdogNew[[#Headers],[Wyeast 1056 - American Ale]],1,0)</f>
        <v>1</v>
      </c>
      <c r="L65" s="45">
        <f>IF(BrewdogNew[[#This Row],[Yeast]]=BrewdogNew[[#Headers],[Wyeast 2007 - Pilsen Lager]],1,0)</f>
        <v>0</v>
      </c>
      <c r="M65" s="45">
        <f>IF(BrewdogNew[[#This Row],[Yeast]]=BrewdogNew[[#Headers],[Wyeast 3711 - French Saison]],1,0)</f>
        <v>0</v>
      </c>
      <c r="N65" s="45">
        <f>IF(BrewdogNew[[#This Row],[Yeast]]=BrewdogNew[[#Headers],[Wyeast 1272 - American Ale II]],1,0)</f>
        <v>0</v>
      </c>
      <c r="O65" s="45" t="str">
        <f>BrewdogNew[[#This Row],[Name]]</f>
        <v>Hobo Pop</v>
      </c>
      <c r="P65" t="str">
        <f>IF(BrewdogNew[[#This Row],[ABV]]="*", BrewdogNew[[#This Row],[IBU]], "")</f>
        <v/>
      </c>
      <c r="Q65" t="str">
        <f>IF(BrewdogNew[[#This Row],[ABV]]="*", BrewdogNew[[#This Row],[OG]], "")</f>
        <v/>
      </c>
      <c r="R65" t="str">
        <f>IF(BrewdogNew[[#This Row],[ABV]]="*", BrewdogNew[[#This Row],[EBC]], "")</f>
        <v/>
      </c>
      <c r="S65" t="str">
        <f>IF(BrewdogNew[[#This Row],[ABV]]="*", BrewdogNew[[#This Row],[PH]], "")</f>
        <v/>
      </c>
      <c r="T65" t="str">
        <f>IF(BrewdogNew[[#This Row],[ABV]]="*", BrewdogNew[[#This Row],[AttenuationLevel]], "")</f>
        <v/>
      </c>
      <c r="U65" t="str">
        <f>IF(BrewdogNew[[#This Row],[ABV]]="*", BrewdogNew[[#This Row],[FermentationTempCelsius]], "")</f>
        <v/>
      </c>
      <c r="V65" t="str">
        <f>IF(BrewdogNew[[#This Row],[ABV]]="*", BrewdogNew[[#This Row],[Yeast]], "")</f>
        <v/>
      </c>
    </row>
    <row r="66" spans="1:22" hidden="1" x14ac:dyDescent="0.25">
      <c r="A66" s="45" t="s">
        <v>131</v>
      </c>
      <c r="B66">
        <v>11.8</v>
      </c>
      <c r="C66" s="2" t="s">
        <v>274</v>
      </c>
      <c r="D66">
        <v>80</v>
      </c>
      <c r="E66">
        <v>1096</v>
      </c>
      <c r="F66">
        <v>115</v>
      </c>
      <c r="G66">
        <v>5.2</v>
      </c>
      <c r="H66">
        <v>79.2</v>
      </c>
      <c r="I66">
        <v>20</v>
      </c>
      <c r="J66" s="45" t="s">
        <v>80</v>
      </c>
      <c r="K66" s="45">
        <f>IF(BrewdogNew[[#This Row],[Yeast]]=BrewdogNew[[#Headers],[Wyeast 1056 - American Ale]],1,0)</f>
        <v>0</v>
      </c>
      <c r="L66" s="45">
        <f>IF(BrewdogNew[[#This Row],[Yeast]]=BrewdogNew[[#Headers],[Wyeast 2007 - Pilsen Lager]],1,0)</f>
        <v>0</v>
      </c>
      <c r="M66" s="45">
        <f>IF(BrewdogNew[[#This Row],[Yeast]]=BrewdogNew[[#Headers],[Wyeast 3711 - French Saison]],1,0)</f>
        <v>0</v>
      </c>
      <c r="N66" s="45">
        <f>IF(BrewdogNew[[#This Row],[Yeast]]=BrewdogNew[[#Headers],[Wyeast 1272 - American Ale II]],1,0)</f>
        <v>1</v>
      </c>
      <c r="O66" s="45" t="str">
        <f>BrewdogNew[[#This Row],[Name]]</f>
        <v>AB:18</v>
      </c>
      <c r="P66" t="str">
        <f>IF(BrewdogNew[[#This Row],[ABV]]="*", BrewdogNew[[#This Row],[IBU]], "")</f>
        <v/>
      </c>
      <c r="Q66" t="str">
        <f>IF(BrewdogNew[[#This Row],[ABV]]="*", BrewdogNew[[#This Row],[OG]], "")</f>
        <v/>
      </c>
      <c r="R66" t="str">
        <f>IF(BrewdogNew[[#This Row],[ABV]]="*", BrewdogNew[[#This Row],[EBC]], "")</f>
        <v/>
      </c>
      <c r="S66" t="str">
        <f>IF(BrewdogNew[[#This Row],[ABV]]="*", BrewdogNew[[#This Row],[PH]], "")</f>
        <v/>
      </c>
      <c r="T66" t="str">
        <f>IF(BrewdogNew[[#This Row],[ABV]]="*", BrewdogNew[[#This Row],[AttenuationLevel]], "")</f>
        <v/>
      </c>
      <c r="U66" t="str">
        <f>IF(BrewdogNew[[#This Row],[ABV]]="*", BrewdogNew[[#This Row],[FermentationTempCelsius]], "")</f>
        <v/>
      </c>
      <c r="V66" t="str">
        <f>IF(BrewdogNew[[#This Row],[ABV]]="*", BrewdogNew[[#This Row],[Yeast]], "")</f>
        <v/>
      </c>
    </row>
    <row r="67" spans="1:22" hidden="1" x14ac:dyDescent="0.25">
      <c r="A67" s="45" t="s">
        <v>132</v>
      </c>
      <c r="B67">
        <v>7.6</v>
      </c>
      <c r="C67" s="2" t="s">
        <v>274</v>
      </c>
      <c r="D67">
        <v>70</v>
      </c>
      <c r="E67">
        <v>1073</v>
      </c>
      <c r="F67">
        <v>59</v>
      </c>
      <c r="G67">
        <v>4.4000000000000004</v>
      </c>
      <c r="H67">
        <v>79.5</v>
      </c>
      <c r="I67">
        <v>20</v>
      </c>
      <c r="J67" s="45" t="s">
        <v>80</v>
      </c>
      <c r="K67" s="45">
        <f>IF(BrewdogNew[[#This Row],[Yeast]]=BrewdogNew[[#Headers],[Wyeast 1056 - American Ale]],1,0)</f>
        <v>0</v>
      </c>
      <c r="L67" s="45">
        <f>IF(BrewdogNew[[#This Row],[Yeast]]=BrewdogNew[[#Headers],[Wyeast 2007 - Pilsen Lager]],1,0)</f>
        <v>0</v>
      </c>
      <c r="M67" s="45">
        <f>IF(BrewdogNew[[#This Row],[Yeast]]=BrewdogNew[[#Headers],[Wyeast 3711 - French Saison]],1,0)</f>
        <v>0</v>
      </c>
      <c r="N67" s="45">
        <f>IF(BrewdogNew[[#This Row],[Yeast]]=BrewdogNew[[#Headers],[Wyeast 1272 - American Ale II]],1,0)</f>
        <v>1</v>
      </c>
      <c r="O67" s="45" t="str">
        <f>BrewdogNew[[#This Row],[Name]]</f>
        <v>Hops Kill Nazis</v>
      </c>
      <c r="P67" t="str">
        <f>IF(BrewdogNew[[#This Row],[ABV]]="*", BrewdogNew[[#This Row],[IBU]], "")</f>
        <v/>
      </c>
      <c r="Q67" t="str">
        <f>IF(BrewdogNew[[#This Row],[ABV]]="*", BrewdogNew[[#This Row],[OG]], "")</f>
        <v/>
      </c>
      <c r="R67" t="str">
        <f>IF(BrewdogNew[[#This Row],[ABV]]="*", BrewdogNew[[#This Row],[EBC]], "")</f>
        <v/>
      </c>
      <c r="S67" t="str">
        <f>IF(BrewdogNew[[#This Row],[ABV]]="*", BrewdogNew[[#This Row],[PH]], "")</f>
        <v/>
      </c>
      <c r="T67" t="str">
        <f>IF(BrewdogNew[[#This Row],[ABV]]="*", BrewdogNew[[#This Row],[AttenuationLevel]], "")</f>
        <v/>
      </c>
      <c r="U67" t="str">
        <f>IF(BrewdogNew[[#This Row],[ABV]]="*", BrewdogNew[[#This Row],[FermentationTempCelsius]], "")</f>
        <v/>
      </c>
      <c r="V67" t="str">
        <f>IF(BrewdogNew[[#This Row],[ABV]]="*", BrewdogNew[[#This Row],[Yeast]], "")</f>
        <v/>
      </c>
    </row>
    <row r="68" spans="1:22" hidden="1" x14ac:dyDescent="0.25">
      <c r="A68" s="45" t="s">
        <v>133</v>
      </c>
      <c r="B68">
        <v>15</v>
      </c>
      <c r="C68" s="2" t="s">
        <v>274</v>
      </c>
      <c r="D68">
        <v>80</v>
      </c>
      <c r="E68">
        <v>1113</v>
      </c>
      <c r="F68">
        <v>400</v>
      </c>
      <c r="G68">
        <v>4</v>
      </c>
      <c r="H68">
        <v>84.1</v>
      </c>
      <c r="I68">
        <v>21</v>
      </c>
      <c r="J68" s="45" t="s">
        <v>80</v>
      </c>
      <c r="K68" s="45">
        <f>IF(BrewdogNew[[#This Row],[Yeast]]=BrewdogNew[[#Headers],[Wyeast 1056 - American Ale]],1,0)</f>
        <v>0</v>
      </c>
      <c r="L68" s="45">
        <f>IF(BrewdogNew[[#This Row],[Yeast]]=BrewdogNew[[#Headers],[Wyeast 2007 - Pilsen Lager]],1,0)</f>
        <v>0</v>
      </c>
      <c r="M68" s="45">
        <f>IF(BrewdogNew[[#This Row],[Yeast]]=BrewdogNew[[#Headers],[Wyeast 3711 - French Saison]],1,0)</f>
        <v>0</v>
      </c>
      <c r="N68" s="45">
        <f>IF(BrewdogNew[[#This Row],[Yeast]]=BrewdogNew[[#Headers],[Wyeast 1272 - American Ale II]],1,0)</f>
        <v>1</v>
      </c>
      <c r="O68" s="45" t="str">
        <f>BrewdogNew[[#This Row],[Name]]</f>
        <v>AB:04</v>
      </c>
      <c r="P68" t="str">
        <f>IF(BrewdogNew[[#This Row],[ABV]]="*", BrewdogNew[[#This Row],[IBU]], "")</f>
        <v/>
      </c>
      <c r="Q68" t="str">
        <f>IF(BrewdogNew[[#This Row],[ABV]]="*", BrewdogNew[[#This Row],[OG]], "")</f>
        <v/>
      </c>
      <c r="R68" t="str">
        <f>IF(BrewdogNew[[#This Row],[ABV]]="*", BrewdogNew[[#This Row],[EBC]], "")</f>
        <v/>
      </c>
      <c r="S68" t="str">
        <f>IF(BrewdogNew[[#This Row],[ABV]]="*", BrewdogNew[[#This Row],[PH]], "")</f>
        <v/>
      </c>
      <c r="T68" t="str">
        <f>IF(BrewdogNew[[#This Row],[ABV]]="*", BrewdogNew[[#This Row],[AttenuationLevel]], "")</f>
        <v/>
      </c>
      <c r="U68" t="str">
        <f>IF(BrewdogNew[[#This Row],[ABV]]="*", BrewdogNew[[#This Row],[FermentationTempCelsius]], "")</f>
        <v/>
      </c>
      <c r="V68" t="str">
        <f>IF(BrewdogNew[[#This Row],[ABV]]="*", BrewdogNew[[#This Row],[Yeast]], "")</f>
        <v/>
      </c>
    </row>
    <row r="69" spans="1:22" hidden="1" x14ac:dyDescent="0.25">
      <c r="A69" s="45" t="s">
        <v>134</v>
      </c>
      <c r="B69">
        <v>4.4000000000000004</v>
      </c>
      <c r="C69" s="2" t="s">
        <v>274</v>
      </c>
      <c r="D69">
        <v>35</v>
      </c>
      <c r="E69">
        <v>1040</v>
      </c>
      <c r="F69">
        <v>12</v>
      </c>
      <c r="G69">
        <v>4.4000000000000004</v>
      </c>
      <c r="H69">
        <v>79.5</v>
      </c>
      <c r="I69">
        <v>10</v>
      </c>
      <c r="J69" s="45" t="s">
        <v>68</v>
      </c>
      <c r="K69" s="45">
        <f>IF(BrewdogNew[[#This Row],[Yeast]]=BrewdogNew[[#Headers],[Wyeast 1056 - American Ale]],1,0)</f>
        <v>0</v>
      </c>
      <c r="L69" s="45">
        <f>IF(BrewdogNew[[#This Row],[Yeast]]=BrewdogNew[[#Headers],[Wyeast 2007 - Pilsen Lager]],1,0)</f>
        <v>1</v>
      </c>
      <c r="M69" s="45">
        <f>IF(BrewdogNew[[#This Row],[Yeast]]=BrewdogNew[[#Headers],[Wyeast 3711 - French Saison]],1,0)</f>
        <v>0</v>
      </c>
      <c r="N69" s="45">
        <f>IF(BrewdogNew[[#This Row],[Yeast]]=BrewdogNew[[#Headers],[Wyeast 1272 - American Ale II]],1,0)</f>
        <v>0</v>
      </c>
      <c r="O69" s="45" t="str">
        <f>BrewdogNew[[#This Row],[Name]]</f>
        <v>India Session Lager - Prototype Challenge</v>
      </c>
      <c r="P69" t="str">
        <f>IF(BrewdogNew[[#This Row],[ABV]]="*", BrewdogNew[[#This Row],[IBU]], "")</f>
        <v/>
      </c>
      <c r="Q69" t="str">
        <f>IF(BrewdogNew[[#This Row],[ABV]]="*", BrewdogNew[[#This Row],[OG]], "")</f>
        <v/>
      </c>
      <c r="R69" t="str">
        <f>IF(BrewdogNew[[#This Row],[ABV]]="*", BrewdogNew[[#This Row],[EBC]], "")</f>
        <v/>
      </c>
      <c r="S69" t="str">
        <f>IF(BrewdogNew[[#This Row],[ABV]]="*", BrewdogNew[[#This Row],[PH]], "")</f>
        <v/>
      </c>
      <c r="T69" t="str">
        <f>IF(BrewdogNew[[#This Row],[ABV]]="*", BrewdogNew[[#This Row],[AttenuationLevel]], "")</f>
        <v/>
      </c>
      <c r="U69" t="str">
        <f>IF(BrewdogNew[[#This Row],[ABV]]="*", BrewdogNew[[#This Row],[FermentationTempCelsius]], "")</f>
        <v/>
      </c>
      <c r="V69" t="str">
        <f>IF(BrewdogNew[[#This Row],[ABV]]="*", BrewdogNew[[#This Row],[Yeast]], "")</f>
        <v/>
      </c>
    </row>
    <row r="70" spans="1:22" hidden="1" x14ac:dyDescent="0.25">
      <c r="A70" s="45" t="s">
        <v>135</v>
      </c>
      <c r="B70">
        <v>6.3</v>
      </c>
      <c r="C70" s="2" t="s">
        <v>274</v>
      </c>
      <c r="D70">
        <v>85</v>
      </c>
      <c r="E70">
        <v>1063</v>
      </c>
      <c r="F70">
        <v>24</v>
      </c>
      <c r="G70">
        <v>4.2</v>
      </c>
      <c r="H70">
        <v>82.6</v>
      </c>
      <c r="I70">
        <v>19</v>
      </c>
      <c r="J70" s="45" t="s">
        <v>64</v>
      </c>
      <c r="K70" s="45">
        <f>IF(BrewdogNew[[#This Row],[Yeast]]=BrewdogNew[[#Headers],[Wyeast 1056 - American Ale]],1,0)</f>
        <v>1</v>
      </c>
      <c r="L70" s="45">
        <f>IF(BrewdogNew[[#This Row],[Yeast]]=BrewdogNew[[#Headers],[Wyeast 2007 - Pilsen Lager]],1,0)</f>
        <v>0</v>
      </c>
      <c r="M70" s="45">
        <f>IF(BrewdogNew[[#This Row],[Yeast]]=BrewdogNew[[#Headers],[Wyeast 3711 - French Saison]],1,0)</f>
        <v>0</v>
      </c>
      <c r="N70" s="45">
        <f>IF(BrewdogNew[[#This Row],[Yeast]]=BrewdogNew[[#Headers],[Wyeast 1272 - American Ale II]],1,0)</f>
        <v>0</v>
      </c>
      <c r="O70" s="45" t="str">
        <f>BrewdogNew[[#This Row],[Name]]</f>
        <v>Hopped-Up Brown Ale - Prototype Challenge</v>
      </c>
      <c r="P70" t="str">
        <f>IF(BrewdogNew[[#This Row],[ABV]]="*", BrewdogNew[[#This Row],[IBU]], "")</f>
        <v/>
      </c>
      <c r="Q70" t="str">
        <f>IF(BrewdogNew[[#This Row],[ABV]]="*", BrewdogNew[[#This Row],[OG]], "")</f>
        <v/>
      </c>
      <c r="R70" t="str">
        <f>IF(BrewdogNew[[#This Row],[ABV]]="*", BrewdogNew[[#This Row],[EBC]], "")</f>
        <v/>
      </c>
      <c r="S70" t="str">
        <f>IF(BrewdogNew[[#This Row],[ABV]]="*", BrewdogNew[[#This Row],[PH]], "")</f>
        <v/>
      </c>
      <c r="T70" t="str">
        <f>IF(BrewdogNew[[#This Row],[ABV]]="*", BrewdogNew[[#This Row],[AttenuationLevel]], "")</f>
        <v/>
      </c>
      <c r="U70" t="str">
        <f>IF(BrewdogNew[[#This Row],[ABV]]="*", BrewdogNew[[#This Row],[FermentationTempCelsius]], "")</f>
        <v/>
      </c>
      <c r="V70" t="str">
        <f>IF(BrewdogNew[[#This Row],[ABV]]="*", BrewdogNew[[#This Row],[Yeast]], "")</f>
        <v/>
      </c>
    </row>
    <row r="71" spans="1:22" hidden="1" x14ac:dyDescent="0.25">
      <c r="A71" s="45" t="s">
        <v>136</v>
      </c>
      <c r="B71">
        <v>7.2</v>
      </c>
      <c r="C71" s="2" t="s">
        <v>274</v>
      </c>
      <c r="D71">
        <v>70</v>
      </c>
      <c r="E71">
        <v>1067</v>
      </c>
      <c r="F71">
        <v>30</v>
      </c>
      <c r="G71">
        <v>4.4000000000000004</v>
      </c>
      <c r="H71">
        <v>82.1</v>
      </c>
      <c r="I71">
        <v>19</v>
      </c>
      <c r="J71" s="45" t="s">
        <v>64</v>
      </c>
      <c r="K71" s="45">
        <f>IF(BrewdogNew[[#This Row],[Yeast]]=BrewdogNew[[#Headers],[Wyeast 1056 - American Ale]],1,0)</f>
        <v>1</v>
      </c>
      <c r="L71" s="45">
        <f>IF(BrewdogNew[[#This Row],[Yeast]]=BrewdogNew[[#Headers],[Wyeast 2007 - Pilsen Lager]],1,0)</f>
        <v>0</v>
      </c>
      <c r="M71" s="45">
        <f>IF(BrewdogNew[[#This Row],[Yeast]]=BrewdogNew[[#Headers],[Wyeast 3711 - French Saison]],1,0)</f>
        <v>0</v>
      </c>
      <c r="N71" s="45">
        <f>IF(BrewdogNew[[#This Row],[Yeast]]=BrewdogNew[[#Headers],[Wyeast 1272 - American Ale II]],1,0)</f>
        <v>0</v>
      </c>
      <c r="O71" s="45" t="str">
        <f>BrewdogNew[[#This Row],[Name]]</f>
        <v>Comet</v>
      </c>
      <c r="P71" t="str">
        <f>IF(BrewdogNew[[#This Row],[ABV]]="*", BrewdogNew[[#This Row],[IBU]], "")</f>
        <v/>
      </c>
      <c r="Q71" t="str">
        <f>IF(BrewdogNew[[#This Row],[ABV]]="*", BrewdogNew[[#This Row],[OG]], "")</f>
        <v/>
      </c>
      <c r="R71" t="str">
        <f>IF(BrewdogNew[[#This Row],[ABV]]="*", BrewdogNew[[#This Row],[EBC]], "")</f>
        <v/>
      </c>
      <c r="S71" t="str">
        <f>IF(BrewdogNew[[#This Row],[ABV]]="*", BrewdogNew[[#This Row],[PH]], "")</f>
        <v/>
      </c>
      <c r="T71" t="str">
        <f>IF(BrewdogNew[[#This Row],[ABV]]="*", BrewdogNew[[#This Row],[AttenuationLevel]], "")</f>
        <v/>
      </c>
      <c r="U71" t="str">
        <f>IF(BrewdogNew[[#This Row],[ABV]]="*", BrewdogNew[[#This Row],[FermentationTempCelsius]], "")</f>
        <v/>
      </c>
      <c r="V71" t="str">
        <f>IF(BrewdogNew[[#This Row],[ABV]]="*", BrewdogNew[[#This Row],[Yeast]], "")</f>
        <v/>
      </c>
    </row>
    <row r="72" spans="1:22" x14ac:dyDescent="0.25">
      <c r="A72" s="45" t="s">
        <v>137</v>
      </c>
      <c r="B72" s="31" t="s">
        <v>32</v>
      </c>
      <c r="C72" s="51">
        <v>1</v>
      </c>
      <c r="D72">
        <v>9</v>
      </c>
      <c r="E72">
        <v>1032</v>
      </c>
      <c r="F72">
        <v>2</v>
      </c>
      <c r="G72">
        <v>4.4000000000000004</v>
      </c>
      <c r="H72">
        <v>88</v>
      </c>
      <c r="I72">
        <v>21</v>
      </c>
      <c r="J72" s="45" t="s">
        <v>71</v>
      </c>
      <c r="K72" s="45">
        <f>IF(BrewdogNew[[#This Row],[Yeast]]=BrewdogNew[[#Headers],[Wyeast 1056 - American Ale]],1,0)</f>
        <v>0</v>
      </c>
      <c r="L72" s="45">
        <f>IF(BrewdogNew[[#This Row],[Yeast]]=BrewdogNew[[#Headers],[Wyeast 2007 - Pilsen Lager]],1,0)</f>
        <v>0</v>
      </c>
      <c r="M72" s="45">
        <f>IF(BrewdogNew[[#This Row],[Yeast]]=BrewdogNew[[#Headers],[Wyeast 3711 - French Saison]],1,0)</f>
        <v>1</v>
      </c>
      <c r="N72" s="45">
        <f>IF(BrewdogNew[[#This Row],[Yeast]]=BrewdogNew[[#Headers],[Wyeast 1272 - American Ale II]],1,0)</f>
        <v>0</v>
      </c>
      <c r="O72" s="45" t="str">
        <f>BrewdogNew[[#This Row],[Name]]</f>
        <v>Baby Saison - B-Sides</v>
      </c>
      <c r="P72">
        <f>IF(BrewdogNew[[#This Row],[ABV]]="*", BrewdogNew[[#This Row],[IBU]], "")</f>
        <v>9</v>
      </c>
      <c r="Q72">
        <f>IF(BrewdogNew[[#This Row],[ABV]]="*", BrewdogNew[[#This Row],[OG]], "")</f>
        <v>1032</v>
      </c>
      <c r="R72">
        <f>IF(BrewdogNew[[#This Row],[ABV]]="*", BrewdogNew[[#This Row],[EBC]], "")</f>
        <v>2</v>
      </c>
      <c r="S72">
        <f>IF(BrewdogNew[[#This Row],[ABV]]="*", BrewdogNew[[#This Row],[PH]], "")</f>
        <v>4.4000000000000004</v>
      </c>
      <c r="T72">
        <f>IF(BrewdogNew[[#This Row],[ABV]]="*", BrewdogNew[[#This Row],[AttenuationLevel]], "")</f>
        <v>88</v>
      </c>
      <c r="U72">
        <f>IF(BrewdogNew[[#This Row],[ABV]]="*", BrewdogNew[[#This Row],[FermentationTempCelsius]], "")</f>
        <v>21</v>
      </c>
      <c r="V72" t="str">
        <f>IF(BrewdogNew[[#This Row],[ABV]]="*", BrewdogNew[[#This Row],[Yeast]], "")</f>
        <v>Wyeast 3711 - French Saison</v>
      </c>
    </row>
    <row r="73" spans="1:22" hidden="1" x14ac:dyDescent="0.25">
      <c r="A73" s="45" t="s">
        <v>138</v>
      </c>
      <c r="B73">
        <v>4.5</v>
      </c>
      <c r="C73" s="2" t="s">
        <v>274</v>
      </c>
      <c r="D73">
        <v>35</v>
      </c>
      <c r="E73">
        <v>1048</v>
      </c>
      <c r="F73">
        <v>44</v>
      </c>
      <c r="G73">
        <v>4.4000000000000004</v>
      </c>
      <c r="H73">
        <v>72.900000000000006</v>
      </c>
      <c r="I73">
        <v>19</v>
      </c>
      <c r="J73" s="45" t="s">
        <v>64</v>
      </c>
      <c r="K73" s="45">
        <f>IF(BrewdogNew[[#This Row],[Yeast]]=BrewdogNew[[#Headers],[Wyeast 1056 - American Ale]],1,0)</f>
        <v>1</v>
      </c>
      <c r="L73" s="45">
        <f>IF(BrewdogNew[[#This Row],[Yeast]]=BrewdogNew[[#Headers],[Wyeast 2007 - Pilsen Lager]],1,0)</f>
        <v>0</v>
      </c>
      <c r="M73" s="45">
        <f>IF(BrewdogNew[[#This Row],[Yeast]]=BrewdogNew[[#Headers],[Wyeast 3711 - French Saison]],1,0)</f>
        <v>0</v>
      </c>
      <c r="N73" s="45">
        <f>IF(BrewdogNew[[#This Row],[Yeast]]=BrewdogNew[[#Headers],[Wyeast 1272 - American Ale II]],1,0)</f>
        <v>0</v>
      </c>
      <c r="O73" s="45" t="str">
        <f>BrewdogNew[[#This Row],[Name]]</f>
        <v>Santa Paws</v>
      </c>
      <c r="P73" t="str">
        <f>IF(BrewdogNew[[#This Row],[ABV]]="*", BrewdogNew[[#This Row],[IBU]], "")</f>
        <v/>
      </c>
      <c r="Q73" t="str">
        <f>IF(BrewdogNew[[#This Row],[ABV]]="*", BrewdogNew[[#This Row],[OG]], "")</f>
        <v/>
      </c>
      <c r="R73" t="str">
        <f>IF(BrewdogNew[[#This Row],[ABV]]="*", BrewdogNew[[#This Row],[EBC]], "")</f>
        <v/>
      </c>
      <c r="S73" t="str">
        <f>IF(BrewdogNew[[#This Row],[ABV]]="*", BrewdogNew[[#This Row],[PH]], "")</f>
        <v/>
      </c>
      <c r="T73" t="str">
        <f>IF(BrewdogNew[[#This Row],[ABV]]="*", BrewdogNew[[#This Row],[AttenuationLevel]], "")</f>
        <v/>
      </c>
      <c r="U73" t="str">
        <f>IF(BrewdogNew[[#This Row],[ABV]]="*", BrewdogNew[[#This Row],[FermentationTempCelsius]], "")</f>
        <v/>
      </c>
      <c r="V73" t="str">
        <f>IF(BrewdogNew[[#This Row],[ABV]]="*", BrewdogNew[[#This Row],[Yeast]], "")</f>
        <v/>
      </c>
    </row>
    <row r="74" spans="1:22" hidden="1" x14ac:dyDescent="0.25">
      <c r="A74" s="45" t="s">
        <v>139</v>
      </c>
      <c r="B74">
        <v>4.5</v>
      </c>
      <c r="C74" s="2" t="s">
        <v>274</v>
      </c>
      <c r="D74">
        <v>30</v>
      </c>
      <c r="E74">
        <v>1045</v>
      </c>
      <c r="F74">
        <v>25</v>
      </c>
      <c r="G74">
        <v>4.4000000000000004</v>
      </c>
      <c r="H74">
        <v>75.599999999999994</v>
      </c>
      <c r="I74">
        <v>19</v>
      </c>
      <c r="J74" s="45" t="s">
        <v>64</v>
      </c>
      <c r="K74" s="45">
        <f>IF(BrewdogNew[[#This Row],[Yeast]]=BrewdogNew[[#Headers],[Wyeast 1056 - American Ale]],1,0)</f>
        <v>1</v>
      </c>
      <c r="L74" s="45">
        <f>IF(BrewdogNew[[#This Row],[Yeast]]=BrewdogNew[[#Headers],[Wyeast 2007 - Pilsen Lager]],1,0)</f>
        <v>0</v>
      </c>
      <c r="M74" s="45">
        <f>IF(BrewdogNew[[#This Row],[Yeast]]=BrewdogNew[[#Headers],[Wyeast 3711 - French Saison]],1,0)</f>
        <v>0</v>
      </c>
      <c r="N74" s="45">
        <f>IF(BrewdogNew[[#This Row],[Yeast]]=BrewdogNew[[#Headers],[Wyeast 1272 - American Ale II]],1,0)</f>
        <v>0</v>
      </c>
      <c r="O74" s="45" t="str">
        <f>BrewdogNew[[#This Row],[Name]]</f>
        <v>Alpha Pop</v>
      </c>
      <c r="P74" t="str">
        <f>IF(BrewdogNew[[#This Row],[ABV]]="*", BrewdogNew[[#This Row],[IBU]], "")</f>
        <v/>
      </c>
      <c r="Q74" t="str">
        <f>IF(BrewdogNew[[#This Row],[ABV]]="*", BrewdogNew[[#This Row],[OG]], "")</f>
        <v/>
      </c>
      <c r="R74" t="str">
        <f>IF(BrewdogNew[[#This Row],[ABV]]="*", BrewdogNew[[#This Row],[EBC]], "")</f>
        <v/>
      </c>
      <c r="S74" t="str">
        <f>IF(BrewdogNew[[#This Row],[ABV]]="*", BrewdogNew[[#This Row],[PH]], "")</f>
        <v/>
      </c>
      <c r="T74" t="str">
        <f>IF(BrewdogNew[[#This Row],[ABV]]="*", BrewdogNew[[#This Row],[AttenuationLevel]], "")</f>
        <v/>
      </c>
      <c r="U74" t="str">
        <f>IF(BrewdogNew[[#This Row],[ABV]]="*", BrewdogNew[[#This Row],[FermentationTempCelsius]], "")</f>
        <v/>
      </c>
      <c r="V74" t="str">
        <f>IF(BrewdogNew[[#This Row],[ABV]]="*", BrewdogNew[[#This Row],[Yeast]], "")</f>
        <v/>
      </c>
    </row>
    <row r="75" spans="1:22" hidden="1" x14ac:dyDescent="0.25">
      <c r="A75" s="45" t="s">
        <v>140</v>
      </c>
      <c r="B75">
        <v>7.5</v>
      </c>
      <c r="C75" s="2" t="s">
        <v>274</v>
      </c>
      <c r="D75">
        <v>70</v>
      </c>
      <c r="E75">
        <v>1068</v>
      </c>
      <c r="F75">
        <v>30</v>
      </c>
      <c r="G75">
        <v>4.4000000000000004</v>
      </c>
      <c r="H75">
        <v>82.1</v>
      </c>
      <c r="I75">
        <v>19</v>
      </c>
      <c r="J75" s="45" t="s">
        <v>64</v>
      </c>
      <c r="K75" s="45">
        <f>IF(BrewdogNew[[#This Row],[Yeast]]=BrewdogNew[[#Headers],[Wyeast 1056 - American Ale]],1,0)</f>
        <v>1</v>
      </c>
      <c r="L75" s="45">
        <f>IF(BrewdogNew[[#This Row],[Yeast]]=BrewdogNew[[#Headers],[Wyeast 2007 - Pilsen Lager]],1,0)</f>
        <v>0</v>
      </c>
      <c r="M75" s="45">
        <f>IF(BrewdogNew[[#This Row],[Yeast]]=BrewdogNew[[#Headers],[Wyeast 3711 - French Saison]],1,0)</f>
        <v>0</v>
      </c>
      <c r="N75" s="45">
        <f>IF(BrewdogNew[[#This Row],[Yeast]]=BrewdogNew[[#Headers],[Wyeast 1272 - American Ale II]],1,0)</f>
        <v>0</v>
      </c>
      <c r="O75" s="45" t="str">
        <f>BrewdogNew[[#This Row],[Name]]</f>
        <v>Citra</v>
      </c>
      <c r="P75" t="str">
        <f>IF(BrewdogNew[[#This Row],[ABV]]="*", BrewdogNew[[#This Row],[IBU]], "")</f>
        <v/>
      </c>
      <c r="Q75" t="str">
        <f>IF(BrewdogNew[[#This Row],[ABV]]="*", BrewdogNew[[#This Row],[OG]], "")</f>
        <v/>
      </c>
      <c r="R75" t="str">
        <f>IF(BrewdogNew[[#This Row],[ABV]]="*", BrewdogNew[[#This Row],[EBC]], "")</f>
        <v/>
      </c>
      <c r="S75" t="str">
        <f>IF(BrewdogNew[[#This Row],[ABV]]="*", BrewdogNew[[#This Row],[PH]], "")</f>
        <v/>
      </c>
      <c r="T75" t="str">
        <f>IF(BrewdogNew[[#This Row],[ABV]]="*", BrewdogNew[[#This Row],[AttenuationLevel]], "")</f>
        <v/>
      </c>
      <c r="U75" t="str">
        <f>IF(BrewdogNew[[#This Row],[ABV]]="*", BrewdogNew[[#This Row],[FermentationTempCelsius]], "")</f>
        <v/>
      </c>
      <c r="V75" t="str">
        <f>IF(BrewdogNew[[#This Row],[ABV]]="*", BrewdogNew[[#This Row],[Yeast]], "")</f>
        <v/>
      </c>
    </row>
    <row r="76" spans="1:22" hidden="1" x14ac:dyDescent="0.25">
      <c r="A76" s="45" t="s">
        <v>141</v>
      </c>
      <c r="B76">
        <v>10</v>
      </c>
      <c r="C76" s="2" t="s">
        <v>274</v>
      </c>
      <c r="D76">
        <v>85</v>
      </c>
      <c r="E76">
        <v>1098</v>
      </c>
      <c r="F76">
        <v>130</v>
      </c>
      <c r="G76">
        <v>4.4000000000000004</v>
      </c>
      <c r="H76">
        <v>79.599999999999994</v>
      </c>
      <c r="I76">
        <v>21</v>
      </c>
      <c r="J76" s="45" t="s">
        <v>80</v>
      </c>
      <c r="K76" s="45">
        <f>IF(BrewdogNew[[#This Row],[Yeast]]=BrewdogNew[[#Headers],[Wyeast 1056 - American Ale]],1,0)</f>
        <v>0</v>
      </c>
      <c r="L76" s="45">
        <f>IF(BrewdogNew[[#This Row],[Yeast]]=BrewdogNew[[#Headers],[Wyeast 2007 - Pilsen Lager]],1,0)</f>
        <v>0</v>
      </c>
      <c r="M76" s="45">
        <f>IF(BrewdogNew[[#This Row],[Yeast]]=BrewdogNew[[#Headers],[Wyeast 3711 - French Saison]],1,0)</f>
        <v>0</v>
      </c>
      <c r="N76" s="45">
        <f>IF(BrewdogNew[[#This Row],[Yeast]]=BrewdogNew[[#Headers],[Wyeast 1272 - American Ale II]],1,0)</f>
        <v>1</v>
      </c>
      <c r="O76" s="45" t="str">
        <f>BrewdogNew[[#This Row],[Name]]</f>
        <v>#Mashtag 2015</v>
      </c>
      <c r="P76" t="str">
        <f>IF(BrewdogNew[[#This Row],[ABV]]="*", BrewdogNew[[#This Row],[IBU]], "")</f>
        <v/>
      </c>
      <c r="Q76" t="str">
        <f>IF(BrewdogNew[[#This Row],[ABV]]="*", BrewdogNew[[#This Row],[OG]], "")</f>
        <v/>
      </c>
      <c r="R76" t="str">
        <f>IF(BrewdogNew[[#This Row],[ABV]]="*", BrewdogNew[[#This Row],[EBC]], "")</f>
        <v/>
      </c>
      <c r="S76" t="str">
        <f>IF(BrewdogNew[[#This Row],[ABV]]="*", BrewdogNew[[#This Row],[PH]], "")</f>
        <v/>
      </c>
      <c r="T76" t="str">
        <f>IF(BrewdogNew[[#This Row],[ABV]]="*", BrewdogNew[[#This Row],[AttenuationLevel]], "")</f>
        <v/>
      </c>
      <c r="U76" t="str">
        <f>IF(BrewdogNew[[#This Row],[ABV]]="*", BrewdogNew[[#This Row],[FermentationTempCelsius]], "")</f>
        <v/>
      </c>
      <c r="V76" t="str">
        <f>IF(BrewdogNew[[#This Row],[ABV]]="*", BrewdogNew[[#This Row],[Yeast]], "")</f>
        <v/>
      </c>
    </row>
    <row r="77" spans="1:22" hidden="1" x14ac:dyDescent="0.25">
      <c r="A77" s="45" t="s">
        <v>142</v>
      </c>
      <c r="B77">
        <v>3.8</v>
      </c>
      <c r="C77" s="2" t="s">
        <v>274</v>
      </c>
      <c r="D77">
        <v>35</v>
      </c>
      <c r="E77">
        <v>1040</v>
      </c>
      <c r="F77">
        <v>25</v>
      </c>
      <c r="G77">
        <v>4.4000000000000004</v>
      </c>
      <c r="H77">
        <v>70</v>
      </c>
      <c r="I77">
        <v>19</v>
      </c>
      <c r="J77" s="45" t="s">
        <v>64</v>
      </c>
      <c r="K77" s="45">
        <f>IF(BrewdogNew[[#This Row],[Yeast]]=BrewdogNew[[#Headers],[Wyeast 1056 - American Ale]],1,0)</f>
        <v>1</v>
      </c>
      <c r="L77" s="45">
        <f>IF(BrewdogNew[[#This Row],[Yeast]]=BrewdogNew[[#Headers],[Wyeast 2007 - Pilsen Lager]],1,0)</f>
        <v>0</v>
      </c>
      <c r="M77" s="45">
        <f>IF(BrewdogNew[[#This Row],[Yeast]]=BrewdogNew[[#Headers],[Wyeast 3711 - French Saison]],1,0)</f>
        <v>0</v>
      </c>
      <c r="N77" s="45">
        <f>IF(BrewdogNew[[#This Row],[Yeast]]=BrewdogNew[[#Headers],[Wyeast 1272 - American Ale II]],1,0)</f>
        <v>0</v>
      </c>
      <c r="O77" s="45" t="str">
        <f>BrewdogNew[[#This Row],[Name]]</f>
        <v>Dead Pony Club</v>
      </c>
      <c r="P77" t="str">
        <f>IF(BrewdogNew[[#This Row],[ABV]]="*", BrewdogNew[[#This Row],[IBU]], "")</f>
        <v/>
      </c>
      <c r="Q77" t="str">
        <f>IF(BrewdogNew[[#This Row],[ABV]]="*", BrewdogNew[[#This Row],[OG]], "")</f>
        <v/>
      </c>
      <c r="R77" t="str">
        <f>IF(BrewdogNew[[#This Row],[ABV]]="*", BrewdogNew[[#This Row],[EBC]], "")</f>
        <v/>
      </c>
      <c r="S77" t="str">
        <f>IF(BrewdogNew[[#This Row],[ABV]]="*", BrewdogNew[[#This Row],[PH]], "")</f>
        <v/>
      </c>
      <c r="T77" t="str">
        <f>IF(BrewdogNew[[#This Row],[ABV]]="*", BrewdogNew[[#This Row],[AttenuationLevel]], "")</f>
        <v/>
      </c>
      <c r="U77" t="str">
        <f>IF(BrewdogNew[[#This Row],[ABV]]="*", BrewdogNew[[#This Row],[FermentationTempCelsius]], "")</f>
        <v/>
      </c>
      <c r="V77" t="str">
        <f>IF(BrewdogNew[[#This Row],[ABV]]="*", BrewdogNew[[#This Row],[Yeast]], "")</f>
        <v/>
      </c>
    </row>
    <row r="78" spans="1:22" hidden="1" x14ac:dyDescent="0.25">
      <c r="A78" s="45" t="s">
        <v>143</v>
      </c>
      <c r="B78">
        <v>6.4</v>
      </c>
      <c r="C78" s="2" t="s">
        <v>274</v>
      </c>
      <c r="D78">
        <v>40</v>
      </c>
      <c r="E78">
        <v>1057</v>
      </c>
      <c r="F78">
        <v>10</v>
      </c>
      <c r="G78">
        <v>3.5</v>
      </c>
      <c r="H78">
        <v>87</v>
      </c>
      <c r="I78">
        <v>20</v>
      </c>
      <c r="J78" s="45" t="s">
        <v>64</v>
      </c>
      <c r="K78" s="45">
        <f>IF(BrewdogNew[[#This Row],[Yeast]]=BrewdogNew[[#Headers],[Wyeast 1056 - American Ale]],1,0)</f>
        <v>1</v>
      </c>
      <c r="L78" s="45">
        <f>IF(BrewdogNew[[#This Row],[Yeast]]=BrewdogNew[[#Headers],[Wyeast 2007 - Pilsen Lager]],1,0)</f>
        <v>0</v>
      </c>
      <c r="M78" s="45">
        <f>IF(BrewdogNew[[#This Row],[Yeast]]=BrewdogNew[[#Headers],[Wyeast 3711 - French Saison]],1,0)</f>
        <v>0</v>
      </c>
      <c r="N78" s="45">
        <f>IF(BrewdogNew[[#This Row],[Yeast]]=BrewdogNew[[#Headers],[Wyeast 1272 - American Ale II]],1,0)</f>
        <v>0</v>
      </c>
      <c r="O78" s="45" t="str">
        <f>BrewdogNew[[#This Row],[Name]]</f>
        <v>Mango Gose - B-Sides</v>
      </c>
      <c r="P78" t="str">
        <f>IF(BrewdogNew[[#This Row],[ABV]]="*", BrewdogNew[[#This Row],[IBU]], "")</f>
        <v/>
      </c>
      <c r="Q78" t="str">
        <f>IF(BrewdogNew[[#This Row],[ABV]]="*", BrewdogNew[[#This Row],[OG]], "")</f>
        <v/>
      </c>
      <c r="R78" t="str">
        <f>IF(BrewdogNew[[#This Row],[ABV]]="*", BrewdogNew[[#This Row],[EBC]], "")</f>
        <v/>
      </c>
      <c r="S78" t="str">
        <f>IF(BrewdogNew[[#This Row],[ABV]]="*", BrewdogNew[[#This Row],[PH]], "")</f>
        <v/>
      </c>
      <c r="T78" t="str">
        <f>IF(BrewdogNew[[#This Row],[ABV]]="*", BrewdogNew[[#This Row],[AttenuationLevel]], "")</f>
        <v/>
      </c>
      <c r="U78" t="str">
        <f>IF(BrewdogNew[[#This Row],[ABV]]="*", BrewdogNew[[#This Row],[FermentationTempCelsius]], "")</f>
        <v/>
      </c>
      <c r="V78" t="str">
        <f>IF(BrewdogNew[[#This Row],[ABV]]="*", BrewdogNew[[#This Row],[Yeast]], "")</f>
        <v/>
      </c>
    </row>
    <row r="79" spans="1:22" x14ac:dyDescent="0.25">
      <c r="A79" s="45" t="s">
        <v>144</v>
      </c>
      <c r="B79" s="31" t="s">
        <v>32</v>
      </c>
      <c r="C79" s="51">
        <v>1</v>
      </c>
      <c r="D79">
        <v>45</v>
      </c>
      <c r="E79">
        <v>1081</v>
      </c>
      <c r="F79">
        <v>15</v>
      </c>
      <c r="G79">
        <v>4.4000000000000004</v>
      </c>
      <c r="H79">
        <v>93.8</v>
      </c>
      <c r="I79">
        <v>23</v>
      </c>
      <c r="J79" s="45" t="s">
        <v>71</v>
      </c>
      <c r="K79" s="45">
        <f>IF(BrewdogNew[[#This Row],[Yeast]]=BrewdogNew[[#Headers],[Wyeast 1056 - American Ale]],1,0)</f>
        <v>0</v>
      </c>
      <c r="L79" s="45">
        <f>IF(BrewdogNew[[#This Row],[Yeast]]=BrewdogNew[[#Headers],[Wyeast 2007 - Pilsen Lager]],1,0)</f>
        <v>0</v>
      </c>
      <c r="M79" s="45">
        <f>IF(BrewdogNew[[#This Row],[Yeast]]=BrewdogNew[[#Headers],[Wyeast 3711 - French Saison]],1,0)</f>
        <v>1</v>
      </c>
      <c r="N79" s="45">
        <f>IF(BrewdogNew[[#This Row],[Yeast]]=BrewdogNew[[#Headers],[Wyeast 1272 - American Ale II]],1,0)</f>
        <v>0</v>
      </c>
      <c r="O79" s="45" t="str">
        <f>BrewdogNew[[#This Row],[Name]]</f>
        <v>Everday Anarchy</v>
      </c>
      <c r="P79">
        <f>IF(BrewdogNew[[#This Row],[ABV]]="*", BrewdogNew[[#This Row],[IBU]], "")</f>
        <v>45</v>
      </c>
      <c r="Q79">
        <f>IF(BrewdogNew[[#This Row],[ABV]]="*", BrewdogNew[[#This Row],[OG]], "")</f>
        <v>1081</v>
      </c>
      <c r="R79">
        <f>IF(BrewdogNew[[#This Row],[ABV]]="*", BrewdogNew[[#This Row],[EBC]], "")</f>
        <v>15</v>
      </c>
      <c r="S79">
        <f>IF(BrewdogNew[[#This Row],[ABV]]="*", BrewdogNew[[#This Row],[PH]], "")</f>
        <v>4.4000000000000004</v>
      </c>
      <c r="T79">
        <f>IF(BrewdogNew[[#This Row],[ABV]]="*", BrewdogNew[[#This Row],[AttenuationLevel]], "")</f>
        <v>93.8</v>
      </c>
      <c r="U79">
        <f>IF(BrewdogNew[[#This Row],[ABV]]="*", BrewdogNew[[#This Row],[FermentationTempCelsius]], "")</f>
        <v>23</v>
      </c>
      <c r="V79" t="str">
        <f>IF(BrewdogNew[[#This Row],[ABV]]="*", BrewdogNew[[#This Row],[Yeast]], "")</f>
        <v>Wyeast 3711 - French Saison</v>
      </c>
    </row>
    <row r="80" spans="1:22" hidden="1" x14ac:dyDescent="0.25">
      <c r="A80" s="45" t="s">
        <v>145</v>
      </c>
      <c r="B80">
        <v>4</v>
      </c>
      <c r="C80" s="2" t="s">
        <v>274</v>
      </c>
      <c r="D80">
        <v>40</v>
      </c>
      <c r="E80">
        <v>1039</v>
      </c>
      <c r="F80">
        <v>18</v>
      </c>
      <c r="G80">
        <v>4.4000000000000004</v>
      </c>
      <c r="H80">
        <v>76.900000000000006</v>
      </c>
      <c r="I80">
        <v>19</v>
      </c>
      <c r="J80" s="45" t="s">
        <v>64</v>
      </c>
      <c r="K80" s="45">
        <f>IF(BrewdogNew[[#This Row],[Yeast]]=BrewdogNew[[#Headers],[Wyeast 1056 - American Ale]],1,0)</f>
        <v>1</v>
      </c>
      <c r="L80" s="45">
        <f>IF(BrewdogNew[[#This Row],[Yeast]]=BrewdogNew[[#Headers],[Wyeast 2007 - Pilsen Lager]],1,0)</f>
        <v>0</v>
      </c>
      <c r="M80" s="45">
        <f>IF(BrewdogNew[[#This Row],[Yeast]]=BrewdogNew[[#Headers],[Wyeast 3711 - French Saison]],1,0)</f>
        <v>0</v>
      </c>
      <c r="N80" s="45">
        <f>IF(BrewdogNew[[#This Row],[Yeast]]=BrewdogNew[[#Headers],[Wyeast 1272 - American Ale II]],1,0)</f>
        <v>0</v>
      </c>
      <c r="O80" s="45" t="str">
        <f>BrewdogNew[[#This Row],[Name]]</f>
        <v>Peroxide Punk</v>
      </c>
      <c r="P80" t="str">
        <f>IF(BrewdogNew[[#This Row],[ABV]]="*", BrewdogNew[[#This Row],[IBU]], "")</f>
        <v/>
      </c>
      <c r="Q80" t="str">
        <f>IF(BrewdogNew[[#This Row],[ABV]]="*", BrewdogNew[[#This Row],[OG]], "")</f>
        <v/>
      </c>
      <c r="R80" t="str">
        <f>IF(BrewdogNew[[#This Row],[ABV]]="*", BrewdogNew[[#This Row],[EBC]], "")</f>
        <v/>
      </c>
      <c r="S80" t="str">
        <f>IF(BrewdogNew[[#This Row],[ABV]]="*", BrewdogNew[[#This Row],[PH]], "")</f>
        <v/>
      </c>
      <c r="T80" t="str">
        <f>IF(BrewdogNew[[#This Row],[ABV]]="*", BrewdogNew[[#This Row],[AttenuationLevel]], "")</f>
        <v/>
      </c>
      <c r="U80" t="str">
        <f>IF(BrewdogNew[[#This Row],[ABV]]="*", BrewdogNew[[#This Row],[FermentationTempCelsius]], "")</f>
        <v/>
      </c>
      <c r="V80" t="str">
        <f>IF(BrewdogNew[[#This Row],[ABV]]="*", BrewdogNew[[#This Row],[Yeast]], "")</f>
        <v/>
      </c>
    </row>
    <row r="81" spans="1:22" hidden="1" x14ac:dyDescent="0.25">
      <c r="A81" s="45" t="s">
        <v>146</v>
      </c>
      <c r="B81">
        <v>15.2</v>
      </c>
      <c r="C81" s="2" t="s">
        <v>274</v>
      </c>
      <c r="D81">
        <v>20</v>
      </c>
      <c r="E81">
        <v>1110</v>
      </c>
      <c r="F81">
        <v>158</v>
      </c>
      <c r="G81">
        <v>4.4000000000000004</v>
      </c>
      <c r="H81">
        <v>82</v>
      </c>
      <c r="I81">
        <v>21</v>
      </c>
      <c r="J81" s="45" t="s">
        <v>80</v>
      </c>
      <c r="K81" s="45">
        <f>IF(BrewdogNew[[#This Row],[Yeast]]=BrewdogNew[[#Headers],[Wyeast 1056 - American Ale]],1,0)</f>
        <v>0</v>
      </c>
      <c r="L81" s="45">
        <f>IF(BrewdogNew[[#This Row],[Yeast]]=BrewdogNew[[#Headers],[Wyeast 2007 - Pilsen Lager]],1,0)</f>
        <v>0</v>
      </c>
      <c r="M81" s="45">
        <f>IF(BrewdogNew[[#This Row],[Yeast]]=BrewdogNew[[#Headers],[Wyeast 3711 - French Saison]],1,0)</f>
        <v>0</v>
      </c>
      <c r="N81" s="45">
        <f>IF(BrewdogNew[[#This Row],[Yeast]]=BrewdogNew[[#Headers],[Wyeast 1272 - American Ale II]],1,0)</f>
        <v>1</v>
      </c>
      <c r="O81" s="45" t="str">
        <f>BrewdogNew[[#This Row],[Name]]</f>
        <v>Lumberjack Stout</v>
      </c>
      <c r="P81" t="str">
        <f>IF(BrewdogNew[[#This Row],[ABV]]="*", BrewdogNew[[#This Row],[IBU]], "")</f>
        <v/>
      </c>
      <c r="Q81" t="str">
        <f>IF(BrewdogNew[[#This Row],[ABV]]="*", BrewdogNew[[#This Row],[OG]], "")</f>
        <v/>
      </c>
      <c r="R81" t="str">
        <f>IF(BrewdogNew[[#This Row],[ABV]]="*", BrewdogNew[[#This Row],[EBC]], "")</f>
        <v/>
      </c>
      <c r="S81" t="str">
        <f>IF(BrewdogNew[[#This Row],[ABV]]="*", BrewdogNew[[#This Row],[PH]], "")</f>
        <v/>
      </c>
      <c r="T81" t="str">
        <f>IF(BrewdogNew[[#This Row],[ABV]]="*", BrewdogNew[[#This Row],[AttenuationLevel]], "")</f>
        <v/>
      </c>
      <c r="U81" t="str">
        <f>IF(BrewdogNew[[#This Row],[ABV]]="*", BrewdogNew[[#This Row],[FermentationTempCelsius]], "")</f>
        <v/>
      </c>
      <c r="V81" t="str">
        <f>IF(BrewdogNew[[#This Row],[ABV]]="*", BrewdogNew[[#This Row],[Yeast]], "")</f>
        <v/>
      </c>
    </row>
    <row r="82" spans="1:22" hidden="1" x14ac:dyDescent="0.25">
      <c r="A82" s="45" t="s">
        <v>147</v>
      </c>
      <c r="B82">
        <v>5.4</v>
      </c>
      <c r="C82" s="2" t="s">
        <v>274</v>
      </c>
      <c r="D82">
        <v>20</v>
      </c>
      <c r="E82">
        <v>1055</v>
      </c>
      <c r="F82">
        <v>30</v>
      </c>
      <c r="G82">
        <v>4.4000000000000004</v>
      </c>
      <c r="H82">
        <v>74.599999999999994</v>
      </c>
      <c r="I82">
        <v>19</v>
      </c>
      <c r="J82" s="45" t="s">
        <v>80</v>
      </c>
      <c r="K82" s="45">
        <f>IF(BrewdogNew[[#This Row],[Yeast]]=BrewdogNew[[#Headers],[Wyeast 1056 - American Ale]],1,0)</f>
        <v>0</v>
      </c>
      <c r="L82" s="45">
        <f>IF(BrewdogNew[[#This Row],[Yeast]]=BrewdogNew[[#Headers],[Wyeast 2007 - Pilsen Lager]],1,0)</f>
        <v>0</v>
      </c>
      <c r="M82" s="45">
        <f>IF(BrewdogNew[[#This Row],[Yeast]]=BrewdogNew[[#Headers],[Wyeast 3711 - French Saison]],1,0)</f>
        <v>0</v>
      </c>
      <c r="N82" s="45">
        <f>IF(BrewdogNew[[#This Row],[Yeast]]=BrewdogNew[[#Headers],[Wyeast 1272 - American Ale II]],1,0)</f>
        <v>1</v>
      </c>
      <c r="O82" s="45" t="str">
        <f>BrewdogNew[[#This Row],[Name]]</f>
        <v>Pumpkin King</v>
      </c>
      <c r="P82" t="str">
        <f>IF(BrewdogNew[[#This Row],[ABV]]="*", BrewdogNew[[#This Row],[IBU]], "")</f>
        <v/>
      </c>
      <c r="Q82" t="str">
        <f>IF(BrewdogNew[[#This Row],[ABV]]="*", BrewdogNew[[#This Row],[OG]], "")</f>
        <v/>
      </c>
      <c r="R82" t="str">
        <f>IF(BrewdogNew[[#This Row],[ABV]]="*", BrewdogNew[[#This Row],[EBC]], "")</f>
        <v/>
      </c>
      <c r="S82" t="str">
        <f>IF(BrewdogNew[[#This Row],[ABV]]="*", BrewdogNew[[#This Row],[PH]], "")</f>
        <v/>
      </c>
      <c r="T82" t="str">
        <f>IF(BrewdogNew[[#This Row],[ABV]]="*", BrewdogNew[[#This Row],[AttenuationLevel]], "")</f>
        <v/>
      </c>
      <c r="U82" t="str">
        <f>IF(BrewdogNew[[#This Row],[ABV]]="*", BrewdogNew[[#This Row],[FermentationTempCelsius]], "")</f>
        <v/>
      </c>
      <c r="V82" t="str">
        <f>IF(BrewdogNew[[#This Row],[ABV]]="*", BrewdogNew[[#This Row],[Yeast]], "")</f>
        <v/>
      </c>
    </row>
    <row r="83" spans="1:22" hidden="1" x14ac:dyDescent="0.25">
      <c r="A83" s="45" t="s">
        <v>148</v>
      </c>
      <c r="B83">
        <v>8.3000000000000007</v>
      </c>
      <c r="C83" s="2" t="s">
        <v>274</v>
      </c>
      <c r="D83">
        <v>70</v>
      </c>
      <c r="E83">
        <v>1076</v>
      </c>
      <c r="F83">
        <v>30</v>
      </c>
      <c r="G83">
        <v>4.4000000000000004</v>
      </c>
      <c r="H83">
        <v>82.9</v>
      </c>
      <c r="I83">
        <v>21</v>
      </c>
      <c r="J83" s="45" t="s">
        <v>80</v>
      </c>
      <c r="K83" s="45">
        <f>IF(BrewdogNew[[#This Row],[Yeast]]=BrewdogNew[[#Headers],[Wyeast 1056 - American Ale]],1,0)</f>
        <v>0</v>
      </c>
      <c r="L83" s="45">
        <f>IF(BrewdogNew[[#This Row],[Yeast]]=BrewdogNew[[#Headers],[Wyeast 2007 - Pilsen Lager]],1,0)</f>
        <v>0</v>
      </c>
      <c r="M83" s="45">
        <f>IF(BrewdogNew[[#This Row],[Yeast]]=BrewdogNew[[#Headers],[Wyeast 3711 - French Saison]],1,0)</f>
        <v>0</v>
      </c>
      <c r="N83" s="45">
        <f>IF(BrewdogNew[[#This Row],[Yeast]]=BrewdogNew[[#Headers],[Wyeast 1272 - American Ale II]],1,0)</f>
        <v>1</v>
      </c>
      <c r="O83" s="45" t="str">
        <f>BrewdogNew[[#This Row],[Name]]</f>
        <v>Hello My Name Is PaÌˆivi</v>
      </c>
      <c r="P83" t="str">
        <f>IF(BrewdogNew[[#This Row],[ABV]]="*", BrewdogNew[[#This Row],[IBU]], "")</f>
        <v/>
      </c>
      <c r="Q83" t="str">
        <f>IF(BrewdogNew[[#This Row],[ABV]]="*", BrewdogNew[[#This Row],[OG]], "")</f>
        <v/>
      </c>
      <c r="R83" t="str">
        <f>IF(BrewdogNew[[#This Row],[ABV]]="*", BrewdogNew[[#This Row],[EBC]], "")</f>
        <v/>
      </c>
      <c r="S83" t="str">
        <f>IF(BrewdogNew[[#This Row],[ABV]]="*", BrewdogNew[[#This Row],[PH]], "")</f>
        <v/>
      </c>
      <c r="T83" t="str">
        <f>IF(BrewdogNew[[#This Row],[ABV]]="*", BrewdogNew[[#This Row],[AttenuationLevel]], "")</f>
        <v/>
      </c>
      <c r="U83" t="str">
        <f>IF(BrewdogNew[[#This Row],[ABV]]="*", BrewdogNew[[#This Row],[FermentationTempCelsius]], "")</f>
        <v/>
      </c>
      <c r="V83" t="str">
        <f>IF(BrewdogNew[[#This Row],[ABV]]="*", BrewdogNew[[#This Row],[Yeast]], "")</f>
        <v/>
      </c>
    </row>
    <row r="84" spans="1:22" hidden="1" x14ac:dyDescent="0.25">
      <c r="A84" s="45" t="s">
        <v>149</v>
      </c>
      <c r="B84">
        <v>6.5</v>
      </c>
      <c r="C84" s="2" t="s">
        <v>274</v>
      </c>
      <c r="D84">
        <v>60</v>
      </c>
      <c r="E84">
        <v>1060</v>
      </c>
      <c r="F84">
        <v>25</v>
      </c>
      <c r="G84">
        <v>4.4000000000000004</v>
      </c>
      <c r="H84">
        <v>83.3</v>
      </c>
      <c r="I84">
        <v>19</v>
      </c>
      <c r="J84" s="45" t="s">
        <v>64</v>
      </c>
      <c r="K84" s="45">
        <f>IF(BrewdogNew[[#This Row],[Yeast]]=BrewdogNew[[#Headers],[Wyeast 1056 - American Ale]],1,0)</f>
        <v>1</v>
      </c>
      <c r="L84" s="45">
        <f>IF(BrewdogNew[[#This Row],[Yeast]]=BrewdogNew[[#Headers],[Wyeast 2007 - Pilsen Lager]],1,0)</f>
        <v>0</v>
      </c>
      <c r="M84" s="45">
        <f>IF(BrewdogNew[[#This Row],[Yeast]]=BrewdogNew[[#Headers],[Wyeast 3711 - French Saison]],1,0)</f>
        <v>0</v>
      </c>
      <c r="N84" s="45">
        <f>IF(BrewdogNew[[#This Row],[Yeast]]=BrewdogNew[[#Headers],[Wyeast 1272 - American Ale II]],1,0)</f>
        <v>0</v>
      </c>
      <c r="O84" s="45" t="str">
        <f>BrewdogNew[[#This Row],[Name]]</f>
        <v>Elvis Juice V2.0 - Prototype Challenge</v>
      </c>
      <c r="P84" t="str">
        <f>IF(BrewdogNew[[#This Row],[ABV]]="*", BrewdogNew[[#This Row],[IBU]], "")</f>
        <v/>
      </c>
      <c r="Q84" t="str">
        <f>IF(BrewdogNew[[#This Row],[ABV]]="*", BrewdogNew[[#This Row],[OG]], "")</f>
        <v/>
      </c>
      <c r="R84" t="str">
        <f>IF(BrewdogNew[[#This Row],[ABV]]="*", BrewdogNew[[#This Row],[EBC]], "")</f>
        <v/>
      </c>
      <c r="S84" t="str">
        <f>IF(BrewdogNew[[#This Row],[ABV]]="*", BrewdogNew[[#This Row],[PH]], "")</f>
        <v/>
      </c>
      <c r="T84" t="str">
        <f>IF(BrewdogNew[[#This Row],[ABV]]="*", BrewdogNew[[#This Row],[AttenuationLevel]], "")</f>
        <v/>
      </c>
      <c r="U84" t="str">
        <f>IF(BrewdogNew[[#This Row],[ABV]]="*", BrewdogNew[[#This Row],[FermentationTempCelsius]], "")</f>
        <v/>
      </c>
      <c r="V84" t="str">
        <f>IF(BrewdogNew[[#This Row],[ABV]]="*", BrewdogNew[[#This Row],[Yeast]], "")</f>
        <v/>
      </c>
    </row>
    <row r="85" spans="1:22" hidden="1" x14ac:dyDescent="0.25">
      <c r="A85" s="45" t="s">
        <v>150</v>
      </c>
      <c r="B85">
        <v>8</v>
      </c>
      <c r="C85" s="2" t="s">
        <v>274</v>
      </c>
      <c r="D85">
        <v>45</v>
      </c>
      <c r="E85">
        <v>1075</v>
      </c>
      <c r="F85">
        <v>240</v>
      </c>
      <c r="G85">
        <v>4.4000000000000004</v>
      </c>
      <c r="H85">
        <v>81.3</v>
      </c>
      <c r="I85">
        <v>20</v>
      </c>
      <c r="J85" s="45" t="s">
        <v>80</v>
      </c>
      <c r="K85" s="45">
        <f>IF(BrewdogNew[[#This Row],[Yeast]]=BrewdogNew[[#Headers],[Wyeast 1056 - American Ale]],1,0)</f>
        <v>0</v>
      </c>
      <c r="L85" s="45">
        <f>IF(BrewdogNew[[#This Row],[Yeast]]=BrewdogNew[[#Headers],[Wyeast 2007 - Pilsen Lager]],1,0)</f>
        <v>0</v>
      </c>
      <c r="M85" s="45">
        <f>IF(BrewdogNew[[#This Row],[Yeast]]=BrewdogNew[[#Headers],[Wyeast 3711 - French Saison]],1,0)</f>
        <v>0</v>
      </c>
      <c r="N85" s="45">
        <f>IF(BrewdogNew[[#This Row],[Yeast]]=BrewdogNew[[#Headers],[Wyeast 1272 - American Ale II]],1,0)</f>
        <v>1</v>
      </c>
      <c r="O85" s="45" t="str">
        <f>BrewdogNew[[#This Row],[Name]]</f>
        <v>Riptide</v>
      </c>
      <c r="P85" t="str">
        <f>IF(BrewdogNew[[#This Row],[ABV]]="*", BrewdogNew[[#This Row],[IBU]], "")</f>
        <v/>
      </c>
      <c r="Q85" t="str">
        <f>IF(BrewdogNew[[#This Row],[ABV]]="*", BrewdogNew[[#This Row],[OG]], "")</f>
        <v/>
      </c>
      <c r="R85" t="str">
        <f>IF(BrewdogNew[[#This Row],[ABV]]="*", BrewdogNew[[#This Row],[EBC]], "")</f>
        <v/>
      </c>
      <c r="S85" t="str">
        <f>IF(BrewdogNew[[#This Row],[ABV]]="*", BrewdogNew[[#This Row],[PH]], "")</f>
        <v/>
      </c>
      <c r="T85" t="str">
        <f>IF(BrewdogNew[[#This Row],[ABV]]="*", BrewdogNew[[#This Row],[AttenuationLevel]], "")</f>
        <v/>
      </c>
      <c r="U85" t="str">
        <f>IF(BrewdogNew[[#This Row],[ABV]]="*", BrewdogNew[[#This Row],[FermentationTempCelsius]], "")</f>
        <v/>
      </c>
      <c r="V85" t="str">
        <f>IF(BrewdogNew[[#This Row],[ABV]]="*", BrewdogNew[[#This Row],[Yeast]], "")</f>
        <v/>
      </c>
    </row>
    <row r="86" spans="1:22" hidden="1" x14ac:dyDescent="0.25">
      <c r="A86" s="45" t="s">
        <v>151</v>
      </c>
      <c r="B86">
        <v>12</v>
      </c>
      <c r="C86" s="2" t="s">
        <v>274</v>
      </c>
      <c r="D86">
        <v>85</v>
      </c>
      <c r="E86">
        <v>1130</v>
      </c>
      <c r="F86">
        <v>24</v>
      </c>
      <c r="G86">
        <v>4.4000000000000004</v>
      </c>
      <c r="H86">
        <v>102.3</v>
      </c>
      <c r="I86">
        <v>21</v>
      </c>
      <c r="J86" s="45" t="s">
        <v>80</v>
      </c>
      <c r="K86" s="45">
        <f>IF(BrewdogNew[[#This Row],[Yeast]]=BrewdogNew[[#Headers],[Wyeast 1056 - American Ale]],1,0)</f>
        <v>0</v>
      </c>
      <c r="L86" s="45">
        <f>IF(BrewdogNew[[#This Row],[Yeast]]=BrewdogNew[[#Headers],[Wyeast 2007 - Pilsen Lager]],1,0)</f>
        <v>0</v>
      </c>
      <c r="M86" s="45">
        <f>IF(BrewdogNew[[#This Row],[Yeast]]=BrewdogNew[[#Headers],[Wyeast 3711 - French Saison]],1,0)</f>
        <v>0</v>
      </c>
      <c r="N86" s="45">
        <f>IF(BrewdogNew[[#This Row],[Yeast]]=BrewdogNew[[#Headers],[Wyeast 1272 - American Ale II]],1,0)</f>
        <v>1</v>
      </c>
      <c r="O86" s="45" t="str">
        <f>BrewdogNew[[#This Row],[Name]]</f>
        <v>Clown King</v>
      </c>
      <c r="P86" t="str">
        <f>IF(BrewdogNew[[#This Row],[ABV]]="*", BrewdogNew[[#This Row],[IBU]], "")</f>
        <v/>
      </c>
      <c r="Q86" t="str">
        <f>IF(BrewdogNew[[#This Row],[ABV]]="*", BrewdogNew[[#This Row],[OG]], "")</f>
        <v/>
      </c>
      <c r="R86" t="str">
        <f>IF(BrewdogNew[[#This Row],[ABV]]="*", BrewdogNew[[#This Row],[EBC]], "")</f>
        <v/>
      </c>
      <c r="S86" t="str">
        <f>IF(BrewdogNew[[#This Row],[ABV]]="*", BrewdogNew[[#This Row],[PH]], "")</f>
        <v/>
      </c>
      <c r="T86" t="str">
        <f>IF(BrewdogNew[[#This Row],[ABV]]="*", BrewdogNew[[#This Row],[AttenuationLevel]], "")</f>
        <v/>
      </c>
      <c r="U86" t="str">
        <f>IF(BrewdogNew[[#This Row],[ABV]]="*", BrewdogNew[[#This Row],[FermentationTempCelsius]], "")</f>
        <v/>
      </c>
      <c r="V86" t="str">
        <f>IF(BrewdogNew[[#This Row],[ABV]]="*", BrewdogNew[[#This Row],[Yeast]], "")</f>
        <v/>
      </c>
    </row>
    <row r="87" spans="1:22" hidden="1" x14ac:dyDescent="0.25">
      <c r="A87" s="45" t="s">
        <v>152</v>
      </c>
      <c r="B87">
        <v>8.1999999999999993</v>
      </c>
      <c r="C87" s="2" t="s">
        <v>274</v>
      </c>
      <c r="D87">
        <v>42</v>
      </c>
      <c r="E87">
        <v>1078</v>
      </c>
      <c r="F87">
        <v>90</v>
      </c>
      <c r="G87">
        <v>4.4000000000000004</v>
      </c>
      <c r="H87">
        <v>83.3</v>
      </c>
      <c r="I87">
        <v>21</v>
      </c>
      <c r="J87" s="45" t="s">
        <v>80</v>
      </c>
      <c r="K87" s="45">
        <f>IF(BrewdogNew[[#This Row],[Yeast]]=BrewdogNew[[#Headers],[Wyeast 1056 - American Ale]],1,0)</f>
        <v>0</v>
      </c>
      <c r="L87" s="45">
        <f>IF(BrewdogNew[[#This Row],[Yeast]]=BrewdogNew[[#Headers],[Wyeast 2007 - Pilsen Lager]],1,0)</f>
        <v>0</v>
      </c>
      <c r="M87" s="45">
        <f>IF(BrewdogNew[[#This Row],[Yeast]]=BrewdogNew[[#Headers],[Wyeast 3711 - French Saison]],1,0)</f>
        <v>0</v>
      </c>
      <c r="N87" s="45">
        <f>IF(BrewdogNew[[#This Row],[Yeast]]=BrewdogNew[[#Headers],[Wyeast 1272 - American Ale II]],1,0)</f>
        <v>1</v>
      </c>
      <c r="O87" s="45" t="str">
        <f>BrewdogNew[[#This Row],[Name]]</f>
        <v>Hello My Name Is Beastie</v>
      </c>
      <c r="P87" t="str">
        <f>IF(BrewdogNew[[#This Row],[ABV]]="*", BrewdogNew[[#This Row],[IBU]], "")</f>
        <v/>
      </c>
      <c r="Q87" t="str">
        <f>IF(BrewdogNew[[#This Row],[ABV]]="*", BrewdogNew[[#This Row],[OG]], "")</f>
        <v/>
      </c>
      <c r="R87" t="str">
        <f>IF(BrewdogNew[[#This Row],[ABV]]="*", BrewdogNew[[#This Row],[EBC]], "")</f>
        <v/>
      </c>
      <c r="S87" t="str">
        <f>IF(BrewdogNew[[#This Row],[ABV]]="*", BrewdogNew[[#This Row],[PH]], "")</f>
        <v/>
      </c>
      <c r="T87" t="str">
        <f>IF(BrewdogNew[[#This Row],[ABV]]="*", BrewdogNew[[#This Row],[AttenuationLevel]], "")</f>
        <v/>
      </c>
      <c r="U87" t="str">
        <f>IF(BrewdogNew[[#This Row],[ABV]]="*", BrewdogNew[[#This Row],[FermentationTempCelsius]], "")</f>
        <v/>
      </c>
      <c r="V87" t="str">
        <f>IF(BrewdogNew[[#This Row],[ABV]]="*", BrewdogNew[[#This Row],[Yeast]], "")</f>
        <v/>
      </c>
    </row>
    <row r="88" spans="1:22" hidden="1" x14ac:dyDescent="0.25">
      <c r="A88" s="45" t="s">
        <v>153</v>
      </c>
      <c r="B88">
        <v>5.6</v>
      </c>
      <c r="C88" s="2" t="s">
        <v>274</v>
      </c>
      <c r="D88">
        <v>40</v>
      </c>
      <c r="E88">
        <v>1055</v>
      </c>
      <c r="F88">
        <v>15</v>
      </c>
      <c r="G88">
        <v>4.4000000000000004</v>
      </c>
      <c r="H88">
        <v>78</v>
      </c>
      <c r="I88">
        <v>19</v>
      </c>
      <c r="J88" s="45" t="s">
        <v>64</v>
      </c>
      <c r="K88" s="45">
        <f>IF(BrewdogNew[[#This Row],[Yeast]]=BrewdogNew[[#Headers],[Wyeast 1056 - American Ale]],1,0)</f>
        <v>1</v>
      </c>
      <c r="L88" s="45">
        <f>IF(BrewdogNew[[#This Row],[Yeast]]=BrewdogNew[[#Headers],[Wyeast 2007 - Pilsen Lager]],1,0)</f>
        <v>0</v>
      </c>
      <c r="M88" s="45">
        <f>IF(BrewdogNew[[#This Row],[Yeast]]=BrewdogNew[[#Headers],[Wyeast 3711 - French Saison]],1,0)</f>
        <v>0</v>
      </c>
      <c r="N88" s="45">
        <f>IF(BrewdogNew[[#This Row],[Yeast]]=BrewdogNew[[#Headers],[Wyeast 1272 - American Ale II]],1,0)</f>
        <v>0</v>
      </c>
      <c r="O88" s="45" t="str">
        <f>BrewdogNew[[#This Row],[Name]]</f>
        <v>Punk IPA 2010 - Current</v>
      </c>
      <c r="P88" t="str">
        <f>IF(BrewdogNew[[#This Row],[ABV]]="*", BrewdogNew[[#This Row],[IBU]], "")</f>
        <v/>
      </c>
      <c r="Q88" t="str">
        <f>IF(BrewdogNew[[#This Row],[ABV]]="*", BrewdogNew[[#This Row],[OG]], "")</f>
        <v/>
      </c>
      <c r="R88" t="str">
        <f>IF(BrewdogNew[[#This Row],[ABV]]="*", BrewdogNew[[#This Row],[EBC]], "")</f>
        <v/>
      </c>
      <c r="S88" t="str">
        <f>IF(BrewdogNew[[#This Row],[ABV]]="*", BrewdogNew[[#This Row],[PH]], "")</f>
        <v/>
      </c>
      <c r="T88" t="str">
        <f>IF(BrewdogNew[[#This Row],[ABV]]="*", BrewdogNew[[#This Row],[AttenuationLevel]], "")</f>
        <v/>
      </c>
      <c r="U88" t="str">
        <f>IF(BrewdogNew[[#This Row],[ABV]]="*", BrewdogNew[[#This Row],[FermentationTempCelsius]], "")</f>
        <v/>
      </c>
      <c r="V88" t="str">
        <f>IF(BrewdogNew[[#This Row],[ABV]]="*", BrewdogNew[[#This Row],[Yeast]], "")</f>
        <v/>
      </c>
    </row>
    <row r="89" spans="1:22" hidden="1" x14ac:dyDescent="0.25">
      <c r="A89" s="45" t="s">
        <v>154</v>
      </c>
      <c r="B89">
        <v>7.2</v>
      </c>
      <c r="C89" s="2" t="s">
        <v>274</v>
      </c>
      <c r="D89">
        <v>70</v>
      </c>
      <c r="E89">
        <v>1067</v>
      </c>
      <c r="F89">
        <v>30</v>
      </c>
      <c r="G89">
        <v>4.4000000000000004</v>
      </c>
      <c r="H89">
        <v>82.1</v>
      </c>
      <c r="I89">
        <v>19</v>
      </c>
      <c r="J89" s="45" t="s">
        <v>64</v>
      </c>
      <c r="K89" s="45">
        <f>IF(BrewdogNew[[#This Row],[Yeast]]=BrewdogNew[[#Headers],[Wyeast 1056 - American Ale]],1,0)</f>
        <v>1</v>
      </c>
      <c r="L89" s="45">
        <f>IF(BrewdogNew[[#This Row],[Yeast]]=BrewdogNew[[#Headers],[Wyeast 2007 - Pilsen Lager]],1,0)</f>
        <v>0</v>
      </c>
      <c r="M89" s="45">
        <f>IF(BrewdogNew[[#This Row],[Yeast]]=BrewdogNew[[#Headers],[Wyeast 3711 - French Saison]],1,0)</f>
        <v>0</v>
      </c>
      <c r="N89" s="45">
        <f>IF(BrewdogNew[[#This Row],[Yeast]]=BrewdogNew[[#Headers],[Wyeast 1272 - American Ale II]],1,0)</f>
        <v>0</v>
      </c>
      <c r="O89" s="45" t="str">
        <f>BrewdogNew[[#This Row],[Name]]</f>
        <v>HBC 366 - IPA Is Dead</v>
      </c>
      <c r="P89" t="str">
        <f>IF(BrewdogNew[[#This Row],[ABV]]="*", BrewdogNew[[#This Row],[IBU]], "")</f>
        <v/>
      </c>
      <c r="Q89" t="str">
        <f>IF(BrewdogNew[[#This Row],[ABV]]="*", BrewdogNew[[#This Row],[OG]], "")</f>
        <v/>
      </c>
      <c r="R89" t="str">
        <f>IF(BrewdogNew[[#This Row],[ABV]]="*", BrewdogNew[[#This Row],[EBC]], "")</f>
        <v/>
      </c>
      <c r="S89" t="str">
        <f>IF(BrewdogNew[[#This Row],[ABV]]="*", BrewdogNew[[#This Row],[PH]], "")</f>
        <v/>
      </c>
      <c r="T89" t="str">
        <f>IF(BrewdogNew[[#This Row],[ABV]]="*", BrewdogNew[[#This Row],[AttenuationLevel]], "")</f>
        <v/>
      </c>
      <c r="U89" t="str">
        <f>IF(BrewdogNew[[#This Row],[ABV]]="*", BrewdogNew[[#This Row],[FermentationTempCelsius]], "")</f>
        <v/>
      </c>
      <c r="V89" t="str">
        <f>IF(BrewdogNew[[#This Row],[ABV]]="*", BrewdogNew[[#This Row],[Yeast]], "")</f>
        <v/>
      </c>
    </row>
    <row r="90" spans="1:22" hidden="1" x14ac:dyDescent="0.25">
      <c r="A90" s="45" t="s">
        <v>155</v>
      </c>
      <c r="B90">
        <v>6.3</v>
      </c>
      <c r="C90" s="2" t="s">
        <v>274</v>
      </c>
      <c r="D90">
        <v>55</v>
      </c>
      <c r="E90">
        <v>1060</v>
      </c>
      <c r="F90">
        <v>30</v>
      </c>
      <c r="G90">
        <v>4.4000000000000004</v>
      </c>
      <c r="H90">
        <v>80</v>
      </c>
      <c r="I90">
        <v>19</v>
      </c>
      <c r="J90" s="45" t="s">
        <v>80</v>
      </c>
      <c r="K90" s="45">
        <f>IF(BrewdogNew[[#This Row],[Yeast]]=BrewdogNew[[#Headers],[Wyeast 1056 - American Ale]],1,0)</f>
        <v>0</v>
      </c>
      <c r="L90" s="45">
        <f>IF(BrewdogNew[[#This Row],[Yeast]]=BrewdogNew[[#Headers],[Wyeast 2007 - Pilsen Lager]],1,0)</f>
        <v>0</v>
      </c>
      <c r="M90" s="45">
        <f>IF(BrewdogNew[[#This Row],[Yeast]]=BrewdogNew[[#Headers],[Wyeast 3711 - French Saison]],1,0)</f>
        <v>0</v>
      </c>
      <c r="N90" s="45">
        <f>IF(BrewdogNew[[#This Row],[Yeast]]=BrewdogNew[[#Headers],[Wyeast 1272 - American Ale II]],1,0)</f>
        <v>1</v>
      </c>
      <c r="O90" s="45" t="str">
        <f>BrewdogNew[[#This Row],[Name]]</f>
        <v>American Ale</v>
      </c>
      <c r="P90" t="str">
        <f>IF(BrewdogNew[[#This Row],[ABV]]="*", BrewdogNew[[#This Row],[IBU]], "")</f>
        <v/>
      </c>
      <c r="Q90" t="str">
        <f>IF(BrewdogNew[[#This Row],[ABV]]="*", BrewdogNew[[#This Row],[OG]], "")</f>
        <v/>
      </c>
      <c r="R90" t="str">
        <f>IF(BrewdogNew[[#This Row],[ABV]]="*", BrewdogNew[[#This Row],[EBC]], "")</f>
        <v/>
      </c>
      <c r="S90" t="str">
        <f>IF(BrewdogNew[[#This Row],[ABV]]="*", BrewdogNew[[#This Row],[PH]], "")</f>
        <v/>
      </c>
      <c r="T90" t="str">
        <f>IF(BrewdogNew[[#This Row],[ABV]]="*", BrewdogNew[[#This Row],[AttenuationLevel]], "")</f>
        <v/>
      </c>
      <c r="U90" t="str">
        <f>IF(BrewdogNew[[#This Row],[ABV]]="*", BrewdogNew[[#This Row],[FermentationTempCelsius]], "")</f>
        <v/>
      </c>
      <c r="V90" t="str">
        <f>IF(BrewdogNew[[#This Row],[ABV]]="*", BrewdogNew[[#This Row],[Yeast]], "")</f>
        <v/>
      </c>
    </row>
    <row r="91" spans="1:22" hidden="1" x14ac:dyDescent="0.25">
      <c r="A91" s="45" t="s">
        <v>156</v>
      </c>
      <c r="B91">
        <v>10</v>
      </c>
      <c r="C91" s="2" t="s">
        <v>274</v>
      </c>
      <c r="D91">
        <v>85</v>
      </c>
      <c r="E91">
        <v>1098</v>
      </c>
      <c r="F91">
        <v>30</v>
      </c>
      <c r="G91">
        <v>4.4000000000000004</v>
      </c>
      <c r="H91">
        <v>70</v>
      </c>
      <c r="I91">
        <v>21</v>
      </c>
      <c r="J91" s="45" t="s">
        <v>80</v>
      </c>
      <c r="K91" s="45">
        <f>IF(BrewdogNew[[#This Row],[Yeast]]=BrewdogNew[[#Headers],[Wyeast 1056 - American Ale]],1,0)</f>
        <v>0</v>
      </c>
      <c r="L91" s="45">
        <f>IF(BrewdogNew[[#This Row],[Yeast]]=BrewdogNew[[#Headers],[Wyeast 2007 - Pilsen Lager]],1,0)</f>
        <v>0</v>
      </c>
      <c r="M91" s="45">
        <f>IF(BrewdogNew[[#This Row],[Yeast]]=BrewdogNew[[#Headers],[Wyeast 3711 - French Saison]],1,0)</f>
        <v>0</v>
      </c>
      <c r="N91" s="45">
        <f>IF(BrewdogNew[[#This Row],[Yeast]]=BrewdogNew[[#Headers],[Wyeast 1272 - American Ale II]],1,0)</f>
        <v>1</v>
      </c>
      <c r="O91" s="45" t="str">
        <f>BrewdogNew[[#This Row],[Name]]</f>
        <v>Cocoa Psycho</v>
      </c>
      <c r="P91" t="str">
        <f>IF(BrewdogNew[[#This Row],[ABV]]="*", BrewdogNew[[#This Row],[IBU]], "")</f>
        <v/>
      </c>
      <c r="Q91" t="str">
        <f>IF(BrewdogNew[[#This Row],[ABV]]="*", BrewdogNew[[#This Row],[OG]], "")</f>
        <v/>
      </c>
      <c r="R91" t="str">
        <f>IF(BrewdogNew[[#This Row],[ABV]]="*", BrewdogNew[[#This Row],[EBC]], "")</f>
        <v/>
      </c>
      <c r="S91" t="str">
        <f>IF(BrewdogNew[[#This Row],[ABV]]="*", BrewdogNew[[#This Row],[PH]], "")</f>
        <v/>
      </c>
      <c r="T91" t="str">
        <f>IF(BrewdogNew[[#This Row],[ABV]]="*", BrewdogNew[[#This Row],[AttenuationLevel]], "")</f>
        <v/>
      </c>
      <c r="U91" t="str">
        <f>IF(BrewdogNew[[#This Row],[ABV]]="*", BrewdogNew[[#This Row],[FermentationTempCelsius]], "")</f>
        <v/>
      </c>
      <c r="V91" t="str">
        <f>IF(BrewdogNew[[#This Row],[ABV]]="*", BrewdogNew[[#This Row],[Yeast]], "")</f>
        <v/>
      </c>
    </row>
    <row r="92" spans="1:22" hidden="1" x14ac:dyDescent="0.25">
      <c r="A92" s="45" t="s">
        <v>157</v>
      </c>
      <c r="B92">
        <v>5.6</v>
      </c>
      <c r="C92" s="2" t="s">
        <v>274</v>
      </c>
      <c r="D92">
        <v>30</v>
      </c>
      <c r="E92">
        <v>1058</v>
      </c>
      <c r="F92">
        <v>54</v>
      </c>
      <c r="G92">
        <v>4.4000000000000004</v>
      </c>
      <c r="H92">
        <v>74</v>
      </c>
      <c r="I92">
        <v>19</v>
      </c>
      <c r="J92" s="45" t="s">
        <v>64</v>
      </c>
      <c r="K92" s="45">
        <f>IF(BrewdogNew[[#This Row],[Yeast]]=BrewdogNew[[#Headers],[Wyeast 1056 - American Ale]],1,0)</f>
        <v>1</v>
      </c>
      <c r="L92" s="45">
        <f>IF(BrewdogNew[[#This Row],[Yeast]]=BrewdogNew[[#Headers],[Wyeast 2007 - Pilsen Lager]],1,0)</f>
        <v>0</v>
      </c>
      <c r="M92" s="45">
        <f>IF(BrewdogNew[[#This Row],[Yeast]]=BrewdogNew[[#Headers],[Wyeast 3711 - French Saison]],1,0)</f>
        <v>0</v>
      </c>
      <c r="N92" s="45">
        <f>IF(BrewdogNew[[#This Row],[Yeast]]=BrewdogNew[[#Headers],[Wyeast 1272 - American Ale II]],1,0)</f>
        <v>0</v>
      </c>
      <c r="O92" s="45" t="str">
        <f>BrewdogNew[[#This Row],[Name]]</f>
        <v>Truffle and Chocolate Stout - B-Sides</v>
      </c>
      <c r="P92" t="str">
        <f>IF(BrewdogNew[[#This Row],[ABV]]="*", BrewdogNew[[#This Row],[IBU]], "")</f>
        <v/>
      </c>
      <c r="Q92" t="str">
        <f>IF(BrewdogNew[[#This Row],[ABV]]="*", BrewdogNew[[#This Row],[OG]], "")</f>
        <v/>
      </c>
      <c r="R92" t="str">
        <f>IF(BrewdogNew[[#This Row],[ABV]]="*", BrewdogNew[[#This Row],[EBC]], "")</f>
        <v/>
      </c>
      <c r="S92" t="str">
        <f>IF(BrewdogNew[[#This Row],[ABV]]="*", BrewdogNew[[#This Row],[PH]], "")</f>
        <v/>
      </c>
      <c r="T92" t="str">
        <f>IF(BrewdogNew[[#This Row],[ABV]]="*", BrewdogNew[[#This Row],[AttenuationLevel]], "")</f>
        <v/>
      </c>
      <c r="U92" t="str">
        <f>IF(BrewdogNew[[#This Row],[ABV]]="*", BrewdogNew[[#This Row],[FermentationTempCelsius]], "")</f>
        <v/>
      </c>
      <c r="V92" t="str">
        <f>IF(BrewdogNew[[#This Row],[ABV]]="*", BrewdogNew[[#This Row],[Yeast]], "")</f>
        <v/>
      </c>
    </row>
    <row r="93" spans="1:22" hidden="1" x14ac:dyDescent="0.25">
      <c r="A93" s="45" t="s">
        <v>158</v>
      </c>
      <c r="B93">
        <v>4.5</v>
      </c>
      <c r="C93" s="2" t="s">
        <v>274</v>
      </c>
      <c r="D93">
        <v>55</v>
      </c>
      <c r="E93">
        <v>1046</v>
      </c>
      <c r="F93">
        <v>25</v>
      </c>
      <c r="G93">
        <v>4.4000000000000004</v>
      </c>
      <c r="H93">
        <v>73.900000000000006</v>
      </c>
      <c r="I93">
        <v>9</v>
      </c>
      <c r="J93" s="45" t="s">
        <v>68</v>
      </c>
      <c r="K93" s="45">
        <f>IF(BrewdogNew[[#This Row],[Yeast]]=BrewdogNew[[#Headers],[Wyeast 1056 - American Ale]],1,0)</f>
        <v>0</v>
      </c>
      <c r="L93" s="45">
        <f>IF(BrewdogNew[[#This Row],[Yeast]]=BrewdogNew[[#Headers],[Wyeast 2007 - Pilsen Lager]],1,0)</f>
        <v>1</v>
      </c>
      <c r="M93" s="45">
        <f>IF(BrewdogNew[[#This Row],[Yeast]]=BrewdogNew[[#Headers],[Wyeast 3711 - French Saison]],1,0)</f>
        <v>0</v>
      </c>
      <c r="N93" s="45">
        <f>IF(BrewdogNew[[#This Row],[Yeast]]=BrewdogNew[[#Headers],[Wyeast 1272 - American Ale II]],1,0)</f>
        <v>0</v>
      </c>
      <c r="O93" s="45" t="str">
        <f>BrewdogNew[[#This Row],[Name]]</f>
        <v>Vagabond Pilsner</v>
      </c>
      <c r="P93" t="str">
        <f>IF(BrewdogNew[[#This Row],[ABV]]="*", BrewdogNew[[#This Row],[IBU]], "")</f>
        <v/>
      </c>
      <c r="Q93" t="str">
        <f>IF(BrewdogNew[[#This Row],[ABV]]="*", BrewdogNew[[#This Row],[OG]], "")</f>
        <v/>
      </c>
      <c r="R93" t="str">
        <f>IF(BrewdogNew[[#This Row],[ABV]]="*", BrewdogNew[[#This Row],[EBC]], "")</f>
        <v/>
      </c>
      <c r="S93" t="str">
        <f>IF(BrewdogNew[[#This Row],[ABV]]="*", BrewdogNew[[#This Row],[PH]], "")</f>
        <v/>
      </c>
      <c r="T93" t="str">
        <f>IF(BrewdogNew[[#This Row],[ABV]]="*", BrewdogNew[[#This Row],[AttenuationLevel]], "")</f>
        <v/>
      </c>
      <c r="U93" t="str">
        <f>IF(BrewdogNew[[#This Row],[ABV]]="*", BrewdogNew[[#This Row],[FermentationTempCelsius]], "")</f>
        <v/>
      </c>
      <c r="V93" t="str">
        <f>IF(BrewdogNew[[#This Row],[ABV]]="*", BrewdogNew[[#This Row],[Yeast]], "")</f>
        <v/>
      </c>
    </row>
    <row r="94" spans="1:22" hidden="1" x14ac:dyDescent="0.25">
      <c r="A94" s="45" t="s">
        <v>159</v>
      </c>
      <c r="B94">
        <v>8.1999999999999993</v>
      </c>
      <c r="C94" s="2" t="s">
        <v>274</v>
      </c>
      <c r="D94">
        <v>42</v>
      </c>
      <c r="E94">
        <v>1078</v>
      </c>
      <c r="F94">
        <v>70</v>
      </c>
      <c r="G94">
        <v>4.4000000000000004</v>
      </c>
      <c r="H94">
        <v>83.3</v>
      </c>
      <c r="I94">
        <v>22</v>
      </c>
      <c r="J94" s="45" t="s">
        <v>80</v>
      </c>
      <c r="K94" s="45">
        <f>IF(BrewdogNew[[#This Row],[Yeast]]=BrewdogNew[[#Headers],[Wyeast 1056 - American Ale]],1,0)</f>
        <v>0</v>
      </c>
      <c r="L94" s="45">
        <f>IF(BrewdogNew[[#This Row],[Yeast]]=BrewdogNew[[#Headers],[Wyeast 2007 - Pilsen Lager]],1,0)</f>
        <v>0</v>
      </c>
      <c r="M94" s="45">
        <f>IF(BrewdogNew[[#This Row],[Yeast]]=BrewdogNew[[#Headers],[Wyeast 3711 - French Saison]],1,0)</f>
        <v>0</v>
      </c>
      <c r="N94" s="45">
        <f>IF(BrewdogNew[[#This Row],[Yeast]]=BrewdogNew[[#Headers],[Wyeast 1272 - American Ale II]],1,0)</f>
        <v>1</v>
      </c>
      <c r="O94" s="45" t="str">
        <f>BrewdogNew[[#This Row],[Name]]</f>
        <v>Hello My Name Is Ingrid</v>
      </c>
      <c r="P94" t="str">
        <f>IF(BrewdogNew[[#This Row],[ABV]]="*", BrewdogNew[[#This Row],[IBU]], "")</f>
        <v/>
      </c>
      <c r="Q94" t="str">
        <f>IF(BrewdogNew[[#This Row],[ABV]]="*", BrewdogNew[[#This Row],[OG]], "")</f>
        <v/>
      </c>
      <c r="R94" t="str">
        <f>IF(BrewdogNew[[#This Row],[ABV]]="*", BrewdogNew[[#This Row],[EBC]], "")</f>
        <v/>
      </c>
      <c r="S94" t="str">
        <f>IF(BrewdogNew[[#This Row],[ABV]]="*", BrewdogNew[[#This Row],[PH]], "")</f>
        <v/>
      </c>
      <c r="T94" t="str">
        <f>IF(BrewdogNew[[#This Row],[ABV]]="*", BrewdogNew[[#This Row],[AttenuationLevel]], "")</f>
        <v/>
      </c>
      <c r="U94" t="str">
        <f>IF(BrewdogNew[[#This Row],[ABV]]="*", BrewdogNew[[#This Row],[FermentationTempCelsius]], "")</f>
        <v/>
      </c>
      <c r="V94" t="str">
        <f>IF(BrewdogNew[[#This Row],[ABV]]="*", BrewdogNew[[#This Row],[Yeast]], "")</f>
        <v/>
      </c>
    </row>
    <row r="95" spans="1:22" hidden="1" x14ac:dyDescent="0.25">
      <c r="A95" s="45" t="s">
        <v>160</v>
      </c>
      <c r="B95">
        <v>8.4</v>
      </c>
      <c r="C95" s="2" t="s">
        <v>274</v>
      </c>
      <c r="D95">
        <v>50</v>
      </c>
      <c r="E95">
        <v>1080</v>
      </c>
      <c r="F95">
        <v>200</v>
      </c>
      <c r="G95">
        <v>4.4000000000000004</v>
      </c>
      <c r="H95">
        <v>81.3</v>
      </c>
      <c r="I95">
        <v>14</v>
      </c>
      <c r="J95" s="45" t="s">
        <v>68</v>
      </c>
      <c r="K95" s="45">
        <f>IF(BrewdogNew[[#This Row],[Yeast]]=BrewdogNew[[#Headers],[Wyeast 1056 - American Ale]],1,0)</f>
        <v>0</v>
      </c>
      <c r="L95" s="45">
        <f>IF(BrewdogNew[[#This Row],[Yeast]]=BrewdogNew[[#Headers],[Wyeast 2007 - Pilsen Lager]],1,0)</f>
        <v>1</v>
      </c>
      <c r="M95" s="45">
        <f>IF(BrewdogNew[[#This Row],[Yeast]]=BrewdogNew[[#Headers],[Wyeast 3711 - French Saison]],1,0)</f>
        <v>0</v>
      </c>
      <c r="N95" s="45">
        <f>IF(BrewdogNew[[#This Row],[Yeast]]=BrewdogNew[[#Headers],[Wyeast 1272 - American Ale II]],1,0)</f>
        <v>0</v>
      </c>
      <c r="O95" s="45" t="str">
        <f>BrewdogNew[[#This Row],[Name]]</f>
        <v>U-Boat (w/ Victory Brewing)</v>
      </c>
      <c r="P95" t="str">
        <f>IF(BrewdogNew[[#This Row],[ABV]]="*", BrewdogNew[[#This Row],[IBU]], "")</f>
        <v/>
      </c>
      <c r="Q95" t="str">
        <f>IF(BrewdogNew[[#This Row],[ABV]]="*", BrewdogNew[[#This Row],[OG]], "")</f>
        <v/>
      </c>
      <c r="R95" t="str">
        <f>IF(BrewdogNew[[#This Row],[ABV]]="*", BrewdogNew[[#This Row],[EBC]], "")</f>
        <v/>
      </c>
      <c r="S95" t="str">
        <f>IF(BrewdogNew[[#This Row],[ABV]]="*", BrewdogNew[[#This Row],[PH]], "")</f>
        <v/>
      </c>
      <c r="T95" t="str">
        <f>IF(BrewdogNew[[#This Row],[ABV]]="*", BrewdogNew[[#This Row],[AttenuationLevel]], "")</f>
        <v/>
      </c>
      <c r="U95" t="str">
        <f>IF(BrewdogNew[[#This Row],[ABV]]="*", BrewdogNew[[#This Row],[FermentationTempCelsius]], "")</f>
        <v/>
      </c>
      <c r="V95" t="str">
        <f>IF(BrewdogNew[[#This Row],[ABV]]="*", BrewdogNew[[#This Row],[Yeast]], "")</f>
        <v/>
      </c>
    </row>
    <row r="96" spans="1:22" hidden="1" x14ac:dyDescent="0.25">
      <c r="A96" s="45" t="s">
        <v>161</v>
      </c>
      <c r="B96">
        <v>6</v>
      </c>
      <c r="C96" s="2" t="s">
        <v>274</v>
      </c>
      <c r="D96">
        <v>50</v>
      </c>
      <c r="E96">
        <v>1050</v>
      </c>
      <c r="F96">
        <v>8</v>
      </c>
      <c r="G96">
        <v>5.2</v>
      </c>
      <c r="H96">
        <v>87</v>
      </c>
      <c r="I96">
        <v>20</v>
      </c>
      <c r="J96" s="45" t="s">
        <v>64</v>
      </c>
      <c r="K96" s="45">
        <f>IF(BrewdogNew[[#This Row],[Yeast]]=BrewdogNew[[#Headers],[Wyeast 1056 - American Ale]],1,0)</f>
        <v>1</v>
      </c>
      <c r="L96" s="45">
        <f>IF(BrewdogNew[[#This Row],[Yeast]]=BrewdogNew[[#Headers],[Wyeast 2007 - Pilsen Lager]],1,0)</f>
        <v>0</v>
      </c>
      <c r="M96" s="45">
        <f>IF(BrewdogNew[[#This Row],[Yeast]]=BrewdogNew[[#Headers],[Wyeast 3711 - French Saison]],1,0)</f>
        <v>0</v>
      </c>
      <c r="N96" s="45">
        <f>IF(BrewdogNew[[#This Row],[Yeast]]=BrewdogNew[[#Headers],[Wyeast 1272 - American Ale II]],1,0)</f>
        <v>0</v>
      </c>
      <c r="O96" s="45" t="str">
        <f>BrewdogNew[[#This Row],[Name]]</f>
        <v>Melon And Cucumber IPA - B-Sides</v>
      </c>
      <c r="P96" t="str">
        <f>IF(BrewdogNew[[#This Row],[ABV]]="*", BrewdogNew[[#This Row],[IBU]], "")</f>
        <v/>
      </c>
      <c r="Q96" t="str">
        <f>IF(BrewdogNew[[#This Row],[ABV]]="*", BrewdogNew[[#This Row],[OG]], "")</f>
        <v/>
      </c>
      <c r="R96" t="str">
        <f>IF(BrewdogNew[[#This Row],[ABV]]="*", BrewdogNew[[#This Row],[EBC]], "")</f>
        <v/>
      </c>
      <c r="S96" t="str">
        <f>IF(BrewdogNew[[#This Row],[ABV]]="*", BrewdogNew[[#This Row],[PH]], "")</f>
        <v/>
      </c>
      <c r="T96" t="str">
        <f>IF(BrewdogNew[[#This Row],[ABV]]="*", BrewdogNew[[#This Row],[AttenuationLevel]], "")</f>
        <v/>
      </c>
      <c r="U96" t="str">
        <f>IF(BrewdogNew[[#This Row],[ABV]]="*", BrewdogNew[[#This Row],[FermentationTempCelsius]], "")</f>
        <v/>
      </c>
      <c r="V96" t="str">
        <f>IF(BrewdogNew[[#This Row],[ABV]]="*", BrewdogNew[[#This Row],[Yeast]], "")</f>
        <v/>
      </c>
    </row>
    <row r="97" spans="1:22" hidden="1" x14ac:dyDescent="0.25">
      <c r="A97" s="45" t="s">
        <v>162</v>
      </c>
      <c r="B97">
        <v>6.7</v>
      </c>
      <c r="C97" s="2" t="s">
        <v>274</v>
      </c>
      <c r="D97">
        <v>40</v>
      </c>
      <c r="E97">
        <v>1063</v>
      </c>
      <c r="F97">
        <v>15</v>
      </c>
      <c r="G97">
        <v>5.2</v>
      </c>
      <c r="H97">
        <v>84</v>
      </c>
      <c r="I97">
        <v>19</v>
      </c>
      <c r="J97" s="45" t="s">
        <v>64</v>
      </c>
      <c r="K97" s="45">
        <f>IF(BrewdogNew[[#This Row],[Yeast]]=BrewdogNew[[#Headers],[Wyeast 1056 - American Ale]],1,0)</f>
        <v>1</v>
      </c>
      <c r="L97" s="45">
        <f>IF(BrewdogNew[[#This Row],[Yeast]]=BrewdogNew[[#Headers],[Wyeast 2007 - Pilsen Lager]],1,0)</f>
        <v>0</v>
      </c>
      <c r="M97" s="45">
        <f>IF(BrewdogNew[[#This Row],[Yeast]]=BrewdogNew[[#Headers],[Wyeast 3711 - French Saison]],1,0)</f>
        <v>0</v>
      </c>
      <c r="N97" s="45">
        <f>IF(BrewdogNew[[#This Row],[Yeast]]=BrewdogNew[[#Headers],[Wyeast 1272 - American Ale II]],1,0)</f>
        <v>0</v>
      </c>
      <c r="O97" s="45" t="str">
        <f>BrewdogNew[[#This Row],[Name]]</f>
        <v>Morag's Mojito - B-Sides</v>
      </c>
      <c r="P97" t="str">
        <f>IF(BrewdogNew[[#This Row],[ABV]]="*", BrewdogNew[[#This Row],[IBU]], "")</f>
        <v/>
      </c>
      <c r="Q97" t="str">
        <f>IF(BrewdogNew[[#This Row],[ABV]]="*", BrewdogNew[[#This Row],[OG]], "")</f>
        <v/>
      </c>
      <c r="R97" t="str">
        <f>IF(BrewdogNew[[#This Row],[ABV]]="*", BrewdogNew[[#This Row],[EBC]], "")</f>
        <v/>
      </c>
      <c r="S97" t="str">
        <f>IF(BrewdogNew[[#This Row],[ABV]]="*", BrewdogNew[[#This Row],[PH]], "")</f>
        <v/>
      </c>
      <c r="T97" t="str">
        <f>IF(BrewdogNew[[#This Row],[ABV]]="*", BrewdogNew[[#This Row],[AttenuationLevel]], "")</f>
        <v/>
      </c>
      <c r="U97" t="str">
        <f>IF(BrewdogNew[[#This Row],[ABV]]="*", BrewdogNew[[#This Row],[FermentationTempCelsius]], "")</f>
        <v/>
      </c>
      <c r="V97" t="str">
        <f>IF(BrewdogNew[[#This Row],[ABV]]="*", BrewdogNew[[#This Row],[Yeast]], "")</f>
        <v/>
      </c>
    </row>
    <row r="98" spans="1:22" hidden="1" x14ac:dyDescent="0.25">
      <c r="A98" s="45" t="s">
        <v>163</v>
      </c>
      <c r="B98">
        <v>6.5</v>
      </c>
      <c r="C98" s="2" t="s">
        <v>274</v>
      </c>
      <c r="D98">
        <v>35</v>
      </c>
      <c r="E98">
        <v>1068</v>
      </c>
      <c r="F98">
        <v>250</v>
      </c>
      <c r="G98">
        <v>4.2</v>
      </c>
      <c r="H98">
        <v>70.599999999999994</v>
      </c>
      <c r="I98">
        <v>19</v>
      </c>
      <c r="J98" s="45" t="s">
        <v>64</v>
      </c>
      <c r="K98" s="45">
        <f>IF(BrewdogNew[[#This Row],[Yeast]]=BrewdogNew[[#Headers],[Wyeast 1056 - American Ale]],1,0)</f>
        <v>1</v>
      </c>
      <c r="L98" s="45">
        <f>IF(BrewdogNew[[#This Row],[Yeast]]=BrewdogNew[[#Headers],[Wyeast 2007 - Pilsen Lager]],1,0)</f>
        <v>0</v>
      </c>
      <c r="M98" s="45">
        <f>IF(BrewdogNew[[#This Row],[Yeast]]=BrewdogNew[[#Headers],[Wyeast 3711 - French Saison]],1,0)</f>
        <v>0</v>
      </c>
      <c r="N98" s="45">
        <f>IF(BrewdogNew[[#This Row],[Yeast]]=BrewdogNew[[#Headers],[Wyeast 1272 - American Ale II]],1,0)</f>
        <v>0</v>
      </c>
      <c r="O98" s="45" t="str">
        <f>BrewdogNew[[#This Row],[Name]]</f>
        <v>Bounty Hunter - Shareholder Brew</v>
      </c>
      <c r="P98" t="str">
        <f>IF(BrewdogNew[[#This Row],[ABV]]="*", BrewdogNew[[#This Row],[IBU]], "")</f>
        <v/>
      </c>
      <c r="Q98" t="str">
        <f>IF(BrewdogNew[[#This Row],[ABV]]="*", BrewdogNew[[#This Row],[OG]], "")</f>
        <v/>
      </c>
      <c r="R98" t="str">
        <f>IF(BrewdogNew[[#This Row],[ABV]]="*", BrewdogNew[[#This Row],[EBC]], "")</f>
        <v/>
      </c>
      <c r="S98" t="str">
        <f>IF(BrewdogNew[[#This Row],[ABV]]="*", BrewdogNew[[#This Row],[PH]], "")</f>
        <v/>
      </c>
      <c r="T98" t="str">
        <f>IF(BrewdogNew[[#This Row],[ABV]]="*", BrewdogNew[[#This Row],[AttenuationLevel]], "")</f>
        <v/>
      </c>
      <c r="U98" t="str">
        <f>IF(BrewdogNew[[#This Row],[ABV]]="*", BrewdogNew[[#This Row],[FermentationTempCelsius]], "")</f>
        <v/>
      </c>
      <c r="V98" t="str">
        <f>IF(BrewdogNew[[#This Row],[ABV]]="*", BrewdogNew[[#This Row],[Yeast]], "")</f>
        <v/>
      </c>
    </row>
    <row r="99" spans="1:22" hidden="1" x14ac:dyDescent="0.25">
      <c r="A99" s="45" t="s">
        <v>164</v>
      </c>
      <c r="B99">
        <v>11.5</v>
      </c>
      <c r="C99" s="2" t="s">
        <v>274</v>
      </c>
      <c r="D99">
        <v>80</v>
      </c>
      <c r="E99">
        <v>1096</v>
      </c>
      <c r="F99">
        <v>115</v>
      </c>
      <c r="G99">
        <v>4.4000000000000004</v>
      </c>
      <c r="H99">
        <v>79.2</v>
      </c>
      <c r="I99">
        <v>20</v>
      </c>
      <c r="J99" s="45" t="s">
        <v>80</v>
      </c>
      <c r="K99" s="45">
        <f>IF(BrewdogNew[[#This Row],[Yeast]]=BrewdogNew[[#Headers],[Wyeast 1056 - American Ale]],1,0)</f>
        <v>0</v>
      </c>
      <c r="L99" s="45">
        <f>IF(BrewdogNew[[#This Row],[Yeast]]=BrewdogNew[[#Headers],[Wyeast 2007 - Pilsen Lager]],1,0)</f>
        <v>0</v>
      </c>
      <c r="M99" s="45">
        <f>IF(BrewdogNew[[#This Row],[Yeast]]=BrewdogNew[[#Headers],[Wyeast 3711 - French Saison]],1,0)</f>
        <v>0</v>
      </c>
      <c r="N99" s="45">
        <f>IF(BrewdogNew[[#This Row],[Yeast]]=BrewdogNew[[#Headers],[Wyeast 1272 - American Ale II]],1,0)</f>
        <v>1</v>
      </c>
      <c r="O99" s="45" t="str">
        <f>BrewdogNew[[#This Row],[Name]]</f>
        <v>AB:10</v>
      </c>
      <c r="P99" t="str">
        <f>IF(BrewdogNew[[#This Row],[ABV]]="*", BrewdogNew[[#This Row],[IBU]], "")</f>
        <v/>
      </c>
      <c r="Q99" t="str">
        <f>IF(BrewdogNew[[#This Row],[ABV]]="*", BrewdogNew[[#This Row],[OG]], "")</f>
        <v/>
      </c>
      <c r="R99" t="str">
        <f>IF(BrewdogNew[[#This Row],[ABV]]="*", BrewdogNew[[#This Row],[EBC]], "")</f>
        <v/>
      </c>
      <c r="S99" t="str">
        <f>IF(BrewdogNew[[#This Row],[ABV]]="*", BrewdogNew[[#This Row],[PH]], "")</f>
        <v/>
      </c>
      <c r="T99" t="str">
        <f>IF(BrewdogNew[[#This Row],[ABV]]="*", BrewdogNew[[#This Row],[AttenuationLevel]], "")</f>
        <v/>
      </c>
      <c r="U99" t="str">
        <f>IF(BrewdogNew[[#This Row],[ABV]]="*", BrewdogNew[[#This Row],[FermentationTempCelsius]], "")</f>
        <v/>
      </c>
      <c r="V99" t="str">
        <f>IF(BrewdogNew[[#This Row],[ABV]]="*", BrewdogNew[[#This Row],[Yeast]], "")</f>
        <v/>
      </c>
    </row>
    <row r="100" spans="1:22" hidden="1" x14ac:dyDescent="0.25">
      <c r="A100" s="45" t="s">
        <v>165</v>
      </c>
      <c r="B100">
        <v>8.5</v>
      </c>
      <c r="C100" s="2" t="s">
        <v>274</v>
      </c>
      <c r="D100">
        <v>65</v>
      </c>
      <c r="E100">
        <v>1078</v>
      </c>
      <c r="F100">
        <v>31.2</v>
      </c>
      <c r="G100">
        <v>4.4000000000000004</v>
      </c>
      <c r="H100">
        <v>84.6</v>
      </c>
      <c r="I100">
        <v>18</v>
      </c>
      <c r="J100" s="45" t="s">
        <v>80</v>
      </c>
      <c r="K100" s="45">
        <f>IF(BrewdogNew[[#This Row],[Yeast]]=BrewdogNew[[#Headers],[Wyeast 1056 - American Ale]],1,0)</f>
        <v>0</v>
      </c>
      <c r="L100" s="45">
        <f>IF(BrewdogNew[[#This Row],[Yeast]]=BrewdogNew[[#Headers],[Wyeast 2007 - Pilsen Lager]],1,0)</f>
        <v>0</v>
      </c>
      <c r="M100" s="45">
        <f>IF(BrewdogNew[[#This Row],[Yeast]]=BrewdogNew[[#Headers],[Wyeast 3711 - French Saison]],1,0)</f>
        <v>0</v>
      </c>
      <c r="N100" s="45">
        <f>IF(BrewdogNew[[#This Row],[Yeast]]=BrewdogNew[[#Headers],[Wyeast 1272 - American Ale II]],1,0)</f>
        <v>1</v>
      </c>
      <c r="O100" s="45" t="str">
        <f>BrewdogNew[[#This Row],[Name]]</f>
        <v>Dog Fight (w/ Flying Dog)</v>
      </c>
      <c r="P100" t="str">
        <f>IF(BrewdogNew[[#This Row],[ABV]]="*", BrewdogNew[[#This Row],[IBU]], "")</f>
        <v/>
      </c>
      <c r="Q100" t="str">
        <f>IF(BrewdogNew[[#This Row],[ABV]]="*", BrewdogNew[[#This Row],[OG]], "")</f>
        <v/>
      </c>
      <c r="R100" t="str">
        <f>IF(BrewdogNew[[#This Row],[ABV]]="*", BrewdogNew[[#This Row],[EBC]], "")</f>
        <v/>
      </c>
      <c r="S100" t="str">
        <f>IF(BrewdogNew[[#This Row],[ABV]]="*", BrewdogNew[[#This Row],[PH]], "")</f>
        <v/>
      </c>
      <c r="T100" t="str">
        <f>IF(BrewdogNew[[#This Row],[ABV]]="*", BrewdogNew[[#This Row],[AttenuationLevel]], "")</f>
        <v/>
      </c>
      <c r="U100" t="str">
        <f>IF(BrewdogNew[[#This Row],[ABV]]="*", BrewdogNew[[#This Row],[FermentationTempCelsius]], "")</f>
        <v/>
      </c>
      <c r="V100" t="str">
        <f>IF(BrewdogNew[[#This Row],[ABV]]="*", BrewdogNew[[#This Row],[Yeast]], "")</f>
        <v/>
      </c>
    </row>
    <row r="101" spans="1:22" hidden="1" x14ac:dyDescent="0.25">
      <c r="A101" s="45" t="s">
        <v>166</v>
      </c>
      <c r="B101">
        <v>5.2</v>
      </c>
      <c r="C101" s="2" t="s">
        <v>274</v>
      </c>
      <c r="D101">
        <v>45</v>
      </c>
      <c r="E101">
        <v>1049</v>
      </c>
      <c r="F101">
        <v>45</v>
      </c>
      <c r="G101">
        <v>4.2</v>
      </c>
      <c r="H101">
        <v>81.599999999999994</v>
      </c>
      <c r="I101">
        <v>14</v>
      </c>
      <c r="J101" s="45" t="s">
        <v>64</v>
      </c>
      <c r="K101" s="45">
        <f>IF(BrewdogNew[[#This Row],[Yeast]]=BrewdogNew[[#Headers],[Wyeast 1056 - American Ale]],1,0)</f>
        <v>1</v>
      </c>
      <c r="L101" s="45">
        <f>IF(BrewdogNew[[#This Row],[Yeast]]=BrewdogNew[[#Headers],[Wyeast 2007 - Pilsen Lager]],1,0)</f>
        <v>0</v>
      </c>
      <c r="M101" s="45">
        <f>IF(BrewdogNew[[#This Row],[Yeast]]=BrewdogNew[[#Headers],[Wyeast 3711 - French Saison]],1,0)</f>
        <v>0</v>
      </c>
      <c r="N101" s="45">
        <f>IF(BrewdogNew[[#This Row],[Yeast]]=BrewdogNew[[#Headers],[Wyeast 1272 - American Ale II]],1,0)</f>
        <v>0</v>
      </c>
      <c r="O101" s="45" t="str">
        <f>BrewdogNew[[#This Row],[Name]]</f>
        <v>Candy Kaiser</v>
      </c>
      <c r="P101" t="str">
        <f>IF(BrewdogNew[[#This Row],[ABV]]="*", BrewdogNew[[#This Row],[IBU]], "")</f>
        <v/>
      </c>
      <c r="Q101" t="str">
        <f>IF(BrewdogNew[[#This Row],[ABV]]="*", BrewdogNew[[#This Row],[OG]], "")</f>
        <v/>
      </c>
      <c r="R101" t="str">
        <f>IF(BrewdogNew[[#This Row],[ABV]]="*", BrewdogNew[[#This Row],[EBC]], "")</f>
        <v/>
      </c>
      <c r="S101" t="str">
        <f>IF(BrewdogNew[[#This Row],[ABV]]="*", BrewdogNew[[#This Row],[PH]], "")</f>
        <v/>
      </c>
      <c r="T101" t="str">
        <f>IF(BrewdogNew[[#This Row],[ABV]]="*", BrewdogNew[[#This Row],[AttenuationLevel]], "")</f>
        <v/>
      </c>
      <c r="U101" t="str">
        <f>IF(BrewdogNew[[#This Row],[ABV]]="*", BrewdogNew[[#This Row],[FermentationTempCelsius]], "")</f>
        <v/>
      </c>
      <c r="V101" t="str">
        <f>IF(BrewdogNew[[#This Row],[ABV]]="*", BrewdogNew[[#This Row],[Yeast]], "")</f>
        <v/>
      </c>
    </row>
    <row r="102" spans="1:22" hidden="1" x14ac:dyDescent="0.25">
      <c r="A102" s="45" t="s">
        <v>167</v>
      </c>
      <c r="B102">
        <v>7.1</v>
      </c>
      <c r="C102" s="2" t="s">
        <v>274</v>
      </c>
      <c r="D102">
        <v>90</v>
      </c>
      <c r="E102">
        <v>1067</v>
      </c>
      <c r="F102">
        <v>15</v>
      </c>
      <c r="G102">
        <v>4.4000000000000004</v>
      </c>
      <c r="H102">
        <v>80.599999999999994</v>
      </c>
      <c r="I102">
        <v>19</v>
      </c>
      <c r="J102" s="45" t="s">
        <v>64</v>
      </c>
      <c r="K102" s="45">
        <f>IF(BrewdogNew[[#This Row],[Yeast]]=BrewdogNew[[#Headers],[Wyeast 1056 - American Ale]],1,0)</f>
        <v>1</v>
      </c>
      <c r="L102" s="45">
        <f>IF(BrewdogNew[[#This Row],[Yeast]]=BrewdogNew[[#Headers],[Wyeast 2007 - Pilsen Lager]],1,0)</f>
        <v>0</v>
      </c>
      <c r="M102" s="45">
        <f>IF(BrewdogNew[[#This Row],[Yeast]]=BrewdogNew[[#Headers],[Wyeast 3711 - French Saison]],1,0)</f>
        <v>0</v>
      </c>
      <c r="N102" s="45">
        <f>IF(BrewdogNew[[#This Row],[Yeast]]=BrewdogNew[[#Headers],[Wyeast 1272 - American Ale II]],1,0)</f>
        <v>0</v>
      </c>
      <c r="O102" s="45" t="str">
        <f>BrewdogNew[[#This Row],[Name]]</f>
        <v>Chaos Theory</v>
      </c>
      <c r="P102" t="str">
        <f>IF(BrewdogNew[[#This Row],[ABV]]="*", BrewdogNew[[#This Row],[IBU]], "")</f>
        <v/>
      </c>
      <c r="Q102" t="str">
        <f>IF(BrewdogNew[[#This Row],[ABV]]="*", BrewdogNew[[#This Row],[OG]], "")</f>
        <v/>
      </c>
      <c r="R102" t="str">
        <f>IF(BrewdogNew[[#This Row],[ABV]]="*", BrewdogNew[[#This Row],[EBC]], "")</f>
        <v/>
      </c>
      <c r="S102" t="str">
        <f>IF(BrewdogNew[[#This Row],[ABV]]="*", BrewdogNew[[#This Row],[PH]], "")</f>
        <v/>
      </c>
      <c r="T102" t="str">
        <f>IF(BrewdogNew[[#This Row],[ABV]]="*", BrewdogNew[[#This Row],[AttenuationLevel]], "")</f>
        <v/>
      </c>
      <c r="U102" t="str">
        <f>IF(BrewdogNew[[#This Row],[ABV]]="*", BrewdogNew[[#This Row],[FermentationTempCelsius]], "")</f>
        <v/>
      </c>
      <c r="V102" t="str">
        <f>IF(BrewdogNew[[#This Row],[ABV]]="*", BrewdogNew[[#This Row],[Yeast]], "")</f>
        <v/>
      </c>
    </row>
    <row r="103" spans="1:22" hidden="1" x14ac:dyDescent="0.25">
      <c r="A103" s="45" t="s">
        <v>168</v>
      </c>
      <c r="B103">
        <v>4.7</v>
      </c>
      <c r="C103" s="2" t="s">
        <v>274</v>
      </c>
      <c r="D103">
        <v>45</v>
      </c>
      <c r="E103">
        <v>1055</v>
      </c>
      <c r="F103">
        <v>200</v>
      </c>
      <c r="G103">
        <v>4.4000000000000004</v>
      </c>
      <c r="H103">
        <v>70</v>
      </c>
      <c r="I103">
        <v>19</v>
      </c>
      <c r="J103" s="45" t="s">
        <v>64</v>
      </c>
      <c r="K103" s="45">
        <f>IF(BrewdogNew[[#This Row],[Yeast]]=BrewdogNew[[#Headers],[Wyeast 1056 - American Ale]],1,0)</f>
        <v>1</v>
      </c>
      <c r="L103" s="45">
        <f>IF(BrewdogNew[[#This Row],[Yeast]]=BrewdogNew[[#Headers],[Wyeast 2007 - Pilsen Lager]],1,0)</f>
        <v>0</v>
      </c>
      <c r="M103" s="45">
        <f>IF(BrewdogNew[[#This Row],[Yeast]]=BrewdogNew[[#Headers],[Wyeast 3711 - French Saison]],1,0)</f>
        <v>0</v>
      </c>
      <c r="N103" s="45">
        <f>IF(BrewdogNew[[#This Row],[Yeast]]=BrewdogNew[[#Headers],[Wyeast 1272 - American Ale II]],1,0)</f>
        <v>0</v>
      </c>
      <c r="O103" s="45" t="str">
        <f>BrewdogNew[[#This Row],[Name]]</f>
        <v>Jet Black Heart</v>
      </c>
      <c r="P103" t="str">
        <f>IF(BrewdogNew[[#This Row],[ABV]]="*", BrewdogNew[[#This Row],[IBU]], "")</f>
        <v/>
      </c>
      <c r="Q103" t="str">
        <f>IF(BrewdogNew[[#This Row],[ABV]]="*", BrewdogNew[[#This Row],[OG]], "")</f>
        <v/>
      </c>
      <c r="R103" t="str">
        <f>IF(BrewdogNew[[#This Row],[ABV]]="*", BrewdogNew[[#This Row],[EBC]], "")</f>
        <v/>
      </c>
      <c r="S103" t="str">
        <f>IF(BrewdogNew[[#This Row],[ABV]]="*", BrewdogNew[[#This Row],[PH]], "")</f>
        <v/>
      </c>
      <c r="T103" t="str">
        <f>IF(BrewdogNew[[#This Row],[ABV]]="*", BrewdogNew[[#This Row],[AttenuationLevel]], "")</f>
        <v/>
      </c>
      <c r="U103" t="str">
        <f>IF(BrewdogNew[[#This Row],[ABV]]="*", BrewdogNew[[#This Row],[FermentationTempCelsius]], "")</f>
        <v/>
      </c>
      <c r="V103" t="str">
        <f>IF(BrewdogNew[[#This Row],[ABV]]="*", BrewdogNew[[#This Row],[Yeast]], "")</f>
        <v/>
      </c>
    </row>
    <row r="104" spans="1:22" hidden="1" x14ac:dyDescent="0.25">
      <c r="A104" s="45" t="s">
        <v>169</v>
      </c>
      <c r="B104">
        <v>6.7</v>
      </c>
      <c r="C104" s="2" t="s">
        <v>274</v>
      </c>
      <c r="D104">
        <v>67</v>
      </c>
      <c r="E104">
        <v>1013</v>
      </c>
      <c r="F104">
        <v>19</v>
      </c>
      <c r="G104">
        <v>4.4000000000000004</v>
      </c>
      <c r="H104">
        <v>79.7</v>
      </c>
      <c r="I104">
        <v>19</v>
      </c>
      <c r="J104" s="45" t="s">
        <v>64</v>
      </c>
      <c r="K104" s="45">
        <f>IF(BrewdogNew[[#This Row],[Yeast]]=BrewdogNew[[#Headers],[Wyeast 1056 - American Ale]],1,0)</f>
        <v>1</v>
      </c>
      <c r="L104" s="45">
        <f>IF(BrewdogNew[[#This Row],[Yeast]]=BrewdogNew[[#Headers],[Wyeast 2007 - Pilsen Lager]],1,0)</f>
        <v>0</v>
      </c>
      <c r="M104" s="45">
        <f>IF(BrewdogNew[[#This Row],[Yeast]]=BrewdogNew[[#Headers],[Wyeast 3711 - French Saison]],1,0)</f>
        <v>0</v>
      </c>
      <c r="N104" s="45">
        <f>IF(BrewdogNew[[#This Row],[Yeast]]=BrewdogNew[[#Headers],[Wyeast 1272 - American Ale II]],1,0)</f>
        <v>0</v>
      </c>
      <c r="O104" s="45" t="str">
        <f>BrewdogNew[[#This Row],[Name]]</f>
        <v>Galaxy</v>
      </c>
      <c r="P104" t="str">
        <f>IF(BrewdogNew[[#This Row],[ABV]]="*", BrewdogNew[[#This Row],[IBU]], "")</f>
        <v/>
      </c>
      <c r="Q104" t="str">
        <f>IF(BrewdogNew[[#This Row],[ABV]]="*", BrewdogNew[[#This Row],[OG]], "")</f>
        <v/>
      </c>
      <c r="R104" t="str">
        <f>IF(BrewdogNew[[#This Row],[ABV]]="*", BrewdogNew[[#This Row],[EBC]], "")</f>
        <v/>
      </c>
      <c r="S104" t="str">
        <f>IF(BrewdogNew[[#This Row],[ABV]]="*", BrewdogNew[[#This Row],[PH]], "")</f>
        <v/>
      </c>
      <c r="T104" t="str">
        <f>IF(BrewdogNew[[#This Row],[ABV]]="*", BrewdogNew[[#This Row],[AttenuationLevel]], "")</f>
        <v/>
      </c>
      <c r="U104" t="str">
        <f>IF(BrewdogNew[[#This Row],[ABV]]="*", BrewdogNew[[#This Row],[FermentationTempCelsius]], "")</f>
        <v/>
      </c>
      <c r="V104" t="str">
        <f>IF(BrewdogNew[[#This Row],[ABV]]="*", BrewdogNew[[#This Row],[Yeast]], "")</f>
        <v/>
      </c>
    </row>
    <row r="105" spans="1:22" hidden="1" x14ac:dyDescent="0.25">
      <c r="A105" s="45" t="s">
        <v>170</v>
      </c>
      <c r="B105">
        <v>9</v>
      </c>
      <c r="C105" s="2" t="s">
        <v>274</v>
      </c>
      <c r="D105">
        <v>85</v>
      </c>
      <c r="E105">
        <v>1094</v>
      </c>
      <c r="F105">
        <v>400</v>
      </c>
      <c r="G105">
        <v>4.3</v>
      </c>
      <c r="H105">
        <v>73.400000000000006</v>
      </c>
      <c r="I105">
        <v>21</v>
      </c>
      <c r="J105" s="45" t="s">
        <v>80</v>
      </c>
      <c r="K105" s="45">
        <f>IF(BrewdogNew[[#This Row],[Yeast]]=BrewdogNew[[#Headers],[Wyeast 1056 - American Ale]],1,0)</f>
        <v>0</v>
      </c>
      <c r="L105" s="45">
        <f>IF(BrewdogNew[[#This Row],[Yeast]]=BrewdogNew[[#Headers],[Wyeast 2007 - Pilsen Lager]],1,0)</f>
        <v>0</v>
      </c>
      <c r="M105" s="45">
        <f>IF(BrewdogNew[[#This Row],[Yeast]]=BrewdogNew[[#Headers],[Wyeast 3711 - French Saison]],1,0)</f>
        <v>0</v>
      </c>
      <c r="N105" s="45">
        <f>IF(BrewdogNew[[#This Row],[Yeast]]=BrewdogNew[[#Headers],[Wyeast 1272 - American Ale II]],1,0)</f>
        <v>1</v>
      </c>
      <c r="O105" s="45" t="str">
        <f>BrewdogNew[[#This Row],[Name]]</f>
        <v>Hinterland</v>
      </c>
      <c r="P105" t="str">
        <f>IF(BrewdogNew[[#This Row],[ABV]]="*", BrewdogNew[[#This Row],[IBU]], "")</f>
        <v/>
      </c>
      <c r="Q105" t="str">
        <f>IF(BrewdogNew[[#This Row],[ABV]]="*", BrewdogNew[[#This Row],[OG]], "")</f>
        <v/>
      </c>
      <c r="R105" t="str">
        <f>IF(BrewdogNew[[#This Row],[ABV]]="*", BrewdogNew[[#This Row],[EBC]], "")</f>
        <v/>
      </c>
      <c r="S105" t="str">
        <f>IF(BrewdogNew[[#This Row],[ABV]]="*", BrewdogNew[[#This Row],[PH]], "")</f>
        <v/>
      </c>
      <c r="T105" t="str">
        <f>IF(BrewdogNew[[#This Row],[ABV]]="*", BrewdogNew[[#This Row],[AttenuationLevel]], "")</f>
        <v/>
      </c>
      <c r="U105" t="str">
        <f>IF(BrewdogNew[[#This Row],[ABV]]="*", BrewdogNew[[#This Row],[FermentationTempCelsius]], "")</f>
        <v/>
      </c>
      <c r="V105" t="str">
        <f>IF(BrewdogNew[[#This Row],[ABV]]="*", BrewdogNew[[#This Row],[Yeast]], "")</f>
        <v/>
      </c>
    </row>
    <row r="106" spans="1:22" hidden="1" x14ac:dyDescent="0.25">
      <c r="A106" s="45" t="s">
        <v>171</v>
      </c>
      <c r="B106">
        <v>6.5</v>
      </c>
      <c r="C106" s="2" t="s">
        <v>274</v>
      </c>
      <c r="D106">
        <v>20</v>
      </c>
      <c r="E106">
        <v>1060</v>
      </c>
      <c r="F106" s="31" t="s">
        <v>32</v>
      </c>
      <c r="G106">
        <v>3.2</v>
      </c>
      <c r="H106">
        <v>87</v>
      </c>
      <c r="I106">
        <v>20</v>
      </c>
      <c r="J106" s="45" t="s">
        <v>64</v>
      </c>
      <c r="K106" s="45">
        <f>IF(BrewdogNew[[#This Row],[Yeast]]=BrewdogNew[[#Headers],[Wyeast 1056 - American Ale]],1,0)</f>
        <v>1</v>
      </c>
      <c r="L106" s="45">
        <f>IF(BrewdogNew[[#This Row],[Yeast]]=BrewdogNew[[#Headers],[Wyeast 2007 - Pilsen Lager]],1,0)</f>
        <v>0</v>
      </c>
      <c r="M106" s="45">
        <f>IF(BrewdogNew[[#This Row],[Yeast]]=BrewdogNew[[#Headers],[Wyeast 3711 - French Saison]],1,0)</f>
        <v>0</v>
      </c>
      <c r="N106" s="45">
        <f>IF(BrewdogNew[[#This Row],[Yeast]]=BrewdogNew[[#Headers],[Wyeast 1272 - American Ale II]],1,0)</f>
        <v>0</v>
      </c>
      <c r="O106" s="45" t="str">
        <f>BrewdogNew[[#This Row],[Name]]</f>
        <v>Spiced Cherry Sour - B-Sides</v>
      </c>
      <c r="P106" t="str">
        <f>IF(BrewdogNew[[#This Row],[ABV]]="*", BrewdogNew[[#This Row],[IBU]], "")</f>
        <v/>
      </c>
      <c r="Q106" t="str">
        <f>IF(BrewdogNew[[#This Row],[ABV]]="*", BrewdogNew[[#This Row],[OG]], "")</f>
        <v/>
      </c>
      <c r="R106" t="str">
        <f>IF(BrewdogNew[[#This Row],[ABV]]="*", BrewdogNew[[#This Row],[EBC]], "")</f>
        <v/>
      </c>
      <c r="S106" t="str">
        <f>IF(BrewdogNew[[#This Row],[ABV]]="*", BrewdogNew[[#This Row],[PH]], "")</f>
        <v/>
      </c>
      <c r="T106" t="str">
        <f>IF(BrewdogNew[[#This Row],[ABV]]="*", BrewdogNew[[#This Row],[AttenuationLevel]], "")</f>
        <v/>
      </c>
      <c r="U106" t="str">
        <f>IF(BrewdogNew[[#This Row],[ABV]]="*", BrewdogNew[[#This Row],[FermentationTempCelsius]], "")</f>
        <v/>
      </c>
      <c r="V106" t="str">
        <f>IF(BrewdogNew[[#This Row],[ABV]]="*", BrewdogNew[[#This Row],[Yeast]], "")</f>
        <v/>
      </c>
    </row>
    <row r="107" spans="1:22" hidden="1" x14ac:dyDescent="0.25">
      <c r="A107" s="45" t="s">
        <v>172</v>
      </c>
      <c r="B107">
        <v>6.7</v>
      </c>
      <c r="C107" s="2" t="s">
        <v>274</v>
      </c>
      <c r="D107">
        <v>67</v>
      </c>
      <c r="E107">
        <v>1013</v>
      </c>
      <c r="F107">
        <v>19</v>
      </c>
      <c r="G107">
        <v>4.4000000000000004</v>
      </c>
      <c r="H107">
        <v>79.7</v>
      </c>
      <c r="I107">
        <v>19</v>
      </c>
      <c r="J107" s="45" t="s">
        <v>64</v>
      </c>
      <c r="K107" s="45">
        <f>IF(BrewdogNew[[#This Row],[Yeast]]=BrewdogNew[[#Headers],[Wyeast 1056 - American Ale]],1,0)</f>
        <v>1</v>
      </c>
      <c r="L107" s="45">
        <f>IF(BrewdogNew[[#This Row],[Yeast]]=BrewdogNew[[#Headers],[Wyeast 2007 - Pilsen Lager]],1,0)</f>
        <v>0</v>
      </c>
      <c r="M107" s="45">
        <f>IF(BrewdogNew[[#This Row],[Yeast]]=BrewdogNew[[#Headers],[Wyeast 3711 - French Saison]],1,0)</f>
        <v>0</v>
      </c>
      <c r="N107" s="45">
        <f>IF(BrewdogNew[[#This Row],[Yeast]]=BrewdogNew[[#Headers],[Wyeast 1272 - American Ale II]],1,0)</f>
        <v>0</v>
      </c>
      <c r="O107" s="45" t="str">
        <f>BrewdogNew[[#This Row],[Name]]</f>
        <v>Motueka</v>
      </c>
      <c r="P107" t="str">
        <f>IF(BrewdogNew[[#This Row],[ABV]]="*", BrewdogNew[[#This Row],[IBU]], "")</f>
        <v/>
      </c>
      <c r="Q107" t="str">
        <f>IF(BrewdogNew[[#This Row],[ABV]]="*", BrewdogNew[[#This Row],[OG]], "")</f>
        <v/>
      </c>
      <c r="R107" t="str">
        <f>IF(BrewdogNew[[#This Row],[ABV]]="*", BrewdogNew[[#This Row],[EBC]], "")</f>
        <v/>
      </c>
      <c r="S107" t="str">
        <f>IF(BrewdogNew[[#This Row],[ABV]]="*", BrewdogNew[[#This Row],[PH]], "")</f>
        <v/>
      </c>
      <c r="T107" t="str">
        <f>IF(BrewdogNew[[#This Row],[ABV]]="*", BrewdogNew[[#This Row],[AttenuationLevel]], "")</f>
        <v/>
      </c>
      <c r="U107" t="str">
        <f>IF(BrewdogNew[[#This Row],[ABV]]="*", BrewdogNew[[#This Row],[FermentationTempCelsius]], "")</f>
        <v/>
      </c>
      <c r="V107" t="str">
        <f>IF(BrewdogNew[[#This Row],[ABV]]="*", BrewdogNew[[#This Row],[Yeast]], "")</f>
        <v/>
      </c>
    </row>
    <row r="108" spans="1:22" hidden="1" x14ac:dyDescent="0.25">
      <c r="A108" s="45" t="s">
        <v>173</v>
      </c>
      <c r="B108">
        <v>5</v>
      </c>
      <c r="C108" s="2" t="s">
        <v>274</v>
      </c>
      <c r="D108">
        <v>30</v>
      </c>
      <c r="E108">
        <v>1050</v>
      </c>
      <c r="F108">
        <v>60</v>
      </c>
      <c r="G108">
        <v>4.4000000000000004</v>
      </c>
      <c r="H108">
        <v>76</v>
      </c>
      <c r="I108">
        <v>19</v>
      </c>
      <c r="J108" s="45" t="s">
        <v>64</v>
      </c>
      <c r="K108" s="45">
        <f>IF(BrewdogNew[[#This Row],[Yeast]]=BrewdogNew[[#Headers],[Wyeast 1056 - American Ale]],1,0)</f>
        <v>1</v>
      </c>
      <c r="L108" s="45">
        <f>IF(BrewdogNew[[#This Row],[Yeast]]=BrewdogNew[[#Headers],[Wyeast 2007 - Pilsen Lager]],1,0)</f>
        <v>0</v>
      </c>
      <c r="M108" s="45">
        <f>IF(BrewdogNew[[#This Row],[Yeast]]=BrewdogNew[[#Headers],[Wyeast 3711 - French Saison]],1,0)</f>
        <v>0</v>
      </c>
      <c r="N108" s="45">
        <f>IF(BrewdogNew[[#This Row],[Yeast]]=BrewdogNew[[#Headers],[Wyeast 1272 - American Ale II]],1,0)</f>
        <v>0</v>
      </c>
      <c r="O108" s="45" t="str">
        <f>BrewdogNew[[#This Row],[Name]]</f>
        <v>5am Saint</v>
      </c>
      <c r="P108" t="str">
        <f>IF(BrewdogNew[[#This Row],[ABV]]="*", BrewdogNew[[#This Row],[IBU]], "")</f>
        <v/>
      </c>
      <c r="Q108" t="str">
        <f>IF(BrewdogNew[[#This Row],[ABV]]="*", BrewdogNew[[#This Row],[OG]], "")</f>
        <v/>
      </c>
      <c r="R108" t="str">
        <f>IF(BrewdogNew[[#This Row],[ABV]]="*", BrewdogNew[[#This Row],[EBC]], "")</f>
        <v/>
      </c>
      <c r="S108" t="str">
        <f>IF(BrewdogNew[[#This Row],[ABV]]="*", BrewdogNew[[#This Row],[PH]], "")</f>
        <v/>
      </c>
      <c r="T108" t="str">
        <f>IF(BrewdogNew[[#This Row],[ABV]]="*", BrewdogNew[[#This Row],[AttenuationLevel]], "")</f>
        <v/>
      </c>
      <c r="U108" t="str">
        <f>IF(BrewdogNew[[#This Row],[ABV]]="*", BrewdogNew[[#This Row],[FermentationTempCelsius]], "")</f>
        <v/>
      </c>
      <c r="V108" t="str">
        <f>IF(BrewdogNew[[#This Row],[ABV]]="*", BrewdogNew[[#This Row],[Yeast]], "")</f>
        <v/>
      </c>
    </row>
    <row r="109" spans="1:22" hidden="1" x14ac:dyDescent="0.25">
      <c r="A109" s="45" t="s">
        <v>174</v>
      </c>
      <c r="B109">
        <v>5.8</v>
      </c>
      <c r="C109" s="2" t="s">
        <v>274</v>
      </c>
      <c r="D109">
        <v>40</v>
      </c>
      <c r="E109">
        <v>1053</v>
      </c>
      <c r="F109">
        <v>177.3</v>
      </c>
      <c r="G109">
        <v>4.4000000000000004</v>
      </c>
      <c r="H109">
        <v>84.9</v>
      </c>
      <c r="I109">
        <v>19</v>
      </c>
      <c r="J109" s="45" t="s">
        <v>64</v>
      </c>
      <c r="K109" s="45">
        <f>IF(BrewdogNew[[#This Row],[Yeast]]=BrewdogNew[[#Headers],[Wyeast 1056 - American Ale]],1,0)</f>
        <v>1</v>
      </c>
      <c r="L109" s="45">
        <f>IF(BrewdogNew[[#This Row],[Yeast]]=BrewdogNew[[#Headers],[Wyeast 2007 - Pilsen Lager]],1,0)</f>
        <v>0</v>
      </c>
      <c r="M109" s="45">
        <f>IF(BrewdogNew[[#This Row],[Yeast]]=BrewdogNew[[#Headers],[Wyeast 3711 - French Saison]],1,0)</f>
        <v>0</v>
      </c>
      <c r="N109" s="45">
        <f>IF(BrewdogNew[[#This Row],[Yeast]]=BrewdogNew[[#Headers],[Wyeast 1272 - American Ale II]],1,0)</f>
        <v>0</v>
      </c>
      <c r="O109" s="45" t="str">
        <f>BrewdogNew[[#This Row],[Name]]</f>
        <v>Black Eye Joe (w/ Stone Brewing Co)</v>
      </c>
      <c r="P109" t="str">
        <f>IF(BrewdogNew[[#This Row],[ABV]]="*", BrewdogNew[[#This Row],[IBU]], "")</f>
        <v/>
      </c>
      <c r="Q109" t="str">
        <f>IF(BrewdogNew[[#This Row],[ABV]]="*", BrewdogNew[[#This Row],[OG]], "")</f>
        <v/>
      </c>
      <c r="R109" t="str">
        <f>IF(BrewdogNew[[#This Row],[ABV]]="*", BrewdogNew[[#This Row],[EBC]], "")</f>
        <v/>
      </c>
      <c r="S109" t="str">
        <f>IF(BrewdogNew[[#This Row],[ABV]]="*", BrewdogNew[[#This Row],[PH]], "")</f>
        <v/>
      </c>
      <c r="T109" t="str">
        <f>IF(BrewdogNew[[#This Row],[ABV]]="*", BrewdogNew[[#This Row],[AttenuationLevel]], "")</f>
        <v/>
      </c>
      <c r="U109" t="str">
        <f>IF(BrewdogNew[[#This Row],[ABV]]="*", BrewdogNew[[#This Row],[FermentationTempCelsius]], "")</f>
        <v/>
      </c>
      <c r="V109" t="str">
        <f>IF(BrewdogNew[[#This Row],[ABV]]="*", BrewdogNew[[#This Row],[Yeast]], "")</f>
        <v/>
      </c>
    </row>
    <row r="110" spans="1:22" hidden="1" x14ac:dyDescent="0.25">
      <c r="A110" s="45" t="s">
        <v>175</v>
      </c>
      <c r="B110">
        <v>7.5</v>
      </c>
      <c r="C110" s="2" t="s">
        <v>274</v>
      </c>
      <c r="D110">
        <v>90</v>
      </c>
      <c r="E110">
        <v>1072</v>
      </c>
      <c r="F110">
        <v>200</v>
      </c>
      <c r="G110">
        <v>4.4000000000000004</v>
      </c>
      <c r="H110">
        <v>79.2</v>
      </c>
      <c r="I110">
        <v>21</v>
      </c>
      <c r="J110" s="45" t="s">
        <v>80</v>
      </c>
      <c r="K110" s="45">
        <f>IF(BrewdogNew[[#This Row],[Yeast]]=BrewdogNew[[#Headers],[Wyeast 1056 - American Ale]],1,0)</f>
        <v>0</v>
      </c>
      <c r="L110" s="45">
        <f>IF(BrewdogNew[[#This Row],[Yeast]]=BrewdogNew[[#Headers],[Wyeast 2007 - Pilsen Lager]],1,0)</f>
        <v>0</v>
      </c>
      <c r="M110" s="45">
        <f>IF(BrewdogNew[[#This Row],[Yeast]]=BrewdogNew[[#Headers],[Wyeast 3711 - French Saison]],1,0)</f>
        <v>0</v>
      </c>
      <c r="N110" s="45">
        <f>IF(BrewdogNew[[#This Row],[Yeast]]=BrewdogNew[[#Headers],[Wyeast 1272 - American Ale II]],1,0)</f>
        <v>1</v>
      </c>
      <c r="O110" s="45" t="str">
        <f>BrewdogNew[[#This Row],[Name]]</f>
        <v>Mr.Miyagi's Wasabi Stout</v>
      </c>
      <c r="P110" t="str">
        <f>IF(BrewdogNew[[#This Row],[ABV]]="*", BrewdogNew[[#This Row],[IBU]], "")</f>
        <v/>
      </c>
      <c r="Q110" t="str">
        <f>IF(BrewdogNew[[#This Row],[ABV]]="*", BrewdogNew[[#This Row],[OG]], "")</f>
        <v/>
      </c>
      <c r="R110" t="str">
        <f>IF(BrewdogNew[[#This Row],[ABV]]="*", BrewdogNew[[#This Row],[EBC]], "")</f>
        <v/>
      </c>
      <c r="S110" t="str">
        <f>IF(BrewdogNew[[#This Row],[ABV]]="*", BrewdogNew[[#This Row],[PH]], "")</f>
        <v/>
      </c>
      <c r="T110" t="str">
        <f>IF(BrewdogNew[[#This Row],[ABV]]="*", BrewdogNew[[#This Row],[AttenuationLevel]], "")</f>
        <v/>
      </c>
      <c r="U110" t="str">
        <f>IF(BrewdogNew[[#This Row],[ABV]]="*", BrewdogNew[[#This Row],[FermentationTempCelsius]], "")</f>
        <v/>
      </c>
      <c r="V110" t="str">
        <f>IF(BrewdogNew[[#This Row],[ABV]]="*", BrewdogNew[[#This Row],[Yeast]], "")</f>
        <v/>
      </c>
    </row>
    <row r="111" spans="1:22" hidden="1" x14ac:dyDescent="0.25">
      <c r="A111" s="45" t="s">
        <v>176</v>
      </c>
      <c r="B111">
        <v>4.5</v>
      </c>
      <c r="C111" s="2" t="s">
        <v>274</v>
      </c>
      <c r="D111">
        <v>38</v>
      </c>
      <c r="E111">
        <v>1042.9000000000001</v>
      </c>
      <c r="F111">
        <v>18</v>
      </c>
      <c r="G111">
        <v>4.4000000000000004</v>
      </c>
      <c r="H111">
        <v>81</v>
      </c>
      <c r="I111">
        <v>10</v>
      </c>
      <c r="J111" s="45" t="s">
        <v>68</v>
      </c>
      <c r="K111" s="45">
        <f>IF(BrewdogNew[[#This Row],[Yeast]]=BrewdogNew[[#Headers],[Wyeast 1056 - American Ale]],1,0)</f>
        <v>0</v>
      </c>
      <c r="L111" s="45">
        <f>IF(BrewdogNew[[#This Row],[Yeast]]=BrewdogNew[[#Headers],[Wyeast 2007 - Pilsen Lager]],1,0)</f>
        <v>1</v>
      </c>
      <c r="M111" s="45">
        <f>IF(BrewdogNew[[#This Row],[Yeast]]=BrewdogNew[[#Headers],[Wyeast 3711 - French Saison]],1,0)</f>
        <v>0</v>
      </c>
      <c r="N111" s="45">
        <f>IF(BrewdogNew[[#This Row],[Yeast]]=BrewdogNew[[#Headers],[Wyeast 1272 - American Ale II]],1,0)</f>
        <v>0</v>
      </c>
      <c r="O111" s="45" t="str">
        <f>BrewdogNew[[#This Row],[Name]]</f>
        <v>Growler</v>
      </c>
      <c r="P111" t="str">
        <f>IF(BrewdogNew[[#This Row],[ABV]]="*", BrewdogNew[[#This Row],[IBU]], "")</f>
        <v/>
      </c>
      <c r="Q111" t="str">
        <f>IF(BrewdogNew[[#This Row],[ABV]]="*", BrewdogNew[[#This Row],[OG]], "")</f>
        <v/>
      </c>
      <c r="R111" t="str">
        <f>IF(BrewdogNew[[#This Row],[ABV]]="*", BrewdogNew[[#This Row],[EBC]], "")</f>
        <v/>
      </c>
      <c r="S111" t="str">
        <f>IF(BrewdogNew[[#This Row],[ABV]]="*", BrewdogNew[[#This Row],[PH]], "")</f>
        <v/>
      </c>
      <c r="T111" t="str">
        <f>IF(BrewdogNew[[#This Row],[ABV]]="*", BrewdogNew[[#This Row],[AttenuationLevel]], "")</f>
        <v/>
      </c>
      <c r="U111" t="str">
        <f>IF(BrewdogNew[[#This Row],[ABV]]="*", BrewdogNew[[#This Row],[FermentationTempCelsius]], "")</f>
        <v/>
      </c>
      <c r="V111" t="str">
        <f>IF(BrewdogNew[[#This Row],[ABV]]="*", BrewdogNew[[#This Row],[Yeast]], "")</f>
        <v/>
      </c>
    </row>
    <row r="112" spans="1:22" hidden="1" x14ac:dyDescent="0.25">
      <c r="A112" s="45" t="s">
        <v>177</v>
      </c>
      <c r="B112">
        <v>9</v>
      </c>
      <c r="C112" s="2" t="s">
        <v>274</v>
      </c>
      <c r="D112">
        <v>50</v>
      </c>
      <c r="E112">
        <v>1084</v>
      </c>
      <c r="F112">
        <v>20</v>
      </c>
      <c r="G112">
        <v>4.4000000000000004</v>
      </c>
      <c r="H112">
        <v>82.1</v>
      </c>
      <c r="I112">
        <v>21</v>
      </c>
      <c r="J112" s="45" t="s">
        <v>80</v>
      </c>
      <c r="K112" s="45">
        <f>IF(BrewdogNew[[#This Row],[Yeast]]=BrewdogNew[[#Headers],[Wyeast 1056 - American Ale]],1,0)</f>
        <v>0</v>
      </c>
      <c r="L112" s="45">
        <f>IF(BrewdogNew[[#This Row],[Yeast]]=BrewdogNew[[#Headers],[Wyeast 2007 - Pilsen Lager]],1,0)</f>
        <v>0</v>
      </c>
      <c r="M112" s="45">
        <f>IF(BrewdogNew[[#This Row],[Yeast]]=BrewdogNew[[#Headers],[Wyeast 3711 - French Saison]],1,0)</f>
        <v>0</v>
      </c>
      <c r="N112" s="45">
        <f>IF(BrewdogNew[[#This Row],[Yeast]]=BrewdogNew[[#Headers],[Wyeast 1272 - American Ale II]],1,0)</f>
        <v>1</v>
      </c>
      <c r="O112" s="45" t="str">
        <f>BrewdogNew[[#This Row],[Name]]</f>
        <v>#Mashtag 2014</v>
      </c>
      <c r="P112" t="str">
        <f>IF(BrewdogNew[[#This Row],[ABV]]="*", BrewdogNew[[#This Row],[IBU]], "")</f>
        <v/>
      </c>
      <c r="Q112" t="str">
        <f>IF(BrewdogNew[[#This Row],[ABV]]="*", BrewdogNew[[#This Row],[OG]], "")</f>
        <v/>
      </c>
      <c r="R112" t="str">
        <f>IF(BrewdogNew[[#This Row],[ABV]]="*", BrewdogNew[[#This Row],[EBC]], "")</f>
        <v/>
      </c>
      <c r="S112" t="str">
        <f>IF(BrewdogNew[[#This Row],[ABV]]="*", BrewdogNew[[#This Row],[PH]], "")</f>
        <v/>
      </c>
      <c r="T112" t="str">
        <f>IF(BrewdogNew[[#This Row],[ABV]]="*", BrewdogNew[[#This Row],[AttenuationLevel]], "")</f>
        <v/>
      </c>
      <c r="U112" t="str">
        <f>IF(BrewdogNew[[#This Row],[ABV]]="*", BrewdogNew[[#This Row],[FermentationTempCelsius]], "")</f>
        <v/>
      </c>
      <c r="V112" t="str">
        <f>IF(BrewdogNew[[#This Row],[ABV]]="*", BrewdogNew[[#This Row],[Yeast]], "")</f>
        <v/>
      </c>
    </row>
    <row r="113" spans="1:22" hidden="1" x14ac:dyDescent="0.25">
      <c r="A113" s="45" t="s">
        <v>178</v>
      </c>
      <c r="B113">
        <v>41</v>
      </c>
      <c r="C113" s="2" t="s">
        <v>274</v>
      </c>
      <c r="D113">
        <v>1085</v>
      </c>
      <c r="E113">
        <v>1085</v>
      </c>
      <c r="F113">
        <v>40</v>
      </c>
      <c r="G113">
        <v>4.4000000000000004</v>
      </c>
      <c r="H113">
        <v>81.2</v>
      </c>
      <c r="I113">
        <v>21</v>
      </c>
      <c r="J113" s="45" t="s">
        <v>80</v>
      </c>
      <c r="K113" s="45">
        <f>IF(BrewdogNew[[#This Row],[Yeast]]=BrewdogNew[[#Headers],[Wyeast 1056 - American Ale]],1,0)</f>
        <v>0</v>
      </c>
      <c r="L113" s="45">
        <f>IF(BrewdogNew[[#This Row],[Yeast]]=BrewdogNew[[#Headers],[Wyeast 2007 - Pilsen Lager]],1,0)</f>
        <v>0</v>
      </c>
      <c r="M113" s="45">
        <f>IF(BrewdogNew[[#This Row],[Yeast]]=BrewdogNew[[#Headers],[Wyeast 3711 - French Saison]],1,0)</f>
        <v>0</v>
      </c>
      <c r="N113" s="45">
        <f>IF(BrewdogNew[[#This Row],[Yeast]]=BrewdogNew[[#Headers],[Wyeast 1272 - American Ale II]],1,0)</f>
        <v>1</v>
      </c>
      <c r="O113" s="45" t="str">
        <f>BrewdogNew[[#This Row],[Name]]</f>
        <v>Sink The Bismarck!</v>
      </c>
      <c r="P113" t="str">
        <f>IF(BrewdogNew[[#This Row],[ABV]]="*", BrewdogNew[[#This Row],[IBU]], "")</f>
        <v/>
      </c>
      <c r="Q113" t="str">
        <f>IF(BrewdogNew[[#This Row],[ABV]]="*", BrewdogNew[[#This Row],[OG]], "")</f>
        <v/>
      </c>
      <c r="R113" t="str">
        <f>IF(BrewdogNew[[#This Row],[ABV]]="*", BrewdogNew[[#This Row],[EBC]], "")</f>
        <v/>
      </c>
      <c r="S113" t="str">
        <f>IF(BrewdogNew[[#This Row],[ABV]]="*", BrewdogNew[[#This Row],[PH]], "")</f>
        <v/>
      </c>
      <c r="T113" t="str">
        <f>IF(BrewdogNew[[#This Row],[ABV]]="*", BrewdogNew[[#This Row],[AttenuationLevel]], "")</f>
        <v/>
      </c>
      <c r="U113" t="str">
        <f>IF(BrewdogNew[[#This Row],[ABV]]="*", BrewdogNew[[#This Row],[FermentationTempCelsius]], "")</f>
        <v/>
      </c>
      <c r="V113" t="str">
        <f>IF(BrewdogNew[[#This Row],[ABV]]="*", BrewdogNew[[#This Row],[Yeast]], "")</f>
        <v/>
      </c>
    </row>
    <row r="114" spans="1:22" hidden="1" x14ac:dyDescent="0.25">
      <c r="A114" s="45" t="s">
        <v>179</v>
      </c>
      <c r="B114">
        <v>15</v>
      </c>
      <c r="C114" s="2" t="s">
        <v>274</v>
      </c>
      <c r="D114">
        <v>90</v>
      </c>
      <c r="E114">
        <v>1120</v>
      </c>
      <c r="F114">
        <v>100</v>
      </c>
      <c r="G114">
        <v>4.4000000000000004</v>
      </c>
      <c r="H114">
        <v>98</v>
      </c>
      <c r="I114">
        <v>19</v>
      </c>
      <c r="J114" s="45" t="s">
        <v>80</v>
      </c>
      <c r="K114" s="45">
        <f>IF(BrewdogNew[[#This Row],[Yeast]]=BrewdogNew[[#Headers],[Wyeast 1056 - American Ale]],1,0)</f>
        <v>0</v>
      </c>
      <c r="L114" s="45">
        <f>IF(BrewdogNew[[#This Row],[Yeast]]=BrewdogNew[[#Headers],[Wyeast 2007 - Pilsen Lager]],1,0)</f>
        <v>0</v>
      </c>
      <c r="M114" s="45">
        <f>IF(BrewdogNew[[#This Row],[Yeast]]=BrewdogNew[[#Headers],[Wyeast 3711 - French Saison]],1,0)</f>
        <v>0</v>
      </c>
      <c r="N114" s="45">
        <f>IF(BrewdogNew[[#This Row],[Yeast]]=BrewdogNew[[#Headers],[Wyeast 1272 - American Ale II]],1,0)</f>
        <v>1</v>
      </c>
      <c r="O114" s="45" t="str">
        <f>BrewdogNew[[#This Row],[Name]]</f>
        <v>Dog A</v>
      </c>
      <c r="P114" t="str">
        <f>IF(BrewdogNew[[#This Row],[ABV]]="*", BrewdogNew[[#This Row],[IBU]], "")</f>
        <v/>
      </c>
      <c r="Q114" t="str">
        <f>IF(BrewdogNew[[#This Row],[ABV]]="*", BrewdogNew[[#This Row],[OG]], "")</f>
        <v/>
      </c>
      <c r="R114" t="str">
        <f>IF(BrewdogNew[[#This Row],[ABV]]="*", BrewdogNew[[#This Row],[EBC]], "")</f>
        <v/>
      </c>
      <c r="S114" t="str">
        <f>IF(BrewdogNew[[#This Row],[ABV]]="*", BrewdogNew[[#This Row],[PH]], "")</f>
        <v/>
      </c>
      <c r="T114" t="str">
        <f>IF(BrewdogNew[[#This Row],[ABV]]="*", BrewdogNew[[#This Row],[AttenuationLevel]], "")</f>
        <v/>
      </c>
      <c r="U114" t="str">
        <f>IF(BrewdogNew[[#This Row],[ABV]]="*", BrewdogNew[[#This Row],[FermentationTempCelsius]], "")</f>
        <v/>
      </c>
      <c r="V114" t="str">
        <f>IF(BrewdogNew[[#This Row],[ABV]]="*", BrewdogNew[[#This Row],[Yeast]], "")</f>
        <v/>
      </c>
    </row>
    <row r="115" spans="1:22" hidden="1" x14ac:dyDescent="0.25">
      <c r="A115" s="45" t="s">
        <v>180</v>
      </c>
      <c r="B115">
        <v>8.5</v>
      </c>
      <c r="C115" s="2" t="s">
        <v>274</v>
      </c>
      <c r="D115">
        <v>85</v>
      </c>
      <c r="E115">
        <v>1072</v>
      </c>
      <c r="F115">
        <v>15</v>
      </c>
      <c r="G115">
        <v>4.4000000000000004</v>
      </c>
      <c r="H115">
        <v>90.3</v>
      </c>
      <c r="I115">
        <v>18</v>
      </c>
      <c r="J115" s="45" t="s">
        <v>80</v>
      </c>
      <c r="K115" s="45">
        <f>IF(BrewdogNew[[#This Row],[Yeast]]=BrewdogNew[[#Headers],[Wyeast 1056 - American Ale]],1,0)</f>
        <v>0</v>
      </c>
      <c r="L115" s="45">
        <f>IF(BrewdogNew[[#This Row],[Yeast]]=BrewdogNew[[#Headers],[Wyeast 2007 - Pilsen Lager]],1,0)</f>
        <v>0</v>
      </c>
      <c r="M115" s="45">
        <f>IF(BrewdogNew[[#This Row],[Yeast]]=BrewdogNew[[#Headers],[Wyeast 3711 - French Saison]],1,0)</f>
        <v>0</v>
      </c>
      <c r="N115" s="45">
        <f>IF(BrewdogNew[[#This Row],[Yeast]]=BrewdogNew[[#Headers],[Wyeast 1272 - American Ale II]],1,0)</f>
        <v>1</v>
      </c>
      <c r="O115" s="45" t="str">
        <f>BrewdogNew[[#This Row],[Name]]</f>
        <v>Born To Die</v>
      </c>
      <c r="P115" t="str">
        <f>IF(BrewdogNew[[#This Row],[ABV]]="*", BrewdogNew[[#This Row],[IBU]], "")</f>
        <v/>
      </c>
      <c r="Q115" t="str">
        <f>IF(BrewdogNew[[#This Row],[ABV]]="*", BrewdogNew[[#This Row],[OG]], "")</f>
        <v/>
      </c>
      <c r="R115" t="str">
        <f>IF(BrewdogNew[[#This Row],[ABV]]="*", BrewdogNew[[#This Row],[EBC]], "")</f>
        <v/>
      </c>
      <c r="S115" t="str">
        <f>IF(BrewdogNew[[#This Row],[ABV]]="*", BrewdogNew[[#This Row],[PH]], "")</f>
        <v/>
      </c>
      <c r="T115" t="str">
        <f>IF(BrewdogNew[[#This Row],[ABV]]="*", BrewdogNew[[#This Row],[AttenuationLevel]], "")</f>
        <v/>
      </c>
      <c r="U115" t="str">
        <f>IF(BrewdogNew[[#This Row],[ABV]]="*", BrewdogNew[[#This Row],[FermentationTempCelsius]], "")</f>
        <v/>
      </c>
      <c r="V115" t="str">
        <f>IF(BrewdogNew[[#This Row],[ABV]]="*", BrewdogNew[[#This Row],[Yeast]], "")</f>
        <v/>
      </c>
    </row>
    <row r="116" spans="1:22" hidden="1" x14ac:dyDescent="0.25">
      <c r="A116" s="45" t="s">
        <v>181</v>
      </c>
      <c r="B116">
        <v>7.2</v>
      </c>
      <c r="C116" s="2" t="s">
        <v>274</v>
      </c>
      <c r="D116">
        <v>100</v>
      </c>
      <c r="E116">
        <v>1064</v>
      </c>
      <c r="F116">
        <v>12</v>
      </c>
      <c r="G116">
        <v>4.4000000000000004</v>
      </c>
      <c r="H116">
        <v>84</v>
      </c>
      <c r="I116">
        <v>19</v>
      </c>
      <c r="J116" s="45" t="s">
        <v>64</v>
      </c>
      <c r="K116" s="45">
        <f>IF(BrewdogNew[[#This Row],[Yeast]]=BrewdogNew[[#Headers],[Wyeast 1056 - American Ale]],1,0)</f>
        <v>1</v>
      </c>
      <c r="L116" s="45">
        <f>IF(BrewdogNew[[#This Row],[Yeast]]=BrewdogNew[[#Headers],[Wyeast 2007 - Pilsen Lager]],1,0)</f>
        <v>0</v>
      </c>
      <c r="M116" s="45">
        <f>IF(BrewdogNew[[#This Row],[Yeast]]=BrewdogNew[[#Headers],[Wyeast 3711 - French Saison]],1,0)</f>
        <v>0</v>
      </c>
      <c r="N116" s="45">
        <f>IF(BrewdogNew[[#This Row],[Yeast]]=BrewdogNew[[#Headers],[Wyeast 1272 - American Ale II]],1,0)</f>
        <v>0</v>
      </c>
      <c r="O116" s="45" t="str">
        <f>BrewdogNew[[#This Row],[Name]]</f>
        <v>Pioneer - IPA Is Dead</v>
      </c>
      <c r="P116" t="str">
        <f>IF(BrewdogNew[[#This Row],[ABV]]="*", BrewdogNew[[#This Row],[IBU]], "")</f>
        <v/>
      </c>
      <c r="Q116" t="str">
        <f>IF(BrewdogNew[[#This Row],[ABV]]="*", BrewdogNew[[#This Row],[OG]], "")</f>
        <v/>
      </c>
      <c r="R116" t="str">
        <f>IF(BrewdogNew[[#This Row],[ABV]]="*", BrewdogNew[[#This Row],[EBC]], "")</f>
        <v/>
      </c>
      <c r="S116" t="str">
        <f>IF(BrewdogNew[[#This Row],[ABV]]="*", BrewdogNew[[#This Row],[PH]], "")</f>
        <v/>
      </c>
      <c r="T116" t="str">
        <f>IF(BrewdogNew[[#This Row],[ABV]]="*", BrewdogNew[[#This Row],[AttenuationLevel]], "")</f>
        <v/>
      </c>
      <c r="U116" t="str">
        <f>IF(BrewdogNew[[#This Row],[ABV]]="*", BrewdogNew[[#This Row],[FermentationTempCelsius]], "")</f>
        <v/>
      </c>
      <c r="V116" t="str">
        <f>IF(BrewdogNew[[#This Row],[ABV]]="*", BrewdogNew[[#This Row],[Yeast]], "")</f>
        <v/>
      </c>
    </row>
    <row r="117" spans="1:22" hidden="1" x14ac:dyDescent="0.25">
      <c r="A117" s="45" t="s">
        <v>182</v>
      </c>
      <c r="B117">
        <v>9</v>
      </c>
      <c r="C117" s="2" t="s">
        <v>274</v>
      </c>
      <c r="D117">
        <v>80</v>
      </c>
      <c r="E117">
        <v>1083</v>
      </c>
      <c r="F117">
        <v>180</v>
      </c>
      <c r="G117">
        <v>5.2</v>
      </c>
      <c r="H117">
        <v>83.1</v>
      </c>
      <c r="I117">
        <v>21</v>
      </c>
      <c r="J117" s="45" t="s">
        <v>80</v>
      </c>
      <c r="K117" s="45">
        <f>IF(BrewdogNew[[#This Row],[Yeast]]=BrewdogNew[[#Headers],[Wyeast 1056 - American Ale]],1,0)</f>
        <v>0</v>
      </c>
      <c r="L117" s="45">
        <f>IF(BrewdogNew[[#This Row],[Yeast]]=BrewdogNew[[#Headers],[Wyeast 2007 - Pilsen Lager]],1,0)</f>
        <v>0</v>
      </c>
      <c r="M117" s="45">
        <f>IF(BrewdogNew[[#This Row],[Yeast]]=BrewdogNew[[#Headers],[Wyeast 3711 - French Saison]],1,0)</f>
        <v>0</v>
      </c>
      <c r="N117" s="45">
        <f>IF(BrewdogNew[[#This Row],[Yeast]]=BrewdogNew[[#Headers],[Wyeast 1272 - American Ale II]],1,0)</f>
        <v>1</v>
      </c>
      <c r="O117" s="45" t="str">
        <f>BrewdogNew[[#This Row],[Name]]</f>
        <v>Cap Dog (w/ Cap Brewery)</v>
      </c>
      <c r="P117" t="str">
        <f>IF(BrewdogNew[[#This Row],[ABV]]="*", BrewdogNew[[#This Row],[IBU]], "")</f>
        <v/>
      </c>
      <c r="Q117" t="str">
        <f>IF(BrewdogNew[[#This Row],[ABV]]="*", BrewdogNew[[#This Row],[OG]], "")</f>
        <v/>
      </c>
      <c r="R117" t="str">
        <f>IF(BrewdogNew[[#This Row],[ABV]]="*", BrewdogNew[[#This Row],[EBC]], "")</f>
        <v/>
      </c>
      <c r="S117" t="str">
        <f>IF(BrewdogNew[[#This Row],[ABV]]="*", BrewdogNew[[#This Row],[PH]], "")</f>
        <v/>
      </c>
      <c r="T117" t="str">
        <f>IF(BrewdogNew[[#This Row],[ABV]]="*", BrewdogNew[[#This Row],[AttenuationLevel]], "")</f>
        <v/>
      </c>
      <c r="U117" t="str">
        <f>IF(BrewdogNew[[#This Row],[ABV]]="*", BrewdogNew[[#This Row],[FermentationTempCelsius]], "")</f>
        <v/>
      </c>
      <c r="V117" t="str">
        <f>IF(BrewdogNew[[#This Row],[ABV]]="*", BrewdogNew[[#This Row],[Yeast]], "")</f>
        <v/>
      </c>
    </row>
    <row r="118" spans="1:22" hidden="1" x14ac:dyDescent="0.25">
      <c r="A118" s="45" t="s">
        <v>183</v>
      </c>
      <c r="B118">
        <v>3.8</v>
      </c>
      <c r="C118" s="2" t="s">
        <v>274</v>
      </c>
      <c r="D118">
        <v>20</v>
      </c>
      <c r="E118">
        <v>1039</v>
      </c>
      <c r="F118">
        <v>6</v>
      </c>
      <c r="G118">
        <v>5.2</v>
      </c>
      <c r="H118">
        <v>87</v>
      </c>
      <c r="I118">
        <v>20</v>
      </c>
      <c r="J118" s="45" t="s">
        <v>64</v>
      </c>
      <c r="K118" s="45">
        <f>IF(BrewdogNew[[#This Row],[Yeast]]=BrewdogNew[[#Headers],[Wyeast 1056 - American Ale]],1,0)</f>
        <v>1</v>
      </c>
      <c r="L118" s="45">
        <f>IF(BrewdogNew[[#This Row],[Yeast]]=BrewdogNew[[#Headers],[Wyeast 2007 - Pilsen Lager]],1,0)</f>
        <v>0</v>
      </c>
      <c r="M118" s="45">
        <f>IF(BrewdogNew[[#This Row],[Yeast]]=BrewdogNew[[#Headers],[Wyeast 3711 - French Saison]],1,0)</f>
        <v>0</v>
      </c>
      <c r="N118" s="45">
        <f>IF(BrewdogNew[[#This Row],[Yeast]]=BrewdogNew[[#Headers],[Wyeast 1272 - American Ale II]],1,0)</f>
        <v>0</v>
      </c>
      <c r="O118" s="45" t="str">
        <f>BrewdogNew[[#This Row],[Name]]</f>
        <v>Orange Blossom - B-Sides</v>
      </c>
      <c r="P118" t="str">
        <f>IF(BrewdogNew[[#This Row],[ABV]]="*", BrewdogNew[[#This Row],[IBU]], "")</f>
        <v/>
      </c>
      <c r="Q118" t="str">
        <f>IF(BrewdogNew[[#This Row],[ABV]]="*", BrewdogNew[[#This Row],[OG]], "")</f>
        <v/>
      </c>
      <c r="R118" t="str">
        <f>IF(BrewdogNew[[#This Row],[ABV]]="*", BrewdogNew[[#This Row],[EBC]], "")</f>
        <v/>
      </c>
      <c r="S118" t="str">
        <f>IF(BrewdogNew[[#This Row],[ABV]]="*", BrewdogNew[[#This Row],[PH]], "")</f>
        <v/>
      </c>
      <c r="T118" t="str">
        <f>IF(BrewdogNew[[#This Row],[ABV]]="*", BrewdogNew[[#This Row],[AttenuationLevel]], "")</f>
        <v/>
      </c>
      <c r="U118" t="str">
        <f>IF(BrewdogNew[[#This Row],[ABV]]="*", BrewdogNew[[#This Row],[FermentationTempCelsius]], "")</f>
        <v/>
      </c>
      <c r="V118" t="str">
        <f>IF(BrewdogNew[[#This Row],[ABV]]="*", BrewdogNew[[#This Row],[Yeast]], "")</f>
        <v/>
      </c>
    </row>
    <row r="119" spans="1:22" hidden="1" x14ac:dyDescent="0.25">
      <c r="A119" s="45" t="s">
        <v>184</v>
      </c>
      <c r="B119">
        <v>5.7</v>
      </c>
      <c r="C119" s="2" t="s">
        <v>274</v>
      </c>
      <c r="D119">
        <v>35</v>
      </c>
      <c r="E119">
        <v>1053</v>
      </c>
      <c r="F119">
        <v>25</v>
      </c>
      <c r="G119">
        <v>4.4000000000000004</v>
      </c>
      <c r="H119">
        <v>79.3</v>
      </c>
      <c r="I119">
        <v>17</v>
      </c>
      <c r="J119" s="45" t="s">
        <v>64</v>
      </c>
      <c r="K119" s="45">
        <f>IF(BrewdogNew[[#This Row],[Yeast]]=BrewdogNew[[#Headers],[Wyeast 1056 - American Ale]],1,0)</f>
        <v>1</v>
      </c>
      <c r="L119" s="45">
        <f>IF(BrewdogNew[[#This Row],[Yeast]]=BrewdogNew[[#Headers],[Wyeast 2007 - Pilsen Lager]],1,0)</f>
        <v>0</v>
      </c>
      <c r="M119" s="45">
        <f>IF(BrewdogNew[[#This Row],[Yeast]]=BrewdogNew[[#Headers],[Wyeast 3711 - French Saison]],1,0)</f>
        <v>0</v>
      </c>
      <c r="N119" s="45">
        <f>IF(BrewdogNew[[#This Row],[Yeast]]=BrewdogNew[[#Headers],[Wyeast 1272 - American Ale II]],1,0)</f>
        <v>0</v>
      </c>
      <c r="O119" s="45" t="str">
        <f>BrewdogNew[[#This Row],[Name]]</f>
        <v>Lizard Bride - Prototype Challenge</v>
      </c>
      <c r="P119" t="str">
        <f>IF(BrewdogNew[[#This Row],[ABV]]="*", BrewdogNew[[#This Row],[IBU]], "")</f>
        <v/>
      </c>
      <c r="Q119" t="str">
        <f>IF(BrewdogNew[[#This Row],[ABV]]="*", BrewdogNew[[#This Row],[OG]], "")</f>
        <v/>
      </c>
      <c r="R119" t="str">
        <f>IF(BrewdogNew[[#This Row],[ABV]]="*", BrewdogNew[[#This Row],[EBC]], "")</f>
        <v/>
      </c>
      <c r="S119" t="str">
        <f>IF(BrewdogNew[[#This Row],[ABV]]="*", BrewdogNew[[#This Row],[PH]], "")</f>
        <v/>
      </c>
      <c r="T119" t="str">
        <f>IF(BrewdogNew[[#This Row],[ABV]]="*", BrewdogNew[[#This Row],[AttenuationLevel]], "")</f>
        <v/>
      </c>
      <c r="U119" t="str">
        <f>IF(BrewdogNew[[#This Row],[ABV]]="*", BrewdogNew[[#This Row],[FermentationTempCelsius]], "")</f>
        <v/>
      </c>
      <c r="V119" t="str">
        <f>IF(BrewdogNew[[#This Row],[ABV]]="*", BrewdogNew[[#This Row],[Yeast]], "")</f>
        <v/>
      </c>
    </row>
    <row r="120" spans="1:22" hidden="1" x14ac:dyDescent="0.25">
      <c r="A120" s="45" t="s">
        <v>185</v>
      </c>
      <c r="B120">
        <v>6.3</v>
      </c>
      <c r="C120" s="2" t="s">
        <v>274</v>
      </c>
      <c r="D120">
        <v>130</v>
      </c>
      <c r="E120">
        <v>1060</v>
      </c>
      <c r="F120">
        <v>14</v>
      </c>
      <c r="G120">
        <v>5.2</v>
      </c>
      <c r="H120">
        <v>83</v>
      </c>
      <c r="I120">
        <v>20</v>
      </c>
      <c r="J120" s="45" t="s">
        <v>64</v>
      </c>
      <c r="K120" s="45">
        <f>IF(BrewdogNew[[#This Row],[Yeast]]=BrewdogNew[[#Headers],[Wyeast 1056 - American Ale]],1,0)</f>
        <v>1</v>
      </c>
      <c r="L120" s="45">
        <f>IF(BrewdogNew[[#This Row],[Yeast]]=BrewdogNew[[#Headers],[Wyeast 2007 - Pilsen Lager]],1,0)</f>
        <v>0</v>
      </c>
      <c r="M120" s="45">
        <f>IF(BrewdogNew[[#This Row],[Yeast]]=BrewdogNew[[#Headers],[Wyeast 3711 - French Saison]],1,0)</f>
        <v>0</v>
      </c>
      <c r="N120" s="45">
        <f>IF(BrewdogNew[[#This Row],[Yeast]]=BrewdogNew[[#Headers],[Wyeast 1272 - American Ale II]],1,0)</f>
        <v>0</v>
      </c>
      <c r="O120" s="45" t="str">
        <f>BrewdogNew[[#This Row],[Name]]</f>
        <v>Sorachi Bitter - B-Sides</v>
      </c>
      <c r="P120" t="str">
        <f>IF(BrewdogNew[[#This Row],[ABV]]="*", BrewdogNew[[#This Row],[IBU]], "")</f>
        <v/>
      </c>
      <c r="Q120" t="str">
        <f>IF(BrewdogNew[[#This Row],[ABV]]="*", BrewdogNew[[#This Row],[OG]], "")</f>
        <v/>
      </c>
      <c r="R120" t="str">
        <f>IF(BrewdogNew[[#This Row],[ABV]]="*", BrewdogNew[[#This Row],[EBC]], "")</f>
        <v/>
      </c>
      <c r="S120" t="str">
        <f>IF(BrewdogNew[[#This Row],[ABV]]="*", BrewdogNew[[#This Row],[PH]], "")</f>
        <v/>
      </c>
      <c r="T120" t="str">
        <f>IF(BrewdogNew[[#This Row],[ABV]]="*", BrewdogNew[[#This Row],[AttenuationLevel]], "")</f>
        <v/>
      </c>
      <c r="U120" t="str">
        <f>IF(BrewdogNew[[#This Row],[ABV]]="*", BrewdogNew[[#This Row],[FermentationTempCelsius]], "")</f>
        <v/>
      </c>
      <c r="V120" t="str">
        <f>IF(BrewdogNew[[#This Row],[ABV]]="*", BrewdogNew[[#This Row],[Yeast]], "")</f>
        <v/>
      </c>
    </row>
    <row r="121" spans="1:22" hidden="1" x14ac:dyDescent="0.25">
      <c r="A121" s="45" t="s">
        <v>186</v>
      </c>
      <c r="B121">
        <v>7.5</v>
      </c>
      <c r="C121" s="2" t="s">
        <v>274</v>
      </c>
      <c r="D121">
        <v>75</v>
      </c>
      <c r="E121">
        <v>1068</v>
      </c>
      <c r="F121">
        <v>30</v>
      </c>
      <c r="G121">
        <v>4.4000000000000004</v>
      </c>
      <c r="H121">
        <v>82.1</v>
      </c>
      <c r="I121">
        <v>19</v>
      </c>
      <c r="J121" s="45" t="s">
        <v>64</v>
      </c>
      <c r="K121" s="45">
        <f>IF(BrewdogNew[[#This Row],[Yeast]]=BrewdogNew[[#Headers],[Wyeast 1056 - American Ale]],1,0)</f>
        <v>1</v>
      </c>
      <c r="L121" s="45">
        <f>IF(BrewdogNew[[#This Row],[Yeast]]=BrewdogNew[[#Headers],[Wyeast 2007 - Pilsen Lager]],1,0)</f>
        <v>0</v>
      </c>
      <c r="M121" s="45">
        <f>IF(BrewdogNew[[#This Row],[Yeast]]=BrewdogNew[[#Headers],[Wyeast 3711 - French Saison]],1,0)</f>
        <v>0</v>
      </c>
      <c r="N121" s="45">
        <f>IF(BrewdogNew[[#This Row],[Yeast]]=BrewdogNew[[#Headers],[Wyeast 1272 - American Ale II]],1,0)</f>
        <v>0</v>
      </c>
      <c r="O121" s="45" t="str">
        <f>BrewdogNew[[#This Row],[Name]]</f>
        <v>Nelson Sauvin</v>
      </c>
      <c r="P121" t="str">
        <f>IF(BrewdogNew[[#This Row],[ABV]]="*", BrewdogNew[[#This Row],[IBU]], "")</f>
        <v/>
      </c>
      <c r="Q121" t="str">
        <f>IF(BrewdogNew[[#This Row],[ABV]]="*", BrewdogNew[[#This Row],[OG]], "")</f>
        <v/>
      </c>
      <c r="R121" t="str">
        <f>IF(BrewdogNew[[#This Row],[ABV]]="*", BrewdogNew[[#This Row],[EBC]], "")</f>
        <v/>
      </c>
      <c r="S121" t="str">
        <f>IF(BrewdogNew[[#This Row],[ABV]]="*", BrewdogNew[[#This Row],[PH]], "")</f>
        <v/>
      </c>
      <c r="T121" t="str">
        <f>IF(BrewdogNew[[#This Row],[ABV]]="*", BrewdogNew[[#This Row],[AttenuationLevel]], "")</f>
        <v/>
      </c>
      <c r="U121" t="str">
        <f>IF(BrewdogNew[[#This Row],[ABV]]="*", BrewdogNew[[#This Row],[FermentationTempCelsius]], "")</f>
        <v/>
      </c>
      <c r="V121" t="str">
        <f>IF(BrewdogNew[[#This Row],[ABV]]="*", BrewdogNew[[#This Row],[Yeast]], "")</f>
        <v/>
      </c>
    </row>
    <row r="122" spans="1:22" hidden="1" x14ac:dyDescent="0.25">
      <c r="A122" s="45" t="s">
        <v>187</v>
      </c>
      <c r="B122">
        <v>4.4000000000000004</v>
      </c>
      <c r="C122" s="2" t="s">
        <v>274</v>
      </c>
      <c r="D122">
        <v>35</v>
      </c>
      <c r="E122">
        <v>1045</v>
      </c>
      <c r="F122">
        <v>30</v>
      </c>
      <c r="G122">
        <v>4.4000000000000004</v>
      </c>
      <c r="H122">
        <v>73.3</v>
      </c>
      <c r="I122">
        <v>19</v>
      </c>
      <c r="J122" s="45" t="s">
        <v>64</v>
      </c>
      <c r="K122" s="45">
        <f>IF(BrewdogNew[[#This Row],[Yeast]]=BrewdogNew[[#Headers],[Wyeast 1056 - American Ale]],1,0)</f>
        <v>1</v>
      </c>
      <c r="L122" s="45">
        <f>IF(BrewdogNew[[#This Row],[Yeast]]=BrewdogNew[[#Headers],[Wyeast 2007 - Pilsen Lager]],1,0)</f>
        <v>0</v>
      </c>
      <c r="M122" s="45">
        <f>IF(BrewdogNew[[#This Row],[Yeast]]=BrewdogNew[[#Headers],[Wyeast 3711 - French Saison]],1,0)</f>
        <v>0</v>
      </c>
      <c r="N122" s="45">
        <f>IF(BrewdogNew[[#This Row],[Yeast]]=BrewdogNew[[#Headers],[Wyeast 1272 - American Ale II]],1,0)</f>
        <v>0</v>
      </c>
      <c r="O122" s="45" t="str">
        <f>BrewdogNew[[#This Row],[Name]]</f>
        <v>Hello My Name Is Little Ingrid</v>
      </c>
      <c r="P122" t="str">
        <f>IF(BrewdogNew[[#This Row],[ABV]]="*", BrewdogNew[[#This Row],[IBU]], "")</f>
        <v/>
      </c>
      <c r="Q122" t="str">
        <f>IF(BrewdogNew[[#This Row],[ABV]]="*", BrewdogNew[[#This Row],[OG]], "")</f>
        <v/>
      </c>
      <c r="R122" t="str">
        <f>IF(BrewdogNew[[#This Row],[ABV]]="*", BrewdogNew[[#This Row],[EBC]], "")</f>
        <v/>
      </c>
      <c r="S122" t="str">
        <f>IF(BrewdogNew[[#This Row],[ABV]]="*", BrewdogNew[[#This Row],[PH]], "")</f>
        <v/>
      </c>
      <c r="T122" t="str">
        <f>IF(BrewdogNew[[#This Row],[ABV]]="*", BrewdogNew[[#This Row],[AttenuationLevel]], "")</f>
        <v/>
      </c>
      <c r="U122" t="str">
        <f>IF(BrewdogNew[[#This Row],[ABV]]="*", BrewdogNew[[#This Row],[FermentationTempCelsius]], "")</f>
        <v/>
      </c>
      <c r="V122" t="str">
        <f>IF(BrewdogNew[[#This Row],[ABV]]="*", BrewdogNew[[#This Row],[Yeast]], "")</f>
        <v/>
      </c>
    </row>
    <row r="123" spans="1:22" hidden="1" x14ac:dyDescent="0.25">
      <c r="A123" s="45" t="s">
        <v>188</v>
      </c>
      <c r="B123">
        <v>18</v>
      </c>
      <c r="C123" s="2" t="s">
        <v>274</v>
      </c>
      <c r="D123">
        <v>70</v>
      </c>
      <c r="E123">
        <v>1150</v>
      </c>
      <c r="F123">
        <v>57</v>
      </c>
      <c r="G123">
        <v>4.4000000000000004</v>
      </c>
      <c r="H123">
        <v>93.3</v>
      </c>
      <c r="I123">
        <v>22</v>
      </c>
      <c r="J123" s="45" t="s">
        <v>80</v>
      </c>
      <c r="K123" s="45">
        <f>IF(BrewdogNew[[#This Row],[Yeast]]=BrewdogNew[[#Headers],[Wyeast 1056 - American Ale]],1,0)</f>
        <v>0</v>
      </c>
      <c r="L123" s="45">
        <f>IF(BrewdogNew[[#This Row],[Yeast]]=BrewdogNew[[#Headers],[Wyeast 2007 - Pilsen Lager]],1,0)</f>
        <v>0</v>
      </c>
      <c r="M123" s="45">
        <f>IF(BrewdogNew[[#This Row],[Yeast]]=BrewdogNew[[#Headers],[Wyeast 3711 - French Saison]],1,0)</f>
        <v>0</v>
      </c>
      <c r="N123" s="45">
        <f>IF(BrewdogNew[[#This Row],[Yeast]]=BrewdogNew[[#Headers],[Wyeast 1272 - American Ale II]],1,0)</f>
        <v>1</v>
      </c>
      <c r="O123" s="45" t="str">
        <f>BrewdogNew[[#This Row],[Name]]</f>
        <v>AB:02</v>
      </c>
      <c r="P123" t="str">
        <f>IF(BrewdogNew[[#This Row],[ABV]]="*", BrewdogNew[[#This Row],[IBU]], "")</f>
        <v/>
      </c>
      <c r="Q123" t="str">
        <f>IF(BrewdogNew[[#This Row],[ABV]]="*", BrewdogNew[[#This Row],[OG]], "")</f>
        <v/>
      </c>
      <c r="R123" t="str">
        <f>IF(BrewdogNew[[#This Row],[ABV]]="*", BrewdogNew[[#This Row],[EBC]], "")</f>
        <v/>
      </c>
      <c r="S123" t="str">
        <f>IF(BrewdogNew[[#This Row],[ABV]]="*", BrewdogNew[[#This Row],[PH]], "")</f>
        <v/>
      </c>
      <c r="T123" t="str">
        <f>IF(BrewdogNew[[#This Row],[ABV]]="*", BrewdogNew[[#This Row],[AttenuationLevel]], "")</f>
        <v/>
      </c>
      <c r="U123" t="str">
        <f>IF(BrewdogNew[[#This Row],[ABV]]="*", BrewdogNew[[#This Row],[FermentationTempCelsius]], "")</f>
        <v/>
      </c>
      <c r="V123" t="str">
        <f>IF(BrewdogNew[[#This Row],[ABV]]="*", BrewdogNew[[#This Row],[Yeast]], "")</f>
        <v/>
      </c>
    </row>
    <row r="124" spans="1:22" hidden="1" x14ac:dyDescent="0.25">
      <c r="A124" s="45" t="s">
        <v>189</v>
      </c>
      <c r="B124">
        <v>10.5</v>
      </c>
      <c r="C124" s="2" t="s">
        <v>274</v>
      </c>
      <c r="D124">
        <v>14</v>
      </c>
      <c r="E124">
        <v>1093</v>
      </c>
      <c r="F124" s="31" t="s">
        <v>32</v>
      </c>
      <c r="G124">
        <v>4.4000000000000004</v>
      </c>
      <c r="H124">
        <v>80</v>
      </c>
      <c r="I124">
        <v>19</v>
      </c>
      <c r="J124" s="45" t="s">
        <v>64</v>
      </c>
      <c r="K124" s="45">
        <f>IF(BrewdogNew[[#This Row],[Yeast]]=BrewdogNew[[#Headers],[Wyeast 1056 - American Ale]],1,0)</f>
        <v>1</v>
      </c>
      <c r="L124" s="45">
        <f>IF(BrewdogNew[[#This Row],[Yeast]]=BrewdogNew[[#Headers],[Wyeast 2007 - Pilsen Lager]],1,0)</f>
        <v>0</v>
      </c>
      <c r="M124" s="45">
        <f>IF(BrewdogNew[[#This Row],[Yeast]]=BrewdogNew[[#Headers],[Wyeast 3711 - French Saison]],1,0)</f>
        <v>0</v>
      </c>
      <c r="N124" s="45">
        <f>IF(BrewdogNew[[#This Row],[Yeast]]=BrewdogNew[[#Headers],[Wyeast 1272 - American Ale II]],1,0)</f>
        <v>0</v>
      </c>
      <c r="O124" s="45" t="str">
        <f>BrewdogNew[[#This Row],[Name]]</f>
        <v>AB:03</v>
      </c>
      <c r="P124" t="str">
        <f>IF(BrewdogNew[[#This Row],[ABV]]="*", BrewdogNew[[#This Row],[IBU]], "")</f>
        <v/>
      </c>
      <c r="Q124" t="str">
        <f>IF(BrewdogNew[[#This Row],[ABV]]="*", BrewdogNew[[#This Row],[OG]], "")</f>
        <v/>
      </c>
      <c r="R124" t="str">
        <f>IF(BrewdogNew[[#This Row],[ABV]]="*", BrewdogNew[[#This Row],[EBC]], "")</f>
        <v/>
      </c>
      <c r="S124" t="str">
        <f>IF(BrewdogNew[[#This Row],[ABV]]="*", BrewdogNew[[#This Row],[PH]], "")</f>
        <v/>
      </c>
      <c r="T124" t="str">
        <f>IF(BrewdogNew[[#This Row],[ABV]]="*", BrewdogNew[[#This Row],[AttenuationLevel]], "")</f>
        <v/>
      </c>
      <c r="U124" t="str">
        <f>IF(BrewdogNew[[#This Row],[ABV]]="*", BrewdogNew[[#This Row],[FermentationTempCelsius]], "")</f>
        <v/>
      </c>
      <c r="V124" t="str">
        <f>IF(BrewdogNew[[#This Row],[ABV]]="*", BrewdogNew[[#This Row],[Yeast]], "")</f>
        <v/>
      </c>
    </row>
    <row r="125" spans="1:22" hidden="1" x14ac:dyDescent="0.25">
      <c r="A125" s="45" t="s">
        <v>190</v>
      </c>
      <c r="B125">
        <v>11.3</v>
      </c>
      <c r="C125" s="2" t="s">
        <v>274</v>
      </c>
      <c r="D125">
        <v>50</v>
      </c>
      <c r="E125">
        <v>1098</v>
      </c>
      <c r="F125">
        <v>164</v>
      </c>
      <c r="G125">
        <v>4.4000000000000004</v>
      </c>
      <c r="H125">
        <v>79.599999999999994</v>
      </c>
      <c r="I125">
        <v>20</v>
      </c>
      <c r="J125" s="45" t="s">
        <v>80</v>
      </c>
      <c r="K125" s="45">
        <f>IF(BrewdogNew[[#This Row],[Yeast]]=BrewdogNew[[#Headers],[Wyeast 1056 - American Ale]],1,0)</f>
        <v>0</v>
      </c>
      <c r="L125" s="45">
        <f>IF(BrewdogNew[[#This Row],[Yeast]]=BrewdogNew[[#Headers],[Wyeast 2007 - Pilsen Lager]],1,0)</f>
        <v>0</v>
      </c>
      <c r="M125" s="45">
        <f>IF(BrewdogNew[[#This Row],[Yeast]]=BrewdogNew[[#Headers],[Wyeast 3711 - French Saison]],1,0)</f>
        <v>0</v>
      </c>
      <c r="N125" s="45">
        <f>IF(BrewdogNew[[#This Row],[Yeast]]=BrewdogNew[[#Headers],[Wyeast 1272 - American Ale II]],1,0)</f>
        <v>1</v>
      </c>
      <c r="O125" s="45" t="str">
        <f>BrewdogNew[[#This Row],[Name]]</f>
        <v>AB:13</v>
      </c>
      <c r="P125" t="str">
        <f>IF(BrewdogNew[[#This Row],[ABV]]="*", BrewdogNew[[#This Row],[IBU]], "")</f>
        <v/>
      </c>
      <c r="Q125" t="str">
        <f>IF(BrewdogNew[[#This Row],[ABV]]="*", BrewdogNew[[#This Row],[OG]], "")</f>
        <v/>
      </c>
      <c r="R125" t="str">
        <f>IF(BrewdogNew[[#This Row],[ABV]]="*", BrewdogNew[[#This Row],[EBC]], "")</f>
        <v/>
      </c>
      <c r="S125" t="str">
        <f>IF(BrewdogNew[[#This Row],[ABV]]="*", BrewdogNew[[#This Row],[PH]], "")</f>
        <v/>
      </c>
      <c r="T125" t="str">
        <f>IF(BrewdogNew[[#This Row],[ABV]]="*", BrewdogNew[[#This Row],[AttenuationLevel]], "")</f>
        <v/>
      </c>
      <c r="U125" t="str">
        <f>IF(BrewdogNew[[#This Row],[ABV]]="*", BrewdogNew[[#This Row],[FermentationTempCelsius]], "")</f>
        <v/>
      </c>
      <c r="V125" t="str">
        <f>IF(BrewdogNew[[#This Row],[ABV]]="*", BrewdogNew[[#This Row],[Yeast]], "")</f>
        <v/>
      </c>
    </row>
    <row r="126" spans="1:22" x14ac:dyDescent="0.25">
      <c r="A126" s="45" t="s">
        <v>191</v>
      </c>
      <c r="B126" s="31" t="s">
        <v>32</v>
      </c>
      <c r="C126" s="51">
        <v>1</v>
      </c>
      <c r="D126">
        <v>25</v>
      </c>
      <c r="E126">
        <v>1052</v>
      </c>
      <c r="F126">
        <v>10</v>
      </c>
      <c r="G126">
        <v>5.2</v>
      </c>
      <c r="H126">
        <v>87</v>
      </c>
      <c r="I126">
        <v>20</v>
      </c>
      <c r="J126" s="45" t="s">
        <v>71</v>
      </c>
      <c r="K126" s="45">
        <f>IF(BrewdogNew[[#This Row],[Yeast]]=BrewdogNew[[#Headers],[Wyeast 1056 - American Ale]],1,0)</f>
        <v>0</v>
      </c>
      <c r="L126" s="45">
        <f>IF(BrewdogNew[[#This Row],[Yeast]]=BrewdogNew[[#Headers],[Wyeast 2007 - Pilsen Lager]],1,0)</f>
        <v>0</v>
      </c>
      <c r="M126" s="45">
        <f>IF(BrewdogNew[[#This Row],[Yeast]]=BrewdogNew[[#Headers],[Wyeast 3711 - French Saison]],1,0)</f>
        <v>1</v>
      </c>
      <c r="N126" s="45">
        <f>IF(BrewdogNew[[#This Row],[Yeast]]=BrewdogNew[[#Headers],[Wyeast 1272 - American Ale II]],1,0)</f>
        <v>0</v>
      </c>
      <c r="O126" s="45" t="str">
        <f>BrewdogNew[[#This Row],[Name]]</f>
        <v>Rhubarb Saison - B-Sides</v>
      </c>
      <c r="P126">
        <f>IF(BrewdogNew[[#This Row],[ABV]]="*", BrewdogNew[[#This Row],[IBU]], "")</f>
        <v>25</v>
      </c>
      <c r="Q126">
        <f>IF(BrewdogNew[[#This Row],[ABV]]="*", BrewdogNew[[#This Row],[OG]], "")</f>
        <v>1052</v>
      </c>
      <c r="R126">
        <f>IF(BrewdogNew[[#This Row],[ABV]]="*", BrewdogNew[[#This Row],[EBC]], "")</f>
        <v>10</v>
      </c>
      <c r="S126">
        <f>IF(BrewdogNew[[#This Row],[ABV]]="*", BrewdogNew[[#This Row],[PH]], "")</f>
        <v>5.2</v>
      </c>
      <c r="T126">
        <f>IF(BrewdogNew[[#This Row],[ABV]]="*", BrewdogNew[[#This Row],[AttenuationLevel]], "")</f>
        <v>87</v>
      </c>
      <c r="U126">
        <f>IF(BrewdogNew[[#This Row],[ABV]]="*", BrewdogNew[[#This Row],[FermentationTempCelsius]], "")</f>
        <v>20</v>
      </c>
      <c r="V126" t="str">
        <f>IF(BrewdogNew[[#This Row],[ABV]]="*", BrewdogNew[[#This Row],[Yeast]], "")</f>
        <v>Wyeast 3711 - French Saison</v>
      </c>
    </row>
    <row r="127" spans="1:22" hidden="1" x14ac:dyDescent="0.25">
      <c r="A127" s="45" t="s">
        <v>192</v>
      </c>
      <c r="B127">
        <v>5.2</v>
      </c>
      <c r="C127" s="2" t="s">
        <v>274</v>
      </c>
      <c r="D127">
        <v>65</v>
      </c>
      <c r="E127">
        <v>1048</v>
      </c>
      <c r="F127">
        <v>16</v>
      </c>
      <c r="G127">
        <v>5.2</v>
      </c>
      <c r="H127">
        <v>79</v>
      </c>
      <c r="I127">
        <v>19</v>
      </c>
      <c r="J127" s="45" t="s">
        <v>64</v>
      </c>
      <c r="K127" s="45">
        <f>IF(BrewdogNew[[#This Row],[Yeast]]=BrewdogNew[[#Headers],[Wyeast 1056 - American Ale]],1,0)</f>
        <v>1</v>
      </c>
      <c r="L127" s="45">
        <f>IF(BrewdogNew[[#This Row],[Yeast]]=BrewdogNew[[#Headers],[Wyeast 2007 - Pilsen Lager]],1,0)</f>
        <v>0</v>
      </c>
      <c r="M127" s="45">
        <f>IF(BrewdogNew[[#This Row],[Yeast]]=BrewdogNew[[#Headers],[Wyeast 3711 - French Saison]],1,0)</f>
        <v>0</v>
      </c>
      <c r="N127" s="45">
        <f>IF(BrewdogNew[[#This Row],[Yeast]]=BrewdogNew[[#Headers],[Wyeast 1272 - American Ale II]],1,0)</f>
        <v>0</v>
      </c>
      <c r="O127" s="45" t="str">
        <f>BrewdogNew[[#This Row],[Name]]</f>
        <v>Deaf Mermaid - B-Sides</v>
      </c>
      <c r="P127" t="str">
        <f>IF(BrewdogNew[[#This Row],[ABV]]="*", BrewdogNew[[#This Row],[IBU]], "")</f>
        <v/>
      </c>
      <c r="Q127" t="str">
        <f>IF(BrewdogNew[[#This Row],[ABV]]="*", BrewdogNew[[#This Row],[OG]], "")</f>
        <v/>
      </c>
      <c r="R127" t="str">
        <f>IF(BrewdogNew[[#This Row],[ABV]]="*", BrewdogNew[[#This Row],[EBC]], "")</f>
        <v/>
      </c>
      <c r="S127" t="str">
        <f>IF(BrewdogNew[[#This Row],[ABV]]="*", BrewdogNew[[#This Row],[PH]], "")</f>
        <v/>
      </c>
      <c r="T127" t="str">
        <f>IF(BrewdogNew[[#This Row],[ABV]]="*", BrewdogNew[[#This Row],[AttenuationLevel]], "")</f>
        <v/>
      </c>
      <c r="U127" t="str">
        <f>IF(BrewdogNew[[#This Row],[ABV]]="*", BrewdogNew[[#This Row],[FermentationTempCelsius]], "")</f>
        <v/>
      </c>
      <c r="V127" t="str">
        <f>IF(BrewdogNew[[#This Row],[ABV]]="*", BrewdogNew[[#This Row],[Yeast]], "")</f>
        <v/>
      </c>
    </row>
    <row r="128" spans="1:22" hidden="1" x14ac:dyDescent="0.25">
      <c r="A128" s="45" t="s">
        <v>193</v>
      </c>
      <c r="B128">
        <v>4.5</v>
      </c>
      <c r="C128" s="2" t="s">
        <v>274</v>
      </c>
      <c r="D128">
        <v>25</v>
      </c>
      <c r="E128">
        <v>1043</v>
      </c>
      <c r="F128">
        <v>10</v>
      </c>
      <c r="G128">
        <v>4.2</v>
      </c>
      <c r="H128">
        <v>79.099999999999994</v>
      </c>
      <c r="I128">
        <v>15</v>
      </c>
      <c r="J128" s="45" t="s">
        <v>64</v>
      </c>
      <c r="K128" s="45">
        <f>IF(BrewdogNew[[#This Row],[Yeast]]=BrewdogNew[[#Headers],[Wyeast 1056 - American Ale]],1,0)</f>
        <v>1</v>
      </c>
      <c r="L128" s="45">
        <f>IF(BrewdogNew[[#This Row],[Yeast]]=BrewdogNew[[#Headers],[Wyeast 2007 - Pilsen Lager]],1,0)</f>
        <v>0</v>
      </c>
      <c r="M128" s="45">
        <f>IF(BrewdogNew[[#This Row],[Yeast]]=BrewdogNew[[#Headers],[Wyeast 3711 - French Saison]],1,0)</f>
        <v>0</v>
      </c>
      <c r="N128" s="45">
        <f>IF(BrewdogNew[[#This Row],[Yeast]]=BrewdogNew[[#Headers],[Wyeast 1272 - American Ale II]],1,0)</f>
        <v>0</v>
      </c>
      <c r="O128" s="45" t="str">
        <f>BrewdogNew[[#This Row],[Name]]</f>
        <v>No Label</v>
      </c>
      <c r="P128" t="str">
        <f>IF(BrewdogNew[[#This Row],[ABV]]="*", BrewdogNew[[#This Row],[IBU]], "")</f>
        <v/>
      </c>
      <c r="Q128" t="str">
        <f>IF(BrewdogNew[[#This Row],[ABV]]="*", BrewdogNew[[#This Row],[OG]], "")</f>
        <v/>
      </c>
      <c r="R128" t="str">
        <f>IF(BrewdogNew[[#This Row],[ABV]]="*", BrewdogNew[[#This Row],[EBC]], "")</f>
        <v/>
      </c>
      <c r="S128" t="str">
        <f>IF(BrewdogNew[[#This Row],[ABV]]="*", BrewdogNew[[#This Row],[PH]], "")</f>
        <v/>
      </c>
      <c r="T128" t="str">
        <f>IF(BrewdogNew[[#This Row],[ABV]]="*", BrewdogNew[[#This Row],[AttenuationLevel]], "")</f>
        <v/>
      </c>
      <c r="U128" t="str">
        <f>IF(BrewdogNew[[#This Row],[ABV]]="*", BrewdogNew[[#This Row],[FermentationTempCelsius]], "")</f>
        <v/>
      </c>
      <c r="V128" t="str">
        <f>IF(BrewdogNew[[#This Row],[ABV]]="*", BrewdogNew[[#This Row],[Yeast]], "")</f>
        <v/>
      </c>
    </row>
    <row r="129" spans="1:22" hidden="1" x14ac:dyDescent="0.25">
      <c r="A129" s="45" t="s">
        <v>194</v>
      </c>
      <c r="B129">
        <v>9.5</v>
      </c>
      <c r="C129" s="2" t="s">
        <v>274</v>
      </c>
      <c r="D129">
        <v>80</v>
      </c>
      <c r="E129">
        <v>1075</v>
      </c>
      <c r="F129">
        <v>195</v>
      </c>
      <c r="G129">
        <v>4.5</v>
      </c>
      <c r="H129">
        <v>81.3</v>
      </c>
      <c r="I129">
        <v>19</v>
      </c>
      <c r="J129" s="45" t="s">
        <v>80</v>
      </c>
      <c r="K129" s="45">
        <f>IF(BrewdogNew[[#This Row],[Yeast]]=BrewdogNew[[#Headers],[Wyeast 1056 - American Ale]],1,0)</f>
        <v>0</v>
      </c>
      <c r="L129" s="45">
        <f>IF(BrewdogNew[[#This Row],[Yeast]]=BrewdogNew[[#Headers],[Wyeast 2007 - Pilsen Lager]],1,0)</f>
        <v>0</v>
      </c>
      <c r="M129" s="45">
        <f>IF(BrewdogNew[[#This Row],[Yeast]]=BrewdogNew[[#Headers],[Wyeast 3711 - French Saison]],1,0)</f>
        <v>0</v>
      </c>
      <c r="N129" s="45">
        <f>IF(BrewdogNew[[#This Row],[Yeast]]=BrewdogNew[[#Headers],[Wyeast 1272 - American Ale II]],1,0)</f>
        <v>1</v>
      </c>
      <c r="O129" s="45" t="str">
        <f>BrewdogNew[[#This Row],[Name]]</f>
        <v>Old World Russian Imperial Stout</v>
      </c>
      <c r="P129" t="str">
        <f>IF(BrewdogNew[[#This Row],[ABV]]="*", BrewdogNew[[#This Row],[IBU]], "")</f>
        <v/>
      </c>
      <c r="Q129" t="str">
        <f>IF(BrewdogNew[[#This Row],[ABV]]="*", BrewdogNew[[#This Row],[OG]], "")</f>
        <v/>
      </c>
      <c r="R129" t="str">
        <f>IF(BrewdogNew[[#This Row],[ABV]]="*", BrewdogNew[[#This Row],[EBC]], "")</f>
        <v/>
      </c>
      <c r="S129" t="str">
        <f>IF(BrewdogNew[[#This Row],[ABV]]="*", BrewdogNew[[#This Row],[PH]], "")</f>
        <v/>
      </c>
      <c r="T129" t="str">
        <f>IF(BrewdogNew[[#This Row],[ABV]]="*", BrewdogNew[[#This Row],[AttenuationLevel]], "")</f>
        <v/>
      </c>
      <c r="U129" t="str">
        <f>IF(BrewdogNew[[#This Row],[ABV]]="*", BrewdogNew[[#This Row],[FermentationTempCelsius]], "")</f>
        <v/>
      </c>
      <c r="V129" t="str">
        <f>IF(BrewdogNew[[#This Row],[ABV]]="*", BrewdogNew[[#This Row],[Yeast]], "")</f>
        <v/>
      </c>
    </row>
    <row r="130" spans="1:22" hidden="1" x14ac:dyDescent="0.25">
      <c r="A130" s="45" t="s">
        <v>195</v>
      </c>
      <c r="B130">
        <v>7.2</v>
      </c>
      <c r="C130" s="2" t="s">
        <v>274</v>
      </c>
      <c r="D130">
        <v>70</v>
      </c>
      <c r="E130">
        <v>1067</v>
      </c>
      <c r="F130">
        <v>30</v>
      </c>
      <c r="G130">
        <v>4.4000000000000004</v>
      </c>
      <c r="H130">
        <v>82.1</v>
      </c>
      <c r="I130">
        <v>19</v>
      </c>
      <c r="J130" s="45" t="s">
        <v>64</v>
      </c>
      <c r="K130" s="45">
        <f>IF(BrewdogNew[[#This Row],[Yeast]]=BrewdogNew[[#Headers],[Wyeast 1056 - American Ale]],1,0)</f>
        <v>1</v>
      </c>
      <c r="L130" s="45">
        <f>IF(BrewdogNew[[#This Row],[Yeast]]=BrewdogNew[[#Headers],[Wyeast 2007 - Pilsen Lager]],1,0)</f>
        <v>0</v>
      </c>
      <c r="M130" s="45">
        <f>IF(BrewdogNew[[#This Row],[Yeast]]=BrewdogNew[[#Headers],[Wyeast 3711 - French Saison]],1,0)</f>
        <v>0</v>
      </c>
      <c r="N130" s="45">
        <f>IF(BrewdogNew[[#This Row],[Yeast]]=BrewdogNew[[#Headers],[Wyeast 1272 - American Ale II]],1,0)</f>
        <v>0</v>
      </c>
      <c r="O130" s="45" t="str">
        <f>BrewdogNew[[#This Row],[Name]]</f>
        <v>Hoppy Christmas</v>
      </c>
      <c r="P130" t="str">
        <f>IF(BrewdogNew[[#This Row],[ABV]]="*", BrewdogNew[[#This Row],[IBU]], "")</f>
        <v/>
      </c>
      <c r="Q130" t="str">
        <f>IF(BrewdogNew[[#This Row],[ABV]]="*", BrewdogNew[[#This Row],[OG]], "")</f>
        <v/>
      </c>
      <c r="R130" t="str">
        <f>IF(BrewdogNew[[#This Row],[ABV]]="*", BrewdogNew[[#This Row],[EBC]], "")</f>
        <v/>
      </c>
      <c r="S130" t="str">
        <f>IF(BrewdogNew[[#This Row],[ABV]]="*", BrewdogNew[[#This Row],[PH]], "")</f>
        <v/>
      </c>
      <c r="T130" t="str">
        <f>IF(BrewdogNew[[#This Row],[ABV]]="*", BrewdogNew[[#This Row],[AttenuationLevel]], "")</f>
        <v/>
      </c>
      <c r="U130" t="str">
        <f>IF(BrewdogNew[[#This Row],[ABV]]="*", BrewdogNew[[#This Row],[FermentationTempCelsius]], "")</f>
        <v/>
      </c>
      <c r="V130" t="str">
        <f>IF(BrewdogNew[[#This Row],[ABV]]="*", BrewdogNew[[#This Row],[Yeast]], "")</f>
        <v/>
      </c>
    </row>
    <row r="131" spans="1:22" hidden="1" x14ac:dyDescent="0.25">
      <c r="A131" s="45" t="s">
        <v>196</v>
      </c>
      <c r="B131">
        <v>2.7</v>
      </c>
      <c r="C131" s="2" t="s">
        <v>274</v>
      </c>
      <c r="D131">
        <v>36</v>
      </c>
      <c r="E131">
        <v>1033</v>
      </c>
      <c r="F131">
        <v>57</v>
      </c>
      <c r="G131">
        <v>4.4000000000000004</v>
      </c>
      <c r="H131">
        <v>70.8</v>
      </c>
      <c r="I131">
        <v>19</v>
      </c>
      <c r="J131" s="45" t="s">
        <v>64</v>
      </c>
      <c r="K131" s="45">
        <f>IF(BrewdogNew[[#This Row],[Yeast]]=BrewdogNew[[#Headers],[Wyeast 1056 - American Ale]],1,0)</f>
        <v>1</v>
      </c>
      <c r="L131" s="45">
        <f>IF(BrewdogNew[[#This Row],[Yeast]]=BrewdogNew[[#Headers],[Wyeast 2007 - Pilsen Lager]],1,0)</f>
        <v>0</v>
      </c>
      <c r="M131" s="45">
        <f>IF(BrewdogNew[[#This Row],[Yeast]]=BrewdogNew[[#Headers],[Wyeast 3711 - French Saison]],1,0)</f>
        <v>0</v>
      </c>
      <c r="N131" s="45">
        <f>IF(BrewdogNew[[#This Row],[Yeast]]=BrewdogNew[[#Headers],[Wyeast 1272 - American Ale II]],1,0)</f>
        <v>0</v>
      </c>
      <c r="O131" s="45" t="str">
        <f>BrewdogNew[[#This Row],[Name]]</f>
        <v>Edge</v>
      </c>
      <c r="P131" t="str">
        <f>IF(BrewdogNew[[#This Row],[ABV]]="*", BrewdogNew[[#This Row],[IBU]], "")</f>
        <v/>
      </c>
      <c r="Q131" t="str">
        <f>IF(BrewdogNew[[#This Row],[ABV]]="*", BrewdogNew[[#This Row],[OG]], "")</f>
        <v/>
      </c>
      <c r="R131" t="str">
        <f>IF(BrewdogNew[[#This Row],[ABV]]="*", BrewdogNew[[#This Row],[EBC]], "")</f>
        <v/>
      </c>
      <c r="S131" t="str">
        <f>IF(BrewdogNew[[#This Row],[ABV]]="*", BrewdogNew[[#This Row],[PH]], "")</f>
        <v/>
      </c>
      <c r="T131" t="str">
        <f>IF(BrewdogNew[[#This Row],[ABV]]="*", BrewdogNew[[#This Row],[AttenuationLevel]], "")</f>
        <v/>
      </c>
      <c r="U131" t="str">
        <f>IF(BrewdogNew[[#This Row],[ABV]]="*", BrewdogNew[[#This Row],[FermentationTempCelsius]], "")</f>
        <v/>
      </c>
      <c r="V131" t="str">
        <f>IF(BrewdogNew[[#This Row],[ABV]]="*", BrewdogNew[[#This Row],[Yeast]], "")</f>
        <v/>
      </c>
    </row>
    <row r="132" spans="1:22" hidden="1" x14ac:dyDescent="0.25">
      <c r="A132" s="45" t="s">
        <v>197</v>
      </c>
      <c r="B132">
        <v>6.4</v>
      </c>
      <c r="C132" s="2" t="s">
        <v>274</v>
      </c>
      <c r="D132">
        <v>50</v>
      </c>
      <c r="E132">
        <v>1061</v>
      </c>
      <c r="F132">
        <v>20</v>
      </c>
      <c r="G132">
        <v>4.4000000000000004</v>
      </c>
      <c r="H132">
        <v>80.3</v>
      </c>
      <c r="I132">
        <v>19</v>
      </c>
      <c r="J132" s="45" t="s">
        <v>64</v>
      </c>
      <c r="K132" s="45">
        <f>IF(BrewdogNew[[#This Row],[Yeast]]=BrewdogNew[[#Headers],[Wyeast 1056 - American Ale]],1,0)</f>
        <v>1</v>
      </c>
      <c r="L132" s="45">
        <f>IF(BrewdogNew[[#This Row],[Yeast]]=BrewdogNew[[#Headers],[Wyeast 2007 - Pilsen Lager]],1,0)</f>
        <v>0</v>
      </c>
      <c r="M132" s="45">
        <f>IF(BrewdogNew[[#This Row],[Yeast]]=BrewdogNew[[#Headers],[Wyeast 3711 - French Saison]],1,0)</f>
        <v>0</v>
      </c>
      <c r="N132" s="45">
        <f>IF(BrewdogNew[[#This Row],[Yeast]]=BrewdogNew[[#Headers],[Wyeast 1272 - American Ale II]],1,0)</f>
        <v>0</v>
      </c>
      <c r="O132" s="45" t="str">
        <f>BrewdogNew[[#This Row],[Name]]</f>
        <v>Hello My Name Is ZeÌ (w/ 2CabecÌ§as)</v>
      </c>
      <c r="P132" t="str">
        <f>IF(BrewdogNew[[#This Row],[ABV]]="*", BrewdogNew[[#This Row],[IBU]], "")</f>
        <v/>
      </c>
      <c r="Q132" t="str">
        <f>IF(BrewdogNew[[#This Row],[ABV]]="*", BrewdogNew[[#This Row],[OG]], "")</f>
        <v/>
      </c>
      <c r="R132" t="str">
        <f>IF(BrewdogNew[[#This Row],[ABV]]="*", BrewdogNew[[#This Row],[EBC]], "")</f>
        <v/>
      </c>
      <c r="S132" t="str">
        <f>IF(BrewdogNew[[#This Row],[ABV]]="*", BrewdogNew[[#This Row],[PH]], "")</f>
        <v/>
      </c>
      <c r="T132" t="str">
        <f>IF(BrewdogNew[[#This Row],[ABV]]="*", BrewdogNew[[#This Row],[AttenuationLevel]], "")</f>
        <v/>
      </c>
      <c r="U132" t="str">
        <f>IF(BrewdogNew[[#This Row],[ABV]]="*", BrewdogNew[[#This Row],[FermentationTempCelsius]], "")</f>
        <v/>
      </c>
      <c r="V132" t="str">
        <f>IF(BrewdogNew[[#This Row],[ABV]]="*", BrewdogNew[[#This Row],[Yeast]], "")</f>
        <v/>
      </c>
    </row>
    <row r="133" spans="1:22" hidden="1" x14ac:dyDescent="0.25">
      <c r="A133" s="45" t="s">
        <v>198</v>
      </c>
      <c r="B133">
        <v>17.2</v>
      </c>
      <c r="C133" s="2" t="s">
        <v>274</v>
      </c>
      <c r="D133">
        <v>75</v>
      </c>
      <c r="E133">
        <v>1156</v>
      </c>
      <c r="F133">
        <v>128</v>
      </c>
      <c r="G133">
        <v>4.4000000000000004</v>
      </c>
      <c r="H133">
        <v>80.8</v>
      </c>
      <c r="I133">
        <v>21</v>
      </c>
      <c r="J133" s="45" t="s">
        <v>80</v>
      </c>
      <c r="K133" s="45">
        <f>IF(BrewdogNew[[#This Row],[Yeast]]=BrewdogNew[[#Headers],[Wyeast 1056 - American Ale]],1,0)</f>
        <v>0</v>
      </c>
      <c r="L133" s="45">
        <f>IF(BrewdogNew[[#This Row],[Yeast]]=BrewdogNew[[#Headers],[Wyeast 2007 - Pilsen Lager]],1,0)</f>
        <v>0</v>
      </c>
      <c r="M133" s="45">
        <f>IF(BrewdogNew[[#This Row],[Yeast]]=BrewdogNew[[#Headers],[Wyeast 3711 - French Saison]],1,0)</f>
        <v>0</v>
      </c>
      <c r="N133" s="45">
        <f>IF(BrewdogNew[[#This Row],[Yeast]]=BrewdogNew[[#Headers],[Wyeast 1272 - American Ale II]],1,0)</f>
        <v>1</v>
      </c>
      <c r="O133" s="45" t="str">
        <f>BrewdogNew[[#This Row],[Name]]</f>
        <v>Black Tokyo Horizon (w/NÃ¸gne Ã˜ &amp; Mikkeller)</v>
      </c>
      <c r="P133" t="str">
        <f>IF(BrewdogNew[[#This Row],[ABV]]="*", BrewdogNew[[#This Row],[IBU]], "")</f>
        <v/>
      </c>
      <c r="Q133" t="str">
        <f>IF(BrewdogNew[[#This Row],[ABV]]="*", BrewdogNew[[#This Row],[OG]], "")</f>
        <v/>
      </c>
      <c r="R133" t="str">
        <f>IF(BrewdogNew[[#This Row],[ABV]]="*", BrewdogNew[[#This Row],[EBC]], "")</f>
        <v/>
      </c>
      <c r="S133" t="str">
        <f>IF(BrewdogNew[[#This Row],[ABV]]="*", BrewdogNew[[#This Row],[PH]], "")</f>
        <v/>
      </c>
      <c r="T133" t="str">
        <f>IF(BrewdogNew[[#This Row],[ABV]]="*", BrewdogNew[[#This Row],[AttenuationLevel]], "")</f>
        <v/>
      </c>
      <c r="U133" t="str">
        <f>IF(BrewdogNew[[#This Row],[ABV]]="*", BrewdogNew[[#This Row],[FermentationTempCelsius]], "")</f>
        <v/>
      </c>
      <c r="V133" t="str">
        <f>IF(BrewdogNew[[#This Row],[ABV]]="*", BrewdogNew[[#This Row],[Yeast]], "")</f>
        <v/>
      </c>
    </row>
    <row r="134" spans="1:22" hidden="1" x14ac:dyDescent="0.25">
      <c r="A134" s="45" t="s">
        <v>199</v>
      </c>
      <c r="B134">
        <v>8.5</v>
      </c>
      <c r="C134" s="2" t="s">
        <v>274</v>
      </c>
      <c r="D134">
        <v>100</v>
      </c>
      <c r="E134">
        <v>1068</v>
      </c>
      <c r="F134">
        <v>15</v>
      </c>
      <c r="G134">
        <v>4.4000000000000004</v>
      </c>
      <c r="H134">
        <v>95.6</v>
      </c>
      <c r="I134">
        <v>21</v>
      </c>
      <c r="J134" s="45" t="s">
        <v>80</v>
      </c>
      <c r="K134" s="45">
        <f>IF(BrewdogNew[[#This Row],[Yeast]]=BrewdogNew[[#Headers],[Wyeast 1056 - American Ale]],1,0)</f>
        <v>0</v>
      </c>
      <c r="L134" s="45">
        <f>IF(BrewdogNew[[#This Row],[Yeast]]=BrewdogNew[[#Headers],[Wyeast 2007 - Pilsen Lager]],1,0)</f>
        <v>0</v>
      </c>
      <c r="M134" s="45">
        <f>IF(BrewdogNew[[#This Row],[Yeast]]=BrewdogNew[[#Headers],[Wyeast 3711 - French Saison]],1,0)</f>
        <v>0</v>
      </c>
      <c r="N134" s="45">
        <f>IF(BrewdogNew[[#This Row],[Yeast]]=BrewdogNew[[#Headers],[Wyeast 1272 - American Ale II]],1,0)</f>
        <v>1</v>
      </c>
      <c r="O134" s="45" t="str">
        <f>BrewdogNew[[#This Row],[Name]]</f>
        <v>Restorative Beverage For Invalids And Convalescents</v>
      </c>
      <c r="P134" t="str">
        <f>IF(BrewdogNew[[#This Row],[ABV]]="*", BrewdogNew[[#This Row],[IBU]], "")</f>
        <v/>
      </c>
      <c r="Q134" t="str">
        <f>IF(BrewdogNew[[#This Row],[ABV]]="*", BrewdogNew[[#This Row],[OG]], "")</f>
        <v/>
      </c>
      <c r="R134" t="str">
        <f>IF(BrewdogNew[[#This Row],[ABV]]="*", BrewdogNew[[#This Row],[EBC]], "")</f>
        <v/>
      </c>
      <c r="S134" t="str">
        <f>IF(BrewdogNew[[#This Row],[ABV]]="*", BrewdogNew[[#This Row],[PH]], "")</f>
        <v/>
      </c>
      <c r="T134" t="str">
        <f>IF(BrewdogNew[[#This Row],[ABV]]="*", BrewdogNew[[#This Row],[AttenuationLevel]], "")</f>
        <v/>
      </c>
      <c r="U134" t="str">
        <f>IF(BrewdogNew[[#This Row],[ABV]]="*", BrewdogNew[[#This Row],[FermentationTempCelsius]], "")</f>
        <v/>
      </c>
      <c r="V134" t="str">
        <f>IF(BrewdogNew[[#This Row],[ABV]]="*", BrewdogNew[[#This Row],[Yeast]], "")</f>
        <v/>
      </c>
    </row>
    <row r="135" spans="1:22" hidden="1" x14ac:dyDescent="0.25">
      <c r="A135" s="45" t="s">
        <v>200</v>
      </c>
      <c r="B135">
        <v>4.9000000000000004</v>
      </c>
      <c r="C135" s="2" t="s">
        <v>274</v>
      </c>
      <c r="D135">
        <v>30</v>
      </c>
      <c r="E135">
        <v>1047</v>
      </c>
      <c r="F135">
        <v>12</v>
      </c>
      <c r="G135">
        <v>4.4000000000000004</v>
      </c>
      <c r="H135">
        <v>80.7</v>
      </c>
      <c r="I135">
        <v>10</v>
      </c>
      <c r="J135" s="45" t="s">
        <v>68</v>
      </c>
      <c r="K135" s="45">
        <f>IF(BrewdogNew[[#This Row],[Yeast]]=BrewdogNew[[#Headers],[Wyeast 1056 - American Ale]],1,0)</f>
        <v>0</v>
      </c>
      <c r="L135" s="45">
        <f>IF(BrewdogNew[[#This Row],[Yeast]]=BrewdogNew[[#Headers],[Wyeast 2007 - Pilsen Lager]],1,0)</f>
        <v>1</v>
      </c>
      <c r="M135" s="45">
        <f>IF(BrewdogNew[[#This Row],[Yeast]]=BrewdogNew[[#Headers],[Wyeast 3711 - French Saison]],1,0)</f>
        <v>0</v>
      </c>
      <c r="N135" s="45">
        <f>IF(BrewdogNew[[#This Row],[Yeast]]=BrewdogNew[[#Headers],[Wyeast 1272 - American Ale II]],1,0)</f>
        <v>0</v>
      </c>
      <c r="O135" s="45" t="str">
        <f>BrewdogNew[[#This Row],[Name]]</f>
        <v>77 Lager</v>
      </c>
      <c r="P135" t="str">
        <f>IF(BrewdogNew[[#This Row],[ABV]]="*", BrewdogNew[[#This Row],[IBU]], "")</f>
        <v/>
      </c>
      <c r="Q135" t="str">
        <f>IF(BrewdogNew[[#This Row],[ABV]]="*", BrewdogNew[[#This Row],[OG]], "")</f>
        <v/>
      </c>
      <c r="R135" t="str">
        <f>IF(BrewdogNew[[#This Row],[ABV]]="*", BrewdogNew[[#This Row],[EBC]], "")</f>
        <v/>
      </c>
      <c r="S135" t="str">
        <f>IF(BrewdogNew[[#This Row],[ABV]]="*", BrewdogNew[[#This Row],[PH]], "")</f>
        <v/>
      </c>
      <c r="T135" t="str">
        <f>IF(BrewdogNew[[#This Row],[ABV]]="*", BrewdogNew[[#This Row],[AttenuationLevel]], "")</f>
        <v/>
      </c>
      <c r="U135" t="str">
        <f>IF(BrewdogNew[[#This Row],[ABV]]="*", BrewdogNew[[#This Row],[FermentationTempCelsius]], "")</f>
        <v/>
      </c>
      <c r="V135" t="str">
        <f>IF(BrewdogNew[[#This Row],[ABV]]="*", BrewdogNew[[#This Row],[Yeast]], "")</f>
        <v/>
      </c>
    </row>
    <row r="136" spans="1:22" hidden="1" x14ac:dyDescent="0.25">
      <c r="A136" s="45" t="s">
        <v>201</v>
      </c>
      <c r="B136">
        <v>4.7</v>
      </c>
      <c r="C136" s="2" t="s">
        <v>274</v>
      </c>
      <c r="D136">
        <v>37</v>
      </c>
      <c r="E136">
        <v>1043</v>
      </c>
      <c r="F136">
        <v>10</v>
      </c>
      <c r="G136">
        <v>4.2</v>
      </c>
      <c r="H136">
        <v>83.7</v>
      </c>
      <c r="I136">
        <v>12</v>
      </c>
      <c r="J136" s="45" t="s">
        <v>68</v>
      </c>
      <c r="K136" s="45">
        <f>IF(BrewdogNew[[#This Row],[Yeast]]=BrewdogNew[[#Headers],[Wyeast 1056 - American Ale]],1,0)</f>
        <v>0</v>
      </c>
      <c r="L136" s="45">
        <f>IF(BrewdogNew[[#This Row],[Yeast]]=BrewdogNew[[#Headers],[Wyeast 2007 - Pilsen Lager]],1,0)</f>
        <v>1</v>
      </c>
      <c r="M136" s="45">
        <f>IF(BrewdogNew[[#This Row],[Yeast]]=BrewdogNew[[#Headers],[Wyeast 3711 - French Saison]],1,0)</f>
        <v>0</v>
      </c>
      <c r="N136" s="45">
        <f>IF(BrewdogNew[[#This Row],[Yeast]]=BrewdogNew[[#Headers],[Wyeast 1272 - American Ale II]],1,0)</f>
        <v>0</v>
      </c>
      <c r="O136" s="45" t="str">
        <f>BrewdogNew[[#This Row],[Name]]</f>
        <v>This. Is. Lager</v>
      </c>
      <c r="P136" t="str">
        <f>IF(BrewdogNew[[#This Row],[ABV]]="*", BrewdogNew[[#This Row],[IBU]], "")</f>
        <v/>
      </c>
      <c r="Q136" t="str">
        <f>IF(BrewdogNew[[#This Row],[ABV]]="*", BrewdogNew[[#This Row],[OG]], "")</f>
        <v/>
      </c>
      <c r="R136" t="str">
        <f>IF(BrewdogNew[[#This Row],[ABV]]="*", BrewdogNew[[#This Row],[EBC]], "")</f>
        <v/>
      </c>
      <c r="S136" t="str">
        <f>IF(BrewdogNew[[#This Row],[ABV]]="*", BrewdogNew[[#This Row],[PH]], "")</f>
        <v/>
      </c>
      <c r="T136" t="str">
        <f>IF(BrewdogNew[[#This Row],[ABV]]="*", BrewdogNew[[#This Row],[AttenuationLevel]], "")</f>
        <v/>
      </c>
      <c r="U136" t="str">
        <f>IF(BrewdogNew[[#This Row],[ABV]]="*", BrewdogNew[[#This Row],[FermentationTempCelsius]], "")</f>
        <v/>
      </c>
      <c r="V136" t="str">
        <f>IF(BrewdogNew[[#This Row],[ABV]]="*", BrewdogNew[[#This Row],[Yeast]], "")</f>
        <v/>
      </c>
    </row>
    <row r="137" spans="1:22" hidden="1" x14ac:dyDescent="0.25">
      <c r="A137" s="45" t="s">
        <v>202</v>
      </c>
      <c r="B137">
        <v>7.2</v>
      </c>
      <c r="C137" s="2" t="s">
        <v>274</v>
      </c>
      <c r="D137">
        <v>100</v>
      </c>
      <c r="E137">
        <v>1064</v>
      </c>
      <c r="F137">
        <v>12</v>
      </c>
      <c r="G137">
        <v>4.4000000000000004</v>
      </c>
      <c r="H137">
        <v>84</v>
      </c>
      <c r="I137">
        <v>19</v>
      </c>
      <c r="J137" s="45" t="s">
        <v>64</v>
      </c>
      <c r="K137" s="45">
        <f>IF(BrewdogNew[[#This Row],[Yeast]]=BrewdogNew[[#Headers],[Wyeast 1056 - American Ale]],1,0)</f>
        <v>1</v>
      </c>
      <c r="L137" s="45">
        <f>IF(BrewdogNew[[#This Row],[Yeast]]=BrewdogNew[[#Headers],[Wyeast 2007 - Pilsen Lager]],1,0)</f>
        <v>0</v>
      </c>
      <c r="M137" s="45">
        <f>IF(BrewdogNew[[#This Row],[Yeast]]=BrewdogNew[[#Headers],[Wyeast 3711 - French Saison]],1,0)</f>
        <v>0</v>
      </c>
      <c r="N137" s="45">
        <f>IF(BrewdogNew[[#This Row],[Yeast]]=BrewdogNew[[#Headers],[Wyeast 1272 - American Ale II]],1,0)</f>
        <v>0</v>
      </c>
      <c r="O137" s="45" t="str">
        <f>BrewdogNew[[#This Row],[Name]]</f>
        <v>Ella - IPA Is Dead</v>
      </c>
      <c r="P137" t="str">
        <f>IF(BrewdogNew[[#This Row],[ABV]]="*", BrewdogNew[[#This Row],[IBU]], "")</f>
        <v/>
      </c>
      <c r="Q137" t="str">
        <f>IF(BrewdogNew[[#This Row],[ABV]]="*", BrewdogNew[[#This Row],[OG]], "")</f>
        <v/>
      </c>
      <c r="R137" t="str">
        <f>IF(BrewdogNew[[#This Row],[ABV]]="*", BrewdogNew[[#This Row],[EBC]], "")</f>
        <v/>
      </c>
      <c r="S137" t="str">
        <f>IF(BrewdogNew[[#This Row],[ABV]]="*", BrewdogNew[[#This Row],[PH]], "")</f>
        <v/>
      </c>
      <c r="T137" t="str">
        <f>IF(BrewdogNew[[#This Row],[ABV]]="*", BrewdogNew[[#This Row],[AttenuationLevel]], "")</f>
        <v/>
      </c>
      <c r="U137" t="str">
        <f>IF(BrewdogNew[[#This Row],[ABV]]="*", BrewdogNew[[#This Row],[FermentationTempCelsius]], "")</f>
        <v/>
      </c>
      <c r="V137" t="str">
        <f>IF(BrewdogNew[[#This Row],[ABV]]="*", BrewdogNew[[#This Row],[Yeast]], "")</f>
        <v/>
      </c>
    </row>
    <row r="138" spans="1:22" hidden="1" x14ac:dyDescent="0.25">
      <c r="A138" s="45" t="s">
        <v>203</v>
      </c>
      <c r="B138">
        <v>10</v>
      </c>
      <c r="C138" s="2" t="s">
        <v>274</v>
      </c>
      <c r="D138">
        <v>80</v>
      </c>
      <c r="E138">
        <v>1097</v>
      </c>
      <c r="F138">
        <v>65</v>
      </c>
      <c r="G138">
        <v>4.4000000000000004</v>
      </c>
      <c r="H138">
        <v>79.400000000000006</v>
      </c>
      <c r="I138">
        <v>21</v>
      </c>
      <c r="J138" s="45" t="s">
        <v>80</v>
      </c>
      <c r="K138" s="45">
        <f>IF(BrewdogNew[[#This Row],[Yeast]]=BrewdogNew[[#Headers],[Wyeast 1056 - American Ale]],1,0)</f>
        <v>0</v>
      </c>
      <c r="L138" s="45">
        <f>IF(BrewdogNew[[#This Row],[Yeast]]=BrewdogNew[[#Headers],[Wyeast 2007 - Pilsen Lager]],1,0)</f>
        <v>0</v>
      </c>
      <c r="M138" s="45">
        <f>IF(BrewdogNew[[#This Row],[Yeast]]=BrewdogNew[[#Headers],[Wyeast 3711 - French Saison]],1,0)</f>
        <v>0</v>
      </c>
      <c r="N138" s="45">
        <f>IF(BrewdogNew[[#This Row],[Yeast]]=BrewdogNew[[#Headers],[Wyeast 1272 - American Ale II]],1,0)</f>
        <v>1</v>
      </c>
      <c r="O138" s="45" t="str">
        <f>BrewdogNew[[#This Row],[Name]]</f>
        <v>Barley Wine - Russian Doll</v>
      </c>
      <c r="P138" t="str">
        <f>IF(BrewdogNew[[#This Row],[ABV]]="*", BrewdogNew[[#This Row],[IBU]], "")</f>
        <v/>
      </c>
      <c r="Q138" t="str">
        <f>IF(BrewdogNew[[#This Row],[ABV]]="*", BrewdogNew[[#This Row],[OG]], "")</f>
        <v/>
      </c>
      <c r="R138" t="str">
        <f>IF(BrewdogNew[[#This Row],[ABV]]="*", BrewdogNew[[#This Row],[EBC]], "")</f>
        <v/>
      </c>
      <c r="S138" t="str">
        <f>IF(BrewdogNew[[#This Row],[ABV]]="*", BrewdogNew[[#This Row],[PH]], "")</f>
        <v/>
      </c>
      <c r="T138" t="str">
        <f>IF(BrewdogNew[[#This Row],[ABV]]="*", BrewdogNew[[#This Row],[AttenuationLevel]], "")</f>
        <v/>
      </c>
      <c r="U138" t="str">
        <f>IF(BrewdogNew[[#This Row],[ABV]]="*", BrewdogNew[[#This Row],[FermentationTempCelsius]], "")</f>
        <v/>
      </c>
      <c r="V138" t="str">
        <f>IF(BrewdogNew[[#This Row],[ABV]]="*", BrewdogNew[[#This Row],[Yeast]], "")</f>
        <v/>
      </c>
    </row>
    <row r="139" spans="1:22" hidden="1" x14ac:dyDescent="0.25">
      <c r="A139" s="45" t="s">
        <v>204</v>
      </c>
      <c r="B139">
        <v>4.5</v>
      </c>
      <c r="C139" s="2" t="s">
        <v>274</v>
      </c>
      <c r="D139">
        <v>55</v>
      </c>
      <c r="E139">
        <v>1045</v>
      </c>
      <c r="F139">
        <v>20</v>
      </c>
      <c r="G139">
        <v>4.2</v>
      </c>
      <c r="H139">
        <v>73.900000000000006</v>
      </c>
      <c r="I139">
        <v>19</v>
      </c>
      <c r="J139" s="45" t="s">
        <v>64</v>
      </c>
      <c r="K139" s="45">
        <f>IF(BrewdogNew[[#This Row],[Yeast]]=BrewdogNew[[#Headers],[Wyeast 1056 - American Ale]],1,0)</f>
        <v>1</v>
      </c>
      <c r="L139" s="45">
        <f>IF(BrewdogNew[[#This Row],[Yeast]]=BrewdogNew[[#Headers],[Wyeast 2007 - Pilsen Lager]],1,0)</f>
        <v>0</v>
      </c>
      <c r="M139" s="45">
        <f>IF(BrewdogNew[[#This Row],[Yeast]]=BrewdogNew[[#Headers],[Wyeast 3711 - French Saison]],1,0)</f>
        <v>0</v>
      </c>
      <c r="N139" s="45">
        <f>IF(BrewdogNew[[#This Row],[Yeast]]=BrewdogNew[[#Headers],[Wyeast 1272 - American Ale II]],1,0)</f>
        <v>0</v>
      </c>
      <c r="O139" s="45" t="str">
        <f>BrewdogNew[[#This Row],[Name]]</f>
        <v>Vagabond Pale ALe - Prototype Challenge</v>
      </c>
      <c r="P139" t="str">
        <f>IF(BrewdogNew[[#This Row],[ABV]]="*", BrewdogNew[[#This Row],[IBU]], "")</f>
        <v/>
      </c>
      <c r="Q139" t="str">
        <f>IF(BrewdogNew[[#This Row],[ABV]]="*", BrewdogNew[[#This Row],[OG]], "")</f>
        <v/>
      </c>
      <c r="R139" t="str">
        <f>IF(BrewdogNew[[#This Row],[ABV]]="*", BrewdogNew[[#This Row],[EBC]], "")</f>
        <v/>
      </c>
      <c r="S139" t="str">
        <f>IF(BrewdogNew[[#This Row],[ABV]]="*", BrewdogNew[[#This Row],[PH]], "")</f>
        <v/>
      </c>
      <c r="T139" t="str">
        <f>IF(BrewdogNew[[#This Row],[ABV]]="*", BrewdogNew[[#This Row],[AttenuationLevel]], "")</f>
        <v/>
      </c>
      <c r="U139" t="str">
        <f>IF(BrewdogNew[[#This Row],[ABV]]="*", BrewdogNew[[#This Row],[FermentationTempCelsius]], "")</f>
        <v/>
      </c>
      <c r="V139" t="str">
        <f>IF(BrewdogNew[[#This Row],[ABV]]="*", BrewdogNew[[#This Row],[Yeast]], "")</f>
        <v/>
      </c>
    </row>
    <row r="140" spans="1:22" hidden="1" x14ac:dyDescent="0.25">
      <c r="A140" s="45" t="s">
        <v>205</v>
      </c>
      <c r="B140">
        <v>7.2</v>
      </c>
      <c r="C140" s="2" t="s">
        <v>274</v>
      </c>
      <c r="D140">
        <v>50</v>
      </c>
      <c r="E140">
        <v>1068</v>
      </c>
      <c r="F140">
        <v>150</v>
      </c>
      <c r="G140">
        <v>4.4000000000000004</v>
      </c>
      <c r="H140">
        <v>78.599999999999994</v>
      </c>
      <c r="I140">
        <v>19</v>
      </c>
      <c r="J140" s="45" t="s">
        <v>80</v>
      </c>
      <c r="K140" s="45">
        <f>IF(BrewdogNew[[#This Row],[Yeast]]=BrewdogNew[[#Headers],[Wyeast 1056 - American Ale]],1,0)</f>
        <v>0</v>
      </c>
      <c r="L140" s="45">
        <f>IF(BrewdogNew[[#This Row],[Yeast]]=BrewdogNew[[#Headers],[Wyeast 2007 - Pilsen Lager]],1,0)</f>
        <v>0</v>
      </c>
      <c r="M140" s="45">
        <f>IF(BrewdogNew[[#This Row],[Yeast]]=BrewdogNew[[#Headers],[Wyeast 3711 - French Saison]],1,0)</f>
        <v>0</v>
      </c>
      <c r="N140" s="45">
        <f>IF(BrewdogNew[[#This Row],[Yeast]]=BrewdogNew[[#Headers],[Wyeast 1272 - American Ale II]],1,0)</f>
        <v>1</v>
      </c>
      <c r="O140" s="45" t="str">
        <f>BrewdogNew[[#This Row],[Name]]</f>
        <v>Libertine Black Ale</v>
      </c>
      <c r="P140" t="str">
        <f>IF(BrewdogNew[[#This Row],[ABV]]="*", BrewdogNew[[#This Row],[IBU]], "")</f>
        <v/>
      </c>
      <c r="Q140" t="str">
        <f>IF(BrewdogNew[[#This Row],[ABV]]="*", BrewdogNew[[#This Row],[OG]], "")</f>
        <v/>
      </c>
      <c r="R140" t="str">
        <f>IF(BrewdogNew[[#This Row],[ABV]]="*", BrewdogNew[[#This Row],[EBC]], "")</f>
        <v/>
      </c>
      <c r="S140" t="str">
        <f>IF(BrewdogNew[[#This Row],[ABV]]="*", BrewdogNew[[#This Row],[PH]], "")</f>
        <v/>
      </c>
      <c r="T140" t="str">
        <f>IF(BrewdogNew[[#This Row],[ABV]]="*", BrewdogNew[[#This Row],[AttenuationLevel]], "")</f>
        <v/>
      </c>
      <c r="U140" t="str">
        <f>IF(BrewdogNew[[#This Row],[ABV]]="*", BrewdogNew[[#This Row],[FermentationTempCelsius]], "")</f>
        <v/>
      </c>
      <c r="V140" t="str">
        <f>IF(BrewdogNew[[#This Row],[ABV]]="*", BrewdogNew[[#This Row],[Yeast]], "")</f>
        <v/>
      </c>
    </row>
    <row r="141" spans="1:22" hidden="1" x14ac:dyDescent="0.25">
      <c r="A141" s="45" t="s">
        <v>206</v>
      </c>
      <c r="B141">
        <v>7.2</v>
      </c>
      <c r="C141" s="2" t="s">
        <v>274</v>
      </c>
      <c r="D141">
        <v>250</v>
      </c>
      <c r="E141">
        <v>1065</v>
      </c>
      <c r="F141">
        <v>15</v>
      </c>
      <c r="G141">
        <v>4.4000000000000004</v>
      </c>
      <c r="H141">
        <v>84.6</v>
      </c>
      <c r="I141">
        <v>21</v>
      </c>
      <c r="J141" s="45" t="s">
        <v>80</v>
      </c>
      <c r="K141" s="45">
        <f>IF(BrewdogNew[[#This Row],[Yeast]]=BrewdogNew[[#Headers],[Wyeast 1056 - American Ale]],1,0)</f>
        <v>0</v>
      </c>
      <c r="L141" s="45">
        <f>IF(BrewdogNew[[#This Row],[Yeast]]=BrewdogNew[[#Headers],[Wyeast 2007 - Pilsen Lager]],1,0)</f>
        <v>0</v>
      </c>
      <c r="M141" s="45">
        <f>IF(BrewdogNew[[#This Row],[Yeast]]=BrewdogNew[[#Headers],[Wyeast 3711 - French Saison]],1,0)</f>
        <v>0</v>
      </c>
      <c r="N141" s="45">
        <f>IF(BrewdogNew[[#This Row],[Yeast]]=BrewdogNew[[#Headers],[Wyeast 1272 - American Ale II]],1,0)</f>
        <v>1</v>
      </c>
      <c r="O141" s="45" t="str">
        <f>BrewdogNew[[#This Row],[Name]]</f>
        <v>Jack Hammer</v>
      </c>
      <c r="P141" t="str">
        <f>IF(BrewdogNew[[#This Row],[ABV]]="*", BrewdogNew[[#This Row],[IBU]], "")</f>
        <v/>
      </c>
      <c r="Q141" t="str">
        <f>IF(BrewdogNew[[#This Row],[ABV]]="*", BrewdogNew[[#This Row],[OG]], "")</f>
        <v/>
      </c>
      <c r="R141" t="str">
        <f>IF(BrewdogNew[[#This Row],[ABV]]="*", BrewdogNew[[#This Row],[EBC]], "")</f>
        <v/>
      </c>
      <c r="S141" t="str">
        <f>IF(BrewdogNew[[#This Row],[ABV]]="*", BrewdogNew[[#This Row],[PH]], "")</f>
        <v/>
      </c>
      <c r="T141" t="str">
        <f>IF(BrewdogNew[[#This Row],[ABV]]="*", BrewdogNew[[#This Row],[AttenuationLevel]], "")</f>
        <v/>
      </c>
      <c r="U141" t="str">
        <f>IF(BrewdogNew[[#This Row],[ABV]]="*", BrewdogNew[[#This Row],[FermentationTempCelsius]], "")</f>
        <v/>
      </c>
      <c r="V141" t="str">
        <f>IF(BrewdogNew[[#This Row],[ABV]]="*", BrewdogNew[[#This Row],[Yeast]], "")</f>
        <v/>
      </c>
    </row>
    <row r="142" spans="1:22" hidden="1" x14ac:dyDescent="0.25">
      <c r="A142" s="45" t="s">
        <v>207</v>
      </c>
      <c r="B142">
        <v>6.7</v>
      </c>
      <c r="C142" s="2" t="s">
        <v>274</v>
      </c>
      <c r="D142">
        <v>67</v>
      </c>
      <c r="E142">
        <v>1064</v>
      </c>
      <c r="F142">
        <v>19</v>
      </c>
      <c r="G142">
        <v>4.4000000000000004</v>
      </c>
      <c r="H142">
        <v>79.7</v>
      </c>
      <c r="I142">
        <v>19</v>
      </c>
      <c r="J142" s="45" t="s">
        <v>64</v>
      </c>
      <c r="K142" s="45">
        <f>IF(BrewdogNew[[#This Row],[Yeast]]=BrewdogNew[[#Headers],[Wyeast 1056 - American Ale]],1,0)</f>
        <v>1</v>
      </c>
      <c r="L142" s="45">
        <f>IF(BrewdogNew[[#This Row],[Yeast]]=BrewdogNew[[#Headers],[Wyeast 2007 - Pilsen Lager]],1,0)</f>
        <v>0</v>
      </c>
      <c r="M142" s="45">
        <f>IF(BrewdogNew[[#This Row],[Yeast]]=BrewdogNew[[#Headers],[Wyeast 3711 - French Saison]],1,0)</f>
        <v>0</v>
      </c>
      <c r="N142" s="45">
        <f>IF(BrewdogNew[[#This Row],[Yeast]]=BrewdogNew[[#Headers],[Wyeast 1272 - American Ale II]],1,0)</f>
        <v>0</v>
      </c>
      <c r="O142" s="45" t="str">
        <f>BrewdogNew[[#This Row],[Name]]</f>
        <v>Challenger</v>
      </c>
      <c r="P142" t="str">
        <f>IF(BrewdogNew[[#This Row],[ABV]]="*", BrewdogNew[[#This Row],[IBU]], "")</f>
        <v/>
      </c>
      <c r="Q142" t="str">
        <f>IF(BrewdogNew[[#This Row],[ABV]]="*", BrewdogNew[[#This Row],[OG]], "")</f>
        <v/>
      </c>
      <c r="R142" t="str">
        <f>IF(BrewdogNew[[#This Row],[ABV]]="*", BrewdogNew[[#This Row],[EBC]], "")</f>
        <v/>
      </c>
      <c r="S142" t="str">
        <f>IF(BrewdogNew[[#This Row],[ABV]]="*", BrewdogNew[[#This Row],[PH]], "")</f>
        <v/>
      </c>
      <c r="T142" t="str">
        <f>IF(BrewdogNew[[#This Row],[ABV]]="*", BrewdogNew[[#This Row],[AttenuationLevel]], "")</f>
        <v/>
      </c>
      <c r="U142" t="str">
        <f>IF(BrewdogNew[[#This Row],[ABV]]="*", BrewdogNew[[#This Row],[FermentationTempCelsius]], "")</f>
        <v/>
      </c>
      <c r="V142" t="str">
        <f>IF(BrewdogNew[[#This Row],[ABV]]="*", BrewdogNew[[#This Row],[Yeast]], "")</f>
        <v/>
      </c>
    </row>
    <row r="143" spans="1:22" hidden="1" x14ac:dyDescent="0.25">
      <c r="A143" s="45" t="s">
        <v>208</v>
      </c>
      <c r="B143">
        <v>7.2</v>
      </c>
      <c r="C143" s="2" t="s">
        <v>274</v>
      </c>
      <c r="D143">
        <v>100</v>
      </c>
      <c r="E143">
        <v>1064</v>
      </c>
      <c r="F143">
        <v>12</v>
      </c>
      <c r="G143">
        <v>4.4000000000000004</v>
      </c>
      <c r="H143">
        <v>84</v>
      </c>
      <c r="I143">
        <v>19</v>
      </c>
      <c r="J143" s="45" t="s">
        <v>64</v>
      </c>
      <c r="K143" s="45">
        <f>IF(BrewdogNew[[#This Row],[Yeast]]=BrewdogNew[[#Headers],[Wyeast 1056 - American Ale]],1,0)</f>
        <v>1</v>
      </c>
      <c r="L143" s="45">
        <f>IF(BrewdogNew[[#This Row],[Yeast]]=BrewdogNew[[#Headers],[Wyeast 2007 - Pilsen Lager]],1,0)</f>
        <v>0</v>
      </c>
      <c r="M143" s="45">
        <f>IF(BrewdogNew[[#This Row],[Yeast]]=BrewdogNew[[#Headers],[Wyeast 3711 - French Saison]],1,0)</f>
        <v>0</v>
      </c>
      <c r="N143" s="45">
        <f>IF(BrewdogNew[[#This Row],[Yeast]]=BrewdogNew[[#Headers],[Wyeast 1272 - American Ale II]],1,0)</f>
        <v>0</v>
      </c>
      <c r="O143" s="45" t="str">
        <f>BrewdogNew[[#This Row],[Name]]</f>
        <v>Chinook - IPA Is Dead</v>
      </c>
      <c r="P143" t="str">
        <f>IF(BrewdogNew[[#This Row],[ABV]]="*", BrewdogNew[[#This Row],[IBU]], "")</f>
        <v/>
      </c>
      <c r="Q143" t="str">
        <f>IF(BrewdogNew[[#This Row],[ABV]]="*", BrewdogNew[[#This Row],[OG]], "")</f>
        <v/>
      </c>
      <c r="R143" t="str">
        <f>IF(BrewdogNew[[#This Row],[ABV]]="*", BrewdogNew[[#This Row],[EBC]], "")</f>
        <v/>
      </c>
      <c r="S143" t="str">
        <f>IF(BrewdogNew[[#This Row],[ABV]]="*", BrewdogNew[[#This Row],[PH]], "")</f>
        <v/>
      </c>
      <c r="T143" t="str">
        <f>IF(BrewdogNew[[#This Row],[ABV]]="*", BrewdogNew[[#This Row],[AttenuationLevel]], "")</f>
        <v/>
      </c>
      <c r="U143" t="str">
        <f>IF(BrewdogNew[[#This Row],[ABV]]="*", BrewdogNew[[#This Row],[FermentationTempCelsius]], "")</f>
        <v/>
      </c>
      <c r="V143" t="str">
        <f>IF(BrewdogNew[[#This Row],[ABV]]="*", BrewdogNew[[#This Row],[Yeast]], "")</f>
        <v/>
      </c>
    </row>
    <row r="144" spans="1:22" hidden="1" x14ac:dyDescent="0.25">
      <c r="A144" s="45" t="s">
        <v>209</v>
      </c>
      <c r="B144">
        <v>4.4000000000000004</v>
      </c>
      <c r="C144" s="2" t="s">
        <v>274</v>
      </c>
      <c r="D144">
        <v>70</v>
      </c>
      <c r="E144">
        <v>1045</v>
      </c>
      <c r="F144">
        <v>30</v>
      </c>
      <c r="G144">
        <v>4.4000000000000004</v>
      </c>
      <c r="H144">
        <v>82.9</v>
      </c>
      <c r="I144">
        <v>20</v>
      </c>
      <c r="J144" s="45" t="s">
        <v>80</v>
      </c>
      <c r="K144" s="45">
        <f>IF(BrewdogNew[[#This Row],[Yeast]]=BrewdogNew[[#Headers],[Wyeast 1056 - American Ale]],1,0)</f>
        <v>0</v>
      </c>
      <c r="L144" s="45">
        <f>IF(BrewdogNew[[#This Row],[Yeast]]=BrewdogNew[[#Headers],[Wyeast 2007 - Pilsen Lager]],1,0)</f>
        <v>0</v>
      </c>
      <c r="M144" s="45">
        <f>IF(BrewdogNew[[#This Row],[Yeast]]=BrewdogNew[[#Headers],[Wyeast 3711 - French Saison]],1,0)</f>
        <v>0</v>
      </c>
      <c r="N144" s="45">
        <f>IF(BrewdogNew[[#This Row],[Yeast]]=BrewdogNew[[#Headers],[Wyeast 1272 - American Ale II]],1,0)</f>
        <v>1</v>
      </c>
      <c r="O144" s="45" t="str">
        <f>BrewdogNew[[#This Row],[Name]]</f>
        <v>Konnichiwa Kitsune</v>
      </c>
      <c r="P144" t="str">
        <f>IF(BrewdogNew[[#This Row],[ABV]]="*", BrewdogNew[[#This Row],[IBU]], "")</f>
        <v/>
      </c>
      <c r="Q144" t="str">
        <f>IF(BrewdogNew[[#This Row],[ABV]]="*", BrewdogNew[[#This Row],[OG]], "")</f>
        <v/>
      </c>
      <c r="R144" t="str">
        <f>IF(BrewdogNew[[#This Row],[ABV]]="*", BrewdogNew[[#This Row],[EBC]], "")</f>
        <v/>
      </c>
      <c r="S144" t="str">
        <f>IF(BrewdogNew[[#This Row],[ABV]]="*", BrewdogNew[[#This Row],[PH]], "")</f>
        <v/>
      </c>
      <c r="T144" t="str">
        <f>IF(BrewdogNew[[#This Row],[ABV]]="*", BrewdogNew[[#This Row],[AttenuationLevel]], "")</f>
        <v/>
      </c>
      <c r="U144" t="str">
        <f>IF(BrewdogNew[[#This Row],[ABV]]="*", BrewdogNew[[#This Row],[FermentationTempCelsius]], "")</f>
        <v/>
      </c>
      <c r="V144" t="str">
        <f>IF(BrewdogNew[[#This Row],[ABV]]="*", BrewdogNew[[#This Row],[Yeast]], "")</f>
        <v/>
      </c>
    </row>
    <row r="145" spans="1:22" hidden="1" x14ac:dyDescent="0.25">
      <c r="A145" s="45" t="s">
        <v>210</v>
      </c>
      <c r="B145">
        <v>9</v>
      </c>
      <c r="C145" s="2" t="s">
        <v>274</v>
      </c>
      <c r="D145">
        <v>70</v>
      </c>
      <c r="E145">
        <v>1090</v>
      </c>
      <c r="F145">
        <v>190</v>
      </c>
      <c r="G145">
        <v>4.4000000000000004</v>
      </c>
      <c r="H145">
        <v>80</v>
      </c>
      <c r="I145">
        <v>21</v>
      </c>
      <c r="J145" s="45" t="s">
        <v>80</v>
      </c>
      <c r="K145" s="45">
        <f>IF(BrewdogNew[[#This Row],[Yeast]]=BrewdogNew[[#Headers],[Wyeast 1056 - American Ale]],1,0)</f>
        <v>0</v>
      </c>
      <c r="L145" s="45">
        <f>IF(BrewdogNew[[#This Row],[Yeast]]=BrewdogNew[[#Headers],[Wyeast 2007 - Pilsen Lager]],1,0)</f>
        <v>0</v>
      </c>
      <c r="M145" s="45">
        <f>IF(BrewdogNew[[#This Row],[Yeast]]=BrewdogNew[[#Headers],[Wyeast 3711 - French Saison]],1,0)</f>
        <v>0</v>
      </c>
      <c r="N145" s="45">
        <f>IF(BrewdogNew[[#This Row],[Yeast]]=BrewdogNew[[#Headers],[Wyeast 1272 - American Ale II]],1,0)</f>
        <v>1</v>
      </c>
      <c r="O145" s="45" t="str">
        <f>BrewdogNew[[#This Row],[Name]]</f>
        <v>San Diego Scotch Ale (w/Ballast Point)</v>
      </c>
      <c r="P145" t="str">
        <f>IF(BrewdogNew[[#This Row],[ABV]]="*", BrewdogNew[[#This Row],[IBU]], "")</f>
        <v/>
      </c>
      <c r="Q145" t="str">
        <f>IF(BrewdogNew[[#This Row],[ABV]]="*", BrewdogNew[[#This Row],[OG]], "")</f>
        <v/>
      </c>
      <c r="R145" t="str">
        <f>IF(BrewdogNew[[#This Row],[ABV]]="*", BrewdogNew[[#This Row],[EBC]], "")</f>
        <v/>
      </c>
      <c r="S145" t="str">
        <f>IF(BrewdogNew[[#This Row],[ABV]]="*", BrewdogNew[[#This Row],[PH]], "")</f>
        <v/>
      </c>
      <c r="T145" t="str">
        <f>IF(BrewdogNew[[#This Row],[ABV]]="*", BrewdogNew[[#This Row],[AttenuationLevel]], "")</f>
        <v/>
      </c>
      <c r="U145" t="str">
        <f>IF(BrewdogNew[[#This Row],[ABV]]="*", BrewdogNew[[#This Row],[FermentationTempCelsius]], "")</f>
        <v/>
      </c>
      <c r="V145" t="str">
        <f>IF(BrewdogNew[[#This Row],[ABV]]="*", BrewdogNew[[#This Row],[Yeast]], "")</f>
        <v/>
      </c>
    </row>
    <row r="146" spans="1:22" hidden="1" x14ac:dyDescent="0.25">
      <c r="A146" s="45" t="s">
        <v>211</v>
      </c>
      <c r="B146">
        <v>7.5</v>
      </c>
      <c r="C146" s="2" t="s">
        <v>274</v>
      </c>
      <c r="D146">
        <v>80</v>
      </c>
      <c r="E146">
        <v>1069</v>
      </c>
      <c r="F146">
        <v>50</v>
      </c>
      <c r="G146">
        <v>4.4000000000000004</v>
      </c>
      <c r="H146">
        <v>82.6</v>
      </c>
      <c r="I146">
        <v>22</v>
      </c>
      <c r="J146" s="45" t="s">
        <v>80</v>
      </c>
      <c r="K146" s="45">
        <f>IF(BrewdogNew[[#This Row],[Yeast]]=BrewdogNew[[#Headers],[Wyeast 1056 - American Ale]],1,0)</f>
        <v>0</v>
      </c>
      <c r="L146" s="45">
        <f>IF(BrewdogNew[[#This Row],[Yeast]]=BrewdogNew[[#Headers],[Wyeast 2007 - Pilsen Lager]],1,0)</f>
        <v>0</v>
      </c>
      <c r="M146" s="45">
        <f>IF(BrewdogNew[[#This Row],[Yeast]]=BrewdogNew[[#Headers],[Wyeast 3711 - French Saison]],1,0)</f>
        <v>0</v>
      </c>
      <c r="N146" s="45">
        <f>IF(BrewdogNew[[#This Row],[Yeast]]=BrewdogNew[[#Headers],[Wyeast 1272 - American Ale II]],1,0)</f>
        <v>1</v>
      </c>
      <c r="O146" s="45" t="str">
        <f>BrewdogNew[[#This Row],[Name]]</f>
        <v>Old World India Pale Ale</v>
      </c>
      <c r="P146" t="str">
        <f>IF(BrewdogNew[[#This Row],[ABV]]="*", BrewdogNew[[#This Row],[IBU]], "")</f>
        <v/>
      </c>
      <c r="Q146" t="str">
        <f>IF(BrewdogNew[[#This Row],[ABV]]="*", BrewdogNew[[#This Row],[OG]], "")</f>
        <v/>
      </c>
      <c r="R146" t="str">
        <f>IF(BrewdogNew[[#This Row],[ABV]]="*", BrewdogNew[[#This Row],[EBC]], "")</f>
        <v/>
      </c>
      <c r="S146" t="str">
        <f>IF(BrewdogNew[[#This Row],[ABV]]="*", BrewdogNew[[#This Row],[PH]], "")</f>
        <v/>
      </c>
      <c r="T146" t="str">
        <f>IF(BrewdogNew[[#This Row],[ABV]]="*", BrewdogNew[[#This Row],[AttenuationLevel]], "")</f>
        <v/>
      </c>
      <c r="U146" t="str">
        <f>IF(BrewdogNew[[#This Row],[ABV]]="*", BrewdogNew[[#This Row],[FermentationTempCelsius]], "")</f>
        <v/>
      </c>
      <c r="V146" t="str">
        <f>IF(BrewdogNew[[#This Row],[ABV]]="*", BrewdogNew[[#This Row],[Yeast]], "")</f>
        <v/>
      </c>
    </row>
    <row r="147" spans="1:22" hidden="1" x14ac:dyDescent="0.25">
      <c r="A147" s="45" t="s">
        <v>212</v>
      </c>
      <c r="B147">
        <v>16.100000000000001</v>
      </c>
      <c r="C147" s="2" t="s">
        <v>274</v>
      </c>
      <c r="D147">
        <v>85</v>
      </c>
      <c r="E147">
        <v>1125</v>
      </c>
      <c r="F147">
        <v>400</v>
      </c>
      <c r="G147">
        <v>4.3</v>
      </c>
      <c r="H147">
        <v>84</v>
      </c>
      <c r="I147">
        <v>21</v>
      </c>
      <c r="J147" s="45" t="s">
        <v>80</v>
      </c>
      <c r="K147" s="45">
        <f>IF(BrewdogNew[[#This Row],[Yeast]]=BrewdogNew[[#Headers],[Wyeast 1056 - American Ale]],1,0)</f>
        <v>0</v>
      </c>
      <c r="L147" s="45">
        <f>IF(BrewdogNew[[#This Row],[Yeast]]=BrewdogNew[[#Headers],[Wyeast 2007 - Pilsen Lager]],1,0)</f>
        <v>0</v>
      </c>
      <c r="M147" s="45">
        <f>IF(BrewdogNew[[#This Row],[Yeast]]=BrewdogNew[[#Headers],[Wyeast 3711 - French Saison]],1,0)</f>
        <v>0</v>
      </c>
      <c r="N147" s="45">
        <f>IF(BrewdogNew[[#This Row],[Yeast]]=BrewdogNew[[#Headers],[Wyeast 1272 - American Ale II]],1,0)</f>
        <v>1</v>
      </c>
      <c r="O147" s="45" t="str">
        <f>BrewdogNew[[#This Row],[Name]]</f>
        <v>Dog D</v>
      </c>
      <c r="P147" t="str">
        <f>IF(BrewdogNew[[#This Row],[ABV]]="*", BrewdogNew[[#This Row],[IBU]], "")</f>
        <v/>
      </c>
      <c r="Q147" t="str">
        <f>IF(BrewdogNew[[#This Row],[ABV]]="*", BrewdogNew[[#This Row],[OG]], "")</f>
        <v/>
      </c>
      <c r="R147" t="str">
        <f>IF(BrewdogNew[[#This Row],[ABV]]="*", BrewdogNew[[#This Row],[EBC]], "")</f>
        <v/>
      </c>
      <c r="S147" t="str">
        <f>IF(BrewdogNew[[#This Row],[ABV]]="*", BrewdogNew[[#This Row],[PH]], "")</f>
        <v/>
      </c>
      <c r="T147" t="str">
        <f>IF(BrewdogNew[[#This Row],[ABV]]="*", BrewdogNew[[#This Row],[AttenuationLevel]], "")</f>
        <v/>
      </c>
      <c r="U147" t="str">
        <f>IF(BrewdogNew[[#This Row],[ABV]]="*", BrewdogNew[[#This Row],[FermentationTempCelsius]], "")</f>
        <v/>
      </c>
      <c r="V147" t="str">
        <f>IF(BrewdogNew[[#This Row],[ABV]]="*", BrewdogNew[[#This Row],[Yeast]], "")</f>
        <v/>
      </c>
    </row>
    <row r="148" spans="1:22" hidden="1" x14ac:dyDescent="0.25">
      <c r="A148" s="45" t="s">
        <v>213</v>
      </c>
      <c r="B148">
        <v>6.7</v>
      </c>
      <c r="C148" s="2" t="s">
        <v>274</v>
      </c>
      <c r="D148">
        <v>70</v>
      </c>
      <c r="E148">
        <v>1063</v>
      </c>
      <c r="F148">
        <v>30</v>
      </c>
      <c r="G148">
        <v>4.4000000000000004</v>
      </c>
      <c r="H148">
        <v>81</v>
      </c>
      <c r="I148">
        <v>99</v>
      </c>
      <c r="J148" s="45" t="s">
        <v>64</v>
      </c>
      <c r="K148" s="45">
        <f>IF(BrewdogNew[[#This Row],[Yeast]]=BrewdogNew[[#Headers],[Wyeast 1056 - American Ale]],1,0)</f>
        <v>1</v>
      </c>
      <c r="L148" s="45">
        <f>IF(BrewdogNew[[#This Row],[Yeast]]=BrewdogNew[[#Headers],[Wyeast 2007 - Pilsen Lager]],1,0)</f>
        <v>0</v>
      </c>
      <c r="M148" s="45">
        <f>IF(BrewdogNew[[#This Row],[Yeast]]=BrewdogNew[[#Headers],[Wyeast 3711 - French Saison]],1,0)</f>
        <v>0</v>
      </c>
      <c r="N148" s="45">
        <f>IF(BrewdogNew[[#This Row],[Yeast]]=BrewdogNew[[#Headers],[Wyeast 1272 - American Ale II]],1,0)</f>
        <v>0</v>
      </c>
      <c r="O148" s="45" t="str">
        <f>BrewdogNew[[#This Row],[Name]]</f>
        <v>Simcoe</v>
      </c>
      <c r="P148" t="str">
        <f>IF(BrewdogNew[[#This Row],[ABV]]="*", BrewdogNew[[#This Row],[IBU]], "")</f>
        <v/>
      </c>
      <c r="Q148" t="str">
        <f>IF(BrewdogNew[[#This Row],[ABV]]="*", BrewdogNew[[#This Row],[OG]], "")</f>
        <v/>
      </c>
      <c r="R148" t="str">
        <f>IF(BrewdogNew[[#This Row],[ABV]]="*", BrewdogNew[[#This Row],[EBC]], "")</f>
        <v/>
      </c>
      <c r="S148" t="str">
        <f>IF(BrewdogNew[[#This Row],[ABV]]="*", BrewdogNew[[#This Row],[PH]], "")</f>
        <v/>
      </c>
      <c r="T148" t="str">
        <f>IF(BrewdogNew[[#This Row],[ABV]]="*", BrewdogNew[[#This Row],[AttenuationLevel]], "")</f>
        <v/>
      </c>
      <c r="U148" t="str">
        <f>IF(BrewdogNew[[#This Row],[ABV]]="*", BrewdogNew[[#This Row],[FermentationTempCelsius]], "")</f>
        <v/>
      </c>
      <c r="V148" t="str">
        <f>IF(BrewdogNew[[#This Row],[ABV]]="*", BrewdogNew[[#This Row],[Yeast]], "")</f>
        <v/>
      </c>
    </row>
    <row r="149" spans="1:22" hidden="1" x14ac:dyDescent="0.25">
      <c r="A149" s="45" t="s">
        <v>214</v>
      </c>
      <c r="B149">
        <v>2.5</v>
      </c>
      <c r="C149" s="2" t="s">
        <v>274</v>
      </c>
      <c r="D149">
        <v>35</v>
      </c>
      <c r="E149">
        <v>1027</v>
      </c>
      <c r="F149">
        <v>10</v>
      </c>
      <c r="G149">
        <v>4.2</v>
      </c>
      <c r="H149">
        <v>70.400000000000006</v>
      </c>
      <c r="I149">
        <v>19</v>
      </c>
      <c r="J149" s="45" t="s">
        <v>64</v>
      </c>
      <c r="K149" s="45">
        <f>IF(BrewdogNew[[#This Row],[Yeast]]=BrewdogNew[[#Headers],[Wyeast 1056 - American Ale]],1,0)</f>
        <v>1</v>
      </c>
      <c r="L149" s="45">
        <f>IF(BrewdogNew[[#This Row],[Yeast]]=BrewdogNew[[#Headers],[Wyeast 2007 - Pilsen Lager]],1,0)</f>
        <v>0</v>
      </c>
      <c r="M149" s="45">
        <f>IF(BrewdogNew[[#This Row],[Yeast]]=BrewdogNew[[#Headers],[Wyeast 3711 - French Saison]],1,0)</f>
        <v>0</v>
      </c>
      <c r="N149" s="45">
        <f>IF(BrewdogNew[[#This Row],[Yeast]]=BrewdogNew[[#Headers],[Wyeast 1272 - American Ale II]],1,0)</f>
        <v>0</v>
      </c>
      <c r="O149" s="45" t="str">
        <f>BrewdogNew[[#This Row],[Name]]</f>
        <v>Doodlebug</v>
      </c>
      <c r="P149" t="str">
        <f>IF(BrewdogNew[[#This Row],[ABV]]="*", BrewdogNew[[#This Row],[IBU]], "")</f>
        <v/>
      </c>
      <c r="Q149" t="str">
        <f>IF(BrewdogNew[[#This Row],[ABV]]="*", BrewdogNew[[#This Row],[OG]], "")</f>
        <v/>
      </c>
      <c r="R149" t="str">
        <f>IF(BrewdogNew[[#This Row],[ABV]]="*", BrewdogNew[[#This Row],[EBC]], "")</f>
        <v/>
      </c>
      <c r="S149" t="str">
        <f>IF(BrewdogNew[[#This Row],[ABV]]="*", BrewdogNew[[#This Row],[PH]], "")</f>
        <v/>
      </c>
      <c r="T149" t="str">
        <f>IF(BrewdogNew[[#This Row],[ABV]]="*", BrewdogNew[[#This Row],[AttenuationLevel]], "")</f>
        <v/>
      </c>
      <c r="U149" t="str">
        <f>IF(BrewdogNew[[#This Row],[ABV]]="*", BrewdogNew[[#This Row],[FermentationTempCelsius]], "")</f>
        <v/>
      </c>
      <c r="V149" t="str">
        <f>IF(BrewdogNew[[#This Row],[ABV]]="*", BrewdogNew[[#This Row],[Yeast]], "")</f>
        <v/>
      </c>
    </row>
    <row r="150" spans="1:22" hidden="1" x14ac:dyDescent="0.25">
      <c r="A150" s="45" t="s">
        <v>215</v>
      </c>
      <c r="B150">
        <v>7.4</v>
      </c>
      <c r="C150" s="2" t="s">
        <v>274</v>
      </c>
      <c r="D150">
        <v>70</v>
      </c>
      <c r="E150">
        <v>1069</v>
      </c>
      <c r="F150">
        <v>30</v>
      </c>
      <c r="G150">
        <v>4.4000000000000004</v>
      </c>
      <c r="H150">
        <v>82.6</v>
      </c>
      <c r="I150">
        <v>19</v>
      </c>
      <c r="J150" s="45" t="s">
        <v>64</v>
      </c>
      <c r="K150" s="45">
        <f>IF(BrewdogNew[[#This Row],[Yeast]]=BrewdogNew[[#Headers],[Wyeast 1056 - American Ale]],1,0)</f>
        <v>1</v>
      </c>
      <c r="L150" s="45">
        <f>IF(BrewdogNew[[#This Row],[Yeast]]=BrewdogNew[[#Headers],[Wyeast 2007 - Pilsen Lager]],1,0)</f>
        <v>0</v>
      </c>
      <c r="M150" s="45">
        <f>IF(BrewdogNew[[#This Row],[Yeast]]=BrewdogNew[[#Headers],[Wyeast 3711 - French Saison]],1,0)</f>
        <v>0</v>
      </c>
      <c r="N150" s="45">
        <f>IF(BrewdogNew[[#This Row],[Yeast]]=BrewdogNew[[#Headers],[Wyeast 1272 - American Ale II]],1,0)</f>
        <v>0</v>
      </c>
      <c r="O150" s="45" t="str">
        <f>BrewdogNew[[#This Row],[Name]]</f>
        <v>Vic Secret</v>
      </c>
      <c r="P150" t="str">
        <f>IF(BrewdogNew[[#This Row],[ABV]]="*", BrewdogNew[[#This Row],[IBU]], "")</f>
        <v/>
      </c>
      <c r="Q150" t="str">
        <f>IF(BrewdogNew[[#This Row],[ABV]]="*", BrewdogNew[[#This Row],[OG]], "")</f>
        <v/>
      </c>
      <c r="R150" t="str">
        <f>IF(BrewdogNew[[#This Row],[ABV]]="*", BrewdogNew[[#This Row],[EBC]], "")</f>
        <v/>
      </c>
      <c r="S150" t="str">
        <f>IF(BrewdogNew[[#This Row],[ABV]]="*", BrewdogNew[[#This Row],[PH]], "")</f>
        <v/>
      </c>
      <c r="T150" t="str">
        <f>IF(BrewdogNew[[#This Row],[ABV]]="*", BrewdogNew[[#This Row],[AttenuationLevel]], "")</f>
        <v/>
      </c>
      <c r="U150" t="str">
        <f>IF(BrewdogNew[[#This Row],[ABV]]="*", BrewdogNew[[#This Row],[FermentationTempCelsius]], "")</f>
        <v/>
      </c>
      <c r="V150" t="str">
        <f>IF(BrewdogNew[[#This Row],[ABV]]="*", BrewdogNew[[#This Row],[Yeast]], "")</f>
        <v/>
      </c>
    </row>
    <row r="151" spans="1:22" hidden="1" x14ac:dyDescent="0.25">
      <c r="A151" s="45" t="s">
        <v>216</v>
      </c>
      <c r="B151">
        <v>2.8</v>
      </c>
      <c r="C151" s="2" t="s">
        <v>274</v>
      </c>
      <c r="D151">
        <v>30</v>
      </c>
      <c r="E151">
        <v>1032.5</v>
      </c>
      <c r="F151">
        <v>42</v>
      </c>
      <c r="G151">
        <v>4.4000000000000004</v>
      </c>
      <c r="H151">
        <v>63.1</v>
      </c>
      <c r="I151">
        <v>22</v>
      </c>
      <c r="J151" s="45" t="s">
        <v>64</v>
      </c>
      <c r="K151" s="45">
        <f>IF(BrewdogNew[[#This Row],[Yeast]]=BrewdogNew[[#Headers],[Wyeast 1056 - American Ale]],1,0)</f>
        <v>1</v>
      </c>
      <c r="L151" s="45">
        <f>IF(BrewdogNew[[#This Row],[Yeast]]=BrewdogNew[[#Headers],[Wyeast 2007 - Pilsen Lager]],1,0)</f>
        <v>0</v>
      </c>
      <c r="M151" s="45">
        <f>IF(BrewdogNew[[#This Row],[Yeast]]=BrewdogNew[[#Headers],[Wyeast 3711 - French Saison]],1,0)</f>
        <v>0</v>
      </c>
      <c r="N151" s="45">
        <f>IF(BrewdogNew[[#This Row],[Yeast]]=BrewdogNew[[#Headers],[Wyeast 1272 - American Ale II]],1,0)</f>
        <v>0</v>
      </c>
      <c r="O151" s="45" t="str">
        <f>BrewdogNew[[#This Row],[Name]]</f>
        <v>All Day Long - Prototype Challenge</v>
      </c>
      <c r="P151" t="str">
        <f>IF(BrewdogNew[[#This Row],[ABV]]="*", BrewdogNew[[#This Row],[IBU]], "")</f>
        <v/>
      </c>
      <c r="Q151" t="str">
        <f>IF(BrewdogNew[[#This Row],[ABV]]="*", BrewdogNew[[#This Row],[OG]], "")</f>
        <v/>
      </c>
      <c r="R151" t="str">
        <f>IF(BrewdogNew[[#This Row],[ABV]]="*", BrewdogNew[[#This Row],[EBC]], "")</f>
        <v/>
      </c>
      <c r="S151" t="str">
        <f>IF(BrewdogNew[[#This Row],[ABV]]="*", BrewdogNew[[#This Row],[PH]], "")</f>
        <v/>
      </c>
      <c r="T151" t="str">
        <f>IF(BrewdogNew[[#This Row],[ABV]]="*", BrewdogNew[[#This Row],[AttenuationLevel]], "")</f>
        <v/>
      </c>
      <c r="U151" t="str">
        <f>IF(BrewdogNew[[#This Row],[ABV]]="*", BrewdogNew[[#This Row],[FermentationTempCelsius]], "")</f>
        <v/>
      </c>
      <c r="V151" t="str">
        <f>IF(BrewdogNew[[#This Row],[ABV]]="*", BrewdogNew[[#This Row],[Yeast]], "")</f>
        <v/>
      </c>
    </row>
    <row r="152" spans="1:22" hidden="1" x14ac:dyDescent="0.25">
      <c r="A152" s="45" t="s">
        <v>217</v>
      </c>
      <c r="B152">
        <v>4.2</v>
      </c>
      <c r="C152" s="2" t="s">
        <v>274</v>
      </c>
      <c r="D152">
        <v>25</v>
      </c>
      <c r="E152">
        <v>1044</v>
      </c>
      <c r="F152">
        <v>19</v>
      </c>
      <c r="G152">
        <v>4.4000000000000004</v>
      </c>
      <c r="H152">
        <v>72.7</v>
      </c>
      <c r="I152">
        <v>16</v>
      </c>
      <c r="J152" s="45" t="s">
        <v>68</v>
      </c>
      <c r="K152" s="45">
        <f>IF(BrewdogNew[[#This Row],[Yeast]]=BrewdogNew[[#Headers],[Wyeast 1056 - American Ale]],1,0)</f>
        <v>0</v>
      </c>
      <c r="L152" s="45">
        <f>IF(BrewdogNew[[#This Row],[Yeast]]=BrewdogNew[[#Headers],[Wyeast 2007 - Pilsen Lager]],1,0)</f>
        <v>1</v>
      </c>
      <c r="M152" s="45">
        <f>IF(BrewdogNew[[#This Row],[Yeast]]=BrewdogNew[[#Headers],[Wyeast 3711 - French Saison]],1,0)</f>
        <v>0</v>
      </c>
      <c r="N152" s="45">
        <f>IF(BrewdogNew[[#This Row],[Yeast]]=BrewdogNew[[#Headers],[Wyeast 1272 - American Ale II]],1,0)</f>
        <v>0</v>
      </c>
      <c r="O152" s="45" t="str">
        <f>BrewdogNew[[#This Row],[Name]]</f>
        <v>Nuns With Guns</v>
      </c>
      <c r="P152" t="str">
        <f>IF(BrewdogNew[[#This Row],[ABV]]="*", BrewdogNew[[#This Row],[IBU]], "")</f>
        <v/>
      </c>
      <c r="Q152" t="str">
        <f>IF(BrewdogNew[[#This Row],[ABV]]="*", BrewdogNew[[#This Row],[OG]], "")</f>
        <v/>
      </c>
      <c r="R152" t="str">
        <f>IF(BrewdogNew[[#This Row],[ABV]]="*", BrewdogNew[[#This Row],[EBC]], "")</f>
        <v/>
      </c>
      <c r="S152" t="str">
        <f>IF(BrewdogNew[[#This Row],[ABV]]="*", BrewdogNew[[#This Row],[PH]], "")</f>
        <v/>
      </c>
      <c r="T152" t="str">
        <f>IF(BrewdogNew[[#This Row],[ABV]]="*", BrewdogNew[[#This Row],[AttenuationLevel]], "")</f>
        <v/>
      </c>
      <c r="U152" t="str">
        <f>IF(BrewdogNew[[#This Row],[ABV]]="*", BrewdogNew[[#This Row],[FermentationTempCelsius]], "")</f>
        <v/>
      </c>
      <c r="V152" t="str">
        <f>IF(BrewdogNew[[#This Row],[ABV]]="*", BrewdogNew[[#This Row],[Yeast]], "")</f>
        <v/>
      </c>
    </row>
    <row r="153" spans="1:22" hidden="1" x14ac:dyDescent="0.25">
      <c r="A153" s="45" t="s">
        <v>218</v>
      </c>
      <c r="B153">
        <v>5.8</v>
      </c>
      <c r="C153" s="2" t="s">
        <v>274</v>
      </c>
      <c r="D153">
        <v>40</v>
      </c>
      <c r="E153">
        <v>1060</v>
      </c>
      <c r="F153">
        <v>35</v>
      </c>
      <c r="G153">
        <v>4.4000000000000004</v>
      </c>
      <c r="H153">
        <v>76.7</v>
      </c>
      <c r="I153">
        <v>19</v>
      </c>
      <c r="J153" s="45" t="s">
        <v>64</v>
      </c>
      <c r="K153" s="45">
        <f>IF(BrewdogNew[[#This Row],[Yeast]]=BrewdogNew[[#Headers],[Wyeast 1056 - American Ale]],1,0)</f>
        <v>1</v>
      </c>
      <c r="L153" s="45">
        <f>IF(BrewdogNew[[#This Row],[Yeast]]=BrewdogNew[[#Headers],[Wyeast 2007 - Pilsen Lager]],1,0)</f>
        <v>0</v>
      </c>
      <c r="M153" s="45">
        <f>IF(BrewdogNew[[#This Row],[Yeast]]=BrewdogNew[[#Headers],[Wyeast 3711 - French Saison]],1,0)</f>
        <v>0</v>
      </c>
      <c r="N153" s="45">
        <f>IF(BrewdogNew[[#This Row],[Yeast]]=BrewdogNew[[#Headers],[Wyeast 1272 - American Ale II]],1,0)</f>
        <v>0</v>
      </c>
      <c r="O153" s="45" t="str">
        <f>BrewdogNew[[#This Row],[Name]]</f>
        <v>Jasmine IPA</v>
      </c>
      <c r="P153" t="str">
        <f>IF(BrewdogNew[[#This Row],[ABV]]="*", BrewdogNew[[#This Row],[IBU]], "")</f>
        <v/>
      </c>
      <c r="Q153" t="str">
        <f>IF(BrewdogNew[[#This Row],[ABV]]="*", BrewdogNew[[#This Row],[OG]], "")</f>
        <v/>
      </c>
      <c r="R153" t="str">
        <f>IF(BrewdogNew[[#This Row],[ABV]]="*", BrewdogNew[[#This Row],[EBC]], "")</f>
        <v/>
      </c>
      <c r="S153" t="str">
        <f>IF(BrewdogNew[[#This Row],[ABV]]="*", BrewdogNew[[#This Row],[PH]], "")</f>
        <v/>
      </c>
      <c r="T153" t="str">
        <f>IF(BrewdogNew[[#This Row],[ABV]]="*", BrewdogNew[[#This Row],[AttenuationLevel]], "")</f>
        <v/>
      </c>
      <c r="U153" t="str">
        <f>IF(BrewdogNew[[#This Row],[ABV]]="*", BrewdogNew[[#This Row],[FermentationTempCelsius]], "")</f>
        <v/>
      </c>
      <c r="V153" t="str">
        <f>IF(BrewdogNew[[#This Row],[ABV]]="*", BrewdogNew[[#This Row],[Yeast]], "")</f>
        <v/>
      </c>
    </row>
    <row r="154" spans="1:22" hidden="1" x14ac:dyDescent="0.25">
      <c r="A154" s="45" t="s">
        <v>219</v>
      </c>
      <c r="B154">
        <v>5.2</v>
      </c>
      <c r="C154" s="2" t="s">
        <v>274</v>
      </c>
      <c r="D154">
        <v>50</v>
      </c>
      <c r="E154">
        <v>1050</v>
      </c>
      <c r="F154">
        <v>17</v>
      </c>
      <c r="G154">
        <v>4.4000000000000004</v>
      </c>
      <c r="H154">
        <v>80</v>
      </c>
      <c r="I154">
        <v>19</v>
      </c>
      <c r="J154" s="45" t="s">
        <v>64</v>
      </c>
      <c r="K154" s="45">
        <f>IF(BrewdogNew[[#This Row],[Yeast]]=BrewdogNew[[#Headers],[Wyeast 1056 - American Ale]],1,0)</f>
        <v>1</v>
      </c>
      <c r="L154" s="45">
        <f>IF(BrewdogNew[[#This Row],[Yeast]]=BrewdogNew[[#Headers],[Wyeast 2007 - Pilsen Lager]],1,0)</f>
        <v>0</v>
      </c>
      <c r="M154" s="45">
        <f>IF(BrewdogNew[[#This Row],[Yeast]]=BrewdogNew[[#Headers],[Wyeast 3711 - French Saison]],1,0)</f>
        <v>0</v>
      </c>
      <c r="N154" s="45">
        <f>IF(BrewdogNew[[#This Row],[Yeast]]=BrewdogNew[[#Headers],[Wyeast 1272 - American Ale II]],1,0)</f>
        <v>0</v>
      </c>
      <c r="O154" s="45" t="str">
        <f>BrewdogNew[[#This Row],[Name]]</f>
        <v>Lichtenstein Pale Ale</v>
      </c>
      <c r="P154" t="str">
        <f>IF(BrewdogNew[[#This Row],[ABV]]="*", BrewdogNew[[#This Row],[IBU]], "")</f>
        <v/>
      </c>
      <c r="Q154" t="str">
        <f>IF(BrewdogNew[[#This Row],[ABV]]="*", BrewdogNew[[#This Row],[OG]], "")</f>
        <v/>
      </c>
      <c r="R154" t="str">
        <f>IF(BrewdogNew[[#This Row],[ABV]]="*", BrewdogNew[[#This Row],[EBC]], "")</f>
        <v/>
      </c>
      <c r="S154" t="str">
        <f>IF(BrewdogNew[[#This Row],[ABV]]="*", BrewdogNew[[#This Row],[PH]], "")</f>
        <v/>
      </c>
      <c r="T154" t="str">
        <f>IF(BrewdogNew[[#This Row],[ABV]]="*", BrewdogNew[[#This Row],[AttenuationLevel]], "")</f>
        <v/>
      </c>
      <c r="U154" t="str">
        <f>IF(BrewdogNew[[#This Row],[ABV]]="*", BrewdogNew[[#This Row],[FermentationTempCelsius]], "")</f>
        <v/>
      </c>
      <c r="V154" t="str">
        <f>IF(BrewdogNew[[#This Row],[ABV]]="*", BrewdogNew[[#This Row],[Yeast]], "")</f>
        <v/>
      </c>
    </row>
    <row r="155" spans="1:22" hidden="1" x14ac:dyDescent="0.25">
      <c r="A155" s="45" t="s">
        <v>220</v>
      </c>
      <c r="B155">
        <v>10</v>
      </c>
      <c r="C155" s="2" t="s">
        <v>274</v>
      </c>
      <c r="D155">
        <v>55</v>
      </c>
      <c r="E155">
        <v>1128</v>
      </c>
      <c r="F155">
        <v>300</v>
      </c>
      <c r="G155">
        <v>4.4000000000000004</v>
      </c>
      <c r="H155">
        <v>89</v>
      </c>
      <c r="I155">
        <v>21</v>
      </c>
      <c r="J155" s="45" t="s">
        <v>80</v>
      </c>
      <c r="K155" s="45">
        <f>IF(BrewdogNew[[#This Row],[Yeast]]=BrewdogNew[[#Headers],[Wyeast 1056 - American Ale]],1,0)</f>
        <v>0</v>
      </c>
      <c r="L155" s="45">
        <f>IF(BrewdogNew[[#This Row],[Yeast]]=BrewdogNew[[#Headers],[Wyeast 2007 - Pilsen Lager]],1,0)</f>
        <v>0</v>
      </c>
      <c r="M155" s="45">
        <f>IF(BrewdogNew[[#This Row],[Yeast]]=BrewdogNew[[#Headers],[Wyeast 3711 - French Saison]],1,0)</f>
        <v>0</v>
      </c>
      <c r="N155" s="45">
        <f>IF(BrewdogNew[[#This Row],[Yeast]]=BrewdogNew[[#Headers],[Wyeast 1272 - American Ale II]],1,0)</f>
        <v>1</v>
      </c>
      <c r="O155" s="45" t="str">
        <f>BrewdogNew[[#This Row],[Name]]</f>
        <v>Paradox Jura</v>
      </c>
      <c r="P155" t="str">
        <f>IF(BrewdogNew[[#This Row],[ABV]]="*", BrewdogNew[[#This Row],[IBU]], "")</f>
        <v/>
      </c>
      <c r="Q155" t="str">
        <f>IF(BrewdogNew[[#This Row],[ABV]]="*", BrewdogNew[[#This Row],[OG]], "")</f>
        <v/>
      </c>
      <c r="R155" t="str">
        <f>IF(BrewdogNew[[#This Row],[ABV]]="*", BrewdogNew[[#This Row],[EBC]], "")</f>
        <v/>
      </c>
      <c r="S155" t="str">
        <f>IF(BrewdogNew[[#This Row],[ABV]]="*", BrewdogNew[[#This Row],[PH]], "")</f>
        <v/>
      </c>
      <c r="T155" t="str">
        <f>IF(BrewdogNew[[#This Row],[ABV]]="*", BrewdogNew[[#This Row],[AttenuationLevel]], "")</f>
        <v/>
      </c>
      <c r="U155" t="str">
        <f>IF(BrewdogNew[[#This Row],[ABV]]="*", BrewdogNew[[#This Row],[FermentationTempCelsius]], "")</f>
        <v/>
      </c>
      <c r="V155" t="str">
        <f>IF(BrewdogNew[[#This Row],[ABV]]="*", BrewdogNew[[#This Row],[Yeast]], "")</f>
        <v/>
      </c>
    </row>
    <row r="156" spans="1:22" hidden="1" x14ac:dyDescent="0.25">
      <c r="A156" s="45" t="s">
        <v>221</v>
      </c>
      <c r="B156">
        <v>12.8</v>
      </c>
      <c r="C156" s="2" t="s">
        <v>274</v>
      </c>
      <c r="D156">
        <v>70</v>
      </c>
      <c r="E156">
        <v>1108</v>
      </c>
      <c r="F156">
        <v>79</v>
      </c>
      <c r="G156">
        <v>4.4000000000000004</v>
      </c>
      <c r="H156">
        <v>81.5</v>
      </c>
      <c r="I156">
        <v>18</v>
      </c>
      <c r="J156" s="45" t="s">
        <v>80</v>
      </c>
      <c r="K156" s="45">
        <f>IF(BrewdogNew[[#This Row],[Yeast]]=BrewdogNew[[#Headers],[Wyeast 1056 - American Ale]],1,0)</f>
        <v>0</v>
      </c>
      <c r="L156" s="45">
        <f>IF(BrewdogNew[[#This Row],[Yeast]]=BrewdogNew[[#Headers],[Wyeast 2007 - Pilsen Lager]],1,0)</f>
        <v>0</v>
      </c>
      <c r="M156" s="45">
        <f>IF(BrewdogNew[[#This Row],[Yeast]]=BrewdogNew[[#Headers],[Wyeast 3711 - French Saison]],1,0)</f>
        <v>0</v>
      </c>
      <c r="N156" s="45">
        <f>IF(BrewdogNew[[#This Row],[Yeast]]=BrewdogNew[[#Headers],[Wyeast 1272 - American Ale II]],1,0)</f>
        <v>1</v>
      </c>
      <c r="O156" s="45" t="str">
        <f>BrewdogNew[[#This Row],[Name]]</f>
        <v>AB:11</v>
      </c>
      <c r="P156" t="str">
        <f>IF(BrewdogNew[[#This Row],[ABV]]="*", BrewdogNew[[#This Row],[IBU]], "")</f>
        <v/>
      </c>
      <c r="Q156" t="str">
        <f>IF(BrewdogNew[[#This Row],[ABV]]="*", BrewdogNew[[#This Row],[OG]], "")</f>
        <v/>
      </c>
      <c r="R156" t="str">
        <f>IF(BrewdogNew[[#This Row],[ABV]]="*", BrewdogNew[[#This Row],[EBC]], "")</f>
        <v/>
      </c>
      <c r="S156" t="str">
        <f>IF(BrewdogNew[[#This Row],[ABV]]="*", BrewdogNew[[#This Row],[PH]], "")</f>
        <v/>
      </c>
      <c r="T156" t="str">
        <f>IF(BrewdogNew[[#This Row],[ABV]]="*", BrewdogNew[[#This Row],[AttenuationLevel]], "")</f>
        <v/>
      </c>
      <c r="U156" t="str">
        <f>IF(BrewdogNew[[#This Row],[ABV]]="*", BrewdogNew[[#This Row],[FermentationTempCelsius]], "")</f>
        <v/>
      </c>
      <c r="V156" t="str">
        <f>IF(BrewdogNew[[#This Row],[ABV]]="*", BrewdogNew[[#This Row],[Yeast]], "")</f>
        <v/>
      </c>
    </row>
    <row r="157" spans="1:22" hidden="1" x14ac:dyDescent="0.25">
      <c r="A157" s="45" t="s">
        <v>222</v>
      </c>
      <c r="B157">
        <v>8.3000000000000007</v>
      </c>
      <c r="C157" s="2" t="s">
        <v>274</v>
      </c>
      <c r="D157">
        <v>70</v>
      </c>
      <c r="E157">
        <v>1076</v>
      </c>
      <c r="F157">
        <v>30</v>
      </c>
      <c r="G157">
        <v>4.4000000000000004</v>
      </c>
      <c r="H157">
        <v>82.9</v>
      </c>
      <c r="I157">
        <v>21</v>
      </c>
      <c r="J157" s="45" t="s">
        <v>80</v>
      </c>
      <c r="K157" s="45">
        <f>IF(BrewdogNew[[#This Row],[Yeast]]=BrewdogNew[[#Headers],[Wyeast 1056 - American Ale]],1,0)</f>
        <v>0</v>
      </c>
      <c r="L157" s="45">
        <f>IF(BrewdogNew[[#This Row],[Yeast]]=BrewdogNew[[#Headers],[Wyeast 2007 - Pilsen Lager]],1,0)</f>
        <v>0</v>
      </c>
      <c r="M157" s="45">
        <f>IF(BrewdogNew[[#This Row],[Yeast]]=BrewdogNew[[#Headers],[Wyeast 3711 - French Saison]],1,0)</f>
        <v>0</v>
      </c>
      <c r="N157" s="45">
        <f>IF(BrewdogNew[[#This Row],[Yeast]]=BrewdogNew[[#Headers],[Wyeast 1272 - American Ale II]],1,0)</f>
        <v>1</v>
      </c>
      <c r="O157" s="45" t="str">
        <f>BrewdogNew[[#This Row],[Name]]</f>
        <v>Hello My Name is Sonja (w/ Evil Twin)</v>
      </c>
      <c r="P157" t="str">
        <f>IF(BrewdogNew[[#This Row],[ABV]]="*", BrewdogNew[[#This Row],[IBU]], "")</f>
        <v/>
      </c>
      <c r="Q157" t="str">
        <f>IF(BrewdogNew[[#This Row],[ABV]]="*", BrewdogNew[[#This Row],[OG]], "")</f>
        <v/>
      </c>
      <c r="R157" t="str">
        <f>IF(BrewdogNew[[#This Row],[ABV]]="*", BrewdogNew[[#This Row],[EBC]], "")</f>
        <v/>
      </c>
      <c r="S157" t="str">
        <f>IF(BrewdogNew[[#This Row],[ABV]]="*", BrewdogNew[[#This Row],[PH]], "")</f>
        <v/>
      </c>
      <c r="T157" t="str">
        <f>IF(BrewdogNew[[#This Row],[ABV]]="*", BrewdogNew[[#This Row],[AttenuationLevel]], "")</f>
        <v/>
      </c>
      <c r="U157" t="str">
        <f>IF(BrewdogNew[[#This Row],[ABV]]="*", BrewdogNew[[#This Row],[FermentationTempCelsius]], "")</f>
        <v/>
      </c>
      <c r="V157" t="str">
        <f>IF(BrewdogNew[[#This Row],[ABV]]="*", BrewdogNew[[#This Row],[Yeast]], "")</f>
        <v/>
      </c>
    </row>
    <row r="158" spans="1:22" hidden="1" x14ac:dyDescent="0.25">
      <c r="A158" s="45" t="s">
        <v>223</v>
      </c>
      <c r="B158">
        <v>6.5</v>
      </c>
      <c r="C158" s="2" t="s">
        <v>274</v>
      </c>
      <c r="D158">
        <v>55</v>
      </c>
      <c r="E158">
        <v>1059</v>
      </c>
      <c r="F158">
        <v>50</v>
      </c>
      <c r="G158">
        <v>4.4000000000000004</v>
      </c>
      <c r="H158">
        <v>81.400000000000006</v>
      </c>
      <c r="I158">
        <v>19</v>
      </c>
      <c r="J158" s="45" t="s">
        <v>64</v>
      </c>
      <c r="K158" s="45">
        <f>IF(BrewdogNew[[#This Row],[Yeast]]=BrewdogNew[[#Headers],[Wyeast 1056 - American Ale]],1,0)</f>
        <v>1</v>
      </c>
      <c r="L158" s="45">
        <f>IF(BrewdogNew[[#This Row],[Yeast]]=BrewdogNew[[#Headers],[Wyeast 2007 - Pilsen Lager]],1,0)</f>
        <v>0</v>
      </c>
      <c r="M158" s="45">
        <f>IF(BrewdogNew[[#This Row],[Yeast]]=BrewdogNew[[#Headers],[Wyeast 3711 - French Saison]],1,0)</f>
        <v>0</v>
      </c>
      <c r="N158" s="45">
        <f>IF(BrewdogNew[[#This Row],[Yeast]]=BrewdogNew[[#Headers],[Wyeast 1272 - American Ale II]],1,0)</f>
        <v>0</v>
      </c>
      <c r="O158" s="45" t="str">
        <f>BrewdogNew[[#This Row],[Name]]</f>
        <v>Interstellar</v>
      </c>
      <c r="P158" t="str">
        <f>IF(BrewdogNew[[#This Row],[ABV]]="*", BrewdogNew[[#This Row],[IBU]], "")</f>
        <v/>
      </c>
      <c r="Q158" t="str">
        <f>IF(BrewdogNew[[#This Row],[ABV]]="*", BrewdogNew[[#This Row],[OG]], "")</f>
        <v/>
      </c>
      <c r="R158" t="str">
        <f>IF(BrewdogNew[[#This Row],[ABV]]="*", BrewdogNew[[#This Row],[EBC]], "")</f>
        <v/>
      </c>
      <c r="S158" t="str">
        <f>IF(BrewdogNew[[#This Row],[ABV]]="*", BrewdogNew[[#This Row],[PH]], "")</f>
        <v/>
      </c>
      <c r="T158" t="str">
        <f>IF(BrewdogNew[[#This Row],[ABV]]="*", BrewdogNew[[#This Row],[AttenuationLevel]], "")</f>
        <v/>
      </c>
      <c r="U158" t="str">
        <f>IF(BrewdogNew[[#This Row],[ABV]]="*", BrewdogNew[[#This Row],[FermentationTempCelsius]], "")</f>
        <v/>
      </c>
      <c r="V158" t="str">
        <f>IF(BrewdogNew[[#This Row],[ABV]]="*", BrewdogNew[[#This Row],[Yeast]], "")</f>
        <v/>
      </c>
    </row>
    <row r="159" spans="1:22" hidden="1" x14ac:dyDescent="0.25">
      <c r="A159" s="45" t="s">
        <v>224</v>
      </c>
      <c r="B159">
        <v>6</v>
      </c>
      <c r="C159" s="2" t="s">
        <v>274</v>
      </c>
      <c r="D159">
        <v>60</v>
      </c>
      <c r="E159">
        <v>1056</v>
      </c>
      <c r="F159">
        <v>17</v>
      </c>
      <c r="G159">
        <v>4.4000000000000004</v>
      </c>
      <c r="H159">
        <v>82.14</v>
      </c>
      <c r="I159">
        <v>19</v>
      </c>
      <c r="J159" s="45" t="s">
        <v>64</v>
      </c>
      <c r="K159" s="45">
        <f>IF(BrewdogNew[[#This Row],[Yeast]]=BrewdogNew[[#Headers],[Wyeast 1056 - American Ale]],1,0)</f>
        <v>1</v>
      </c>
      <c r="L159" s="45">
        <f>IF(BrewdogNew[[#This Row],[Yeast]]=BrewdogNew[[#Headers],[Wyeast 2007 - Pilsen Lager]],1,0)</f>
        <v>0</v>
      </c>
      <c r="M159" s="45">
        <f>IF(BrewdogNew[[#This Row],[Yeast]]=BrewdogNew[[#Headers],[Wyeast 3711 - French Saison]],1,0)</f>
        <v>0</v>
      </c>
      <c r="N159" s="45">
        <f>IF(BrewdogNew[[#This Row],[Yeast]]=BrewdogNew[[#Headers],[Wyeast 1272 - American Ale II]],1,0)</f>
        <v>0</v>
      </c>
      <c r="O159" s="45" t="str">
        <f>BrewdogNew[[#This Row],[Name]]</f>
        <v>Punk IPA 2007 - 2010</v>
      </c>
      <c r="P159" t="str">
        <f>IF(BrewdogNew[[#This Row],[ABV]]="*", BrewdogNew[[#This Row],[IBU]], "")</f>
        <v/>
      </c>
      <c r="Q159" t="str">
        <f>IF(BrewdogNew[[#This Row],[ABV]]="*", BrewdogNew[[#This Row],[OG]], "")</f>
        <v/>
      </c>
      <c r="R159" t="str">
        <f>IF(BrewdogNew[[#This Row],[ABV]]="*", BrewdogNew[[#This Row],[EBC]], "")</f>
        <v/>
      </c>
      <c r="S159" t="str">
        <f>IF(BrewdogNew[[#This Row],[ABV]]="*", BrewdogNew[[#This Row],[PH]], "")</f>
        <v/>
      </c>
      <c r="T159" t="str">
        <f>IF(BrewdogNew[[#This Row],[ABV]]="*", BrewdogNew[[#This Row],[AttenuationLevel]], "")</f>
        <v/>
      </c>
      <c r="U159" t="str">
        <f>IF(BrewdogNew[[#This Row],[ABV]]="*", BrewdogNew[[#This Row],[FermentationTempCelsius]], "")</f>
        <v/>
      </c>
      <c r="V159" t="str">
        <f>IF(BrewdogNew[[#This Row],[ABV]]="*", BrewdogNew[[#This Row],[Yeast]], "")</f>
        <v/>
      </c>
    </row>
    <row r="160" spans="1:22" hidden="1" x14ac:dyDescent="0.25">
      <c r="A160" s="45" t="s">
        <v>225</v>
      </c>
      <c r="B160">
        <v>3</v>
      </c>
      <c r="C160" s="2" t="s">
        <v>274</v>
      </c>
      <c r="D160">
        <v>8</v>
      </c>
      <c r="E160">
        <v>1007</v>
      </c>
      <c r="F160">
        <v>9</v>
      </c>
      <c r="G160">
        <v>3.2</v>
      </c>
      <c r="H160">
        <v>82.5</v>
      </c>
      <c r="I160">
        <v>19</v>
      </c>
      <c r="J160" s="45" t="s">
        <v>64</v>
      </c>
      <c r="K160" s="45">
        <f>IF(BrewdogNew[[#This Row],[Yeast]]=BrewdogNew[[#Headers],[Wyeast 1056 - American Ale]],1,0)</f>
        <v>1</v>
      </c>
      <c r="L160" s="45">
        <f>IF(BrewdogNew[[#This Row],[Yeast]]=BrewdogNew[[#Headers],[Wyeast 2007 - Pilsen Lager]],1,0)</f>
        <v>0</v>
      </c>
      <c r="M160" s="45">
        <f>IF(BrewdogNew[[#This Row],[Yeast]]=BrewdogNew[[#Headers],[Wyeast 3711 - French Saison]],1,0)</f>
        <v>0</v>
      </c>
      <c r="N160" s="45">
        <f>IF(BrewdogNew[[#This Row],[Yeast]]=BrewdogNew[[#Headers],[Wyeast 1272 - American Ale II]],1,0)</f>
        <v>0</v>
      </c>
      <c r="O160" s="45" t="str">
        <f>BrewdogNew[[#This Row],[Name]]</f>
        <v>Blitz Berliner Weisse</v>
      </c>
      <c r="P160" t="str">
        <f>IF(BrewdogNew[[#This Row],[ABV]]="*", BrewdogNew[[#This Row],[IBU]], "")</f>
        <v/>
      </c>
      <c r="Q160" t="str">
        <f>IF(BrewdogNew[[#This Row],[ABV]]="*", BrewdogNew[[#This Row],[OG]], "")</f>
        <v/>
      </c>
      <c r="R160" t="str">
        <f>IF(BrewdogNew[[#This Row],[ABV]]="*", BrewdogNew[[#This Row],[EBC]], "")</f>
        <v/>
      </c>
      <c r="S160" t="str">
        <f>IF(BrewdogNew[[#This Row],[ABV]]="*", BrewdogNew[[#This Row],[PH]], "")</f>
        <v/>
      </c>
      <c r="T160" t="str">
        <f>IF(BrewdogNew[[#This Row],[ABV]]="*", BrewdogNew[[#This Row],[AttenuationLevel]], "")</f>
        <v/>
      </c>
      <c r="U160" t="str">
        <f>IF(BrewdogNew[[#This Row],[ABV]]="*", BrewdogNew[[#This Row],[FermentationTempCelsius]], "")</f>
        <v/>
      </c>
      <c r="V160" t="str">
        <f>IF(BrewdogNew[[#This Row],[ABV]]="*", BrewdogNew[[#This Row],[Yeast]], "")</f>
        <v/>
      </c>
    </row>
    <row r="161" spans="1:22" hidden="1" x14ac:dyDescent="0.25">
      <c r="A161" s="45" t="s">
        <v>226</v>
      </c>
      <c r="B161">
        <v>7.6</v>
      </c>
      <c r="C161" s="2" t="s">
        <v>274</v>
      </c>
      <c r="D161">
        <v>175</v>
      </c>
      <c r="E161">
        <v>1072</v>
      </c>
      <c r="F161">
        <v>40</v>
      </c>
      <c r="G161">
        <v>4.4000000000000004</v>
      </c>
      <c r="H161">
        <v>80.599999999999994</v>
      </c>
      <c r="I161">
        <v>21</v>
      </c>
      <c r="J161" s="45" t="s">
        <v>80</v>
      </c>
      <c r="K161" s="45">
        <f>IF(BrewdogNew[[#This Row],[Yeast]]=BrewdogNew[[#Headers],[Wyeast 1056 - American Ale]],1,0)</f>
        <v>0</v>
      </c>
      <c r="L161" s="45">
        <f>IF(BrewdogNew[[#This Row],[Yeast]]=BrewdogNew[[#Headers],[Wyeast 2007 - Pilsen Lager]],1,0)</f>
        <v>0</v>
      </c>
      <c r="M161" s="45">
        <f>IF(BrewdogNew[[#This Row],[Yeast]]=BrewdogNew[[#Headers],[Wyeast 3711 - French Saison]],1,0)</f>
        <v>0</v>
      </c>
      <c r="N161" s="45">
        <f>IF(BrewdogNew[[#This Row],[Yeast]]=BrewdogNew[[#Headers],[Wyeast 1272 - American Ale II]],1,0)</f>
        <v>1</v>
      </c>
      <c r="O161" s="45" t="str">
        <f>BrewdogNew[[#This Row],[Name]]</f>
        <v>Hardkogt IPA</v>
      </c>
      <c r="P161" t="str">
        <f>IF(BrewdogNew[[#This Row],[ABV]]="*", BrewdogNew[[#This Row],[IBU]], "")</f>
        <v/>
      </c>
      <c r="Q161" t="str">
        <f>IF(BrewdogNew[[#This Row],[ABV]]="*", BrewdogNew[[#This Row],[OG]], "")</f>
        <v/>
      </c>
      <c r="R161" t="str">
        <f>IF(BrewdogNew[[#This Row],[ABV]]="*", BrewdogNew[[#This Row],[EBC]], "")</f>
        <v/>
      </c>
      <c r="S161" t="str">
        <f>IF(BrewdogNew[[#This Row],[ABV]]="*", BrewdogNew[[#This Row],[PH]], "")</f>
        <v/>
      </c>
      <c r="T161" t="str">
        <f>IF(BrewdogNew[[#This Row],[ABV]]="*", BrewdogNew[[#This Row],[AttenuationLevel]], "")</f>
        <v/>
      </c>
      <c r="U161" t="str">
        <f>IF(BrewdogNew[[#This Row],[ABV]]="*", BrewdogNew[[#This Row],[FermentationTempCelsius]], "")</f>
        <v/>
      </c>
      <c r="V161" t="str">
        <f>IF(BrewdogNew[[#This Row],[ABV]]="*", BrewdogNew[[#This Row],[Yeast]], "")</f>
        <v/>
      </c>
    </row>
    <row r="162" spans="1:22" hidden="1" x14ac:dyDescent="0.25">
      <c r="A162" s="45" t="s">
        <v>227</v>
      </c>
      <c r="B162">
        <v>5.5</v>
      </c>
      <c r="C162" s="2" t="s">
        <v>274</v>
      </c>
      <c r="D162">
        <v>35</v>
      </c>
      <c r="E162">
        <v>1053</v>
      </c>
      <c r="F162">
        <v>25</v>
      </c>
      <c r="G162">
        <v>4.4000000000000004</v>
      </c>
      <c r="H162">
        <v>79.3</v>
      </c>
      <c r="I162">
        <v>17</v>
      </c>
      <c r="J162" s="45" t="s">
        <v>64</v>
      </c>
      <c r="K162" s="45">
        <f>IF(BrewdogNew[[#This Row],[Yeast]]=BrewdogNew[[#Headers],[Wyeast 1056 - American Ale]],1,0)</f>
        <v>1</v>
      </c>
      <c r="L162" s="45">
        <f>IF(BrewdogNew[[#This Row],[Yeast]]=BrewdogNew[[#Headers],[Wyeast 2007 - Pilsen Lager]],1,0)</f>
        <v>0</v>
      </c>
      <c r="M162" s="45">
        <f>IF(BrewdogNew[[#This Row],[Yeast]]=BrewdogNew[[#Headers],[Wyeast 3711 - French Saison]],1,0)</f>
        <v>0</v>
      </c>
      <c r="N162" s="45">
        <f>IF(BrewdogNew[[#This Row],[Yeast]]=BrewdogNew[[#Headers],[Wyeast 1272 - American Ale II]],1,0)</f>
        <v>0</v>
      </c>
      <c r="O162" s="45" t="str">
        <f>BrewdogNew[[#This Row],[Name]]</f>
        <v>Hello My Name Is Holy Moose</v>
      </c>
      <c r="P162" t="str">
        <f>IF(BrewdogNew[[#This Row],[ABV]]="*", BrewdogNew[[#This Row],[IBU]], "")</f>
        <v/>
      </c>
      <c r="Q162" t="str">
        <f>IF(BrewdogNew[[#This Row],[ABV]]="*", BrewdogNew[[#This Row],[OG]], "")</f>
        <v/>
      </c>
      <c r="R162" t="str">
        <f>IF(BrewdogNew[[#This Row],[ABV]]="*", BrewdogNew[[#This Row],[EBC]], "")</f>
        <v/>
      </c>
      <c r="S162" t="str">
        <f>IF(BrewdogNew[[#This Row],[ABV]]="*", BrewdogNew[[#This Row],[PH]], "")</f>
        <v/>
      </c>
      <c r="T162" t="str">
        <f>IF(BrewdogNew[[#This Row],[ABV]]="*", BrewdogNew[[#This Row],[AttenuationLevel]], "")</f>
        <v/>
      </c>
      <c r="U162" t="str">
        <f>IF(BrewdogNew[[#This Row],[ABV]]="*", BrewdogNew[[#This Row],[FermentationTempCelsius]], "")</f>
        <v/>
      </c>
      <c r="V162" t="str">
        <f>IF(BrewdogNew[[#This Row],[ABV]]="*", BrewdogNew[[#This Row],[Yeast]], "")</f>
        <v/>
      </c>
    </row>
    <row r="163" spans="1:22" hidden="1" x14ac:dyDescent="0.25">
      <c r="A163" s="45" t="s">
        <v>228</v>
      </c>
      <c r="B163">
        <v>8.8000000000000007</v>
      </c>
      <c r="C163" s="2" t="s">
        <v>274</v>
      </c>
      <c r="D163">
        <v>40</v>
      </c>
      <c r="E163">
        <v>1084</v>
      </c>
      <c r="F163">
        <v>190</v>
      </c>
      <c r="G163">
        <v>4.5</v>
      </c>
      <c r="H163">
        <v>79.8</v>
      </c>
      <c r="I163">
        <v>21</v>
      </c>
      <c r="J163" s="45" t="s">
        <v>80</v>
      </c>
      <c r="K163" s="45">
        <f>IF(BrewdogNew[[#This Row],[Yeast]]=BrewdogNew[[#Headers],[Wyeast 1056 - American Ale]],1,0)</f>
        <v>0</v>
      </c>
      <c r="L163" s="45">
        <f>IF(BrewdogNew[[#This Row],[Yeast]]=BrewdogNew[[#Headers],[Wyeast 2007 - Pilsen Lager]],1,0)</f>
        <v>0</v>
      </c>
      <c r="M163" s="45">
        <f>IF(BrewdogNew[[#This Row],[Yeast]]=BrewdogNew[[#Headers],[Wyeast 3711 - French Saison]],1,0)</f>
        <v>0</v>
      </c>
      <c r="N163" s="45">
        <f>IF(BrewdogNew[[#This Row],[Yeast]]=BrewdogNew[[#Headers],[Wyeast 1272 - American Ale II]],1,0)</f>
        <v>1</v>
      </c>
      <c r="O163" s="45" t="str">
        <f>BrewdogNew[[#This Row],[Name]]</f>
        <v>Catherine's Pony (w/ Beavertown)</v>
      </c>
      <c r="P163" t="str">
        <f>IF(BrewdogNew[[#This Row],[ABV]]="*", BrewdogNew[[#This Row],[IBU]], "")</f>
        <v/>
      </c>
      <c r="Q163" t="str">
        <f>IF(BrewdogNew[[#This Row],[ABV]]="*", BrewdogNew[[#This Row],[OG]], "")</f>
        <v/>
      </c>
      <c r="R163" t="str">
        <f>IF(BrewdogNew[[#This Row],[ABV]]="*", BrewdogNew[[#This Row],[EBC]], "")</f>
        <v/>
      </c>
      <c r="S163" t="str">
        <f>IF(BrewdogNew[[#This Row],[ABV]]="*", BrewdogNew[[#This Row],[PH]], "")</f>
        <v/>
      </c>
      <c r="T163" t="str">
        <f>IF(BrewdogNew[[#This Row],[ABV]]="*", BrewdogNew[[#This Row],[AttenuationLevel]], "")</f>
        <v/>
      </c>
      <c r="U163" t="str">
        <f>IF(BrewdogNew[[#This Row],[ABV]]="*", BrewdogNew[[#This Row],[FermentationTempCelsius]], "")</f>
        <v/>
      </c>
      <c r="V163" t="str">
        <f>IF(BrewdogNew[[#This Row],[ABV]]="*", BrewdogNew[[#This Row],[Yeast]], "")</f>
        <v/>
      </c>
    </row>
    <row r="164" spans="1:22" hidden="1" x14ac:dyDescent="0.25">
      <c r="A164" s="45" t="s">
        <v>229</v>
      </c>
      <c r="B164">
        <v>5.2</v>
      </c>
      <c r="C164" s="2" t="s">
        <v>274</v>
      </c>
      <c r="D164">
        <v>45</v>
      </c>
      <c r="E164">
        <v>1048</v>
      </c>
      <c r="F164">
        <v>35</v>
      </c>
      <c r="G164">
        <v>4.4000000000000004</v>
      </c>
      <c r="H164">
        <v>77.099999999999994</v>
      </c>
      <c r="I164">
        <v>19</v>
      </c>
      <c r="J164" s="45" t="s">
        <v>64</v>
      </c>
      <c r="K164" s="45">
        <f>IF(BrewdogNew[[#This Row],[Yeast]]=BrewdogNew[[#Headers],[Wyeast 1056 - American Ale]],1,0)</f>
        <v>1</v>
      </c>
      <c r="L164" s="45">
        <f>IF(BrewdogNew[[#This Row],[Yeast]]=BrewdogNew[[#Headers],[Wyeast 2007 - Pilsen Lager]],1,0)</f>
        <v>0</v>
      </c>
      <c r="M164" s="45">
        <f>IF(BrewdogNew[[#This Row],[Yeast]]=BrewdogNew[[#Headers],[Wyeast 3711 - French Saison]],1,0)</f>
        <v>0</v>
      </c>
      <c r="N164" s="45">
        <f>IF(BrewdogNew[[#This Row],[Yeast]]=BrewdogNew[[#Headers],[Wyeast 1272 - American Ale II]],1,0)</f>
        <v>0</v>
      </c>
      <c r="O164" s="45" t="str">
        <f>BrewdogNew[[#This Row],[Name]]</f>
        <v>Moshi Moshi 15</v>
      </c>
      <c r="P164" t="str">
        <f>IF(BrewdogNew[[#This Row],[ABV]]="*", BrewdogNew[[#This Row],[IBU]], "")</f>
        <v/>
      </c>
      <c r="Q164" t="str">
        <f>IF(BrewdogNew[[#This Row],[ABV]]="*", BrewdogNew[[#This Row],[OG]], "")</f>
        <v/>
      </c>
      <c r="R164" t="str">
        <f>IF(BrewdogNew[[#This Row],[ABV]]="*", BrewdogNew[[#This Row],[EBC]], "")</f>
        <v/>
      </c>
      <c r="S164" t="str">
        <f>IF(BrewdogNew[[#This Row],[ABV]]="*", BrewdogNew[[#This Row],[PH]], "")</f>
        <v/>
      </c>
      <c r="T164" t="str">
        <f>IF(BrewdogNew[[#This Row],[ABV]]="*", BrewdogNew[[#This Row],[AttenuationLevel]], "")</f>
        <v/>
      </c>
      <c r="U164" t="str">
        <f>IF(BrewdogNew[[#This Row],[ABV]]="*", BrewdogNew[[#This Row],[FermentationTempCelsius]], "")</f>
        <v/>
      </c>
      <c r="V164" t="str">
        <f>IF(BrewdogNew[[#This Row],[ABV]]="*", BrewdogNew[[#This Row],[Yeast]], "")</f>
        <v/>
      </c>
    </row>
    <row r="165" spans="1:22" hidden="1" x14ac:dyDescent="0.25">
      <c r="A165" s="45" t="s">
        <v>230</v>
      </c>
      <c r="B165">
        <v>5.2</v>
      </c>
      <c r="C165" s="2" t="s">
        <v>274</v>
      </c>
      <c r="D165">
        <v>55</v>
      </c>
      <c r="E165">
        <v>1053</v>
      </c>
      <c r="F165">
        <v>165</v>
      </c>
      <c r="G165">
        <v>5.2</v>
      </c>
      <c r="H165">
        <v>75.5</v>
      </c>
      <c r="I165">
        <v>19</v>
      </c>
      <c r="J165" s="45" t="s">
        <v>64</v>
      </c>
      <c r="K165" s="45">
        <f>IF(BrewdogNew[[#This Row],[Yeast]]=BrewdogNew[[#Headers],[Wyeast 1056 - American Ale]],1,0)</f>
        <v>1</v>
      </c>
      <c r="L165" s="45">
        <f>IF(BrewdogNew[[#This Row],[Yeast]]=BrewdogNew[[#Headers],[Wyeast 2007 - Pilsen Lager]],1,0)</f>
        <v>0</v>
      </c>
      <c r="M165" s="45">
        <f>IF(BrewdogNew[[#This Row],[Yeast]]=BrewdogNew[[#Headers],[Wyeast 3711 - French Saison]],1,0)</f>
        <v>0</v>
      </c>
      <c r="N165" s="45">
        <f>IF(BrewdogNew[[#This Row],[Yeast]]=BrewdogNew[[#Headers],[Wyeast 1272 - American Ale II]],1,0)</f>
        <v>0</v>
      </c>
      <c r="O165" s="45" t="str">
        <f>BrewdogNew[[#This Row],[Name]]</f>
        <v>Alice Porter</v>
      </c>
      <c r="P165" t="str">
        <f>IF(BrewdogNew[[#This Row],[ABV]]="*", BrewdogNew[[#This Row],[IBU]], "")</f>
        <v/>
      </c>
      <c r="Q165" t="str">
        <f>IF(BrewdogNew[[#This Row],[ABV]]="*", BrewdogNew[[#This Row],[OG]], "")</f>
        <v/>
      </c>
      <c r="R165" t="str">
        <f>IF(BrewdogNew[[#This Row],[ABV]]="*", BrewdogNew[[#This Row],[EBC]], "")</f>
        <v/>
      </c>
      <c r="S165" t="str">
        <f>IF(BrewdogNew[[#This Row],[ABV]]="*", BrewdogNew[[#This Row],[PH]], "")</f>
        <v/>
      </c>
      <c r="T165" t="str">
        <f>IF(BrewdogNew[[#This Row],[ABV]]="*", BrewdogNew[[#This Row],[AttenuationLevel]], "")</f>
        <v/>
      </c>
      <c r="U165" t="str">
        <f>IF(BrewdogNew[[#This Row],[ABV]]="*", BrewdogNew[[#This Row],[FermentationTempCelsius]], "")</f>
        <v/>
      </c>
      <c r="V165" t="str">
        <f>IF(BrewdogNew[[#This Row],[ABV]]="*", BrewdogNew[[#This Row],[Yeast]], "")</f>
        <v/>
      </c>
    </row>
    <row r="166" spans="1:22" hidden="1" x14ac:dyDescent="0.25">
      <c r="A166" s="45" t="s">
        <v>231</v>
      </c>
      <c r="B166">
        <v>8</v>
      </c>
      <c r="C166" s="2" t="s">
        <v>274</v>
      </c>
      <c r="D166">
        <v>85</v>
      </c>
      <c r="E166">
        <v>1074</v>
      </c>
      <c r="F166">
        <v>35</v>
      </c>
      <c r="G166">
        <v>5.2</v>
      </c>
      <c r="H166">
        <v>82.4</v>
      </c>
      <c r="I166">
        <v>19</v>
      </c>
      <c r="J166" s="45" t="s">
        <v>64</v>
      </c>
      <c r="K166" s="45">
        <f>IF(BrewdogNew[[#This Row],[Yeast]]=BrewdogNew[[#Headers],[Wyeast 1056 - American Ale]],1,0)</f>
        <v>1</v>
      </c>
      <c r="L166" s="45">
        <f>IF(BrewdogNew[[#This Row],[Yeast]]=BrewdogNew[[#Headers],[Wyeast 2007 - Pilsen Lager]],1,0)</f>
        <v>0</v>
      </c>
      <c r="M166" s="45">
        <f>IF(BrewdogNew[[#This Row],[Yeast]]=BrewdogNew[[#Headers],[Wyeast 3711 - French Saison]],1,0)</f>
        <v>0</v>
      </c>
      <c r="N166" s="45">
        <f>IF(BrewdogNew[[#This Row],[Yeast]]=BrewdogNew[[#Headers],[Wyeast 1272 - American Ale II]],1,0)</f>
        <v>0</v>
      </c>
      <c r="O166" s="45" t="str">
        <f>BrewdogNew[[#This Row],[Name]]</f>
        <v>Double IPA - Russian Doll</v>
      </c>
      <c r="P166" t="str">
        <f>IF(BrewdogNew[[#This Row],[ABV]]="*", BrewdogNew[[#This Row],[IBU]], "")</f>
        <v/>
      </c>
      <c r="Q166" t="str">
        <f>IF(BrewdogNew[[#This Row],[ABV]]="*", BrewdogNew[[#This Row],[OG]], "")</f>
        <v/>
      </c>
      <c r="R166" t="str">
        <f>IF(BrewdogNew[[#This Row],[ABV]]="*", BrewdogNew[[#This Row],[EBC]], "")</f>
        <v/>
      </c>
      <c r="S166" t="str">
        <f>IF(BrewdogNew[[#This Row],[ABV]]="*", BrewdogNew[[#This Row],[PH]], "")</f>
        <v/>
      </c>
      <c r="T166" t="str">
        <f>IF(BrewdogNew[[#This Row],[ABV]]="*", BrewdogNew[[#This Row],[AttenuationLevel]], "")</f>
        <v/>
      </c>
      <c r="U166" t="str">
        <f>IF(BrewdogNew[[#This Row],[ABV]]="*", BrewdogNew[[#This Row],[FermentationTempCelsius]], "")</f>
        <v/>
      </c>
      <c r="V166" t="str">
        <f>IF(BrewdogNew[[#This Row],[ABV]]="*", BrewdogNew[[#This Row],[Yeast]], "")</f>
        <v/>
      </c>
    </row>
    <row r="167" spans="1:22" hidden="1" x14ac:dyDescent="0.25">
      <c r="A167" s="45" t="s">
        <v>232</v>
      </c>
      <c r="B167">
        <v>6.7</v>
      </c>
      <c r="C167" s="2" t="s">
        <v>274</v>
      </c>
      <c r="D167">
        <v>70</v>
      </c>
      <c r="E167">
        <v>1066</v>
      </c>
      <c r="F167">
        <v>30</v>
      </c>
      <c r="G167">
        <v>4.4000000000000004</v>
      </c>
      <c r="H167">
        <v>77.3</v>
      </c>
      <c r="I167">
        <v>19</v>
      </c>
      <c r="J167" s="45" t="s">
        <v>64</v>
      </c>
      <c r="K167" s="45">
        <f>IF(BrewdogNew[[#This Row],[Yeast]]=BrewdogNew[[#Headers],[Wyeast 1056 - American Ale]],1,0)</f>
        <v>1</v>
      </c>
      <c r="L167" s="45">
        <f>IF(BrewdogNew[[#This Row],[Yeast]]=BrewdogNew[[#Headers],[Wyeast 2007 - Pilsen Lager]],1,0)</f>
        <v>0</v>
      </c>
      <c r="M167" s="45">
        <f>IF(BrewdogNew[[#This Row],[Yeast]]=BrewdogNew[[#Headers],[Wyeast 3711 - French Saison]],1,0)</f>
        <v>0</v>
      </c>
      <c r="N167" s="45">
        <f>IF(BrewdogNew[[#This Row],[Yeast]]=BrewdogNew[[#Headers],[Wyeast 1272 - American Ale II]],1,0)</f>
        <v>0</v>
      </c>
      <c r="O167" s="45" t="str">
        <f>BrewdogNew[[#This Row],[Name]]</f>
        <v>Waimea - IPA Is Dead</v>
      </c>
      <c r="P167" t="str">
        <f>IF(BrewdogNew[[#This Row],[ABV]]="*", BrewdogNew[[#This Row],[IBU]], "")</f>
        <v/>
      </c>
      <c r="Q167" t="str">
        <f>IF(BrewdogNew[[#This Row],[ABV]]="*", BrewdogNew[[#This Row],[OG]], "")</f>
        <v/>
      </c>
      <c r="R167" t="str">
        <f>IF(BrewdogNew[[#This Row],[ABV]]="*", BrewdogNew[[#This Row],[EBC]], "")</f>
        <v/>
      </c>
      <c r="S167" t="str">
        <f>IF(BrewdogNew[[#This Row],[ABV]]="*", BrewdogNew[[#This Row],[PH]], "")</f>
        <v/>
      </c>
      <c r="T167" t="str">
        <f>IF(BrewdogNew[[#This Row],[ABV]]="*", BrewdogNew[[#This Row],[AttenuationLevel]], "")</f>
        <v/>
      </c>
      <c r="U167" t="str">
        <f>IF(BrewdogNew[[#This Row],[ABV]]="*", BrewdogNew[[#This Row],[FermentationTempCelsius]], "")</f>
        <v/>
      </c>
      <c r="V167" t="str">
        <f>IF(BrewdogNew[[#This Row],[ABV]]="*", BrewdogNew[[#This Row],[Yeast]], "")</f>
        <v/>
      </c>
    </row>
    <row r="168" spans="1:22" hidden="1" x14ac:dyDescent="0.25">
      <c r="A168" s="45" t="s">
        <v>233</v>
      </c>
      <c r="B168">
        <v>15</v>
      </c>
      <c r="C168" s="2" t="s">
        <v>274</v>
      </c>
      <c r="D168">
        <v>90</v>
      </c>
      <c r="E168">
        <v>1120</v>
      </c>
      <c r="F168">
        <v>100</v>
      </c>
      <c r="G168">
        <v>4.4000000000000004</v>
      </c>
      <c r="H168">
        <v>98</v>
      </c>
      <c r="I168">
        <v>19</v>
      </c>
      <c r="J168" s="45" t="s">
        <v>64</v>
      </c>
      <c r="K168" s="45">
        <f>IF(BrewdogNew[[#This Row],[Yeast]]=BrewdogNew[[#Headers],[Wyeast 1056 - American Ale]],1,0)</f>
        <v>1</v>
      </c>
      <c r="L168" s="45">
        <f>IF(BrewdogNew[[#This Row],[Yeast]]=BrewdogNew[[#Headers],[Wyeast 2007 - Pilsen Lager]],1,0)</f>
        <v>0</v>
      </c>
      <c r="M168" s="45">
        <f>IF(BrewdogNew[[#This Row],[Yeast]]=BrewdogNew[[#Headers],[Wyeast 3711 - French Saison]],1,0)</f>
        <v>0</v>
      </c>
      <c r="N168" s="45">
        <f>IF(BrewdogNew[[#This Row],[Yeast]]=BrewdogNew[[#Headers],[Wyeast 1272 - American Ale II]],1,0)</f>
        <v>0</v>
      </c>
      <c r="O168" s="45" t="str">
        <f>BrewdogNew[[#This Row],[Name]]</f>
        <v>Dog C</v>
      </c>
      <c r="P168" t="str">
        <f>IF(BrewdogNew[[#This Row],[ABV]]="*", BrewdogNew[[#This Row],[IBU]], "")</f>
        <v/>
      </c>
      <c r="Q168" t="str">
        <f>IF(BrewdogNew[[#This Row],[ABV]]="*", BrewdogNew[[#This Row],[OG]], "")</f>
        <v/>
      </c>
      <c r="R168" t="str">
        <f>IF(BrewdogNew[[#This Row],[ABV]]="*", BrewdogNew[[#This Row],[EBC]], "")</f>
        <v/>
      </c>
      <c r="S168" t="str">
        <f>IF(BrewdogNew[[#This Row],[ABV]]="*", BrewdogNew[[#This Row],[PH]], "")</f>
        <v/>
      </c>
      <c r="T168" t="str">
        <f>IF(BrewdogNew[[#This Row],[ABV]]="*", BrewdogNew[[#This Row],[AttenuationLevel]], "")</f>
        <v/>
      </c>
      <c r="U168" t="str">
        <f>IF(BrewdogNew[[#This Row],[ABV]]="*", BrewdogNew[[#This Row],[FermentationTempCelsius]], "")</f>
        <v/>
      </c>
      <c r="V168" t="str">
        <f>IF(BrewdogNew[[#This Row],[ABV]]="*", BrewdogNew[[#This Row],[Yeast]], "")</f>
        <v/>
      </c>
    </row>
    <row r="169" spans="1:22" hidden="1" x14ac:dyDescent="0.25">
      <c r="A169" s="45" t="s">
        <v>234</v>
      </c>
      <c r="B169">
        <v>11.5</v>
      </c>
      <c r="C169" s="2" t="s">
        <v>274</v>
      </c>
      <c r="D169">
        <v>50</v>
      </c>
      <c r="E169">
        <v>1104</v>
      </c>
      <c r="F169">
        <v>38</v>
      </c>
      <c r="G169">
        <v>4.4000000000000004</v>
      </c>
      <c r="H169">
        <v>85</v>
      </c>
      <c r="I169">
        <v>21</v>
      </c>
      <c r="J169" s="45" t="s">
        <v>80</v>
      </c>
      <c r="K169" s="45">
        <f>IF(BrewdogNew[[#This Row],[Yeast]]=BrewdogNew[[#Headers],[Wyeast 1056 - American Ale]],1,0)</f>
        <v>0</v>
      </c>
      <c r="L169" s="45">
        <f>IF(BrewdogNew[[#This Row],[Yeast]]=BrewdogNew[[#Headers],[Wyeast 2007 - Pilsen Lager]],1,0)</f>
        <v>0</v>
      </c>
      <c r="M169" s="45">
        <f>IF(BrewdogNew[[#This Row],[Yeast]]=BrewdogNew[[#Headers],[Wyeast 3711 - French Saison]],1,0)</f>
        <v>0</v>
      </c>
      <c r="N169" s="45">
        <f>IF(BrewdogNew[[#This Row],[Yeast]]=BrewdogNew[[#Headers],[Wyeast 1272 - American Ale II]],1,0)</f>
        <v>1</v>
      </c>
      <c r="O169" s="45" t="str">
        <f>BrewdogNew[[#This Row],[Name]]</f>
        <v>Bitch Please (w/ 3 Floyds)</v>
      </c>
      <c r="P169" t="str">
        <f>IF(BrewdogNew[[#This Row],[ABV]]="*", BrewdogNew[[#This Row],[IBU]], "")</f>
        <v/>
      </c>
      <c r="Q169" t="str">
        <f>IF(BrewdogNew[[#This Row],[ABV]]="*", BrewdogNew[[#This Row],[OG]], "")</f>
        <v/>
      </c>
      <c r="R169" t="str">
        <f>IF(BrewdogNew[[#This Row],[ABV]]="*", BrewdogNew[[#This Row],[EBC]], "")</f>
        <v/>
      </c>
      <c r="S169" t="str">
        <f>IF(BrewdogNew[[#This Row],[ABV]]="*", BrewdogNew[[#This Row],[PH]], "")</f>
        <v/>
      </c>
      <c r="T169" t="str">
        <f>IF(BrewdogNew[[#This Row],[ABV]]="*", BrewdogNew[[#This Row],[AttenuationLevel]], "")</f>
        <v/>
      </c>
      <c r="U169" t="str">
        <f>IF(BrewdogNew[[#This Row],[ABV]]="*", BrewdogNew[[#This Row],[FermentationTempCelsius]], "")</f>
        <v/>
      </c>
      <c r="V169" t="str">
        <f>IF(BrewdogNew[[#This Row],[ABV]]="*", BrewdogNew[[#This Row],[Yeast]], "")</f>
        <v/>
      </c>
    </row>
    <row r="170" spans="1:22" hidden="1" x14ac:dyDescent="0.25">
      <c r="A170" s="45" t="s">
        <v>235</v>
      </c>
      <c r="B170">
        <v>7.1</v>
      </c>
      <c r="C170" s="2" t="s">
        <v>274</v>
      </c>
      <c r="D170">
        <v>80</v>
      </c>
      <c r="E170">
        <v>1067</v>
      </c>
      <c r="F170">
        <v>71</v>
      </c>
      <c r="G170">
        <v>4.4000000000000004</v>
      </c>
      <c r="H170">
        <v>79</v>
      </c>
      <c r="I170">
        <v>19</v>
      </c>
      <c r="J170" s="45" t="s">
        <v>64</v>
      </c>
      <c r="K170" s="45">
        <f>IF(BrewdogNew[[#This Row],[Yeast]]=BrewdogNew[[#Headers],[Wyeast 1056 - American Ale]],1,0)</f>
        <v>1</v>
      </c>
      <c r="L170" s="45">
        <f>IF(BrewdogNew[[#This Row],[Yeast]]=BrewdogNew[[#Headers],[Wyeast 2007 - Pilsen Lager]],1,0)</f>
        <v>0</v>
      </c>
      <c r="M170" s="45">
        <f>IF(BrewdogNew[[#This Row],[Yeast]]=BrewdogNew[[#Headers],[Wyeast 3711 - French Saison]],1,0)</f>
        <v>0</v>
      </c>
      <c r="N170" s="45">
        <f>IF(BrewdogNew[[#This Row],[Yeast]]=BrewdogNew[[#Headers],[Wyeast 1272 - American Ale II]],1,0)</f>
        <v>0</v>
      </c>
      <c r="O170" s="45" t="str">
        <f>BrewdogNew[[#This Row],[Name]]</f>
        <v>Shareholder Black IPA 2011</v>
      </c>
      <c r="P170" t="str">
        <f>IF(BrewdogNew[[#This Row],[ABV]]="*", BrewdogNew[[#This Row],[IBU]], "")</f>
        <v/>
      </c>
      <c r="Q170" t="str">
        <f>IF(BrewdogNew[[#This Row],[ABV]]="*", BrewdogNew[[#This Row],[OG]], "")</f>
        <v/>
      </c>
      <c r="R170" t="str">
        <f>IF(BrewdogNew[[#This Row],[ABV]]="*", BrewdogNew[[#This Row],[EBC]], "")</f>
        <v/>
      </c>
      <c r="S170" t="str">
        <f>IF(BrewdogNew[[#This Row],[ABV]]="*", BrewdogNew[[#This Row],[PH]], "")</f>
        <v/>
      </c>
      <c r="T170" t="str">
        <f>IF(BrewdogNew[[#This Row],[ABV]]="*", BrewdogNew[[#This Row],[AttenuationLevel]], "")</f>
        <v/>
      </c>
      <c r="U170" t="str">
        <f>IF(BrewdogNew[[#This Row],[ABV]]="*", BrewdogNew[[#This Row],[FermentationTempCelsius]], "")</f>
        <v/>
      </c>
      <c r="V170" t="str">
        <f>IF(BrewdogNew[[#This Row],[ABV]]="*", BrewdogNew[[#This Row],[Yeast]], "")</f>
        <v/>
      </c>
    </row>
    <row r="171" spans="1:22" x14ac:dyDescent="0.25">
      <c r="A171" s="45" t="s">
        <v>236</v>
      </c>
      <c r="B171" s="31" t="s">
        <v>32</v>
      </c>
      <c r="C171" s="51">
        <v>1</v>
      </c>
      <c r="D171">
        <v>45</v>
      </c>
      <c r="E171">
        <v>1089</v>
      </c>
      <c r="F171">
        <v>15</v>
      </c>
      <c r="G171">
        <v>4.4000000000000004</v>
      </c>
      <c r="H171">
        <v>94.4</v>
      </c>
      <c r="I171">
        <v>23</v>
      </c>
      <c r="J171" s="45" t="s">
        <v>71</v>
      </c>
      <c r="K171" s="45">
        <f>IF(BrewdogNew[[#This Row],[Yeast]]=BrewdogNew[[#Headers],[Wyeast 1056 - American Ale]],1,0)</f>
        <v>0</v>
      </c>
      <c r="L171" s="45">
        <f>IF(BrewdogNew[[#This Row],[Yeast]]=BrewdogNew[[#Headers],[Wyeast 2007 - Pilsen Lager]],1,0)</f>
        <v>0</v>
      </c>
      <c r="M171" s="45">
        <f>IF(BrewdogNew[[#This Row],[Yeast]]=BrewdogNew[[#Headers],[Wyeast 3711 - French Saison]],1,0)</f>
        <v>1</v>
      </c>
      <c r="N171" s="45">
        <f>IF(BrewdogNew[[#This Row],[Yeast]]=BrewdogNew[[#Headers],[Wyeast 1272 - American Ale II]],1,0)</f>
        <v>0</v>
      </c>
      <c r="O171" s="45" t="str">
        <f>BrewdogNew[[#This Row],[Name]]</f>
        <v>Black Jacques</v>
      </c>
      <c r="P171">
        <f>IF(BrewdogNew[[#This Row],[ABV]]="*", BrewdogNew[[#This Row],[IBU]], "")</f>
        <v>45</v>
      </c>
      <c r="Q171">
        <f>IF(BrewdogNew[[#This Row],[ABV]]="*", BrewdogNew[[#This Row],[OG]], "")</f>
        <v>1089</v>
      </c>
      <c r="R171">
        <f>IF(BrewdogNew[[#This Row],[ABV]]="*", BrewdogNew[[#This Row],[EBC]], "")</f>
        <v>15</v>
      </c>
      <c r="S171">
        <f>IF(BrewdogNew[[#This Row],[ABV]]="*", BrewdogNew[[#This Row],[PH]], "")</f>
        <v>4.4000000000000004</v>
      </c>
      <c r="T171">
        <f>IF(BrewdogNew[[#This Row],[ABV]]="*", BrewdogNew[[#This Row],[AttenuationLevel]], "")</f>
        <v>94.4</v>
      </c>
      <c r="U171">
        <f>IF(BrewdogNew[[#This Row],[ABV]]="*", BrewdogNew[[#This Row],[FermentationTempCelsius]], "")</f>
        <v>23</v>
      </c>
      <c r="V171" t="str">
        <f>IF(BrewdogNew[[#This Row],[ABV]]="*", BrewdogNew[[#This Row],[Yeast]], "")</f>
        <v>Wyeast 3711 - French Saison</v>
      </c>
    </row>
    <row r="172" spans="1:22" hidden="1" x14ac:dyDescent="0.25">
      <c r="A172" s="45" t="s">
        <v>237</v>
      </c>
      <c r="B172">
        <v>7.5</v>
      </c>
      <c r="C172" s="2" t="s">
        <v>274</v>
      </c>
      <c r="D172">
        <v>0</v>
      </c>
      <c r="E172">
        <v>1069</v>
      </c>
      <c r="F172">
        <v>50</v>
      </c>
      <c r="G172">
        <v>4.4000000000000004</v>
      </c>
      <c r="H172">
        <v>81.099999999999994</v>
      </c>
      <c r="I172">
        <v>19</v>
      </c>
      <c r="J172" s="45" t="s">
        <v>64</v>
      </c>
      <c r="K172" s="45">
        <f>IF(BrewdogNew[[#This Row],[Yeast]]=BrewdogNew[[#Headers],[Wyeast 1056 - American Ale]],1,0)</f>
        <v>1</v>
      </c>
      <c r="L172" s="45">
        <f>IF(BrewdogNew[[#This Row],[Yeast]]=BrewdogNew[[#Headers],[Wyeast 2007 - Pilsen Lager]],1,0)</f>
        <v>0</v>
      </c>
      <c r="M172" s="45">
        <f>IF(BrewdogNew[[#This Row],[Yeast]]=BrewdogNew[[#Headers],[Wyeast 3711 - French Saison]],1,0)</f>
        <v>0</v>
      </c>
      <c r="N172" s="45">
        <f>IF(BrewdogNew[[#This Row],[Yeast]]=BrewdogNew[[#Headers],[Wyeast 1272 - American Ale II]],1,0)</f>
        <v>0</v>
      </c>
      <c r="O172" s="45" t="str">
        <f>BrewdogNew[[#This Row],[Name]]</f>
        <v>International Arms Race (w/ Flying Dog)</v>
      </c>
      <c r="P172" t="str">
        <f>IF(BrewdogNew[[#This Row],[ABV]]="*", BrewdogNew[[#This Row],[IBU]], "")</f>
        <v/>
      </c>
      <c r="Q172" t="str">
        <f>IF(BrewdogNew[[#This Row],[ABV]]="*", BrewdogNew[[#This Row],[OG]], "")</f>
        <v/>
      </c>
      <c r="R172" t="str">
        <f>IF(BrewdogNew[[#This Row],[ABV]]="*", BrewdogNew[[#This Row],[EBC]], "")</f>
        <v/>
      </c>
      <c r="S172" t="str">
        <f>IF(BrewdogNew[[#This Row],[ABV]]="*", BrewdogNew[[#This Row],[PH]], "")</f>
        <v/>
      </c>
      <c r="T172" t="str">
        <f>IF(BrewdogNew[[#This Row],[ABV]]="*", BrewdogNew[[#This Row],[AttenuationLevel]], "")</f>
        <v/>
      </c>
      <c r="U172" t="str">
        <f>IF(BrewdogNew[[#This Row],[ABV]]="*", BrewdogNew[[#This Row],[FermentationTempCelsius]], "")</f>
        <v/>
      </c>
      <c r="V172" t="str">
        <f>IF(BrewdogNew[[#This Row],[ABV]]="*", BrewdogNew[[#This Row],[Yeast]], "")</f>
        <v/>
      </c>
    </row>
    <row r="173" spans="1:22" hidden="1" x14ac:dyDescent="0.25">
      <c r="A173" s="45" t="s">
        <v>238</v>
      </c>
      <c r="B173">
        <v>7.2</v>
      </c>
      <c r="C173" s="2" t="s">
        <v>274</v>
      </c>
      <c r="D173">
        <v>130</v>
      </c>
      <c r="E173">
        <v>1065</v>
      </c>
      <c r="F173">
        <v>14</v>
      </c>
      <c r="G173">
        <v>5.2</v>
      </c>
      <c r="H173">
        <v>87</v>
      </c>
      <c r="I173">
        <v>20</v>
      </c>
      <c r="J173" s="45" t="s">
        <v>64</v>
      </c>
      <c r="K173" s="45">
        <f>IF(BrewdogNew[[#This Row],[Yeast]]=BrewdogNew[[#Headers],[Wyeast 1056 - American Ale]],1,0)</f>
        <v>1</v>
      </c>
      <c r="L173" s="45">
        <f>IF(BrewdogNew[[#This Row],[Yeast]]=BrewdogNew[[#Headers],[Wyeast 2007 - Pilsen Lager]],1,0)</f>
        <v>0</v>
      </c>
      <c r="M173" s="45">
        <f>IF(BrewdogNew[[#This Row],[Yeast]]=BrewdogNew[[#Headers],[Wyeast 3711 - French Saison]],1,0)</f>
        <v>0</v>
      </c>
      <c r="N173" s="45">
        <f>IF(BrewdogNew[[#This Row],[Yeast]]=BrewdogNew[[#Headers],[Wyeast 1272 - American Ale II]],1,0)</f>
        <v>0</v>
      </c>
      <c r="O173" s="45" t="str">
        <f>BrewdogNew[[#This Row],[Name]]</f>
        <v>Sunshine On Rye - B-Sides</v>
      </c>
      <c r="P173" t="str">
        <f>IF(BrewdogNew[[#This Row],[ABV]]="*", BrewdogNew[[#This Row],[IBU]], "")</f>
        <v/>
      </c>
      <c r="Q173" t="str">
        <f>IF(BrewdogNew[[#This Row],[ABV]]="*", BrewdogNew[[#This Row],[OG]], "")</f>
        <v/>
      </c>
      <c r="R173" t="str">
        <f>IF(BrewdogNew[[#This Row],[ABV]]="*", BrewdogNew[[#This Row],[EBC]], "")</f>
        <v/>
      </c>
      <c r="S173" t="str">
        <f>IF(BrewdogNew[[#This Row],[ABV]]="*", BrewdogNew[[#This Row],[PH]], "")</f>
        <v/>
      </c>
      <c r="T173" t="str">
        <f>IF(BrewdogNew[[#This Row],[ABV]]="*", BrewdogNew[[#This Row],[AttenuationLevel]], "")</f>
        <v/>
      </c>
      <c r="U173" t="str">
        <f>IF(BrewdogNew[[#This Row],[ABV]]="*", BrewdogNew[[#This Row],[FermentationTempCelsius]], "")</f>
        <v/>
      </c>
      <c r="V173" t="str">
        <f>IF(BrewdogNew[[#This Row],[ABV]]="*", BrewdogNew[[#This Row],[Yeast]], "")</f>
        <v/>
      </c>
    </row>
    <row r="174" spans="1:22" hidden="1" x14ac:dyDescent="0.25">
      <c r="A174" s="45" t="s">
        <v>239</v>
      </c>
      <c r="B174">
        <v>5.2</v>
      </c>
      <c r="C174" s="2" t="s">
        <v>274</v>
      </c>
      <c r="D174">
        <v>55</v>
      </c>
      <c r="E174">
        <v>1052</v>
      </c>
      <c r="F174">
        <v>200</v>
      </c>
      <c r="G174">
        <v>5.2</v>
      </c>
      <c r="H174">
        <v>73.099999999999994</v>
      </c>
      <c r="I174">
        <v>19</v>
      </c>
      <c r="J174" s="45" t="s">
        <v>64</v>
      </c>
      <c r="K174" s="45">
        <f>IF(BrewdogNew[[#This Row],[Yeast]]=BrewdogNew[[#Headers],[Wyeast 1056 - American Ale]],1,0)</f>
        <v>1</v>
      </c>
      <c r="L174" s="45">
        <f>IF(BrewdogNew[[#This Row],[Yeast]]=BrewdogNew[[#Headers],[Wyeast 2007 - Pilsen Lager]],1,0)</f>
        <v>0</v>
      </c>
      <c r="M174" s="45">
        <f>IF(BrewdogNew[[#This Row],[Yeast]]=BrewdogNew[[#Headers],[Wyeast 3711 - French Saison]],1,0)</f>
        <v>0</v>
      </c>
      <c r="N174" s="45">
        <f>IF(BrewdogNew[[#This Row],[Yeast]]=BrewdogNew[[#Headers],[Wyeast 1272 - American Ale II]],1,0)</f>
        <v>0</v>
      </c>
      <c r="O174" s="45" t="str">
        <f>BrewdogNew[[#This Row],[Name]]</f>
        <v>Stereo Wolf Stout - Prototype Challenge</v>
      </c>
      <c r="P174" t="str">
        <f>IF(BrewdogNew[[#This Row],[ABV]]="*", BrewdogNew[[#This Row],[IBU]], "")</f>
        <v/>
      </c>
      <c r="Q174" t="str">
        <f>IF(BrewdogNew[[#This Row],[ABV]]="*", BrewdogNew[[#This Row],[OG]], "")</f>
        <v/>
      </c>
      <c r="R174" t="str">
        <f>IF(BrewdogNew[[#This Row],[ABV]]="*", BrewdogNew[[#This Row],[EBC]], "")</f>
        <v/>
      </c>
      <c r="S174" t="str">
        <f>IF(BrewdogNew[[#This Row],[ABV]]="*", BrewdogNew[[#This Row],[PH]], "")</f>
        <v/>
      </c>
      <c r="T174" t="str">
        <f>IF(BrewdogNew[[#This Row],[ABV]]="*", BrewdogNew[[#This Row],[AttenuationLevel]], "")</f>
        <v/>
      </c>
      <c r="U174" t="str">
        <f>IF(BrewdogNew[[#This Row],[ABV]]="*", BrewdogNew[[#This Row],[FermentationTempCelsius]], "")</f>
        <v/>
      </c>
      <c r="V174" t="str">
        <f>IF(BrewdogNew[[#This Row],[ABV]]="*", BrewdogNew[[#This Row],[Yeast]], "")</f>
        <v/>
      </c>
    </row>
    <row r="175" spans="1:22" hidden="1" x14ac:dyDescent="0.25">
      <c r="A175" s="45" t="s">
        <v>240</v>
      </c>
      <c r="B175">
        <v>6.8</v>
      </c>
      <c r="C175" s="2" t="s">
        <v>274</v>
      </c>
      <c r="D175">
        <v>30</v>
      </c>
      <c r="E175">
        <v>1068</v>
      </c>
      <c r="F175">
        <v>86</v>
      </c>
      <c r="G175">
        <v>4.4000000000000004</v>
      </c>
      <c r="H175">
        <v>76.5</v>
      </c>
      <c r="I175">
        <v>19</v>
      </c>
      <c r="J175" s="45" t="s">
        <v>64</v>
      </c>
      <c r="K175" s="45">
        <f>IF(BrewdogNew[[#This Row],[Yeast]]=BrewdogNew[[#Headers],[Wyeast 1056 - American Ale]],1,0)</f>
        <v>1</v>
      </c>
      <c r="L175" s="45">
        <f>IF(BrewdogNew[[#This Row],[Yeast]]=BrewdogNew[[#Headers],[Wyeast 2007 - Pilsen Lager]],1,0)</f>
        <v>0</v>
      </c>
      <c r="M175" s="45">
        <f>IF(BrewdogNew[[#This Row],[Yeast]]=BrewdogNew[[#Headers],[Wyeast 3711 - French Saison]],1,0)</f>
        <v>0</v>
      </c>
      <c r="N175" s="45">
        <f>IF(BrewdogNew[[#This Row],[Yeast]]=BrewdogNew[[#Headers],[Wyeast 1272 - American Ale II]],1,0)</f>
        <v>0</v>
      </c>
      <c r="O175" s="45" t="str">
        <f>BrewdogNew[[#This Row],[Name]]</f>
        <v>Dead Metaphor</v>
      </c>
      <c r="P175" t="str">
        <f>IF(BrewdogNew[[#This Row],[ABV]]="*", BrewdogNew[[#This Row],[IBU]], "")</f>
        <v/>
      </c>
      <c r="Q175" t="str">
        <f>IF(BrewdogNew[[#This Row],[ABV]]="*", BrewdogNew[[#This Row],[OG]], "")</f>
        <v/>
      </c>
      <c r="R175" t="str">
        <f>IF(BrewdogNew[[#This Row],[ABV]]="*", BrewdogNew[[#This Row],[EBC]], "")</f>
        <v/>
      </c>
      <c r="S175" t="str">
        <f>IF(BrewdogNew[[#This Row],[ABV]]="*", BrewdogNew[[#This Row],[PH]], "")</f>
        <v/>
      </c>
      <c r="T175" t="str">
        <f>IF(BrewdogNew[[#This Row],[ABV]]="*", BrewdogNew[[#This Row],[AttenuationLevel]], "")</f>
        <v/>
      </c>
      <c r="U175" t="str">
        <f>IF(BrewdogNew[[#This Row],[ABV]]="*", BrewdogNew[[#This Row],[FermentationTempCelsius]], "")</f>
        <v/>
      </c>
      <c r="V175" t="str">
        <f>IF(BrewdogNew[[#This Row],[ABV]]="*", BrewdogNew[[#This Row],[Yeast]], "")</f>
        <v/>
      </c>
    </row>
    <row r="176" spans="1:22" hidden="1" x14ac:dyDescent="0.25">
      <c r="A176" s="45" t="s">
        <v>241</v>
      </c>
      <c r="B176">
        <v>5.5</v>
      </c>
      <c r="C176" s="2" t="s">
        <v>274</v>
      </c>
      <c r="D176">
        <v>60</v>
      </c>
      <c r="E176">
        <v>1062</v>
      </c>
      <c r="F176">
        <v>230</v>
      </c>
      <c r="G176">
        <v>4.4000000000000004</v>
      </c>
      <c r="H176">
        <v>67.7</v>
      </c>
      <c r="I176">
        <v>19</v>
      </c>
      <c r="J176" s="45" t="s">
        <v>64</v>
      </c>
      <c r="K176" s="45">
        <f>IF(BrewdogNew[[#This Row],[Yeast]]=BrewdogNew[[#Headers],[Wyeast 1056 - American Ale]],1,0)</f>
        <v>1</v>
      </c>
      <c r="L176" s="45">
        <f>IF(BrewdogNew[[#This Row],[Yeast]]=BrewdogNew[[#Headers],[Wyeast 2007 - Pilsen Lager]],1,0)</f>
        <v>0</v>
      </c>
      <c r="M176" s="45">
        <f>IF(BrewdogNew[[#This Row],[Yeast]]=BrewdogNew[[#Headers],[Wyeast 3711 - French Saison]],1,0)</f>
        <v>0</v>
      </c>
      <c r="N176" s="45">
        <f>IF(BrewdogNew[[#This Row],[Yeast]]=BrewdogNew[[#Headers],[Wyeast 1272 - American Ale II]],1,0)</f>
        <v>0</v>
      </c>
      <c r="O176" s="45" t="str">
        <f>BrewdogNew[[#This Row],[Name]]</f>
        <v>Black Dog</v>
      </c>
      <c r="P176" t="str">
        <f>IF(BrewdogNew[[#This Row],[ABV]]="*", BrewdogNew[[#This Row],[IBU]], "")</f>
        <v/>
      </c>
      <c r="Q176" t="str">
        <f>IF(BrewdogNew[[#This Row],[ABV]]="*", BrewdogNew[[#This Row],[OG]], "")</f>
        <v/>
      </c>
      <c r="R176" t="str">
        <f>IF(BrewdogNew[[#This Row],[ABV]]="*", BrewdogNew[[#This Row],[EBC]], "")</f>
        <v/>
      </c>
      <c r="S176" t="str">
        <f>IF(BrewdogNew[[#This Row],[ABV]]="*", BrewdogNew[[#This Row],[PH]], "")</f>
        <v/>
      </c>
      <c r="T176" t="str">
        <f>IF(BrewdogNew[[#This Row],[ABV]]="*", BrewdogNew[[#This Row],[AttenuationLevel]], "")</f>
        <v/>
      </c>
      <c r="U176" t="str">
        <f>IF(BrewdogNew[[#This Row],[ABV]]="*", BrewdogNew[[#This Row],[FermentationTempCelsius]], "")</f>
        <v/>
      </c>
      <c r="V176" t="str">
        <f>IF(BrewdogNew[[#This Row],[ABV]]="*", BrewdogNew[[#This Row],[Yeast]], "")</f>
        <v/>
      </c>
    </row>
    <row r="177" spans="1:22" hidden="1" x14ac:dyDescent="0.25">
      <c r="A177" s="45" t="s">
        <v>242</v>
      </c>
      <c r="B177">
        <v>5.2</v>
      </c>
      <c r="C177" s="2" t="s">
        <v>274</v>
      </c>
      <c r="D177">
        <v>40</v>
      </c>
      <c r="E177">
        <v>1048</v>
      </c>
      <c r="F177">
        <v>13</v>
      </c>
      <c r="G177">
        <v>4.4000000000000004</v>
      </c>
      <c r="H177">
        <v>79.2</v>
      </c>
      <c r="I177">
        <v>19</v>
      </c>
      <c r="J177" s="45" t="s">
        <v>64</v>
      </c>
      <c r="K177" s="45">
        <f>IF(BrewdogNew[[#This Row],[Yeast]]=BrewdogNew[[#Headers],[Wyeast 1056 - American Ale]],1,0)</f>
        <v>1</v>
      </c>
      <c r="L177" s="45">
        <f>IF(BrewdogNew[[#This Row],[Yeast]]=BrewdogNew[[#Headers],[Wyeast 2007 - Pilsen Lager]],1,0)</f>
        <v>0</v>
      </c>
      <c r="M177" s="45">
        <f>IF(BrewdogNew[[#This Row],[Yeast]]=BrewdogNew[[#Headers],[Wyeast 3711 - French Saison]],1,0)</f>
        <v>0</v>
      </c>
      <c r="N177" s="45">
        <f>IF(BrewdogNew[[#This Row],[Yeast]]=BrewdogNew[[#Headers],[Wyeast 1272 - American Ale II]],1,0)</f>
        <v>0</v>
      </c>
      <c r="O177" s="45" t="str">
        <f>BrewdogNew[[#This Row],[Name]]</f>
        <v>Hop Fiction - Prototype Challenge</v>
      </c>
      <c r="P177" t="str">
        <f>IF(BrewdogNew[[#This Row],[ABV]]="*", BrewdogNew[[#This Row],[IBU]], "")</f>
        <v/>
      </c>
      <c r="Q177" t="str">
        <f>IF(BrewdogNew[[#This Row],[ABV]]="*", BrewdogNew[[#This Row],[OG]], "")</f>
        <v/>
      </c>
      <c r="R177" t="str">
        <f>IF(BrewdogNew[[#This Row],[ABV]]="*", BrewdogNew[[#This Row],[EBC]], "")</f>
        <v/>
      </c>
      <c r="S177" t="str">
        <f>IF(BrewdogNew[[#This Row],[ABV]]="*", BrewdogNew[[#This Row],[PH]], "")</f>
        <v/>
      </c>
      <c r="T177" t="str">
        <f>IF(BrewdogNew[[#This Row],[ABV]]="*", BrewdogNew[[#This Row],[AttenuationLevel]], "")</f>
        <v/>
      </c>
      <c r="U177" t="str">
        <f>IF(BrewdogNew[[#This Row],[ABV]]="*", BrewdogNew[[#This Row],[FermentationTempCelsius]], "")</f>
        <v/>
      </c>
      <c r="V177" t="str">
        <f>IF(BrewdogNew[[#This Row],[ABV]]="*", BrewdogNew[[#This Row],[Yeast]], "")</f>
        <v/>
      </c>
    </row>
    <row r="178" spans="1:22" hidden="1" x14ac:dyDescent="0.25">
      <c r="A178" s="45" t="s">
        <v>243</v>
      </c>
      <c r="B178">
        <v>6.7</v>
      </c>
      <c r="C178" s="2" t="s">
        <v>274</v>
      </c>
      <c r="D178">
        <v>70</v>
      </c>
      <c r="E178">
        <v>1066</v>
      </c>
      <c r="F178">
        <v>30</v>
      </c>
      <c r="G178">
        <v>4.4000000000000004</v>
      </c>
      <c r="H178">
        <v>77.3</v>
      </c>
      <c r="I178">
        <v>19</v>
      </c>
      <c r="J178" s="45" t="s">
        <v>64</v>
      </c>
      <c r="K178" s="45">
        <f>IF(BrewdogNew[[#This Row],[Yeast]]=BrewdogNew[[#Headers],[Wyeast 1056 - American Ale]],1,0)</f>
        <v>1</v>
      </c>
      <c r="L178" s="45">
        <f>IF(BrewdogNew[[#This Row],[Yeast]]=BrewdogNew[[#Headers],[Wyeast 2007 - Pilsen Lager]],1,0)</f>
        <v>0</v>
      </c>
      <c r="M178" s="45">
        <f>IF(BrewdogNew[[#This Row],[Yeast]]=BrewdogNew[[#Headers],[Wyeast 3711 - French Saison]],1,0)</f>
        <v>0</v>
      </c>
      <c r="N178" s="45">
        <f>IF(BrewdogNew[[#This Row],[Yeast]]=BrewdogNew[[#Headers],[Wyeast 1272 - American Ale II]],1,0)</f>
        <v>0</v>
      </c>
      <c r="O178" s="45" t="str">
        <f>BrewdogNew[[#This Row],[Name]]</f>
        <v>El Dorado - IPA Is Dead</v>
      </c>
      <c r="P178" t="str">
        <f>IF(BrewdogNew[[#This Row],[ABV]]="*", BrewdogNew[[#This Row],[IBU]], "")</f>
        <v/>
      </c>
      <c r="Q178" t="str">
        <f>IF(BrewdogNew[[#This Row],[ABV]]="*", BrewdogNew[[#This Row],[OG]], "")</f>
        <v/>
      </c>
      <c r="R178" t="str">
        <f>IF(BrewdogNew[[#This Row],[ABV]]="*", BrewdogNew[[#This Row],[EBC]], "")</f>
        <v/>
      </c>
      <c r="S178" t="str">
        <f>IF(BrewdogNew[[#This Row],[ABV]]="*", BrewdogNew[[#This Row],[PH]], "")</f>
        <v/>
      </c>
      <c r="T178" t="str">
        <f>IF(BrewdogNew[[#This Row],[ABV]]="*", BrewdogNew[[#This Row],[AttenuationLevel]], "")</f>
        <v/>
      </c>
      <c r="U178" t="str">
        <f>IF(BrewdogNew[[#This Row],[ABV]]="*", BrewdogNew[[#This Row],[FermentationTempCelsius]], "")</f>
        <v/>
      </c>
      <c r="V178" t="str">
        <f>IF(BrewdogNew[[#This Row],[ABV]]="*", BrewdogNew[[#This Row],[Yeast]], "")</f>
        <v/>
      </c>
    </row>
    <row r="179" spans="1:22" hidden="1" x14ac:dyDescent="0.25">
      <c r="A179" s="45" t="s">
        <v>244</v>
      </c>
      <c r="B179">
        <v>5</v>
      </c>
      <c r="C179" s="2" t="s">
        <v>274</v>
      </c>
      <c r="D179">
        <v>50</v>
      </c>
      <c r="E179">
        <v>1053</v>
      </c>
      <c r="F179">
        <v>200</v>
      </c>
      <c r="G179">
        <v>4.4000000000000004</v>
      </c>
      <c r="H179">
        <v>73.599999999999994</v>
      </c>
      <c r="I179">
        <v>19</v>
      </c>
      <c r="J179" s="45" t="s">
        <v>64</v>
      </c>
      <c r="K179" s="45">
        <f>IF(BrewdogNew[[#This Row],[Yeast]]=BrewdogNew[[#Headers],[Wyeast 1056 - American Ale]],1,0)</f>
        <v>1</v>
      </c>
      <c r="L179" s="45">
        <f>IF(BrewdogNew[[#This Row],[Yeast]]=BrewdogNew[[#Headers],[Wyeast 2007 - Pilsen Lager]],1,0)</f>
        <v>0</v>
      </c>
      <c r="M179" s="45">
        <f>IF(BrewdogNew[[#This Row],[Yeast]]=BrewdogNew[[#Headers],[Wyeast 3711 - French Saison]],1,0)</f>
        <v>0</v>
      </c>
      <c r="N179" s="45">
        <f>IF(BrewdogNew[[#This Row],[Yeast]]=BrewdogNew[[#Headers],[Wyeast 1272 - American Ale II]],1,0)</f>
        <v>0</v>
      </c>
      <c r="O179" s="45" t="str">
        <f>BrewdogNew[[#This Row],[Name]]</f>
        <v>Brixton Porter</v>
      </c>
      <c r="P179" t="str">
        <f>IF(BrewdogNew[[#This Row],[ABV]]="*", BrewdogNew[[#This Row],[IBU]], "")</f>
        <v/>
      </c>
      <c r="Q179" t="str">
        <f>IF(BrewdogNew[[#This Row],[ABV]]="*", BrewdogNew[[#This Row],[OG]], "")</f>
        <v/>
      </c>
      <c r="R179" t="str">
        <f>IF(BrewdogNew[[#This Row],[ABV]]="*", BrewdogNew[[#This Row],[EBC]], "")</f>
        <v/>
      </c>
      <c r="S179" t="str">
        <f>IF(BrewdogNew[[#This Row],[ABV]]="*", BrewdogNew[[#This Row],[PH]], "")</f>
        <v/>
      </c>
      <c r="T179" t="str">
        <f>IF(BrewdogNew[[#This Row],[ABV]]="*", BrewdogNew[[#This Row],[AttenuationLevel]], "")</f>
        <v/>
      </c>
      <c r="U179" t="str">
        <f>IF(BrewdogNew[[#This Row],[ABV]]="*", BrewdogNew[[#This Row],[FermentationTempCelsius]], "")</f>
        <v/>
      </c>
      <c r="V179" t="str">
        <f>IF(BrewdogNew[[#This Row],[ABV]]="*", BrewdogNew[[#This Row],[Yeast]], "")</f>
        <v/>
      </c>
    </row>
    <row r="180" spans="1:22" hidden="1" x14ac:dyDescent="0.25">
      <c r="A180" s="45" t="s">
        <v>245</v>
      </c>
      <c r="B180">
        <v>9</v>
      </c>
      <c r="C180" s="2" t="s">
        <v>274</v>
      </c>
      <c r="D180">
        <v>85</v>
      </c>
      <c r="E180">
        <v>1094</v>
      </c>
      <c r="F180">
        <v>400</v>
      </c>
      <c r="G180">
        <v>4.3</v>
      </c>
      <c r="H180">
        <v>73.400000000000006</v>
      </c>
      <c r="I180">
        <v>21</v>
      </c>
      <c r="J180" s="45" t="s">
        <v>80</v>
      </c>
      <c r="K180" s="45">
        <f>IF(BrewdogNew[[#This Row],[Yeast]]=BrewdogNew[[#Headers],[Wyeast 1056 - American Ale]],1,0)</f>
        <v>0</v>
      </c>
      <c r="L180" s="45">
        <f>IF(BrewdogNew[[#This Row],[Yeast]]=BrewdogNew[[#Headers],[Wyeast 2007 - Pilsen Lager]],1,0)</f>
        <v>0</v>
      </c>
      <c r="M180" s="45">
        <f>IF(BrewdogNew[[#This Row],[Yeast]]=BrewdogNew[[#Headers],[Wyeast 3711 - French Saison]],1,0)</f>
        <v>0</v>
      </c>
      <c r="N180" s="45">
        <f>IF(BrewdogNew[[#This Row],[Yeast]]=BrewdogNew[[#Headers],[Wyeast 1272 - American Ale II]],1,0)</f>
        <v>1</v>
      </c>
      <c r="O180" s="45" t="str">
        <f>BrewdogNew[[#This Row],[Name]]</f>
        <v>Barrel Aged Hinterland</v>
      </c>
      <c r="P180" t="str">
        <f>IF(BrewdogNew[[#This Row],[ABV]]="*", BrewdogNew[[#This Row],[IBU]], "")</f>
        <v/>
      </c>
      <c r="Q180" t="str">
        <f>IF(BrewdogNew[[#This Row],[ABV]]="*", BrewdogNew[[#This Row],[OG]], "")</f>
        <v/>
      </c>
      <c r="R180" t="str">
        <f>IF(BrewdogNew[[#This Row],[ABV]]="*", BrewdogNew[[#This Row],[EBC]], "")</f>
        <v/>
      </c>
      <c r="S180" t="str">
        <f>IF(BrewdogNew[[#This Row],[ABV]]="*", BrewdogNew[[#This Row],[PH]], "")</f>
        <v/>
      </c>
      <c r="T180" t="str">
        <f>IF(BrewdogNew[[#This Row],[ABV]]="*", BrewdogNew[[#This Row],[AttenuationLevel]], "")</f>
        <v/>
      </c>
      <c r="U180" t="str">
        <f>IF(BrewdogNew[[#This Row],[ABV]]="*", BrewdogNew[[#This Row],[FermentationTempCelsius]], "")</f>
        <v/>
      </c>
      <c r="V180" t="str">
        <f>IF(BrewdogNew[[#This Row],[ABV]]="*", BrewdogNew[[#This Row],[Yeast]], "")</f>
        <v/>
      </c>
    </row>
    <row r="181" spans="1:22" hidden="1" x14ac:dyDescent="0.25">
      <c r="A181" s="45" t="s">
        <v>246</v>
      </c>
      <c r="B181">
        <v>9.1999999999999993</v>
      </c>
      <c r="C181" s="2" t="s">
        <v>274</v>
      </c>
      <c r="D181">
        <v>65</v>
      </c>
      <c r="E181">
        <v>1069</v>
      </c>
      <c r="F181">
        <v>60</v>
      </c>
      <c r="G181">
        <v>4.2</v>
      </c>
      <c r="H181">
        <v>82.6</v>
      </c>
      <c r="I181">
        <v>18</v>
      </c>
      <c r="J181" s="45" t="s">
        <v>64</v>
      </c>
      <c r="K181" s="45">
        <f>IF(BrewdogNew[[#This Row],[Yeast]]=BrewdogNew[[#Headers],[Wyeast 1056 - American Ale]],1,0)</f>
        <v>1</v>
      </c>
      <c r="L181" s="45">
        <f>IF(BrewdogNew[[#This Row],[Yeast]]=BrewdogNew[[#Headers],[Wyeast 2007 - Pilsen Lager]],1,0)</f>
        <v>0</v>
      </c>
      <c r="M181" s="45">
        <f>IF(BrewdogNew[[#This Row],[Yeast]]=BrewdogNew[[#Headers],[Wyeast 3711 - French Saison]],1,0)</f>
        <v>0</v>
      </c>
      <c r="N181" s="45">
        <f>IF(BrewdogNew[[#This Row],[Yeast]]=BrewdogNew[[#Headers],[Wyeast 1272 - American Ale II]],1,0)</f>
        <v>0</v>
      </c>
      <c r="O181" s="45" t="str">
        <f>BrewdogNew[[#This Row],[Name]]</f>
        <v>Barrel Aged Albino Squid Assassin</v>
      </c>
      <c r="P181" t="str">
        <f>IF(BrewdogNew[[#This Row],[ABV]]="*", BrewdogNew[[#This Row],[IBU]], "")</f>
        <v/>
      </c>
      <c r="Q181" t="str">
        <f>IF(BrewdogNew[[#This Row],[ABV]]="*", BrewdogNew[[#This Row],[OG]], "")</f>
        <v/>
      </c>
      <c r="R181" t="str">
        <f>IF(BrewdogNew[[#This Row],[ABV]]="*", BrewdogNew[[#This Row],[EBC]], "")</f>
        <v/>
      </c>
      <c r="S181" t="str">
        <f>IF(BrewdogNew[[#This Row],[ABV]]="*", BrewdogNew[[#This Row],[PH]], "")</f>
        <v/>
      </c>
      <c r="T181" t="str">
        <f>IF(BrewdogNew[[#This Row],[ABV]]="*", BrewdogNew[[#This Row],[AttenuationLevel]], "")</f>
        <v/>
      </c>
      <c r="U181" t="str">
        <f>IF(BrewdogNew[[#This Row],[ABV]]="*", BrewdogNew[[#This Row],[FermentationTempCelsius]], "")</f>
        <v/>
      </c>
      <c r="V181" t="str">
        <f>IF(BrewdogNew[[#This Row],[ABV]]="*", BrewdogNew[[#This Row],[Yeast]], "")</f>
        <v/>
      </c>
    </row>
    <row r="182" spans="1:22" hidden="1" x14ac:dyDescent="0.25">
      <c r="A182" s="45" t="s">
        <v>247</v>
      </c>
      <c r="B182">
        <v>13.8</v>
      </c>
      <c r="C182" s="2" t="s">
        <v>274</v>
      </c>
      <c r="D182">
        <v>60</v>
      </c>
      <c r="E182">
        <v>1088</v>
      </c>
      <c r="F182">
        <v>25</v>
      </c>
      <c r="G182">
        <v>4.4000000000000004</v>
      </c>
      <c r="H182">
        <v>83</v>
      </c>
      <c r="I182">
        <v>21</v>
      </c>
      <c r="J182" s="45" t="s">
        <v>80</v>
      </c>
      <c r="K182" s="45">
        <f>IF(BrewdogNew[[#This Row],[Yeast]]=BrewdogNew[[#Headers],[Wyeast 1056 - American Ale]],1,0)</f>
        <v>0</v>
      </c>
      <c r="L182" s="45">
        <f>IF(BrewdogNew[[#This Row],[Yeast]]=BrewdogNew[[#Headers],[Wyeast 2007 - Pilsen Lager]],1,0)</f>
        <v>0</v>
      </c>
      <c r="M182" s="45">
        <f>IF(BrewdogNew[[#This Row],[Yeast]]=BrewdogNew[[#Headers],[Wyeast 3711 - French Saison]],1,0)</f>
        <v>0</v>
      </c>
      <c r="N182" s="45">
        <f>IF(BrewdogNew[[#This Row],[Yeast]]=BrewdogNew[[#Headers],[Wyeast 1272 - American Ale II]],1,0)</f>
        <v>1</v>
      </c>
      <c r="O182" s="45" t="str">
        <f>BrewdogNew[[#This Row],[Name]]</f>
        <v>Ship Wreck</v>
      </c>
      <c r="P182" t="str">
        <f>IF(BrewdogNew[[#This Row],[ABV]]="*", BrewdogNew[[#This Row],[IBU]], "")</f>
        <v/>
      </c>
      <c r="Q182" t="str">
        <f>IF(BrewdogNew[[#This Row],[ABV]]="*", BrewdogNew[[#This Row],[OG]], "")</f>
        <v/>
      </c>
      <c r="R182" t="str">
        <f>IF(BrewdogNew[[#This Row],[ABV]]="*", BrewdogNew[[#This Row],[EBC]], "")</f>
        <v/>
      </c>
      <c r="S182" t="str">
        <f>IF(BrewdogNew[[#This Row],[ABV]]="*", BrewdogNew[[#This Row],[PH]], "")</f>
        <v/>
      </c>
      <c r="T182" t="str">
        <f>IF(BrewdogNew[[#This Row],[ABV]]="*", BrewdogNew[[#This Row],[AttenuationLevel]], "")</f>
        <v/>
      </c>
      <c r="U182" t="str">
        <f>IF(BrewdogNew[[#This Row],[ABV]]="*", BrewdogNew[[#This Row],[FermentationTempCelsius]], "")</f>
        <v/>
      </c>
      <c r="V182" t="str">
        <f>IF(BrewdogNew[[#This Row],[ABV]]="*", BrewdogNew[[#This Row],[Yeast]], "")</f>
        <v/>
      </c>
    </row>
    <row r="183" spans="1:22" hidden="1" x14ac:dyDescent="0.25">
      <c r="A183" s="45" t="s">
        <v>248</v>
      </c>
      <c r="B183">
        <v>4.5</v>
      </c>
      <c r="C183" s="2" t="s">
        <v>274</v>
      </c>
      <c r="D183">
        <v>40</v>
      </c>
      <c r="E183">
        <v>1045</v>
      </c>
      <c r="F183">
        <v>18</v>
      </c>
      <c r="G183">
        <v>4.2</v>
      </c>
      <c r="H183">
        <v>75.599999999999994</v>
      </c>
      <c r="I183">
        <v>19</v>
      </c>
      <c r="J183" s="45" t="s">
        <v>64</v>
      </c>
      <c r="K183" s="45">
        <f>IF(BrewdogNew[[#This Row],[Yeast]]=BrewdogNew[[#Headers],[Wyeast 1056 - American Ale]],1,0)</f>
        <v>1</v>
      </c>
      <c r="L183" s="45">
        <f>IF(BrewdogNew[[#This Row],[Yeast]]=BrewdogNew[[#Headers],[Wyeast 2007 - Pilsen Lager]],1,0)</f>
        <v>0</v>
      </c>
      <c r="M183" s="45">
        <f>IF(BrewdogNew[[#This Row],[Yeast]]=BrewdogNew[[#Headers],[Wyeast 3711 - French Saison]],1,0)</f>
        <v>0</v>
      </c>
      <c r="N183" s="45">
        <f>IF(BrewdogNew[[#This Row],[Yeast]]=BrewdogNew[[#Headers],[Wyeast 1272 - American Ale II]],1,0)</f>
        <v>0</v>
      </c>
      <c r="O183" s="45" t="str">
        <f>BrewdogNew[[#This Row],[Name]]</f>
        <v>Ace Of Simcoe</v>
      </c>
      <c r="P183" t="str">
        <f>IF(BrewdogNew[[#This Row],[ABV]]="*", BrewdogNew[[#This Row],[IBU]], "")</f>
        <v/>
      </c>
      <c r="Q183" t="str">
        <f>IF(BrewdogNew[[#This Row],[ABV]]="*", BrewdogNew[[#This Row],[OG]], "")</f>
        <v/>
      </c>
      <c r="R183" t="str">
        <f>IF(BrewdogNew[[#This Row],[ABV]]="*", BrewdogNew[[#This Row],[EBC]], "")</f>
        <v/>
      </c>
      <c r="S183" t="str">
        <f>IF(BrewdogNew[[#This Row],[ABV]]="*", BrewdogNew[[#This Row],[PH]], "")</f>
        <v/>
      </c>
      <c r="T183" t="str">
        <f>IF(BrewdogNew[[#This Row],[ABV]]="*", BrewdogNew[[#This Row],[AttenuationLevel]], "")</f>
        <v/>
      </c>
      <c r="U183" t="str">
        <f>IF(BrewdogNew[[#This Row],[ABV]]="*", BrewdogNew[[#This Row],[FermentationTempCelsius]], "")</f>
        <v/>
      </c>
      <c r="V183" t="str">
        <f>IF(BrewdogNew[[#This Row],[ABV]]="*", BrewdogNew[[#This Row],[Yeast]], "")</f>
        <v/>
      </c>
    </row>
    <row r="184" spans="1:22" hidden="1" x14ac:dyDescent="0.25">
      <c r="A184" s="45" t="s">
        <v>249</v>
      </c>
      <c r="B184">
        <v>3.2</v>
      </c>
      <c r="C184" s="2" t="s">
        <v>274</v>
      </c>
      <c r="D184">
        <v>8</v>
      </c>
      <c r="E184">
        <v>1007</v>
      </c>
      <c r="F184">
        <v>8</v>
      </c>
      <c r="G184">
        <v>3.2</v>
      </c>
      <c r="H184">
        <v>78</v>
      </c>
      <c r="I184">
        <v>21</v>
      </c>
      <c r="J184" s="45" t="s">
        <v>64</v>
      </c>
      <c r="K184" s="45">
        <f>IF(BrewdogNew[[#This Row],[Yeast]]=BrewdogNew[[#Headers],[Wyeast 1056 - American Ale]],1,0)</f>
        <v>1</v>
      </c>
      <c r="L184" s="45">
        <f>IF(BrewdogNew[[#This Row],[Yeast]]=BrewdogNew[[#Headers],[Wyeast 2007 - Pilsen Lager]],1,0)</f>
        <v>0</v>
      </c>
      <c r="M184" s="45">
        <f>IF(BrewdogNew[[#This Row],[Yeast]]=BrewdogNew[[#Headers],[Wyeast 3711 - French Saison]],1,0)</f>
        <v>0</v>
      </c>
      <c r="N184" s="45">
        <f>IF(BrewdogNew[[#This Row],[Yeast]]=BrewdogNew[[#Headers],[Wyeast 1272 - American Ale II]],1,0)</f>
        <v>0</v>
      </c>
      <c r="O184" s="45" t="str">
        <f>BrewdogNew[[#This Row],[Name]]</f>
        <v>Blitz Series</v>
      </c>
      <c r="P184" t="str">
        <f>IF(BrewdogNew[[#This Row],[ABV]]="*", BrewdogNew[[#This Row],[IBU]], "")</f>
        <v/>
      </c>
      <c r="Q184" t="str">
        <f>IF(BrewdogNew[[#This Row],[ABV]]="*", BrewdogNew[[#This Row],[OG]], "")</f>
        <v/>
      </c>
      <c r="R184" t="str">
        <f>IF(BrewdogNew[[#This Row],[ABV]]="*", BrewdogNew[[#This Row],[EBC]], "")</f>
        <v/>
      </c>
      <c r="S184" t="str">
        <f>IF(BrewdogNew[[#This Row],[ABV]]="*", BrewdogNew[[#This Row],[PH]], "")</f>
        <v/>
      </c>
      <c r="T184" t="str">
        <f>IF(BrewdogNew[[#This Row],[ABV]]="*", BrewdogNew[[#This Row],[AttenuationLevel]], "")</f>
        <v/>
      </c>
      <c r="U184" t="str">
        <f>IF(BrewdogNew[[#This Row],[ABV]]="*", BrewdogNew[[#This Row],[FermentationTempCelsius]], "")</f>
        <v/>
      </c>
      <c r="V184" t="str">
        <f>IF(BrewdogNew[[#This Row],[ABV]]="*", BrewdogNew[[#This Row],[Yeast]], "")</f>
        <v/>
      </c>
    </row>
    <row r="185" spans="1:22" hidden="1" x14ac:dyDescent="0.25">
      <c r="A185" s="45" t="s">
        <v>250</v>
      </c>
      <c r="B185">
        <v>16.100000000000001</v>
      </c>
      <c r="C185" s="2" t="s">
        <v>274</v>
      </c>
      <c r="D185">
        <v>100</v>
      </c>
      <c r="E185">
        <v>1015</v>
      </c>
      <c r="F185">
        <v>500</v>
      </c>
      <c r="G185">
        <v>4.4000000000000004</v>
      </c>
      <c r="H185">
        <v>84</v>
      </c>
      <c r="I185">
        <v>21</v>
      </c>
      <c r="J185" s="45" t="s">
        <v>80</v>
      </c>
      <c r="K185" s="45">
        <f>IF(BrewdogNew[[#This Row],[Yeast]]=BrewdogNew[[#Headers],[Wyeast 1056 - American Ale]],1,0)</f>
        <v>0</v>
      </c>
      <c r="L185" s="45">
        <f>IF(BrewdogNew[[#This Row],[Yeast]]=BrewdogNew[[#Headers],[Wyeast 2007 - Pilsen Lager]],1,0)</f>
        <v>0</v>
      </c>
      <c r="M185" s="45">
        <f>IF(BrewdogNew[[#This Row],[Yeast]]=BrewdogNew[[#Headers],[Wyeast 3711 - French Saison]],1,0)</f>
        <v>0</v>
      </c>
      <c r="N185" s="45">
        <f>IF(BrewdogNew[[#This Row],[Yeast]]=BrewdogNew[[#Headers],[Wyeast 1272 - American Ale II]],1,0)</f>
        <v>1</v>
      </c>
      <c r="O185" s="45" t="str">
        <f>BrewdogNew[[#This Row],[Name]]</f>
        <v>Dog E</v>
      </c>
      <c r="P185" t="str">
        <f>IF(BrewdogNew[[#This Row],[ABV]]="*", BrewdogNew[[#This Row],[IBU]], "")</f>
        <v/>
      </c>
      <c r="Q185" t="str">
        <f>IF(BrewdogNew[[#This Row],[ABV]]="*", BrewdogNew[[#This Row],[OG]], "")</f>
        <v/>
      </c>
      <c r="R185" t="str">
        <f>IF(BrewdogNew[[#This Row],[ABV]]="*", BrewdogNew[[#This Row],[EBC]], "")</f>
        <v/>
      </c>
      <c r="S185" t="str">
        <f>IF(BrewdogNew[[#This Row],[ABV]]="*", BrewdogNew[[#This Row],[PH]], "")</f>
        <v/>
      </c>
      <c r="T185" t="str">
        <f>IF(BrewdogNew[[#This Row],[ABV]]="*", BrewdogNew[[#This Row],[AttenuationLevel]], "")</f>
        <v/>
      </c>
      <c r="U185" t="str">
        <f>IF(BrewdogNew[[#This Row],[ABV]]="*", BrewdogNew[[#This Row],[FermentationTempCelsius]], "")</f>
        <v/>
      </c>
      <c r="V185" t="str">
        <f>IF(BrewdogNew[[#This Row],[ABV]]="*", BrewdogNew[[#This Row],[Yeast]], "")</f>
        <v/>
      </c>
    </row>
    <row r="186" spans="1:22" hidden="1" x14ac:dyDescent="0.25">
      <c r="A186" s="45" t="s">
        <v>251</v>
      </c>
      <c r="B186">
        <v>4.7</v>
      </c>
      <c r="C186" s="2" t="s">
        <v>274</v>
      </c>
      <c r="D186">
        <v>25</v>
      </c>
      <c r="E186">
        <v>1008</v>
      </c>
      <c r="F186">
        <v>25</v>
      </c>
      <c r="G186">
        <v>4.2</v>
      </c>
      <c r="H186">
        <v>75.599999999999994</v>
      </c>
      <c r="I186">
        <v>12</v>
      </c>
      <c r="J186" s="45" t="s">
        <v>68</v>
      </c>
      <c r="K186" s="45">
        <f>IF(BrewdogNew[[#This Row],[Yeast]]=BrewdogNew[[#Headers],[Wyeast 1056 - American Ale]],1,0)</f>
        <v>0</v>
      </c>
      <c r="L186" s="45">
        <f>IF(BrewdogNew[[#This Row],[Yeast]]=BrewdogNew[[#Headers],[Wyeast 2007 - Pilsen Lager]],1,0)</f>
        <v>1</v>
      </c>
      <c r="M186" s="45">
        <f>IF(BrewdogNew[[#This Row],[Yeast]]=BrewdogNew[[#Headers],[Wyeast 3711 - French Saison]],1,0)</f>
        <v>0</v>
      </c>
      <c r="N186" s="45">
        <f>IF(BrewdogNew[[#This Row],[Yeast]]=BrewdogNew[[#Headers],[Wyeast 1272 - American Ale II]],1,0)</f>
        <v>0</v>
      </c>
      <c r="O186" s="45" t="str">
        <f>BrewdogNew[[#This Row],[Name]]</f>
        <v>Prototype Pils 2.0</v>
      </c>
      <c r="P186" t="str">
        <f>IF(BrewdogNew[[#This Row],[ABV]]="*", BrewdogNew[[#This Row],[IBU]], "")</f>
        <v/>
      </c>
      <c r="Q186" t="str">
        <f>IF(BrewdogNew[[#This Row],[ABV]]="*", BrewdogNew[[#This Row],[OG]], "")</f>
        <v/>
      </c>
      <c r="R186" t="str">
        <f>IF(BrewdogNew[[#This Row],[ABV]]="*", BrewdogNew[[#This Row],[EBC]], "")</f>
        <v/>
      </c>
      <c r="S186" t="str">
        <f>IF(BrewdogNew[[#This Row],[ABV]]="*", BrewdogNew[[#This Row],[PH]], "")</f>
        <v/>
      </c>
      <c r="T186" t="str">
        <f>IF(BrewdogNew[[#This Row],[ABV]]="*", BrewdogNew[[#This Row],[AttenuationLevel]], "")</f>
        <v/>
      </c>
      <c r="U186" t="str">
        <f>IF(BrewdogNew[[#This Row],[ABV]]="*", BrewdogNew[[#This Row],[FermentationTempCelsius]], "")</f>
        <v/>
      </c>
      <c r="V186" t="str">
        <f>IF(BrewdogNew[[#This Row],[ABV]]="*", BrewdogNew[[#This Row],[Yeast]], "")</f>
        <v/>
      </c>
    </row>
    <row r="187" spans="1:22" hidden="1" x14ac:dyDescent="0.25">
      <c r="A187" s="45" t="s">
        <v>252</v>
      </c>
      <c r="B187">
        <v>14.2</v>
      </c>
      <c r="C187" s="2" t="s">
        <v>274</v>
      </c>
      <c r="D187">
        <v>20</v>
      </c>
      <c r="E187">
        <v>1025</v>
      </c>
      <c r="F187">
        <v>67</v>
      </c>
      <c r="G187">
        <v>4</v>
      </c>
      <c r="H187">
        <v>75.599999999999994</v>
      </c>
      <c r="I187">
        <v>21</v>
      </c>
      <c r="J187" s="45" t="s">
        <v>80</v>
      </c>
      <c r="K187" s="45">
        <f>IF(BrewdogNew[[#This Row],[Yeast]]=BrewdogNew[[#Headers],[Wyeast 1056 - American Ale]],1,0)</f>
        <v>0</v>
      </c>
      <c r="L187" s="45">
        <f>IF(BrewdogNew[[#This Row],[Yeast]]=BrewdogNew[[#Headers],[Wyeast 2007 - Pilsen Lager]],1,0)</f>
        <v>0</v>
      </c>
      <c r="M187" s="45">
        <f>IF(BrewdogNew[[#This Row],[Yeast]]=BrewdogNew[[#Headers],[Wyeast 3711 - French Saison]],1,0)</f>
        <v>0</v>
      </c>
      <c r="N187" s="45">
        <f>IF(BrewdogNew[[#This Row],[Yeast]]=BrewdogNew[[#Headers],[Wyeast 1272 - American Ale II]],1,0)</f>
        <v>1</v>
      </c>
      <c r="O187" s="45" t="str">
        <f>BrewdogNew[[#This Row],[Name]]</f>
        <v>AB:20</v>
      </c>
      <c r="P187" t="str">
        <f>IF(BrewdogNew[[#This Row],[ABV]]="*", BrewdogNew[[#This Row],[IBU]], "")</f>
        <v/>
      </c>
      <c r="Q187" t="str">
        <f>IF(BrewdogNew[[#This Row],[ABV]]="*", BrewdogNew[[#This Row],[OG]], "")</f>
        <v/>
      </c>
      <c r="R187" t="str">
        <f>IF(BrewdogNew[[#This Row],[ABV]]="*", BrewdogNew[[#This Row],[EBC]], "")</f>
        <v/>
      </c>
      <c r="S187" t="str">
        <f>IF(BrewdogNew[[#This Row],[ABV]]="*", BrewdogNew[[#This Row],[PH]], "")</f>
        <v/>
      </c>
      <c r="T187" t="str">
        <f>IF(BrewdogNew[[#This Row],[ABV]]="*", BrewdogNew[[#This Row],[AttenuationLevel]], "")</f>
        <v/>
      </c>
      <c r="U187" t="str">
        <f>IF(BrewdogNew[[#This Row],[ABV]]="*", BrewdogNew[[#This Row],[FermentationTempCelsius]], "")</f>
        <v/>
      </c>
      <c r="V187" t="str">
        <f>IF(BrewdogNew[[#This Row],[ABV]]="*", BrewdogNew[[#This Row],[Yeast]], "")</f>
        <v/>
      </c>
    </row>
    <row r="188" spans="1:22" hidden="1" x14ac:dyDescent="0.25">
      <c r="A188" s="45" t="s">
        <v>253</v>
      </c>
      <c r="B188">
        <v>13</v>
      </c>
      <c r="C188" s="2" t="s">
        <v>274</v>
      </c>
      <c r="D188">
        <v>100</v>
      </c>
      <c r="E188">
        <v>1015</v>
      </c>
      <c r="F188">
        <v>300</v>
      </c>
      <c r="G188">
        <v>4.4000000000000004</v>
      </c>
      <c r="H188">
        <v>84.4</v>
      </c>
      <c r="I188">
        <v>21</v>
      </c>
      <c r="J188" s="45" t="s">
        <v>80</v>
      </c>
      <c r="K188" s="45">
        <f>IF(BrewdogNew[[#This Row],[Yeast]]=BrewdogNew[[#Headers],[Wyeast 1056 - American Ale]],1,0)</f>
        <v>0</v>
      </c>
      <c r="L188" s="45">
        <f>IF(BrewdogNew[[#This Row],[Yeast]]=BrewdogNew[[#Headers],[Wyeast 2007 - Pilsen Lager]],1,0)</f>
        <v>0</v>
      </c>
      <c r="M188" s="45">
        <f>IF(BrewdogNew[[#This Row],[Yeast]]=BrewdogNew[[#Headers],[Wyeast 3711 - French Saison]],1,0)</f>
        <v>0</v>
      </c>
      <c r="N188" s="45">
        <f>IF(BrewdogNew[[#This Row],[Yeast]]=BrewdogNew[[#Headers],[Wyeast 1272 - American Ale II]],1,0)</f>
        <v>1</v>
      </c>
      <c r="O188" s="45" t="str">
        <f>BrewdogNew[[#This Row],[Name]]</f>
        <v>Paradox Islay 2.0</v>
      </c>
      <c r="P188" t="str">
        <f>IF(BrewdogNew[[#This Row],[ABV]]="*", BrewdogNew[[#This Row],[IBU]], "")</f>
        <v/>
      </c>
      <c r="Q188" t="str">
        <f>IF(BrewdogNew[[#This Row],[ABV]]="*", BrewdogNew[[#This Row],[OG]], "")</f>
        <v/>
      </c>
      <c r="R188" t="str">
        <f>IF(BrewdogNew[[#This Row],[ABV]]="*", BrewdogNew[[#This Row],[EBC]], "")</f>
        <v/>
      </c>
      <c r="S188" t="str">
        <f>IF(BrewdogNew[[#This Row],[ABV]]="*", BrewdogNew[[#This Row],[PH]], "")</f>
        <v/>
      </c>
      <c r="T188" t="str">
        <f>IF(BrewdogNew[[#This Row],[ABV]]="*", BrewdogNew[[#This Row],[AttenuationLevel]], "")</f>
        <v/>
      </c>
      <c r="U188" t="str">
        <f>IF(BrewdogNew[[#This Row],[ABV]]="*", BrewdogNew[[#This Row],[FermentationTempCelsius]], "")</f>
        <v/>
      </c>
      <c r="V188" t="str">
        <f>IF(BrewdogNew[[#This Row],[ABV]]="*", BrewdogNew[[#This Row],[Yeast]], "")</f>
        <v/>
      </c>
    </row>
    <row r="189" spans="1:22" hidden="1" x14ac:dyDescent="0.25">
      <c r="A189" s="45" t="s">
        <v>254</v>
      </c>
      <c r="B189">
        <v>7.2</v>
      </c>
      <c r="C189" s="2" t="s">
        <v>274</v>
      </c>
      <c r="D189">
        <v>250</v>
      </c>
      <c r="E189">
        <v>1065</v>
      </c>
      <c r="F189">
        <v>15</v>
      </c>
      <c r="G189">
        <v>4.4000000000000004</v>
      </c>
      <c r="H189">
        <v>84.6</v>
      </c>
      <c r="I189">
        <v>21</v>
      </c>
      <c r="J189" s="45" t="s">
        <v>80</v>
      </c>
      <c r="K189" s="45">
        <f>IF(BrewdogNew[[#This Row],[Yeast]]=BrewdogNew[[#Headers],[Wyeast 1056 - American Ale]],1,0)</f>
        <v>0</v>
      </c>
      <c r="L189" s="45">
        <f>IF(BrewdogNew[[#This Row],[Yeast]]=BrewdogNew[[#Headers],[Wyeast 2007 - Pilsen Lager]],1,0)</f>
        <v>0</v>
      </c>
      <c r="M189" s="45">
        <f>IF(BrewdogNew[[#This Row],[Yeast]]=BrewdogNew[[#Headers],[Wyeast 3711 - French Saison]],1,0)</f>
        <v>0</v>
      </c>
      <c r="N189" s="45">
        <f>IF(BrewdogNew[[#This Row],[Yeast]]=BrewdogNew[[#Headers],[Wyeast 1272 - American Ale II]],1,0)</f>
        <v>1</v>
      </c>
      <c r="O189" s="45" t="str">
        <f>BrewdogNew[[#This Row],[Name]]</f>
        <v>Chili Hammer</v>
      </c>
      <c r="P189" t="str">
        <f>IF(BrewdogNew[[#This Row],[ABV]]="*", BrewdogNew[[#This Row],[IBU]], "")</f>
        <v/>
      </c>
      <c r="Q189" t="str">
        <f>IF(BrewdogNew[[#This Row],[ABV]]="*", BrewdogNew[[#This Row],[OG]], "")</f>
        <v/>
      </c>
      <c r="R189" t="str">
        <f>IF(BrewdogNew[[#This Row],[ABV]]="*", BrewdogNew[[#This Row],[EBC]], "")</f>
        <v/>
      </c>
      <c r="S189" t="str">
        <f>IF(BrewdogNew[[#This Row],[ABV]]="*", BrewdogNew[[#This Row],[PH]], "")</f>
        <v/>
      </c>
      <c r="T189" t="str">
        <f>IF(BrewdogNew[[#This Row],[ABV]]="*", BrewdogNew[[#This Row],[AttenuationLevel]], "")</f>
        <v/>
      </c>
      <c r="U189" t="str">
        <f>IF(BrewdogNew[[#This Row],[ABV]]="*", BrewdogNew[[#This Row],[FermentationTempCelsius]], "")</f>
        <v/>
      </c>
      <c r="V189" t="str">
        <f>IF(BrewdogNew[[#This Row],[ABV]]="*", BrewdogNew[[#This Row],[Yeast]], "")</f>
        <v/>
      </c>
    </row>
    <row r="190" spans="1:22" hidden="1" x14ac:dyDescent="0.25">
      <c r="A190" s="45" t="s">
        <v>255</v>
      </c>
      <c r="B190">
        <v>9.1999999999999993</v>
      </c>
      <c r="C190" s="2" t="s">
        <v>274</v>
      </c>
      <c r="D190">
        <v>50</v>
      </c>
      <c r="E190">
        <v>1016</v>
      </c>
      <c r="F190">
        <v>78.8</v>
      </c>
      <c r="G190">
        <v>4.2</v>
      </c>
      <c r="H190">
        <v>81</v>
      </c>
      <c r="I190">
        <v>21</v>
      </c>
      <c r="J190" s="45" t="s">
        <v>80</v>
      </c>
      <c r="K190" s="45">
        <f>IF(BrewdogNew[[#This Row],[Yeast]]=BrewdogNew[[#Headers],[Wyeast 1056 - American Ale]],1,0)</f>
        <v>0</v>
      </c>
      <c r="L190" s="45">
        <f>IF(BrewdogNew[[#This Row],[Yeast]]=BrewdogNew[[#Headers],[Wyeast 2007 - Pilsen Lager]],1,0)</f>
        <v>0</v>
      </c>
      <c r="M190" s="45">
        <f>IF(BrewdogNew[[#This Row],[Yeast]]=BrewdogNew[[#Headers],[Wyeast 3711 - French Saison]],1,0)</f>
        <v>0</v>
      </c>
      <c r="N190" s="45">
        <f>IF(BrewdogNew[[#This Row],[Yeast]]=BrewdogNew[[#Headers],[Wyeast 1272 - American Ale II]],1,0)</f>
        <v>1</v>
      </c>
      <c r="O190" s="45" t="str">
        <f>BrewdogNew[[#This Row],[Name]]</f>
        <v>Brewdog Vs Beavertown</v>
      </c>
      <c r="P190" t="str">
        <f>IF(BrewdogNew[[#This Row],[ABV]]="*", BrewdogNew[[#This Row],[IBU]], "")</f>
        <v/>
      </c>
      <c r="Q190" t="str">
        <f>IF(BrewdogNew[[#This Row],[ABV]]="*", BrewdogNew[[#This Row],[OG]], "")</f>
        <v/>
      </c>
      <c r="R190" t="str">
        <f>IF(BrewdogNew[[#This Row],[ABV]]="*", BrewdogNew[[#This Row],[EBC]], "")</f>
        <v/>
      </c>
      <c r="S190" t="str">
        <f>IF(BrewdogNew[[#This Row],[ABV]]="*", BrewdogNew[[#This Row],[PH]], "")</f>
        <v/>
      </c>
      <c r="T190" t="str">
        <f>IF(BrewdogNew[[#This Row],[ABV]]="*", BrewdogNew[[#This Row],[AttenuationLevel]], "")</f>
        <v/>
      </c>
      <c r="U190" t="str">
        <f>IF(BrewdogNew[[#This Row],[ABV]]="*", BrewdogNew[[#This Row],[FermentationTempCelsius]], "")</f>
        <v/>
      </c>
      <c r="V190" t="str">
        <f>IF(BrewdogNew[[#This Row],[ABV]]="*", BrewdogNew[[#This Row],[Yeast]], "")</f>
        <v/>
      </c>
    </row>
    <row r="191" spans="1:22" hidden="1" x14ac:dyDescent="0.25">
      <c r="A191" s="45" t="s">
        <v>256</v>
      </c>
      <c r="B191">
        <v>4.9000000000000004</v>
      </c>
      <c r="C191" s="2" t="s">
        <v>274</v>
      </c>
      <c r="D191">
        <v>18</v>
      </c>
      <c r="E191">
        <v>1010</v>
      </c>
      <c r="F191">
        <v>13</v>
      </c>
      <c r="G191">
        <v>4.2</v>
      </c>
      <c r="H191">
        <v>78.7</v>
      </c>
      <c r="I191">
        <v>12</v>
      </c>
      <c r="J191" s="45" t="s">
        <v>68</v>
      </c>
      <c r="K191" s="45">
        <f>IF(BrewdogNew[[#This Row],[Yeast]]=BrewdogNew[[#Headers],[Wyeast 1056 - American Ale]],1,0)</f>
        <v>0</v>
      </c>
      <c r="L191" s="45">
        <f>IF(BrewdogNew[[#This Row],[Yeast]]=BrewdogNew[[#Headers],[Wyeast 2007 - Pilsen Lager]],1,0)</f>
        <v>1</v>
      </c>
      <c r="M191" s="45">
        <f>IF(BrewdogNew[[#This Row],[Yeast]]=BrewdogNew[[#Headers],[Wyeast 3711 - French Saison]],1,0)</f>
        <v>0</v>
      </c>
      <c r="N191" s="45">
        <f>IF(BrewdogNew[[#This Row],[Yeast]]=BrewdogNew[[#Headers],[Wyeast 1272 - American Ale II]],1,0)</f>
        <v>0</v>
      </c>
      <c r="O191" s="45" t="str">
        <f>BrewdogNew[[#This Row],[Name]]</f>
        <v>Prototype Helles</v>
      </c>
      <c r="P191" t="str">
        <f>IF(BrewdogNew[[#This Row],[ABV]]="*", BrewdogNew[[#This Row],[IBU]], "")</f>
        <v/>
      </c>
      <c r="Q191" t="str">
        <f>IF(BrewdogNew[[#This Row],[ABV]]="*", BrewdogNew[[#This Row],[OG]], "")</f>
        <v/>
      </c>
      <c r="R191" t="str">
        <f>IF(BrewdogNew[[#This Row],[ABV]]="*", BrewdogNew[[#This Row],[EBC]], "")</f>
        <v/>
      </c>
      <c r="S191" t="str">
        <f>IF(BrewdogNew[[#This Row],[ABV]]="*", BrewdogNew[[#This Row],[PH]], "")</f>
        <v/>
      </c>
      <c r="T191" t="str">
        <f>IF(BrewdogNew[[#This Row],[ABV]]="*", BrewdogNew[[#This Row],[AttenuationLevel]], "")</f>
        <v/>
      </c>
      <c r="U191" t="str">
        <f>IF(BrewdogNew[[#This Row],[ABV]]="*", BrewdogNew[[#This Row],[FermentationTempCelsius]], "")</f>
        <v/>
      </c>
      <c r="V191" t="str">
        <f>IF(BrewdogNew[[#This Row],[ABV]]="*", BrewdogNew[[#This Row],[Yeast]], "")</f>
        <v/>
      </c>
    </row>
    <row r="192" spans="1:22" hidden="1" x14ac:dyDescent="0.25">
      <c r="A192" s="45" t="s">
        <v>257</v>
      </c>
      <c r="B192">
        <v>7.2</v>
      </c>
      <c r="C192" s="2" t="s">
        <v>274</v>
      </c>
      <c r="D192">
        <v>250</v>
      </c>
      <c r="E192">
        <v>1065</v>
      </c>
      <c r="F192">
        <v>17</v>
      </c>
      <c r="G192">
        <v>4.4000000000000004</v>
      </c>
      <c r="H192">
        <v>84.6</v>
      </c>
      <c r="I192">
        <v>21</v>
      </c>
      <c r="J192" s="45" t="s">
        <v>80</v>
      </c>
      <c r="K192" s="45">
        <f>IF(BrewdogNew[[#This Row],[Yeast]]=BrewdogNew[[#Headers],[Wyeast 1056 - American Ale]],1,0)</f>
        <v>0</v>
      </c>
      <c r="L192" s="45">
        <f>IF(BrewdogNew[[#This Row],[Yeast]]=BrewdogNew[[#Headers],[Wyeast 2007 - Pilsen Lager]],1,0)</f>
        <v>0</v>
      </c>
      <c r="M192" s="45">
        <f>IF(BrewdogNew[[#This Row],[Yeast]]=BrewdogNew[[#Headers],[Wyeast 3711 - French Saison]],1,0)</f>
        <v>0</v>
      </c>
      <c r="N192" s="45">
        <f>IF(BrewdogNew[[#This Row],[Yeast]]=BrewdogNew[[#Headers],[Wyeast 1272 - American Ale II]],1,0)</f>
        <v>1</v>
      </c>
      <c r="O192" s="45" t="str">
        <f>BrewdogNew[[#This Row],[Name]]</f>
        <v>Rye Hammer</v>
      </c>
      <c r="P192" t="str">
        <f>IF(BrewdogNew[[#This Row],[ABV]]="*", BrewdogNew[[#This Row],[IBU]], "")</f>
        <v/>
      </c>
      <c r="Q192" t="str">
        <f>IF(BrewdogNew[[#This Row],[ABV]]="*", BrewdogNew[[#This Row],[OG]], "")</f>
        <v/>
      </c>
      <c r="R192" t="str">
        <f>IF(BrewdogNew[[#This Row],[ABV]]="*", BrewdogNew[[#This Row],[EBC]], "")</f>
        <v/>
      </c>
      <c r="S192" t="str">
        <f>IF(BrewdogNew[[#This Row],[ABV]]="*", BrewdogNew[[#This Row],[PH]], "")</f>
        <v/>
      </c>
      <c r="T192" t="str">
        <f>IF(BrewdogNew[[#This Row],[ABV]]="*", BrewdogNew[[#This Row],[AttenuationLevel]], "")</f>
        <v/>
      </c>
      <c r="U192" t="str">
        <f>IF(BrewdogNew[[#This Row],[ABV]]="*", BrewdogNew[[#This Row],[FermentationTempCelsius]], "")</f>
        <v/>
      </c>
      <c r="V192" t="str">
        <f>IF(BrewdogNew[[#This Row],[ABV]]="*", BrewdogNew[[#This Row],[Yeast]], "")</f>
        <v/>
      </c>
    </row>
    <row r="193" spans="1:22" hidden="1" x14ac:dyDescent="0.25">
      <c r="A193" s="45" t="s">
        <v>258</v>
      </c>
      <c r="B193">
        <v>7.2</v>
      </c>
      <c r="C193" s="2" t="s">
        <v>274</v>
      </c>
      <c r="D193">
        <v>250</v>
      </c>
      <c r="E193">
        <v>1065</v>
      </c>
      <c r="F193">
        <v>104</v>
      </c>
      <c r="G193">
        <v>4.4000000000000004</v>
      </c>
      <c r="H193">
        <v>84.6</v>
      </c>
      <c r="I193">
        <v>21</v>
      </c>
      <c r="J193" s="45" t="s">
        <v>80</v>
      </c>
      <c r="K193" s="45">
        <f>IF(BrewdogNew[[#This Row],[Yeast]]=BrewdogNew[[#Headers],[Wyeast 1056 - American Ale]],1,0)</f>
        <v>0</v>
      </c>
      <c r="L193" s="45">
        <f>IF(BrewdogNew[[#This Row],[Yeast]]=BrewdogNew[[#Headers],[Wyeast 2007 - Pilsen Lager]],1,0)</f>
        <v>0</v>
      </c>
      <c r="M193" s="45">
        <f>IF(BrewdogNew[[#This Row],[Yeast]]=BrewdogNew[[#Headers],[Wyeast 3711 - French Saison]],1,0)</f>
        <v>0</v>
      </c>
      <c r="N193" s="45">
        <f>IF(BrewdogNew[[#This Row],[Yeast]]=BrewdogNew[[#Headers],[Wyeast 1272 - American Ale II]],1,0)</f>
        <v>1</v>
      </c>
      <c r="O193" s="45" t="str">
        <f>BrewdogNew[[#This Row],[Name]]</f>
        <v>Black Hammer</v>
      </c>
      <c r="P193" t="str">
        <f>IF(BrewdogNew[[#This Row],[ABV]]="*", BrewdogNew[[#This Row],[IBU]], "")</f>
        <v/>
      </c>
      <c r="Q193" t="str">
        <f>IF(BrewdogNew[[#This Row],[ABV]]="*", BrewdogNew[[#This Row],[OG]], "")</f>
        <v/>
      </c>
      <c r="R193" t="str">
        <f>IF(BrewdogNew[[#This Row],[ABV]]="*", BrewdogNew[[#This Row],[EBC]], "")</f>
        <v/>
      </c>
      <c r="S193" t="str">
        <f>IF(BrewdogNew[[#This Row],[ABV]]="*", BrewdogNew[[#This Row],[PH]], "")</f>
        <v/>
      </c>
      <c r="T193" t="str">
        <f>IF(BrewdogNew[[#This Row],[ABV]]="*", BrewdogNew[[#This Row],[AttenuationLevel]], "")</f>
        <v/>
      </c>
      <c r="U193" t="str">
        <f>IF(BrewdogNew[[#This Row],[ABV]]="*", BrewdogNew[[#This Row],[FermentationTempCelsius]], "")</f>
        <v/>
      </c>
      <c r="V193" t="str">
        <f>IF(BrewdogNew[[#This Row],[ABV]]="*", BrewdogNew[[#This Row],[Yeast]], "")</f>
        <v/>
      </c>
    </row>
    <row r="194" spans="1:22" hidden="1" x14ac:dyDescent="0.25">
      <c r="A194" s="45" t="s">
        <v>259</v>
      </c>
      <c r="B194">
        <v>4.5</v>
      </c>
      <c r="C194" s="2" t="s">
        <v>274</v>
      </c>
      <c r="D194">
        <v>40</v>
      </c>
      <c r="E194">
        <v>1045</v>
      </c>
      <c r="F194">
        <v>18</v>
      </c>
      <c r="G194">
        <v>4.2</v>
      </c>
      <c r="H194">
        <v>75.599999999999994</v>
      </c>
      <c r="I194">
        <v>19</v>
      </c>
      <c r="J194" s="45" t="s">
        <v>64</v>
      </c>
      <c r="K194" s="45">
        <f>IF(BrewdogNew[[#This Row],[Yeast]]=BrewdogNew[[#Headers],[Wyeast 1056 - American Ale]],1,0)</f>
        <v>1</v>
      </c>
      <c r="L194" s="45">
        <f>IF(BrewdogNew[[#This Row],[Yeast]]=BrewdogNew[[#Headers],[Wyeast 2007 - Pilsen Lager]],1,0)</f>
        <v>0</v>
      </c>
      <c r="M194" s="45">
        <f>IF(BrewdogNew[[#This Row],[Yeast]]=BrewdogNew[[#Headers],[Wyeast 3711 - French Saison]],1,0)</f>
        <v>0</v>
      </c>
      <c r="N194" s="45">
        <f>IF(BrewdogNew[[#This Row],[Yeast]]=BrewdogNew[[#Headers],[Wyeast 1272 - American Ale II]],1,0)</f>
        <v>0</v>
      </c>
      <c r="O194" s="45" t="str">
        <f>BrewdogNew[[#This Row],[Name]]</f>
        <v>Ace Of Chinook</v>
      </c>
      <c r="P194" t="str">
        <f>IF(BrewdogNew[[#This Row],[ABV]]="*", BrewdogNew[[#This Row],[IBU]], "")</f>
        <v/>
      </c>
      <c r="Q194" t="str">
        <f>IF(BrewdogNew[[#This Row],[ABV]]="*", BrewdogNew[[#This Row],[OG]], "")</f>
        <v/>
      </c>
      <c r="R194" t="str">
        <f>IF(BrewdogNew[[#This Row],[ABV]]="*", BrewdogNew[[#This Row],[EBC]], "")</f>
        <v/>
      </c>
      <c r="S194" t="str">
        <f>IF(BrewdogNew[[#This Row],[ABV]]="*", BrewdogNew[[#This Row],[PH]], "")</f>
        <v/>
      </c>
      <c r="T194" t="str">
        <f>IF(BrewdogNew[[#This Row],[ABV]]="*", BrewdogNew[[#This Row],[AttenuationLevel]], "")</f>
        <v/>
      </c>
      <c r="U194" t="str">
        <f>IF(BrewdogNew[[#This Row],[ABV]]="*", BrewdogNew[[#This Row],[FermentationTempCelsius]], "")</f>
        <v/>
      </c>
      <c r="V194" t="str">
        <f>IF(BrewdogNew[[#This Row],[ABV]]="*", BrewdogNew[[#This Row],[Yeast]], "")</f>
        <v/>
      </c>
    </row>
    <row r="195" spans="1:22" hidden="1" x14ac:dyDescent="0.25">
      <c r="A195" s="45" t="s">
        <v>260</v>
      </c>
      <c r="B195">
        <v>4.5</v>
      </c>
      <c r="C195" s="2" t="s">
        <v>274</v>
      </c>
      <c r="D195">
        <v>40</v>
      </c>
      <c r="E195">
        <v>1045</v>
      </c>
      <c r="F195">
        <v>18</v>
      </c>
      <c r="G195">
        <v>4.2</v>
      </c>
      <c r="H195">
        <v>75.599999999999994</v>
      </c>
      <c r="I195">
        <v>19</v>
      </c>
      <c r="J195" s="45" t="s">
        <v>64</v>
      </c>
      <c r="K195" s="45">
        <f>IF(BrewdogNew[[#This Row],[Yeast]]=BrewdogNew[[#Headers],[Wyeast 1056 - American Ale]],1,0)</f>
        <v>1</v>
      </c>
      <c r="L195" s="45">
        <f>IF(BrewdogNew[[#This Row],[Yeast]]=BrewdogNew[[#Headers],[Wyeast 2007 - Pilsen Lager]],1,0)</f>
        <v>0</v>
      </c>
      <c r="M195" s="45">
        <f>IF(BrewdogNew[[#This Row],[Yeast]]=BrewdogNew[[#Headers],[Wyeast 3711 - French Saison]],1,0)</f>
        <v>0</v>
      </c>
      <c r="N195" s="45">
        <f>IF(BrewdogNew[[#This Row],[Yeast]]=BrewdogNew[[#Headers],[Wyeast 1272 - American Ale II]],1,0)</f>
        <v>0</v>
      </c>
      <c r="O195" s="45" t="str">
        <f>BrewdogNew[[#This Row],[Name]]</f>
        <v>Ace Of Equinox</v>
      </c>
      <c r="P195" t="str">
        <f>IF(BrewdogNew[[#This Row],[ABV]]="*", BrewdogNew[[#This Row],[IBU]], "")</f>
        <v/>
      </c>
      <c r="Q195" t="str">
        <f>IF(BrewdogNew[[#This Row],[ABV]]="*", BrewdogNew[[#This Row],[OG]], "")</f>
        <v/>
      </c>
      <c r="R195" t="str">
        <f>IF(BrewdogNew[[#This Row],[ABV]]="*", BrewdogNew[[#This Row],[EBC]], "")</f>
        <v/>
      </c>
      <c r="S195" t="str">
        <f>IF(BrewdogNew[[#This Row],[ABV]]="*", BrewdogNew[[#This Row],[PH]], "")</f>
        <v/>
      </c>
      <c r="T195" t="str">
        <f>IF(BrewdogNew[[#This Row],[ABV]]="*", BrewdogNew[[#This Row],[AttenuationLevel]], "")</f>
        <v/>
      </c>
      <c r="U195" t="str">
        <f>IF(BrewdogNew[[#This Row],[ABV]]="*", BrewdogNew[[#This Row],[FermentationTempCelsius]], "")</f>
        <v/>
      </c>
      <c r="V195" t="str">
        <f>IF(BrewdogNew[[#This Row],[ABV]]="*", BrewdogNew[[#This Row],[Yeast]], "")</f>
        <v/>
      </c>
    </row>
    <row r="196" spans="1:22" hidden="1" x14ac:dyDescent="0.25">
      <c r="A196" s="45" t="s">
        <v>261</v>
      </c>
      <c r="B196">
        <v>4.5</v>
      </c>
      <c r="C196" s="2" t="s">
        <v>274</v>
      </c>
      <c r="D196">
        <v>40</v>
      </c>
      <c r="E196">
        <v>1045</v>
      </c>
      <c r="F196">
        <v>18</v>
      </c>
      <c r="G196">
        <v>4.2</v>
      </c>
      <c r="H196">
        <v>75.599999999999994</v>
      </c>
      <c r="I196">
        <v>19</v>
      </c>
      <c r="J196" s="45" t="s">
        <v>64</v>
      </c>
      <c r="K196" s="45">
        <f>IF(BrewdogNew[[#This Row],[Yeast]]=BrewdogNew[[#Headers],[Wyeast 1056 - American Ale]],1,0)</f>
        <v>1</v>
      </c>
      <c r="L196" s="45">
        <f>IF(BrewdogNew[[#This Row],[Yeast]]=BrewdogNew[[#Headers],[Wyeast 2007 - Pilsen Lager]],1,0)</f>
        <v>0</v>
      </c>
      <c r="M196" s="45">
        <f>IF(BrewdogNew[[#This Row],[Yeast]]=BrewdogNew[[#Headers],[Wyeast 3711 - French Saison]],1,0)</f>
        <v>0</v>
      </c>
      <c r="N196" s="45">
        <f>IF(BrewdogNew[[#This Row],[Yeast]]=BrewdogNew[[#Headers],[Wyeast 1272 - American Ale II]],1,0)</f>
        <v>0</v>
      </c>
      <c r="O196" s="45" t="str">
        <f>BrewdogNew[[#This Row],[Name]]</f>
        <v>Ace Of Citra</v>
      </c>
      <c r="P196" t="str">
        <f>IF(BrewdogNew[[#This Row],[ABV]]="*", BrewdogNew[[#This Row],[IBU]], "")</f>
        <v/>
      </c>
      <c r="Q196" t="str">
        <f>IF(BrewdogNew[[#This Row],[ABV]]="*", BrewdogNew[[#This Row],[OG]], "")</f>
        <v/>
      </c>
      <c r="R196" t="str">
        <f>IF(BrewdogNew[[#This Row],[ABV]]="*", BrewdogNew[[#This Row],[EBC]], "")</f>
        <v/>
      </c>
      <c r="S196" t="str">
        <f>IF(BrewdogNew[[#This Row],[ABV]]="*", BrewdogNew[[#This Row],[PH]], "")</f>
        <v/>
      </c>
      <c r="T196" t="str">
        <f>IF(BrewdogNew[[#This Row],[ABV]]="*", BrewdogNew[[#This Row],[AttenuationLevel]], "")</f>
        <v/>
      </c>
      <c r="U196" t="str">
        <f>IF(BrewdogNew[[#This Row],[ABV]]="*", BrewdogNew[[#This Row],[FermentationTempCelsius]], "")</f>
        <v/>
      </c>
      <c r="V196" t="str">
        <f>IF(BrewdogNew[[#This Row],[ABV]]="*", BrewdogNew[[#This Row],[Yeast]], "")</f>
        <v/>
      </c>
    </row>
    <row r="197" spans="1:22" hidden="1" x14ac:dyDescent="0.25">
      <c r="A197" s="45" t="s">
        <v>262</v>
      </c>
      <c r="B197">
        <v>7.6</v>
      </c>
      <c r="C197" s="2" t="s">
        <v>274</v>
      </c>
      <c r="D197">
        <v>70</v>
      </c>
      <c r="E197">
        <v>1067</v>
      </c>
      <c r="F197">
        <v>20</v>
      </c>
      <c r="G197">
        <v>4.4000000000000004</v>
      </c>
      <c r="H197">
        <v>82</v>
      </c>
      <c r="I197">
        <v>21</v>
      </c>
      <c r="J197" s="45" t="s">
        <v>80</v>
      </c>
      <c r="K197" s="45">
        <f>IF(BrewdogNew[[#This Row],[Yeast]]=BrewdogNew[[#Headers],[Wyeast 1056 - American Ale]],1,0)</f>
        <v>0</v>
      </c>
      <c r="L197" s="45">
        <f>IF(BrewdogNew[[#This Row],[Yeast]]=BrewdogNew[[#Headers],[Wyeast 2007 - Pilsen Lager]],1,0)</f>
        <v>0</v>
      </c>
      <c r="M197" s="45">
        <f>IF(BrewdogNew[[#This Row],[Yeast]]=BrewdogNew[[#Headers],[Wyeast 3711 - French Saison]],1,0)</f>
        <v>0</v>
      </c>
      <c r="N197" s="45">
        <f>IF(BrewdogNew[[#This Row],[Yeast]]=BrewdogNew[[#Headers],[Wyeast 1272 - American Ale II]],1,0)</f>
        <v>1</v>
      </c>
      <c r="O197" s="45" t="str">
        <f>BrewdogNew[[#This Row],[Name]]</f>
        <v>Neon Overlord</v>
      </c>
      <c r="P197" t="str">
        <f>IF(BrewdogNew[[#This Row],[ABV]]="*", BrewdogNew[[#This Row],[IBU]], "")</f>
        <v/>
      </c>
      <c r="Q197" t="str">
        <f>IF(BrewdogNew[[#This Row],[ABV]]="*", BrewdogNew[[#This Row],[OG]], "")</f>
        <v/>
      </c>
      <c r="R197" t="str">
        <f>IF(BrewdogNew[[#This Row],[ABV]]="*", BrewdogNew[[#This Row],[EBC]], "")</f>
        <v/>
      </c>
      <c r="S197" t="str">
        <f>IF(BrewdogNew[[#This Row],[ABV]]="*", BrewdogNew[[#This Row],[PH]], "")</f>
        <v/>
      </c>
      <c r="T197" t="str">
        <f>IF(BrewdogNew[[#This Row],[ABV]]="*", BrewdogNew[[#This Row],[AttenuationLevel]], "")</f>
        <v/>
      </c>
      <c r="U197" t="str">
        <f>IF(BrewdogNew[[#This Row],[ABV]]="*", BrewdogNew[[#This Row],[FermentationTempCelsius]], "")</f>
        <v/>
      </c>
      <c r="V197" t="str">
        <f>IF(BrewdogNew[[#This Row],[ABV]]="*", BrewdogNew[[#This Row],[Yeast]], "")</f>
        <v/>
      </c>
    </row>
    <row r="198" spans="1:22" x14ac:dyDescent="0.25">
      <c r="A198" s="47"/>
      <c r="B198">
        <f>COUNTIF(BrewdogNew[ABV],"*")</f>
        <v>7</v>
      </c>
      <c r="D198">
        <f>COUNTIF(BrewdogNew[IBU],"*")</f>
        <v>0</v>
      </c>
      <c r="E198">
        <f>COUNTIF(BrewdogNew[OG],"*")</f>
        <v>0</v>
      </c>
      <c r="F198">
        <f>COUNTIF(BrewdogNew[EBC],"*")</f>
        <v>4</v>
      </c>
      <c r="G198">
        <f>COUNTIF(BrewdogNew[PH],"*")</f>
        <v>0</v>
      </c>
      <c r="H198">
        <f>COUNTIF(BrewdogNew[AttenuationLevel],"*")</f>
        <v>0</v>
      </c>
      <c r="I198">
        <f>COUNTIF(BrewdogNew[FermentationTempCelsius],"*")</f>
        <v>0</v>
      </c>
      <c r="J198" t="s">
        <v>270</v>
      </c>
      <c r="K198">
        <f>COUNTIF(BrewdogNew[Yeast],BrewdogNew[[#Headers],[Wyeast 1056 - American Ale]])</f>
        <v>105</v>
      </c>
      <c r="L198">
        <f>COUNTIF(BrewdogNew[Yeast],BrewdogNew[[#Headers],[Wyeast 2007 - Pilsen Lager]])</f>
        <v>16</v>
      </c>
      <c r="M198">
        <f>COUNTIF(BrewdogNew[Yeast],BrewdogNew[[#Headers],[Wyeast 3711 - French Saison]])</f>
        <v>7</v>
      </c>
      <c r="N198">
        <f>COUNTIF(BrewdogNew[Yeast],BrewdogNew[[#Headers],[Wyeast 1272 - American Ale II]])</f>
        <v>68</v>
      </c>
      <c r="O198" t="s">
        <v>275</v>
      </c>
      <c r="P198" s="50">
        <f>AVERAGE(BrewdogNew[IBU])</f>
        <v>67.086734693877546</v>
      </c>
      <c r="Q198" s="50">
        <f>AVERAGE(BrewdogNew[OG])</f>
        <v>1064.6790816326529</v>
      </c>
      <c r="R198" s="50">
        <f>AVERAGE(BrewdogNew[EBC])</f>
        <v>70.616145833333334</v>
      </c>
      <c r="S198" s="50">
        <f>AVERAGE(BrewdogNew[PH])</f>
        <v>4.4010204081632587</v>
      </c>
      <c r="T198" s="50">
        <f>AVERAGE(BrewdogNew[AttenuationLevel])</f>
        <v>80.295969387755136</v>
      </c>
      <c r="U198" s="50">
        <f>AVERAGE(BrewdogNew[FermentationTempCelsius])</f>
        <v>19.331632653061224</v>
      </c>
    </row>
    <row r="199" spans="1:22" x14ac:dyDescent="0.25">
      <c r="J199" t="s">
        <v>271</v>
      </c>
      <c r="O199" t="s">
        <v>271</v>
      </c>
      <c r="P199" s="48">
        <f>BrewdogNew[[#Totals],[ABV vs IBU]]+2*SQRT(VAR(BrewdogNew[IBU]))</f>
        <v>232.58247949998201</v>
      </c>
      <c r="Q199" s="48">
        <f>BrewdogNew[[#Totals],[ABV VS OG]]+2*SQRT(VAR(BrewdogNew[OG]))</f>
        <v>1117.2188568919878</v>
      </c>
      <c r="R199" s="48">
        <f>BrewdogNew[[#Totals],[ABV vs EBC]]+2*SQRT(VAR(BrewdogNew[EBC]))</f>
        <v>250.59577120422767</v>
      </c>
      <c r="S199" s="48">
        <f>BrewdogNew[[#Totals],[ABV vs PH]]+2*SQRT(VAR(BrewdogNew[PH]))</f>
        <v>5.0542144684369008</v>
      </c>
      <c r="T199" s="48">
        <f>BrewdogNew[[#Totals],[ABV vs Att]]+2*SQRT(VAR(BrewdogNew[AttenuationLevel]))</f>
        <v>94.720541951882325</v>
      </c>
      <c r="U199" s="48">
        <f>BrewdogNew[[#Totals],[ABV vs Fer]]+2*SQRT(VAR(BrewdogNew[FermentationTempCelsius]))</f>
        <v>32.038540830778729</v>
      </c>
      <c r="V199" s="48"/>
    </row>
    <row r="200" spans="1:22" x14ac:dyDescent="0.25">
      <c r="J200" t="s">
        <v>272</v>
      </c>
      <c r="O200" t="s">
        <v>272</v>
      </c>
      <c r="P200" s="48">
        <f>BrewdogNew[[#Totals],[ABV vs IBU]]-2*SQRT(VAR(BrewdogNew[IBU]))</f>
        <v>-98.409010112226937</v>
      </c>
      <c r="Q200" s="48">
        <f>BrewdogNew[[#Totals],[ABV VS OG]]-2*SQRT(VAR(BrewdogNew[OG]))</f>
        <v>1012.139306373318</v>
      </c>
      <c r="R200" s="48">
        <f>BrewdogNew[[#Totals],[ABV vs EBC]]-2*SQRT(VAR(BrewdogNew[EBC]))</f>
        <v>-109.36347953756099</v>
      </c>
      <c r="S200" s="48">
        <f>BrewdogNew[[#Totals],[ABV vs PH]]-2*SQRT(VAR(BrewdogNew[PH]))</f>
        <v>3.7478263478896165</v>
      </c>
      <c r="T200" s="48">
        <f>BrewdogNew[[#Totals],[ABV vs Att]]-2*SQRT(VAR(BrewdogNew[AttenuationLevel]))</f>
        <v>65.871396823627947</v>
      </c>
      <c r="U200" s="48">
        <f>BrewdogNew[[#Totals],[ABV vs Fer]]-2*SQRT(VAR(BrewdogNew[FermentationTempCelsius]))</f>
        <v>6.6247244753437187</v>
      </c>
    </row>
    <row r="201" spans="1:22" x14ac:dyDescent="0.25">
      <c r="O201" t="s">
        <v>276</v>
      </c>
      <c r="P201" s="48">
        <f>AVERAGE(BrewdogNew[ABV vs IBU])</f>
        <v>30.285714285714285</v>
      </c>
      <c r="Q201" s="48">
        <f>AVERAGE(BrewdogNew[ABV VS OG])</f>
        <v>1055.7142857142858</v>
      </c>
      <c r="R201" s="48">
        <f>AVERAGE(BrewdogNew[ABV vs EBC])</f>
        <v>12.285714285714286</v>
      </c>
      <c r="S201" s="48">
        <f>AVERAGE(BrewdogNew[ABV vs PH])</f>
        <v>4.4857142857142867</v>
      </c>
      <c r="T201" s="49">
        <f>AVERAGE(BrewdogNew[ABV vs Att])</f>
        <v>89.01428571428572</v>
      </c>
      <c r="U201" s="48">
        <f>AVERAGE(BrewdogNew[ABV vs Fer])</f>
        <v>22</v>
      </c>
    </row>
    <row r="202" spans="1:22" x14ac:dyDescent="0.25">
      <c r="P202" t="e">
        <f>PEARSON(BrewdogNew[IBU],BrewdogNew[ABV is missing])</f>
        <v>#DIV/0!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B394-78C7-4CE7-BC62-4F178DA1464F}">
  <dimension ref="A1:U198"/>
  <sheetViews>
    <sheetView workbookViewId="0">
      <pane ySplit="1" topLeftCell="A154" activePane="bottomLeft" state="frozen"/>
      <selection pane="bottomLeft" activeCell="R171" sqref="R171"/>
    </sheetView>
  </sheetViews>
  <sheetFormatPr defaultRowHeight="15" x14ac:dyDescent="0.25"/>
  <cols>
    <col min="10" max="10" width="12.7109375" bestFit="1" customWidth="1"/>
  </cols>
  <sheetData>
    <row r="1" spans="1:21" x14ac:dyDescent="0.25">
      <c r="A1" t="s">
        <v>300</v>
      </c>
      <c r="B1" s="46" t="s">
        <v>55</v>
      </c>
      <c r="C1" s="53" t="s">
        <v>287</v>
      </c>
      <c r="D1" s="46" t="s">
        <v>56</v>
      </c>
      <c r="E1" s="46" t="s">
        <v>57</v>
      </c>
      <c r="F1" s="46" t="s">
        <v>58</v>
      </c>
      <c r="G1" s="46" t="s">
        <v>59</v>
      </c>
      <c r="H1" s="46" t="s">
        <v>60</v>
      </c>
      <c r="I1" s="46" t="s">
        <v>61</v>
      </c>
      <c r="J1" t="s">
        <v>64</v>
      </c>
      <c r="K1" t="s">
        <v>68</v>
      </c>
      <c r="L1" t="s">
        <v>71</v>
      </c>
      <c r="M1" t="s">
        <v>80</v>
      </c>
      <c r="N1" t="s">
        <v>300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</row>
    <row r="2" spans="1:21" x14ac:dyDescent="0.25">
      <c r="A2" t="s">
        <v>63</v>
      </c>
      <c r="B2">
        <v>4.5</v>
      </c>
      <c r="C2" s="45">
        <v>0</v>
      </c>
      <c r="D2">
        <v>60</v>
      </c>
      <c r="E2">
        <v>1044</v>
      </c>
      <c r="F2">
        <v>20</v>
      </c>
      <c r="G2">
        <v>4.4000000000000004</v>
      </c>
      <c r="H2">
        <v>75</v>
      </c>
      <c r="I2">
        <v>19</v>
      </c>
      <c r="J2">
        <v>1</v>
      </c>
      <c r="K2">
        <v>0</v>
      </c>
      <c r="L2">
        <v>0</v>
      </c>
      <c r="M2">
        <v>0</v>
      </c>
      <c r="N2" t="s">
        <v>63</v>
      </c>
      <c r="O2" t="s">
        <v>288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</row>
    <row r="3" spans="1:21" x14ac:dyDescent="0.25">
      <c r="A3" t="s">
        <v>65</v>
      </c>
      <c r="B3">
        <v>4.0999999999999996</v>
      </c>
      <c r="C3" s="45">
        <v>0</v>
      </c>
      <c r="D3">
        <v>41.5</v>
      </c>
      <c r="E3">
        <v>1041.7</v>
      </c>
      <c r="F3">
        <v>15</v>
      </c>
      <c r="G3">
        <v>4.4000000000000004</v>
      </c>
      <c r="H3">
        <v>76</v>
      </c>
      <c r="I3">
        <v>18</v>
      </c>
      <c r="J3">
        <v>1</v>
      </c>
      <c r="K3">
        <v>0</v>
      </c>
      <c r="L3">
        <v>0</v>
      </c>
      <c r="M3">
        <v>0</v>
      </c>
      <c r="N3" t="s">
        <v>65</v>
      </c>
      <c r="O3" t="s">
        <v>288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</row>
    <row r="4" spans="1:21" x14ac:dyDescent="0.25">
      <c r="A4" t="s">
        <v>66</v>
      </c>
      <c r="B4">
        <v>4.2</v>
      </c>
      <c r="C4" s="45">
        <v>0</v>
      </c>
      <c r="D4">
        <v>8</v>
      </c>
      <c r="E4">
        <v>1040</v>
      </c>
      <c r="F4">
        <v>8</v>
      </c>
      <c r="G4">
        <v>3.2</v>
      </c>
      <c r="H4">
        <v>83</v>
      </c>
      <c r="I4">
        <v>21</v>
      </c>
      <c r="J4">
        <v>1</v>
      </c>
      <c r="K4">
        <v>0</v>
      </c>
      <c r="L4">
        <v>0</v>
      </c>
      <c r="M4">
        <v>0</v>
      </c>
      <c r="N4" t="s">
        <v>66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</row>
    <row r="5" spans="1:21" x14ac:dyDescent="0.25">
      <c r="A5" t="s">
        <v>67</v>
      </c>
      <c r="B5">
        <v>6.3</v>
      </c>
      <c r="C5" s="45">
        <v>0</v>
      </c>
      <c r="D5">
        <v>55</v>
      </c>
      <c r="E5">
        <v>1060</v>
      </c>
      <c r="F5">
        <v>30</v>
      </c>
      <c r="G5">
        <v>4.4000000000000004</v>
      </c>
      <c r="H5">
        <v>80</v>
      </c>
      <c r="I5">
        <v>9</v>
      </c>
      <c r="J5">
        <v>0</v>
      </c>
      <c r="K5">
        <v>1</v>
      </c>
      <c r="L5">
        <v>0</v>
      </c>
      <c r="M5">
        <v>0</v>
      </c>
      <c r="N5" t="s">
        <v>67</v>
      </c>
      <c r="O5" t="s">
        <v>288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</row>
    <row r="6" spans="1:21" x14ac:dyDescent="0.25">
      <c r="A6" t="s">
        <v>69</v>
      </c>
      <c r="B6">
        <v>7.2</v>
      </c>
      <c r="C6" s="45">
        <v>0</v>
      </c>
      <c r="D6">
        <v>59</v>
      </c>
      <c r="E6">
        <v>1069</v>
      </c>
      <c r="F6">
        <v>10</v>
      </c>
      <c r="G6">
        <v>4.4000000000000004</v>
      </c>
      <c r="H6">
        <v>67</v>
      </c>
      <c r="I6">
        <v>10</v>
      </c>
      <c r="J6">
        <v>0</v>
      </c>
      <c r="K6">
        <v>1</v>
      </c>
      <c r="L6">
        <v>0</v>
      </c>
      <c r="M6">
        <v>0</v>
      </c>
      <c r="N6" t="s">
        <v>69</v>
      </c>
      <c r="O6" t="s">
        <v>288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</row>
    <row r="7" spans="1:21" x14ac:dyDescent="0.25">
      <c r="A7" t="s">
        <v>70</v>
      </c>
      <c r="B7" t="s">
        <v>32</v>
      </c>
      <c r="C7">
        <v>1</v>
      </c>
      <c r="D7">
        <v>38</v>
      </c>
      <c r="E7">
        <v>1045</v>
      </c>
      <c r="F7">
        <v>15</v>
      </c>
      <c r="G7">
        <v>4.4000000000000004</v>
      </c>
      <c r="H7">
        <v>88.9</v>
      </c>
      <c r="I7">
        <v>22</v>
      </c>
      <c r="J7">
        <v>0</v>
      </c>
      <c r="K7">
        <v>0</v>
      </c>
      <c r="L7">
        <v>1</v>
      </c>
      <c r="M7">
        <v>0</v>
      </c>
      <c r="N7" t="s">
        <v>70</v>
      </c>
      <c r="O7">
        <v>38</v>
      </c>
      <c r="P7">
        <v>1045</v>
      </c>
      <c r="Q7">
        <v>15</v>
      </c>
      <c r="R7">
        <v>4.4000000000000004</v>
      </c>
      <c r="S7">
        <v>88.9</v>
      </c>
      <c r="T7">
        <v>22</v>
      </c>
      <c r="U7" t="s">
        <v>71</v>
      </c>
    </row>
    <row r="8" spans="1:21" x14ac:dyDescent="0.25">
      <c r="A8" t="s">
        <v>72</v>
      </c>
      <c r="B8">
        <v>4.7</v>
      </c>
      <c r="C8" s="45">
        <v>0</v>
      </c>
      <c r="D8">
        <v>40</v>
      </c>
      <c r="E8">
        <v>1046</v>
      </c>
      <c r="F8">
        <v>12</v>
      </c>
      <c r="G8">
        <v>4.4000000000000004</v>
      </c>
      <c r="H8">
        <v>78</v>
      </c>
      <c r="I8">
        <v>10</v>
      </c>
      <c r="J8">
        <v>0</v>
      </c>
      <c r="K8">
        <v>1</v>
      </c>
      <c r="L8">
        <v>0</v>
      </c>
      <c r="M8">
        <v>0</v>
      </c>
      <c r="N8" t="s">
        <v>72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</row>
    <row r="9" spans="1:21" x14ac:dyDescent="0.25">
      <c r="A9" t="s">
        <v>73</v>
      </c>
      <c r="B9">
        <v>7.5</v>
      </c>
      <c r="C9" s="45">
        <v>0</v>
      </c>
      <c r="D9">
        <v>75</v>
      </c>
      <c r="E9">
        <v>1068</v>
      </c>
      <c r="F9">
        <v>22</v>
      </c>
      <c r="G9">
        <v>4.4000000000000004</v>
      </c>
      <c r="H9">
        <v>80.900000000000006</v>
      </c>
      <c r="I9">
        <v>19</v>
      </c>
      <c r="J9">
        <v>1</v>
      </c>
      <c r="K9">
        <v>0</v>
      </c>
      <c r="L9">
        <v>0</v>
      </c>
      <c r="M9">
        <v>0</v>
      </c>
      <c r="N9" t="s">
        <v>73</v>
      </c>
      <c r="O9" t="s">
        <v>288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</row>
    <row r="10" spans="1:21" x14ac:dyDescent="0.25">
      <c r="A10" t="s">
        <v>74</v>
      </c>
      <c r="B10">
        <v>7.3</v>
      </c>
      <c r="C10" s="45">
        <v>0</v>
      </c>
      <c r="D10">
        <v>30</v>
      </c>
      <c r="E10">
        <v>1079</v>
      </c>
      <c r="F10">
        <v>120</v>
      </c>
      <c r="G10">
        <v>4.4000000000000004</v>
      </c>
      <c r="H10">
        <v>74.7</v>
      </c>
      <c r="I10">
        <v>19</v>
      </c>
      <c r="J10">
        <v>1</v>
      </c>
      <c r="K10">
        <v>0</v>
      </c>
      <c r="L10">
        <v>0</v>
      </c>
      <c r="M10">
        <v>0</v>
      </c>
      <c r="N10" t="s">
        <v>74</v>
      </c>
      <c r="O10" t="s">
        <v>288</v>
      </c>
      <c r="P10" t="s">
        <v>288</v>
      </c>
      <c r="Q10" t="s">
        <v>288</v>
      </c>
      <c r="R10" t="s">
        <v>288</v>
      </c>
      <c r="S10" t="s">
        <v>288</v>
      </c>
      <c r="T10" t="s">
        <v>288</v>
      </c>
      <c r="U10" t="s">
        <v>288</v>
      </c>
    </row>
    <row r="11" spans="1:21" x14ac:dyDescent="0.25">
      <c r="A11" t="s">
        <v>75</v>
      </c>
      <c r="B11">
        <v>5.3</v>
      </c>
      <c r="C11" s="45">
        <v>0</v>
      </c>
      <c r="D11">
        <v>60</v>
      </c>
      <c r="E11">
        <v>1052</v>
      </c>
      <c r="F11">
        <v>200</v>
      </c>
      <c r="G11">
        <v>4.2</v>
      </c>
      <c r="H11">
        <v>77</v>
      </c>
      <c r="I11">
        <v>19</v>
      </c>
      <c r="J11">
        <v>1</v>
      </c>
      <c r="K11">
        <v>0</v>
      </c>
      <c r="L11">
        <v>0</v>
      </c>
      <c r="M11">
        <v>0</v>
      </c>
      <c r="N11" t="s">
        <v>75</v>
      </c>
      <c r="O11" t="s">
        <v>288</v>
      </c>
      <c r="P11" t="s">
        <v>288</v>
      </c>
      <c r="Q11" t="s">
        <v>288</v>
      </c>
      <c r="R11" t="s">
        <v>288</v>
      </c>
      <c r="S11" t="s">
        <v>288</v>
      </c>
      <c r="T11" t="s">
        <v>288</v>
      </c>
      <c r="U11" t="s">
        <v>288</v>
      </c>
    </row>
    <row r="12" spans="1:21" x14ac:dyDescent="0.25">
      <c r="A12" t="s">
        <v>76</v>
      </c>
      <c r="B12">
        <v>4.5</v>
      </c>
      <c r="C12" s="45">
        <v>0</v>
      </c>
      <c r="D12">
        <v>50</v>
      </c>
      <c r="E12">
        <v>1047</v>
      </c>
      <c r="F12">
        <v>140</v>
      </c>
      <c r="G12">
        <v>5.2</v>
      </c>
      <c r="H12">
        <v>74.5</v>
      </c>
      <c r="I12">
        <v>19</v>
      </c>
      <c r="J12">
        <v>1</v>
      </c>
      <c r="K12">
        <v>0</v>
      </c>
      <c r="L12">
        <v>0</v>
      </c>
      <c r="M12">
        <v>0</v>
      </c>
      <c r="N12" t="s">
        <v>76</v>
      </c>
      <c r="O12" t="s">
        <v>288</v>
      </c>
      <c r="P12" t="s">
        <v>288</v>
      </c>
      <c r="Q12" t="s">
        <v>288</v>
      </c>
      <c r="R12" t="s">
        <v>288</v>
      </c>
      <c r="S12" t="s">
        <v>288</v>
      </c>
      <c r="T12" t="s">
        <v>288</v>
      </c>
      <c r="U12" t="s">
        <v>288</v>
      </c>
    </row>
    <row r="13" spans="1:21" x14ac:dyDescent="0.25">
      <c r="A13" t="s">
        <v>77</v>
      </c>
      <c r="B13">
        <v>4.5</v>
      </c>
      <c r="C13" s="45">
        <v>0</v>
      </c>
      <c r="D13">
        <v>42</v>
      </c>
      <c r="E13">
        <v>1046</v>
      </c>
      <c r="F13">
        <v>62</v>
      </c>
      <c r="G13">
        <v>4.4000000000000004</v>
      </c>
      <c r="H13">
        <v>72.8</v>
      </c>
      <c r="I13">
        <v>22</v>
      </c>
      <c r="J13">
        <v>1</v>
      </c>
      <c r="K13">
        <v>0</v>
      </c>
      <c r="L13">
        <v>0</v>
      </c>
      <c r="M13">
        <v>0</v>
      </c>
      <c r="N13" t="s">
        <v>77</v>
      </c>
      <c r="O13" t="s">
        <v>288</v>
      </c>
      <c r="P13" t="s">
        <v>288</v>
      </c>
      <c r="Q13" t="s">
        <v>288</v>
      </c>
      <c r="R13" t="s">
        <v>288</v>
      </c>
      <c r="S13" t="s">
        <v>288</v>
      </c>
      <c r="T13" t="s">
        <v>288</v>
      </c>
      <c r="U13" t="s">
        <v>288</v>
      </c>
    </row>
    <row r="14" spans="1:21" x14ac:dyDescent="0.25">
      <c r="A14" t="s">
        <v>78</v>
      </c>
      <c r="B14">
        <v>6.1</v>
      </c>
      <c r="C14" s="45">
        <v>0</v>
      </c>
      <c r="D14">
        <v>45</v>
      </c>
      <c r="E14">
        <v>1067</v>
      </c>
      <c r="F14">
        <v>219</v>
      </c>
      <c r="G14">
        <v>4.4000000000000004</v>
      </c>
      <c r="H14">
        <v>70.099999999999994</v>
      </c>
      <c r="I14">
        <v>18</v>
      </c>
      <c r="J14">
        <v>1</v>
      </c>
      <c r="K14">
        <v>0</v>
      </c>
      <c r="L14">
        <v>0</v>
      </c>
      <c r="M14">
        <v>0</v>
      </c>
      <c r="N14" t="s">
        <v>78</v>
      </c>
      <c r="O14" t="s">
        <v>288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</row>
    <row r="15" spans="1:21" x14ac:dyDescent="0.25">
      <c r="A15" t="s">
        <v>79</v>
      </c>
      <c r="B15">
        <v>11.2</v>
      </c>
      <c r="C15" s="45">
        <v>0</v>
      </c>
      <c r="D15">
        <v>150</v>
      </c>
      <c r="E15">
        <v>1098</v>
      </c>
      <c r="F15">
        <v>70</v>
      </c>
      <c r="G15">
        <v>4.4000000000000004</v>
      </c>
      <c r="H15">
        <v>87</v>
      </c>
      <c r="I15">
        <v>17</v>
      </c>
      <c r="J15">
        <v>0</v>
      </c>
      <c r="K15">
        <v>0</v>
      </c>
      <c r="L15">
        <v>0</v>
      </c>
      <c r="M15">
        <v>1</v>
      </c>
      <c r="N15" t="s">
        <v>79</v>
      </c>
      <c r="O15" t="s">
        <v>288</v>
      </c>
      <c r="P15" t="s">
        <v>288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</row>
    <row r="16" spans="1:21" x14ac:dyDescent="0.25">
      <c r="A16" t="s">
        <v>81</v>
      </c>
      <c r="B16">
        <v>6</v>
      </c>
      <c r="C16" s="45">
        <v>0</v>
      </c>
      <c r="D16">
        <v>70</v>
      </c>
      <c r="E16">
        <v>1058</v>
      </c>
      <c r="F16">
        <v>25</v>
      </c>
      <c r="G16">
        <v>5.2</v>
      </c>
      <c r="H16">
        <v>79.3</v>
      </c>
      <c r="I16">
        <v>19</v>
      </c>
      <c r="J16">
        <v>1</v>
      </c>
      <c r="K16">
        <v>0</v>
      </c>
      <c r="L16">
        <v>0</v>
      </c>
      <c r="M16">
        <v>0</v>
      </c>
      <c r="N16" t="s">
        <v>81</v>
      </c>
      <c r="O16" t="s">
        <v>288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</row>
    <row r="17" spans="1:21" x14ac:dyDescent="0.25">
      <c r="A17" t="s">
        <v>82</v>
      </c>
      <c r="B17">
        <v>8.1999999999999993</v>
      </c>
      <c r="C17" s="45">
        <v>0</v>
      </c>
      <c r="D17">
        <v>70</v>
      </c>
      <c r="E17">
        <v>1076</v>
      </c>
      <c r="F17" t="s">
        <v>32</v>
      </c>
      <c r="G17">
        <v>4.4000000000000004</v>
      </c>
      <c r="H17">
        <v>83</v>
      </c>
      <c r="I17">
        <v>19</v>
      </c>
      <c r="J17">
        <v>1</v>
      </c>
      <c r="K17">
        <v>0</v>
      </c>
      <c r="L17">
        <v>0</v>
      </c>
      <c r="M17">
        <v>0</v>
      </c>
      <c r="N17" t="s">
        <v>82</v>
      </c>
      <c r="O17" t="s">
        <v>288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</row>
    <row r="18" spans="1:21" x14ac:dyDescent="0.25">
      <c r="A18" t="s">
        <v>83</v>
      </c>
      <c r="B18">
        <v>12.5</v>
      </c>
      <c r="C18" s="45">
        <v>0</v>
      </c>
      <c r="D18">
        <v>100</v>
      </c>
      <c r="E18">
        <v>1093</v>
      </c>
      <c r="F18">
        <v>36</v>
      </c>
      <c r="G18">
        <v>4.4000000000000004</v>
      </c>
      <c r="H18">
        <v>68</v>
      </c>
      <c r="I18">
        <v>19</v>
      </c>
      <c r="J18">
        <v>1</v>
      </c>
      <c r="K18">
        <v>0</v>
      </c>
      <c r="L18">
        <v>0</v>
      </c>
      <c r="M18">
        <v>0</v>
      </c>
      <c r="N18" t="s">
        <v>83</v>
      </c>
      <c r="O18" t="s">
        <v>288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</row>
    <row r="19" spans="1:21" x14ac:dyDescent="0.25">
      <c r="A19" t="s">
        <v>84</v>
      </c>
      <c r="B19">
        <v>8</v>
      </c>
      <c r="C19" s="45">
        <v>0</v>
      </c>
      <c r="D19">
        <v>60</v>
      </c>
      <c r="E19">
        <v>1082</v>
      </c>
      <c r="F19">
        <v>12</v>
      </c>
      <c r="G19">
        <v>4.4000000000000004</v>
      </c>
      <c r="H19">
        <v>86</v>
      </c>
      <c r="I19">
        <v>19</v>
      </c>
      <c r="J19">
        <v>1</v>
      </c>
      <c r="K19">
        <v>0</v>
      </c>
      <c r="L19">
        <v>0</v>
      </c>
      <c r="M19">
        <v>0</v>
      </c>
      <c r="N19" t="s">
        <v>84</v>
      </c>
      <c r="O19" t="s">
        <v>288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</row>
    <row r="20" spans="1:21" x14ac:dyDescent="0.25">
      <c r="A20" t="s">
        <v>85</v>
      </c>
      <c r="B20">
        <v>4.7</v>
      </c>
      <c r="C20" s="45">
        <v>0</v>
      </c>
      <c r="D20">
        <v>45</v>
      </c>
      <c r="E20">
        <v>1047</v>
      </c>
      <c r="F20">
        <v>8</v>
      </c>
      <c r="G20">
        <v>4.4000000000000004</v>
      </c>
      <c r="H20">
        <v>79</v>
      </c>
      <c r="I20">
        <v>19</v>
      </c>
      <c r="J20">
        <v>1</v>
      </c>
      <c r="K20">
        <v>0</v>
      </c>
      <c r="L20">
        <v>0</v>
      </c>
      <c r="M20">
        <v>0</v>
      </c>
      <c r="N20" t="s">
        <v>85</v>
      </c>
      <c r="O20" t="s">
        <v>288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</row>
    <row r="21" spans="1:21" x14ac:dyDescent="0.25">
      <c r="A21" t="s">
        <v>86</v>
      </c>
      <c r="B21">
        <v>3.5</v>
      </c>
      <c r="C21" s="45">
        <v>0</v>
      </c>
      <c r="D21">
        <v>33</v>
      </c>
      <c r="E21">
        <v>1038</v>
      </c>
      <c r="F21">
        <v>50</v>
      </c>
      <c r="G21">
        <v>4.4000000000000004</v>
      </c>
      <c r="H21">
        <v>68.400000000000006</v>
      </c>
      <c r="I21">
        <v>19</v>
      </c>
      <c r="J21">
        <v>1</v>
      </c>
      <c r="K21">
        <v>0</v>
      </c>
      <c r="L21">
        <v>0</v>
      </c>
      <c r="M21">
        <v>0</v>
      </c>
      <c r="N21" t="s">
        <v>86</v>
      </c>
      <c r="O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</row>
    <row r="22" spans="1:21" x14ac:dyDescent="0.25">
      <c r="A22" t="s">
        <v>87</v>
      </c>
      <c r="B22">
        <v>15</v>
      </c>
      <c r="C22" s="45">
        <v>0</v>
      </c>
      <c r="D22">
        <v>90</v>
      </c>
      <c r="E22">
        <v>1120</v>
      </c>
      <c r="F22">
        <v>100</v>
      </c>
      <c r="G22">
        <v>4.4000000000000004</v>
      </c>
      <c r="H22">
        <v>98</v>
      </c>
      <c r="I22">
        <v>19</v>
      </c>
      <c r="J22">
        <v>1</v>
      </c>
      <c r="K22">
        <v>0</v>
      </c>
      <c r="L22">
        <v>0</v>
      </c>
      <c r="M22">
        <v>0</v>
      </c>
      <c r="N22" t="s">
        <v>87</v>
      </c>
      <c r="O22" t="s">
        <v>288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</row>
    <row r="23" spans="1:21" x14ac:dyDescent="0.25">
      <c r="A23" t="s">
        <v>88</v>
      </c>
      <c r="B23">
        <v>6.7</v>
      </c>
      <c r="C23" s="45">
        <v>0</v>
      </c>
      <c r="D23">
        <v>67</v>
      </c>
      <c r="E23">
        <v>1013</v>
      </c>
      <c r="F23">
        <v>19</v>
      </c>
      <c r="G23">
        <v>4.4000000000000004</v>
      </c>
      <c r="H23">
        <v>79.7</v>
      </c>
      <c r="I23">
        <v>19</v>
      </c>
      <c r="J23">
        <v>1</v>
      </c>
      <c r="K23">
        <v>0</v>
      </c>
      <c r="L23">
        <v>0</v>
      </c>
      <c r="M23">
        <v>0</v>
      </c>
      <c r="N23" t="s">
        <v>88</v>
      </c>
      <c r="O23" t="s">
        <v>288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</row>
    <row r="24" spans="1:21" x14ac:dyDescent="0.25">
      <c r="A24" t="s">
        <v>89</v>
      </c>
      <c r="B24">
        <v>7.8</v>
      </c>
      <c r="C24" s="45">
        <v>0</v>
      </c>
      <c r="D24">
        <v>70</v>
      </c>
      <c r="E24">
        <v>1074</v>
      </c>
      <c r="F24">
        <v>90</v>
      </c>
      <c r="G24">
        <v>4.4000000000000004</v>
      </c>
      <c r="H24">
        <v>79.7</v>
      </c>
      <c r="I24">
        <v>18</v>
      </c>
      <c r="J24">
        <v>0</v>
      </c>
      <c r="K24">
        <v>0</v>
      </c>
      <c r="L24">
        <v>0</v>
      </c>
      <c r="M24">
        <v>1</v>
      </c>
      <c r="N24" t="s">
        <v>89</v>
      </c>
      <c r="O24" t="s">
        <v>288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</row>
    <row r="25" spans="1:21" x14ac:dyDescent="0.25">
      <c r="A25" t="s">
        <v>90</v>
      </c>
      <c r="B25">
        <v>6.7</v>
      </c>
      <c r="C25" s="45">
        <v>0</v>
      </c>
      <c r="D25">
        <v>70</v>
      </c>
      <c r="E25">
        <v>1066</v>
      </c>
      <c r="F25">
        <v>30</v>
      </c>
      <c r="G25">
        <v>4.4000000000000004</v>
      </c>
      <c r="H25">
        <v>77.3</v>
      </c>
      <c r="I25">
        <v>19</v>
      </c>
      <c r="J25">
        <v>1</v>
      </c>
      <c r="K25">
        <v>0</v>
      </c>
      <c r="L25">
        <v>0</v>
      </c>
      <c r="M25">
        <v>0</v>
      </c>
      <c r="N25" t="s">
        <v>90</v>
      </c>
      <c r="O25" t="s">
        <v>288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</row>
    <row r="26" spans="1:21" x14ac:dyDescent="0.25">
      <c r="A26" t="s">
        <v>91</v>
      </c>
      <c r="B26">
        <v>0.5</v>
      </c>
      <c r="C26" s="45">
        <v>0</v>
      </c>
      <c r="D26">
        <v>55</v>
      </c>
      <c r="E26">
        <v>1007</v>
      </c>
      <c r="F26">
        <v>30</v>
      </c>
      <c r="G26">
        <v>4.4000000000000004</v>
      </c>
      <c r="H26">
        <v>28.6</v>
      </c>
      <c r="I26">
        <v>19</v>
      </c>
      <c r="J26">
        <v>1</v>
      </c>
      <c r="K26">
        <v>0</v>
      </c>
      <c r="L26">
        <v>0</v>
      </c>
      <c r="M26">
        <v>0</v>
      </c>
      <c r="N26" t="s">
        <v>91</v>
      </c>
      <c r="O26" t="s">
        <v>288</v>
      </c>
      <c r="P26" t="s">
        <v>288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</row>
    <row r="27" spans="1:21" x14ac:dyDescent="0.25">
      <c r="A27" t="s">
        <v>92</v>
      </c>
      <c r="B27">
        <v>7.5</v>
      </c>
      <c r="C27" s="45">
        <v>0</v>
      </c>
      <c r="D27">
        <v>75</v>
      </c>
      <c r="E27">
        <v>1068</v>
      </c>
      <c r="F27">
        <v>30</v>
      </c>
      <c r="G27">
        <v>4.4000000000000004</v>
      </c>
      <c r="H27">
        <v>82.1</v>
      </c>
      <c r="I27">
        <v>19</v>
      </c>
      <c r="J27">
        <v>1</v>
      </c>
      <c r="K27">
        <v>0</v>
      </c>
      <c r="L27">
        <v>0</v>
      </c>
      <c r="M27">
        <v>0</v>
      </c>
      <c r="N27" t="s">
        <v>92</v>
      </c>
      <c r="O27" t="s">
        <v>288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</row>
    <row r="28" spans="1:21" x14ac:dyDescent="0.25">
      <c r="A28" t="s">
        <v>93</v>
      </c>
      <c r="B28">
        <v>5.8</v>
      </c>
      <c r="C28" s="45">
        <v>0</v>
      </c>
      <c r="D28">
        <v>35</v>
      </c>
      <c r="E28">
        <v>1049</v>
      </c>
      <c r="F28">
        <v>44</v>
      </c>
      <c r="G28">
        <v>4.4000000000000004</v>
      </c>
      <c r="H28">
        <v>90</v>
      </c>
      <c r="I28">
        <v>19</v>
      </c>
      <c r="J28">
        <v>1</v>
      </c>
      <c r="K28">
        <v>0</v>
      </c>
      <c r="L28">
        <v>0</v>
      </c>
      <c r="M28">
        <v>0</v>
      </c>
      <c r="N28" t="s">
        <v>93</v>
      </c>
      <c r="O28" t="s">
        <v>288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</row>
    <row r="29" spans="1:21" x14ac:dyDescent="0.25">
      <c r="A29" t="s">
        <v>94</v>
      </c>
      <c r="B29">
        <v>3.6</v>
      </c>
      <c r="C29" s="45">
        <v>0</v>
      </c>
      <c r="D29">
        <v>8</v>
      </c>
      <c r="E29">
        <v>1040</v>
      </c>
      <c r="F29" t="s">
        <v>32</v>
      </c>
      <c r="G29">
        <v>3.2</v>
      </c>
      <c r="H29">
        <v>83</v>
      </c>
      <c r="I29">
        <v>21</v>
      </c>
      <c r="J29">
        <v>1</v>
      </c>
      <c r="K29">
        <v>0</v>
      </c>
      <c r="L29">
        <v>0</v>
      </c>
      <c r="M29">
        <v>0</v>
      </c>
      <c r="N29" t="s">
        <v>94</v>
      </c>
      <c r="O29" t="s">
        <v>288</v>
      </c>
      <c r="P29" t="s">
        <v>288</v>
      </c>
      <c r="Q29" t="s">
        <v>288</v>
      </c>
      <c r="R29" t="s">
        <v>288</v>
      </c>
      <c r="S29" t="s">
        <v>288</v>
      </c>
      <c r="T29" t="s">
        <v>288</v>
      </c>
      <c r="U29" t="s">
        <v>288</v>
      </c>
    </row>
    <row r="30" spans="1:21" x14ac:dyDescent="0.25">
      <c r="A30" t="s">
        <v>95</v>
      </c>
      <c r="B30">
        <v>10.5</v>
      </c>
      <c r="C30" s="45">
        <v>0</v>
      </c>
      <c r="D30">
        <v>85</v>
      </c>
      <c r="E30">
        <v>1102</v>
      </c>
      <c r="F30">
        <v>64</v>
      </c>
      <c r="G30">
        <v>4.4000000000000004</v>
      </c>
      <c r="H30">
        <v>102</v>
      </c>
      <c r="I30">
        <v>21</v>
      </c>
      <c r="J30">
        <v>0</v>
      </c>
      <c r="K30">
        <v>0</v>
      </c>
      <c r="L30">
        <v>0</v>
      </c>
      <c r="M30">
        <v>1</v>
      </c>
      <c r="N30" t="s">
        <v>95</v>
      </c>
      <c r="O30" t="s">
        <v>288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</row>
    <row r="31" spans="1:21" x14ac:dyDescent="0.25">
      <c r="A31" t="s">
        <v>96</v>
      </c>
      <c r="B31">
        <v>12.5</v>
      </c>
      <c r="C31" s="45">
        <v>0</v>
      </c>
      <c r="D31">
        <v>125</v>
      </c>
      <c r="E31">
        <v>1087</v>
      </c>
      <c r="F31">
        <v>40</v>
      </c>
      <c r="G31">
        <v>4.4000000000000004</v>
      </c>
      <c r="H31">
        <v>81.2</v>
      </c>
      <c r="I31">
        <v>21</v>
      </c>
      <c r="J31">
        <v>0</v>
      </c>
      <c r="K31">
        <v>0</v>
      </c>
      <c r="L31">
        <v>0</v>
      </c>
      <c r="M31">
        <v>1</v>
      </c>
      <c r="N31" t="s">
        <v>96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</row>
    <row r="32" spans="1:21" x14ac:dyDescent="0.25">
      <c r="A32" t="s">
        <v>97</v>
      </c>
      <c r="B32">
        <v>7.2</v>
      </c>
      <c r="C32" s="45">
        <v>0</v>
      </c>
      <c r="D32">
        <v>70</v>
      </c>
      <c r="E32">
        <v>1067</v>
      </c>
      <c r="F32">
        <v>30</v>
      </c>
      <c r="G32">
        <v>4.4000000000000004</v>
      </c>
      <c r="H32">
        <v>82.1</v>
      </c>
      <c r="I32">
        <v>19</v>
      </c>
      <c r="J32">
        <v>1</v>
      </c>
      <c r="K32">
        <v>0</v>
      </c>
      <c r="L32">
        <v>0</v>
      </c>
      <c r="M32">
        <v>0</v>
      </c>
      <c r="N32" t="s">
        <v>97</v>
      </c>
      <c r="O32" t="s">
        <v>288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</row>
    <row r="33" spans="1:21" x14ac:dyDescent="0.25">
      <c r="A33" t="s">
        <v>98</v>
      </c>
      <c r="B33">
        <v>8.1999999999999993</v>
      </c>
      <c r="C33" s="45">
        <v>0</v>
      </c>
      <c r="D33">
        <v>70</v>
      </c>
      <c r="E33">
        <v>1076</v>
      </c>
      <c r="F33">
        <v>16</v>
      </c>
      <c r="G33">
        <v>4.4000000000000004</v>
      </c>
      <c r="H33">
        <v>83</v>
      </c>
      <c r="I33">
        <v>21</v>
      </c>
      <c r="J33">
        <v>1</v>
      </c>
      <c r="K33">
        <v>0</v>
      </c>
      <c r="L33">
        <v>0</v>
      </c>
      <c r="M33">
        <v>0</v>
      </c>
      <c r="N33" t="s">
        <v>98</v>
      </c>
      <c r="O33" t="s">
        <v>288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</row>
    <row r="34" spans="1:21" x14ac:dyDescent="0.25">
      <c r="A34" t="s">
        <v>99</v>
      </c>
      <c r="B34">
        <v>10.7</v>
      </c>
      <c r="C34" s="45">
        <v>0</v>
      </c>
      <c r="D34">
        <v>100</v>
      </c>
      <c r="E34">
        <v>1105</v>
      </c>
      <c r="F34">
        <v>300</v>
      </c>
      <c r="G34">
        <v>4.3</v>
      </c>
      <c r="H34">
        <v>76.2</v>
      </c>
      <c r="I34">
        <v>21</v>
      </c>
      <c r="J34">
        <v>0</v>
      </c>
      <c r="K34">
        <v>0</v>
      </c>
      <c r="L34">
        <v>0</v>
      </c>
      <c r="M34">
        <v>1</v>
      </c>
      <c r="N34" t="s">
        <v>99</v>
      </c>
      <c r="O34" t="s">
        <v>288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</row>
    <row r="35" spans="1:21" x14ac:dyDescent="0.25">
      <c r="A35" t="s">
        <v>100</v>
      </c>
      <c r="B35">
        <v>9.1999999999999993</v>
      </c>
      <c r="C35" s="45">
        <v>0</v>
      </c>
      <c r="D35">
        <v>125</v>
      </c>
      <c r="E35">
        <v>1085</v>
      </c>
      <c r="F35">
        <v>40</v>
      </c>
      <c r="G35">
        <v>4.4000000000000004</v>
      </c>
      <c r="H35">
        <v>81.2</v>
      </c>
      <c r="I35">
        <v>21</v>
      </c>
      <c r="J35">
        <v>0</v>
      </c>
      <c r="K35">
        <v>0</v>
      </c>
      <c r="L35">
        <v>0</v>
      </c>
      <c r="M35">
        <v>1</v>
      </c>
      <c r="N35" t="s">
        <v>100</v>
      </c>
      <c r="O35" t="s">
        <v>288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</row>
    <row r="36" spans="1:21" x14ac:dyDescent="0.25">
      <c r="A36" t="s">
        <v>101</v>
      </c>
      <c r="B36">
        <v>7.1</v>
      </c>
      <c r="C36" s="45">
        <v>0</v>
      </c>
      <c r="D36">
        <v>65</v>
      </c>
      <c r="E36">
        <v>1065</v>
      </c>
      <c r="F36">
        <v>13</v>
      </c>
      <c r="G36">
        <v>4.4000000000000004</v>
      </c>
      <c r="H36">
        <v>85</v>
      </c>
      <c r="I36">
        <v>9</v>
      </c>
      <c r="J36">
        <v>0</v>
      </c>
      <c r="K36">
        <v>1</v>
      </c>
      <c r="L36">
        <v>0</v>
      </c>
      <c r="M36">
        <v>0</v>
      </c>
      <c r="N36" t="s">
        <v>101</v>
      </c>
      <c r="O36" t="s">
        <v>288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</row>
    <row r="37" spans="1:21" x14ac:dyDescent="0.25">
      <c r="A37" t="s">
        <v>102</v>
      </c>
      <c r="B37">
        <v>5</v>
      </c>
      <c r="C37" s="45">
        <v>0</v>
      </c>
      <c r="D37">
        <v>47</v>
      </c>
      <c r="E37">
        <v>1048.5</v>
      </c>
      <c r="F37">
        <v>65</v>
      </c>
      <c r="G37">
        <v>4.4000000000000004</v>
      </c>
      <c r="H37">
        <v>79.400000000000006</v>
      </c>
      <c r="I37">
        <v>19</v>
      </c>
      <c r="J37">
        <v>1</v>
      </c>
      <c r="K37">
        <v>0</v>
      </c>
      <c r="L37">
        <v>0</v>
      </c>
      <c r="M37">
        <v>0</v>
      </c>
      <c r="N37" t="s">
        <v>102</v>
      </c>
      <c r="O37" t="s">
        <v>288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</row>
    <row r="38" spans="1:21" x14ac:dyDescent="0.25">
      <c r="A38" t="s">
        <v>103</v>
      </c>
      <c r="B38">
        <v>16.5</v>
      </c>
      <c r="C38" s="45">
        <v>0</v>
      </c>
      <c r="D38">
        <v>20.5</v>
      </c>
      <c r="E38">
        <v>1112</v>
      </c>
      <c r="F38">
        <v>20</v>
      </c>
      <c r="G38">
        <v>4.4000000000000004</v>
      </c>
      <c r="H38">
        <v>100</v>
      </c>
      <c r="I38">
        <v>20</v>
      </c>
      <c r="J38">
        <v>0</v>
      </c>
      <c r="K38">
        <v>0</v>
      </c>
      <c r="L38">
        <v>0</v>
      </c>
      <c r="M38">
        <v>1</v>
      </c>
      <c r="N38" t="s">
        <v>103</v>
      </c>
      <c r="O38" t="s">
        <v>288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</row>
    <row r="39" spans="1:21" x14ac:dyDescent="0.25">
      <c r="A39" t="s">
        <v>104</v>
      </c>
      <c r="B39">
        <v>12.8</v>
      </c>
      <c r="C39" s="45">
        <v>0</v>
      </c>
      <c r="D39">
        <v>50</v>
      </c>
      <c r="E39">
        <v>1096</v>
      </c>
      <c r="F39">
        <v>111</v>
      </c>
      <c r="G39">
        <v>4.4000000000000004</v>
      </c>
      <c r="H39">
        <v>79.17</v>
      </c>
      <c r="I39">
        <v>21</v>
      </c>
      <c r="J39">
        <v>0</v>
      </c>
      <c r="K39">
        <v>0</v>
      </c>
      <c r="L39">
        <v>0</v>
      </c>
      <c r="M39">
        <v>1</v>
      </c>
      <c r="N39" t="s">
        <v>104</v>
      </c>
      <c r="O39" t="s">
        <v>288</v>
      </c>
      <c r="P39" t="s">
        <v>288</v>
      </c>
      <c r="Q39" t="s">
        <v>288</v>
      </c>
      <c r="R39" t="s">
        <v>288</v>
      </c>
      <c r="S39" t="s">
        <v>288</v>
      </c>
      <c r="T39" t="s">
        <v>288</v>
      </c>
      <c r="U39" t="s">
        <v>288</v>
      </c>
    </row>
    <row r="40" spans="1:21" x14ac:dyDescent="0.25">
      <c r="A40" t="s">
        <v>105</v>
      </c>
      <c r="B40">
        <v>6.7</v>
      </c>
      <c r="C40" s="45">
        <v>0</v>
      </c>
      <c r="D40">
        <v>70</v>
      </c>
      <c r="E40">
        <v>1066</v>
      </c>
      <c r="F40">
        <v>30</v>
      </c>
      <c r="G40">
        <v>4.4000000000000004</v>
      </c>
      <c r="H40">
        <v>77.3</v>
      </c>
      <c r="I40">
        <v>19</v>
      </c>
      <c r="J40">
        <v>1</v>
      </c>
      <c r="K40">
        <v>0</v>
      </c>
      <c r="L40">
        <v>0</v>
      </c>
      <c r="M40">
        <v>0</v>
      </c>
      <c r="N40" t="s">
        <v>105</v>
      </c>
      <c r="O40" t="s">
        <v>288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</row>
    <row r="41" spans="1:21" x14ac:dyDescent="0.25">
      <c r="A41" t="s">
        <v>106</v>
      </c>
      <c r="B41">
        <v>10</v>
      </c>
      <c r="C41" s="45">
        <v>0</v>
      </c>
      <c r="D41">
        <v>35</v>
      </c>
      <c r="E41">
        <v>1080</v>
      </c>
      <c r="F41">
        <v>80</v>
      </c>
      <c r="G41">
        <v>4.4000000000000004</v>
      </c>
      <c r="H41">
        <v>85</v>
      </c>
      <c r="I41">
        <v>19</v>
      </c>
      <c r="J41">
        <v>0</v>
      </c>
      <c r="K41">
        <v>0</v>
      </c>
      <c r="L41">
        <v>0</v>
      </c>
      <c r="M41">
        <v>1</v>
      </c>
      <c r="N41" t="s">
        <v>106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</row>
    <row r="42" spans="1:21" x14ac:dyDescent="0.25">
      <c r="A42" t="s">
        <v>107</v>
      </c>
      <c r="B42" t="s">
        <v>32</v>
      </c>
      <c r="C42">
        <v>1</v>
      </c>
      <c r="D42">
        <v>20</v>
      </c>
      <c r="E42">
        <v>1048</v>
      </c>
      <c r="F42">
        <v>14</v>
      </c>
      <c r="G42">
        <v>4.2</v>
      </c>
      <c r="H42">
        <v>89.6</v>
      </c>
      <c r="I42">
        <v>22</v>
      </c>
      <c r="J42">
        <v>0</v>
      </c>
      <c r="K42">
        <v>0</v>
      </c>
      <c r="L42">
        <v>1</v>
      </c>
      <c r="M42">
        <v>0</v>
      </c>
      <c r="N42" t="s">
        <v>107</v>
      </c>
      <c r="O42">
        <v>20</v>
      </c>
      <c r="P42">
        <v>1048</v>
      </c>
      <c r="Q42">
        <v>14</v>
      </c>
      <c r="R42">
        <v>4.2</v>
      </c>
      <c r="S42">
        <v>89.6</v>
      </c>
      <c r="T42">
        <v>22</v>
      </c>
      <c r="U42" t="s">
        <v>71</v>
      </c>
    </row>
    <row r="43" spans="1:21" x14ac:dyDescent="0.25">
      <c r="A43" t="s">
        <v>108</v>
      </c>
      <c r="B43">
        <v>10</v>
      </c>
      <c r="C43" s="45">
        <v>0</v>
      </c>
      <c r="D43">
        <v>55</v>
      </c>
      <c r="E43">
        <v>1090</v>
      </c>
      <c r="F43">
        <v>300</v>
      </c>
      <c r="G43">
        <v>4.4000000000000004</v>
      </c>
      <c r="H43">
        <v>84.4</v>
      </c>
      <c r="I43">
        <v>21</v>
      </c>
      <c r="J43">
        <v>0</v>
      </c>
      <c r="K43">
        <v>0</v>
      </c>
      <c r="L43">
        <v>0</v>
      </c>
      <c r="M43">
        <v>1</v>
      </c>
      <c r="N43" t="s">
        <v>108</v>
      </c>
      <c r="O43" t="s">
        <v>288</v>
      </c>
      <c r="P43" t="s">
        <v>288</v>
      </c>
      <c r="Q43" t="s">
        <v>288</v>
      </c>
      <c r="R43" t="s">
        <v>288</v>
      </c>
      <c r="S43" t="s">
        <v>288</v>
      </c>
      <c r="T43" t="s">
        <v>288</v>
      </c>
      <c r="U43" t="s">
        <v>288</v>
      </c>
    </row>
    <row r="44" spans="1:21" x14ac:dyDescent="0.25">
      <c r="A44" t="s">
        <v>109</v>
      </c>
      <c r="B44">
        <v>4.5</v>
      </c>
      <c r="C44" s="45">
        <v>0</v>
      </c>
      <c r="D44">
        <v>35</v>
      </c>
      <c r="E44">
        <v>1048</v>
      </c>
      <c r="F44">
        <v>40</v>
      </c>
      <c r="G44">
        <v>4.4000000000000004</v>
      </c>
      <c r="H44">
        <v>72.900000000000006</v>
      </c>
      <c r="I44">
        <v>19</v>
      </c>
      <c r="J44">
        <v>1</v>
      </c>
      <c r="K44">
        <v>0</v>
      </c>
      <c r="L44">
        <v>0</v>
      </c>
      <c r="M44">
        <v>0</v>
      </c>
      <c r="N44" t="s">
        <v>109</v>
      </c>
      <c r="O44" t="s">
        <v>288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</row>
    <row r="45" spans="1:21" x14ac:dyDescent="0.25">
      <c r="A45" t="s">
        <v>110</v>
      </c>
      <c r="B45">
        <v>7.4</v>
      </c>
      <c r="C45" s="45">
        <v>0</v>
      </c>
      <c r="D45">
        <v>65</v>
      </c>
      <c r="E45">
        <v>1069</v>
      </c>
      <c r="F45">
        <v>60</v>
      </c>
      <c r="G45">
        <v>4.2</v>
      </c>
      <c r="H45">
        <v>82.6</v>
      </c>
      <c r="I45">
        <v>18</v>
      </c>
      <c r="J45">
        <v>1</v>
      </c>
      <c r="K45">
        <v>0</v>
      </c>
      <c r="L45">
        <v>0</v>
      </c>
      <c r="M45">
        <v>0</v>
      </c>
      <c r="N45" t="s">
        <v>110</v>
      </c>
      <c r="O45" t="s">
        <v>288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</row>
    <row r="46" spans="1:21" x14ac:dyDescent="0.25">
      <c r="A46" t="s">
        <v>111</v>
      </c>
      <c r="B46">
        <v>7.2</v>
      </c>
      <c r="C46" s="45">
        <v>0</v>
      </c>
      <c r="D46">
        <v>70</v>
      </c>
      <c r="E46">
        <v>1067</v>
      </c>
      <c r="F46">
        <v>30</v>
      </c>
      <c r="G46">
        <v>4.4000000000000004</v>
      </c>
      <c r="H46">
        <v>82.1</v>
      </c>
      <c r="I46">
        <v>19</v>
      </c>
      <c r="J46">
        <v>1</v>
      </c>
      <c r="K46">
        <v>0</v>
      </c>
      <c r="L46">
        <v>0</v>
      </c>
      <c r="M46">
        <v>0</v>
      </c>
      <c r="N46" t="s">
        <v>111</v>
      </c>
      <c r="O46" t="s">
        <v>288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</row>
    <row r="47" spans="1:21" x14ac:dyDescent="0.25">
      <c r="A47" t="s">
        <v>112</v>
      </c>
      <c r="B47">
        <v>9.5</v>
      </c>
      <c r="C47" s="45">
        <v>0</v>
      </c>
      <c r="D47">
        <v>85</v>
      </c>
      <c r="E47">
        <v>1095</v>
      </c>
      <c r="F47">
        <v>250</v>
      </c>
      <c r="G47">
        <v>4.4000000000000004</v>
      </c>
      <c r="H47">
        <v>76.8</v>
      </c>
      <c r="I47">
        <v>18</v>
      </c>
      <c r="J47">
        <v>0</v>
      </c>
      <c r="K47">
        <v>0</v>
      </c>
      <c r="L47">
        <v>0</v>
      </c>
      <c r="M47">
        <v>1</v>
      </c>
      <c r="N47" t="s">
        <v>112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</row>
    <row r="48" spans="1:21" x14ac:dyDescent="0.25">
      <c r="A48" t="s">
        <v>113</v>
      </c>
      <c r="B48">
        <v>9.1999999999999993</v>
      </c>
      <c r="C48" s="45">
        <v>0</v>
      </c>
      <c r="D48">
        <v>149</v>
      </c>
      <c r="E48">
        <v>1083</v>
      </c>
      <c r="F48">
        <v>19.5</v>
      </c>
      <c r="G48">
        <v>4.4000000000000004</v>
      </c>
      <c r="H48">
        <v>83</v>
      </c>
      <c r="I48">
        <v>19</v>
      </c>
      <c r="J48">
        <v>0</v>
      </c>
      <c r="K48">
        <v>0</v>
      </c>
      <c r="L48">
        <v>0</v>
      </c>
      <c r="M48">
        <v>1</v>
      </c>
      <c r="N48" t="s">
        <v>113</v>
      </c>
      <c r="O48" t="s">
        <v>288</v>
      </c>
      <c r="P48" t="s">
        <v>288</v>
      </c>
      <c r="Q48" t="s">
        <v>288</v>
      </c>
      <c r="R48" t="s">
        <v>288</v>
      </c>
      <c r="S48" t="s">
        <v>288</v>
      </c>
      <c r="T48" t="s">
        <v>288</v>
      </c>
      <c r="U48" t="s">
        <v>288</v>
      </c>
    </row>
    <row r="49" spans="1:21" x14ac:dyDescent="0.25">
      <c r="A49" t="s">
        <v>114</v>
      </c>
      <c r="B49">
        <v>9</v>
      </c>
      <c r="C49" s="45">
        <v>0</v>
      </c>
      <c r="D49">
        <v>65</v>
      </c>
      <c r="E49">
        <v>1080</v>
      </c>
      <c r="F49">
        <v>97</v>
      </c>
      <c r="G49">
        <v>4.4000000000000004</v>
      </c>
      <c r="H49">
        <v>76</v>
      </c>
      <c r="I49">
        <v>19</v>
      </c>
      <c r="J49">
        <v>1</v>
      </c>
      <c r="K49">
        <v>0</v>
      </c>
      <c r="L49">
        <v>0</v>
      </c>
      <c r="M49">
        <v>0</v>
      </c>
      <c r="N49" t="s">
        <v>114</v>
      </c>
      <c r="O49" t="s">
        <v>288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</row>
    <row r="50" spans="1:21" x14ac:dyDescent="0.25">
      <c r="A50" t="s">
        <v>115</v>
      </c>
      <c r="B50">
        <v>7.2</v>
      </c>
      <c r="C50" s="45">
        <v>0</v>
      </c>
      <c r="D50">
        <v>100</v>
      </c>
      <c r="E50">
        <v>1064</v>
      </c>
      <c r="F50">
        <v>12</v>
      </c>
      <c r="G50">
        <v>4.4000000000000004</v>
      </c>
      <c r="H50">
        <v>84</v>
      </c>
      <c r="I50">
        <v>19</v>
      </c>
      <c r="J50">
        <v>1</v>
      </c>
      <c r="K50">
        <v>0</v>
      </c>
      <c r="L50">
        <v>0</v>
      </c>
      <c r="M50">
        <v>0</v>
      </c>
      <c r="N50" t="s">
        <v>115</v>
      </c>
      <c r="O50" t="s">
        <v>288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288</v>
      </c>
    </row>
    <row r="51" spans="1:21" x14ac:dyDescent="0.25">
      <c r="A51" t="s">
        <v>116</v>
      </c>
      <c r="B51">
        <v>7.5</v>
      </c>
      <c r="C51" s="45">
        <v>0</v>
      </c>
      <c r="D51">
        <v>30</v>
      </c>
      <c r="E51">
        <v>1080</v>
      </c>
      <c r="F51">
        <v>46</v>
      </c>
      <c r="G51">
        <v>4.5</v>
      </c>
      <c r="H51">
        <v>70</v>
      </c>
      <c r="I51">
        <v>12</v>
      </c>
      <c r="J51">
        <v>0</v>
      </c>
      <c r="K51">
        <v>1</v>
      </c>
      <c r="L51">
        <v>0</v>
      </c>
      <c r="M51">
        <v>0</v>
      </c>
      <c r="N51" t="s">
        <v>116</v>
      </c>
      <c r="O51" t="s">
        <v>288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</row>
    <row r="52" spans="1:21" x14ac:dyDescent="0.25">
      <c r="A52" t="s">
        <v>117</v>
      </c>
      <c r="B52" t="s">
        <v>32</v>
      </c>
      <c r="C52">
        <v>1</v>
      </c>
      <c r="D52">
        <v>30</v>
      </c>
      <c r="E52">
        <v>1043</v>
      </c>
      <c r="F52">
        <v>15</v>
      </c>
      <c r="G52">
        <v>4.4000000000000004</v>
      </c>
      <c r="H52">
        <v>81.400000000000006</v>
      </c>
      <c r="I52">
        <v>23</v>
      </c>
      <c r="J52">
        <v>0</v>
      </c>
      <c r="K52">
        <v>0</v>
      </c>
      <c r="L52">
        <v>1</v>
      </c>
      <c r="M52">
        <v>0</v>
      </c>
      <c r="N52" t="s">
        <v>117</v>
      </c>
      <c r="O52">
        <v>30</v>
      </c>
      <c r="P52">
        <v>1043</v>
      </c>
      <c r="Q52">
        <v>15</v>
      </c>
      <c r="R52">
        <v>4.4000000000000004</v>
      </c>
      <c r="S52">
        <v>81.400000000000006</v>
      </c>
      <c r="T52">
        <v>23</v>
      </c>
      <c r="U52" t="s">
        <v>71</v>
      </c>
    </row>
    <row r="53" spans="1:21" x14ac:dyDescent="0.25">
      <c r="A53" t="s">
        <v>118</v>
      </c>
      <c r="B53">
        <v>10.43</v>
      </c>
      <c r="C53" s="45">
        <v>0</v>
      </c>
      <c r="D53">
        <v>65</v>
      </c>
      <c r="E53">
        <v>1095</v>
      </c>
      <c r="F53">
        <v>23</v>
      </c>
      <c r="G53">
        <v>4.4000000000000004</v>
      </c>
      <c r="H53">
        <v>83.2</v>
      </c>
      <c r="I53">
        <v>21</v>
      </c>
      <c r="J53">
        <v>0</v>
      </c>
      <c r="K53">
        <v>0</v>
      </c>
      <c r="L53">
        <v>0</v>
      </c>
      <c r="M53">
        <v>1</v>
      </c>
      <c r="N53" t="s">
        <v>118</v>
      </c>
      <c r="O53" t="s">
        <v>288</v>
      </c>
      <c r="P53" t="s">
        <v>288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</row>
    <row r="54" spans="1:21" x14ac:dyDescent="0.25">
      <c r="A54" t="s">
        <v>119</v>
      </c>
      <c r="B54">
        <v>7.1</v>
      </c>
      <c r="C54" s="45">
        <v>0</v>
      </c>
      <c r="D54">
        <v>68</v>
      </c>
      <c r="E54">
        <v>1056</v>
      </c>
      <c r="F54">
        <v>14</v>
      </c>
      <c r="G54">
        <v>4.4000000000000004</v>
      </c>
      <c r="H54">
        <v>82.1</v>
      </c>
      <c r="I54">
        <v>10</v>
      </c>
      <c r="J54">
        <v>0</v>
      </c>
      <c r="K54">
        <v>1</v>
      </c>
      <c r="L54">
        <v>0</v>
      </c>
      <c r="M54">
        <v>0</v>
      </c>
      <c r="N54" t="s">
        <v>119</v>
      </c>
      <c r="O54" t="s">
        <v>288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</row>
    <row r="55" spans="1:21" x14ac:dyDescent="0.25">
      <c r="A55" t="s">
        <v>120</v>
      </c>
      <c r="B55">
        <v>8</v>
      </c>
      <c r="C55" s="45">
        <v>0</v>
      </c>
      <c r="D55">
        <v>35</v>
      </c>
      <c r="E55">
        <v>1077</v>
      </c>
      <c r="F55">
        <v>15</v>
      </c>
      <c r="G55">
        <v>4.4000000000000004</v>
      </c>
      <c r="H55">
        <v>79.2</v>
      </c>
      <c r="I55">
        <v>9</v>
      </c>
      <c r="J55">
        <v>0</v>
      </c>
      <c r="K55">
        <v>1</v>
      </c>
      <c r="L55">
        <v>0</v>
      </c>
      <c r="M55">
        <v>0</v>
      </c>
      <c r="N55" t="s">
        <v>120</v>
      </c>
      <c r="O55" t="s">
        <v>288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</row>
    <row r="56" spans="1:21" x14ac:dyDescent="0.25">
      <c r="A56" t="s">
        <v>121</v>
      </c>
      <c r="B56">
        <v>5</v>
      </c>
      <c r="C56" s="45">
        <v>0</v>
      </c>
      <c r="D56">
        <v>50</v>
      </c>
      <c r="E56">
        <v>1049</v>
      </c>
      <c r="F56">
        <v>110</v>
      </c>
      <c r="G56">
        <v>4.4000000000000004</v>
      </c>
      <c r="H56">
        <v>79</v>
      </c>
      <c r="I56">
        <v>19</v>
      </c>
      <c r="J56">
        <v>1</v>
      </c>
      <c r="K56">
        <v>0</v>
      </c>
      <c r="L56">
        <v>0</v>
      </c>
      <c r="M56">
        <v>0</v>
      </c>
      <c r="N56" t="s">
        <v>121</v>
      </c>
      <c r="O56" t="s">
        <v>288</v>
      </c>
      <c r="P56" t="s">
        <v>288</v>
      </c>
      <c r="Q56" t="s">
        <v>288</v>
      </c>
      <c r="R56" t="s">
        <v>288</v>
      </c>
      <c r="S56" t="s">
        <v>288</v>
      </c>
      <c r="T56" t="s">
        <v>288</v>
      </c>
      <c r="U56" t="s">
        <v>288</v>
      </c>
    </row>
    <row r="57" spans="1:21" x14ac:dyDescent="0.25">
      <c r="A57" t="s">
        <v>122</v>
      </c>
      <c r="B57">
        <v>5.4</v>
      </c>
      <c r="C57" s="45">
        <v>0</v>
      </c>
      <c r="D57">
        <v>35</v>
      </c>
      <c r="E57">
        <v>1050</v>
      </c>
      <c r="F57">
        <v>11.5</v>
      </c>
      <c r="G57">
        <v>4.4000000000000004</v>
      </c>
      <c r="H57">
        <v>84</v>
      </c>
      <c r="I57">
        <v>19</v>
      </c>
      <c r="J57">
        <v>1</v>
      </c>
      <c r="K57">
        <v>0</v>
      </c>
      <c r="L57">
        <v>0</v>
      </c>
      <c r="M57">
        <v>0</v>
      </c>
      <c r="N57" t="s">
        <v>122</v>
      </c>
      <c r="O57" t="s">
        <v>288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</row>
    <row r="58" spans="1:21" x14ac:dyDescent="0.25">
      <c r="A58" t="s">
        <v>123</v>
      </c>
      <c r="B58">
        <v>4.0999999999999996</v>
      </c>
      <c r="C58" s="45">
        <v>0</v>
      </c>
      <c r="D58">
        <v>65</v>
      </c>
      <c r="E58">
        <v>1042</v>
      </c>
      <c r="F58">
        <v>17</v>
      </c>
      <c r="G58">
        <v>4.4000000000000004</v>
      </c>
      <c r="H58">
        <v>76.2</v>
      </c>
      <c r="I58">
        <v>19</v>
      </c>
      <c r="J58">
        <v>0</v>
      </c>
      <c r="K58">
        <v>0</v>
      </c>
      <c r="L58">
        <v>0</v>
      </c>
      <c r="M58">
        <v>1</v>
      </c>
      <c r="N58" t="s">
        <v>123</v>
      </c>
      <c r="O58" t="s">
        <v>288</v>
      </c>
      <c r="P58" t="s">
        <v>288</v>
      </c>
      <c r="Q58" t="s">
        <v>288</v>
      </c>
      <c r="R58" t="s">
        <v>288</v>
      </c>
      <c r="S58" t="s">
        <v>288</v>
      </c>
      <c r="T58" t="s">
        <v>288</v>
      </c>
      <c r="U58" t="s">
        <v>288</v>
      </c>
    </row>
    <row r="59" spans="1:21" x14ac:dyDescent="0.25">
      <c r="A59" t="s">
        <v>124</v>
      </c>
      <c r="B59">
        <v>10.199999999999999</v>
      </c>
      <c r="C59" s="45">
        <v>0</v>
      </c>
      <c r="D59">
        <v>50</v>
      </c>
      <c r="E59">
        <v>1026</v>
      </c>
      <c r="F59">
        <v>197</v>
      </c>
      <c r="G59">
        <v>4.4000000000000004</v>
      </c>
      <c r="H59">
        <v>74.5</v>
      </c>
      <c r="I59">
        <v>21</v>
      </c>
      <c r="J59">
        <v>0</v>
      </c>
      <c r="K59">
        <v>0</v>
      </c>
      <c r="L59">
        <v>0</v>
      </c>
      <c r="M59">
        <v>1</v>
      </c>
      <c r="N59" t="s">
        <v>124</v>
      </c>
      <c r="O59" t="s">
        <v>288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</row>
    <row r="60" spans="1:21" x14ac:dyDescent="0.25">
      <c r="A60" t="s">
        <v>125</v>
      </c>
      <c r="B60">
        <v>4</v>
      </c>
      <c r="C60" s="45">
        <v>0</v>
      </c>
      <c r="D60">
        <v>35</v>
      </c>
      <c r="E60">
        <v>1041</v>
      </c>
      <c r="F60">
        <v>45</v>
      </c>
      <c r="G60">
        <v>5.2</v>
      </c>
      <c r="H60">
        <v>75.599999999999994</v>
      </c>
      <c r="I60">
        <v>19</v>
      </c>
      <c r="J60">
        <v>1</v>
      </c>
      <c r="K60">
        <v>0</v>
      </c>
      <c r="L60">
        <v>0</v>
      </c>
      <c r="M60">
        <v>0</v>
      </c>
      <c r="N60" t="s">
        <v>125</v>
      </c>
      <c r="O60" t="s">
        <v>288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</row>
    <row r="61" spans="1:21" x14ac:dyDescent="0.25">
      <c r="A61" t="s">
        <v>126</v>
      </c>
      <c r="B61">
        <v>7</v>
      </c>
      <c r="C61" s="45">
        <v>0</v>
      </c>
      <c r="D61">
        <v>20</v>
      </c>
      <c r="E61">
        <v>1081</v>
      </c>
      <c r="F61">
        <v>12</v>
      </c>
      <c r="G61">
        <v>3.2</v>
      </c>
      <c r="H61">
        <v>74</v>
      </c>
      <c r="I61">
        <v>19</v>
      </c>
      <c r="J61">
        <v>0</v>
      </c>
      <c r="K61">
        <v>0</v>
      </c>
      <c r="L61">
        <v>0</v>
      </c>
      <c r="M61">
        <v>1</v>
      </c>
      <c r="N61" t="s">
        <v>126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</row>
    <row r="62" spans="1:21" x14ac:dyDescent="0.25">
      <c r="A62" t="s">
        <v>127</v>
      </c>
      <c r="B62">
        <v>12.7</v>
      </c>
      <c r="C62" s="45">
        <v>0</v>
      </c>
      <c r="D62">
        <v>85</v>
      </c>
      <c r="E62">
        <v>1113.5</v>
      </c>
      <c r="F62">
        <v>250</v>
      </c>
      <c r="G62">
        <v>5.2</v>
      </c>
      <c r="H62">
        <v>76.8</v>
      </c>
      <c r="I62">
        <v>18</v>
      </c>
      <c r="J62">
        <v>0</v>
      </c>
      <c r="K62">
        <v>0</v>
      </c>
      <c r="L62">
        <v>0</v>
      </c>
      <c r="M62">
        <v>1</v>
      </c>
      <c r="N62" t="s">
        <v>127</v>
      </c>
      <c r="O62" t="s">
        <v>288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</row>
    <row r="63" spans="1:21" x14ac:dyDescent="0.25">
      <c r="A63" t="s">
        <v>128</v>
      </c>
      <c r="B63">
        <v>6.5</v>
      </c>
      <c r="C63" s="45">
        <v>0</v>
      </c>
      <c r="D63">
        <v>35</v>
      </c>
      <c r="E63">
        <v>1050</v>
      </c>
      <c r="F63">
        <v>23</v>
      </c>
      <c r="G63">
        <v>4.4000000000000004</v>
      </c>
      <c r="H63">
        <v>76</v>
      </c>
      <c r="I63">
        <v>18</v>
      </c>
      <c r="J63">
        <v>1</v>
      </c>
      <c r="K63">
        <v>0</v>
      </c>
      <c r="L63">
        <v>0</v>
      </c>
      <c r="M63">
        <v>0</v>
      </c>
      <c r="N63" t="s">
        <v>128</v>
      </c>
      <c r="O63" t="s">
        <v>288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</row>
    <row r="64" spans="1:21" x14ac:dyDescent="0.25">
      <c r="A64" t="s">
        <v>129</v>
      </c>
      <c r="B64">
        <v>7.5</v>
      </c>
      <c r="C64" s="45">
        <v>0</v>
      </c>
      <c r="D64">
        <v>50</v>
      </c>
      <c r="E64">
        <v>1070</v>
      </c>
      <c r="F64">
        <v>40</v>
      </c>
      <c r="G64">
        <v>4.4000000000000004</v>
      </c>
      <c r="H64">
        <v>81.400000000000006</v>
      </c>
      <c r="I64">
        <v>21</v>
      </c>
      <c r="J64">
        <v>0</v>
      </c>
      <c r="K64">
        <v>0</v>
      </c>
      <c r="L64">
        <v>0</v>
      </c>
      <c r="M64">
        <v>1</v>
      </c>
      <c r="N64" t="s">
        <v>129</v>
      </c>
      <c r="O64" t="s">
        <v>288</v>
      </c>
      <c r="P64" t="s">
        <v>288</v>
      </c>
      <c r="Q64" t="s">
        <v>288</v>
      </c>
      <c r="R64" t="s">
        <v>288</v>
      </c>
      <c r="S64" t="s">
        <v>288</v>
      </c>
      <c r="T64" t="s">
        <v>288</v>
      </c>
      <c r="U64" t="s">
        <v>288</v>
      </c>
    </row>
    <row r="65" spans="1:21" x14ac:dyDescent="0.25">
      <c r="A65" t="s">
        <v>130</v>
      </c>
      <c r="B65">
        <v>4.2</v>
      </c>
      <c r="C65" s="45">
        <v>0</v>
      </c>
      <c r="D65">
        <v>50</v>
      </c>
      <c r="E65">
        <v>1042</v>
      </c>
      <c r="F65">
        <v>30</v>
      </c>
      <c r="G65">
        <v>4.4000000000000004</v>
      </c>
      <c r="H65">
        <v>76.2</v>
      </c>
      <c r="I65">
        <v>19</v>
      </c>
      <c r="J65">
        <v>1</v>
      </c>
      <c r="K65">
        <v>0</v>
      </c>
      <c r="L65">
        <v>0</v>
      </c>
      <c r="M65">
        <v>0</v>
      </c>
      <c r="N65" t="s">
        <v>130</v>
      </c>
      <c r="O65" t="s">
        <v>288</v>
      </c>
      <c r="P65" t="s">
        <v>288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</row>
    <row r="66" spans="1:21" x14ac:dyDescent="0.25">
      <c r="A66" t="s">
        <v>131</v>
      </c>
      <c r="B66">
        <v>11.8</v>
      </c>
      <c r="C66" s="45">
        <v>0</v>
      </c>
      <c r="D66">
        <v>80</v>
      </c>
      <c r="E66">
        <v>1096</v>
      </c>
      <c r="F66">
        <v>115</v>
      </c>
      <c r="G66">
        <v>5.2</v>
      </c>
      <c r="H66">
        <v>79.2</v>
      </c>
      <c r="I66">
        <v>20</v>
      </c>
      <c r="J66">
        <v>0</v>
      </c>
      <c r="K66">
        <v>0</v>
      </c>
      <c r="L66">
        <v>0</v>
      </c>
      <c r="M66">
        <v>1</v>
      </c>
      <c r="N66" t="s">
        <v>131</v>
      </c>
      <c r="O66" t="s">
        <v>288</v>
      </c>
      <c r="P66" t="s">
        <v>288</v>
      </c>
      <c r="Q66" t="s">
        <v>288</v>
      </c>
      <c r="R66" t="s">
        <v>288</v>
      </c>
      <c r="S66" t="s">
        <v>288</v>
      </c>
      <c r="T66" t="s">
        <v>288</v>
      </c>
      <c r="U66" t="s">
        <v>288</v>
      </c>
    </row>
    <row r="67" spans="1:21" x14ac:dyDescent="0.25">
      <c r="A67" t="s">
        <v>132</v>
      </c>
      <c r="B67">
        <v>7.6</v>
      </c>
      <c r="C67" s="45">
        <v>0</v>
      </c>
      <c r="D67">
        <v>70</v>
      </c>
      <c r="E67">
        <v>1073</v>
      </c>
      <c r="F67">
        <v>59</v>
      </c>
      <c r="G67">
        <v>4.4000000000000004</v>
      </c>
      <c r="H67">
        <v>79.5</v>
      </c>
      <c r="I67">
        <v>20</v>
      </c>
      <c r="J67">
        <v>0</v>
      </c>
      <c r="K67">
        <v>0</v>
      </c>
      <c r="L67">
        <v>0</v>
      </c>
      <c r="M67">
        <v>1</v>
      </c>
      <c r="N67" t="s">
        <v>132</v>
      </c>
      <c r="O67" t="s">
        <v>288</v>
      </c>
      <c r="P67" t="s">
        <v>288</v>
      </c>
      <c r="Q67" t="s">
        <v>288</v>
      </c>
      <c r="R67" t="s">
        <v>288</v>
      </c>
      <c r="S67" t="s">
        <v>288</v>
      </c>
      <c r="T67" t="s">
        <v>288</v>
      </c>
      <c r="U67" t="s">
        <v>288</v>
      </c>
    </row>
    <row r="68" spans="1:21" x14ac:dyDescent="0.25">
      <c r="A68" t="s">
        <v>133</v>
      </c>
      <c r="B68">
        <v>15</v>
      </c>
      <c r="C68" s="45">
        <v>0</v>
      </c>
      <c r="D68">
        <v>80</v>
      </c>
      <c r="E68">
        <v>1113</v>
      </c>
      <c r="F68">
        <v>400</v>
      </c>
      <c r="G68">
        <v>4</v>
      </c>
      <c r="H68">
        <v>84.1</v>
      </c>
      <c r="I68">
        <v>21</v>
      </c>
      <c r="J68">
        <v>0</v>
      </c>
      <c r="K68">
        <v>0</v>
      </c>
      <c r="L68">
        <v>0</v>
      </c>
      <c r="M68">
        <v>1</v>
      </c>
      <c r="N68" t="s">
        <v>133</v>
      </c>
      <c r="O68" t="s">
        <v>288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</row>
    <row r="69" spans="1:21" x14ac:dyDescent="0.25">
      <c r="A69" t="s">
        <v>134</v>
      </c>
      <c r="B69">
        <v>4.4000000000000004</v>
      </c>
      <c r="C69" s="45">
        <v>0</v>
      </c>
      <c r="D69">
        <v>35</v>
      </c>
      <c r="E69">
        <v>1040</v>
      </c>
      <c r="F69">
        <v>12</v>
      </c>
      <c r="G69">
        <v>4.4000000000000004</v>
      </c>
      <c r="H69">
        <v>79.5</v>
      </c>
      <c r="I69">
        <v>10</v>
      </c>
      <c r="J69">
        <v>0</v>
      </c>
      <c r="K69">
        <v>1</v>
      </c>
      <c r="L69">
        <v>0</v>
      </c>
      <c r="M69">
        <v>0</v>
      </c>
      <c r="N69" t="s">
        <v>134</v>
      </c>
      <c r="O69" t="s">
        <v>288</v>
      </c>
      <c r="P69" t="s">
        <v>288</v>
      </c>
      <c r="Q69" t="s">
        <v>288</v>
      </c>
      <c r="R69" t="s">
        <v>288</v>
      </c>
      <c r="S69" t="s">
        <v>288</v>
      </c>
      <c r="T69" t="s">
        <v>288</v>
      </c>
      <c r="U69" t="s">
        <v>288</v>
      </c>
    </row>
    <row r="70" spans="1:21" x14ac:dyDescent="0.25">
      <c r="A70" t="s">
        <v>135</v>
      </c>
      <c r="B70">
        <v>6.3</v>
      </c>
      <c r="C70" s="45">
        <v>0</v>
      </c>
      <c r="D70">
        <v>85</v>
      </c>
      <c r="E70">
        <v>1063</v>
      </c>
      <c r="F70">
        <v>24</v>
      </c>
      <c r="G70">
        <v>4.2</v>
      </c>
      <c r="H70">
        <v>82.6</v>
      </c>
      <c r="I70">
        <v>19</v>
      </c>
      <c r="J70">
        <v>1</v>
      </c>
      <c r="K70">
        <v>0</v>
      </c>
      <c r="L70">
        <v>0</v>
      </c>
      <c r="M70">
        <v>0</v>
      </c>
      <c r="N70" t="s">
        <v>135</v>
      </c>
      <c r="O70" t="s">
        <v>288</v>
      </c>
      <c r="P70" t="s">
        <v>288</v>
      </c>
      <c r="Q70" t="s">
        <v>288</v>
      </c>
      <c r="R70" t="s">
        <v>288</v>
      </c>
      <c r="S70" t="s">
        <v>288</v>
      </c>
      <c r="T70" t="s">
        <v>288</v>
      </c>
      <c r="U70" t="s">
        <v>288</v>
      </c>
    </row>
    <row r="71" spans="1:21" x14ac:dyDescent="0.25">
      <c r="A71" t="s">
        <v>136</v>
      </c>
      <c r="B71">
        <v>7.2</v>
      </c>
      <c r="C71" s="45">
        <v>0</v>
      </c>
      <c r="D71">
        <v>70</v>
      </c>
      <c r="E71">
        <v>1067</v>
      </c>
      <c r="F71">
        <v>30</v>
      </c>
      <c r="G71">
        <v>4.4000000000000004</v>
      </c>
      <c r="H71">
        <v>82.1</v>
      </c>
      <c r="I71">
        <v>19</v>
      </c>
      <c r="J71">
        <v>1</v>
      </c>
      <c r="K71">
        <v>0</v>
      </c>
      <c r="L71">
        <v>0</v>
      </c>
      <c r="M71">
        <v>0</v>
      </c>
      <c r="N71" t="s">
        <v>136</v>
      </c>
      <c r="O71" t="s">
        <v>288</v>
      </c>
      <c r="P71" t="s">
        <v>288</v>
      </c>
      <c r="Q71" t="s">
        <v>288</v>
      </c>
      <c r="R71" t="s">
        <v>288</v>
      </c>
      <c r="S71" t="s">
        <v>288</v>
      </c>
      <c r="T71" t="s">
        <v>288</v>
      </c>
      <c r="U71" t="s">
        <v>288</v>
      </c>
    </row>
    <row r="72" spans="1:21" x14ac:dyDescent="0.25">
      <c r="A72" t="s">
        <v>137</v>
      </c>
      <c r="B72" t="s">
        <v>32</v>
      </c>
      <c r="C72">
        <v>1</v>
      </c>
      <c r="D72">
        <v>9</v>
      </c>
      <c r="E72">
        <v>1032</v>
      </c>
      <c r="F72">
        <v>2</v>
      </c>
      <c r="G72">
        <v>4.4000000000000004</v>
      </c>
      <c r="H72">
        <v>88</v>
      </c>
      <c r="I72">
        <v>21</v>
      </c>
      <c r="J72">
        <v>0</v>
      </c>
      <c r="K72">
        <v>0</v>
      </c>
      <c r="L72">
        <v>1</v>
      </c>
      <c r="M72">
        <v>0</v>
      </c>
      <c r="N72" t="s">
        <v>137</v>
      </c>
      <c r="O72">
        <v>9</v>
      </c>
      <c r="P72">
        <v>1032</v>
      </c>
      <c r="Q72">
        <v>2</v>
      </c>
      <c r="R72">
        <v>4.4000000000000004</v>
      </c>
      <c r="S72">
        <v>88</v>
      </c>
      <c r="T72">
        <v>21</v>
      </c>
      <c r="U72" t="s">
        <v>71</v>
      </c>
    </row>
    <row r="73" spans="1:21" x14ac:dyDescent="0.25">
      <c r="A73" t="s">
        <v>138</v>
      </c>
      <c r="B73">
        <v>4.5</v>
      </c>
      <c r="C73" s="45">
        <v>0</v>
      </c>
      <c r="D73">
        <v>35</v>
      </c>
      <c r="E73">
        <v>1048</v>
      </c>
      <c r="F73">
        <v>44</v>
      </c>
      <c r="G73">
        <v>4.4000000000000004</v>
      </c>
      <c r="H73">
        <v>72.900000000000006</v>
      </c>
      <c r="I73">
        <v>19</v>
      </c>
      <c r="J73">
        <v>1</v>
      </c>
      <c r="K73">
        <v>0</v>
      </c>
      <c r="L73">
        <v>0</v>
      </c>
      <c r="M73">
        <v>0</v>
      </c>
      <c r="N73" t="s">
        <v>138</v>
      </c>
      <c r="O73" t="s">
        <v>288</v>
      </c>
      <c r="P73" t="s">
        <v>288</v>
      </c>
      <c r="Q73" t="s">
        <v>288</v>
      </c>
      <c r="R73" t="s">
        <v>288</v>
      </c>
      <c r="S73" t="s">
        <v>288</v>
      </c>
      <c r="T73" t="s">
        <v>288</v>
      </c>
      <c r="U73" t="s">
        <v>288</v>
      </c>
    </row>
    <row r="74" spans="1:21" x14ac:dyDescent="0.25">
      <c r="A74" t="s">
        <v>139</v>
      </c>
      <c r="B74">
        <v>4.5</v>
      </c>
      <c r="C74" s="45">
        <v>0</v>
      </c>
      <c r="D74">
        <v>30</v>
      </c>
      <c r="E74">
        <v>1045</v>
      </c>
      <c r="F74">
        <v>25</v>
      </c>
      <c r="G74">
        <v>4.4000000000000004</v>
      </c>
      <c r="H74">
        <v>75.599999999999994</v>
      </c>
      <c r="I74">
        <v>19</v>
      </c>
      <c r="J74">
        <v>1</v>
      </c>
      <c r="K74">
        <v>0</v>
      </c>
      <c r="L74">
        <v>0</v>
      </c>
      <c r="M74">
        <v>0</v>
      </c>
      <c r="N74" t="s">
        <v>139</v>
      </c>
      <c r="O74" t="s">
        <v>288</v>
      </c>
      <c r="P74" t="s">
        <v>288</v>
      </c>
      <c r="Q74" t="s">
        <v>288</v>
      </c>
      <c r="R74" t="s">
        <v>288</v>
      </c>
      <c r="S74" t="s">
        <v>288</v>
      </c>
      <c r="T74" t="s">
        <v>288</v>
      </c>
      <c r="U74" t="s">
        <v>288</v>
      </c>
    </row>
    <row r="75" spans="1:21" x14ac:dyDescent="0.25">
      <c r="A75" t="s">
        <v>140</v>
      </c>
      <c r="B75">
        <v>7.5</v>
      </c>
      <c r="C75" s="45">
        <v>0</v>
      </c>
      <c r="D75">
        <v>70</v>
      </c>
      <c r="E75">
        <v>1068</v>
      </c>
      <c r="F75">
        <v>30</v>
      </c>
      <c r="G75">
        <v>4.4000000000000004</v>
      </c>
      <c r="H75">
        <v>82.1</v>
      </c>
      <c r="I75">
        <v>19</v>
      </c>
      <c r="J75">
        <v>1</v>
      </c>
      <c r="K75">
        <v>0</v>
      </c>
      <c r="L75">
        <v>0</v>
      </c>
      <c r="M75">
        <v>0</v>
      </c>
      <c r="N75" t="s">
        <v>140</v>
      </c>
      <c r="O75" t="s">
        <v>288</v>
      </c>
      <c r="P75" t="s">
        <v>288</v>
      </c>
      <c r="Q75" t="s">
        <v>288</v>
      </c>
      <c r="R75" t="s">
        <v>288</v>
      </c>
      <c r="S75" t="s">
        <v>288</v>
      </c>
      <c r="T75" t="s">
        <v>288</v>
      </c>
      <c r="U75" t="s">
        <v>288</v>
      </c>
    </row>
    <row r="76" spans="1:21" x14ac:dyDescent="0.25">
      <c r="A76" t="s">
        <v>141</v>
      </c>
      <c r="B76">
        <v>10</v>
      </c>
      <c r="C76" s="45">
        <v>0</v>
      </c>
      <c r="D76">
        <v>85</v>
      </c>
      <c r="E76">
        <v>1098</v>
      </c>
      <c r="F76">
        <v>130</v>
      </c>
      <c r="G76">
        <v>4.4000000000000004</v>
      </c>
      <c r="H76">
        <v>79.599999999999994</v>
      </c>
      <c r="I76">
        <v>21</v>
      </c>
      <c r="J76">
        <v>0</v>
      </c>
      <c r="K76">
        <v>0</v>
      </c>
      <c r="L76">
        <v>0</v>
      </c>
      <c r="M76">
        <v>1</v>
      </c>
      <c r="N76" t="s">
        <v>141</v>
      </c>
      <c r="O76" t="s">
        <v>288</v>
      </c>
      <c r="P76" t="s">
        <v>288</v>
      </c>
      <c r="Q76" t="s">
        <v>288</v>
      </c>
      <c r="R76" t="s">
        <v>288</v>
      </c>
      <c r="S76" t="s">
        <v>288</v>
      </c>
      <c r="T76" t="s">
        <v>288</v>
      </c>
      <c r="U76" t="s">
        <v>288</v>
      </c>
    </row>
    <row r="77" spans="1:21" x14ac:dyDescent="0.25">
      <c r="A77" t="s">
        <v>142</v>
      </c>
      <c r="B77">
        <v>3.8</v>
      </c>
      <c r="C77" s="45">
        <v>0</v>
      </c>
      <c r="D77">
        <v>35</v>
      </c>
      <c r="E77">
        <v>1040</v>
      </c>
      <c r="F77">
        <v>25</v>
      </c>
      <c r="G77">
        <v>4.4000000000000004</v>
      </c>
      <c r="H77">
        <v>70</v>
      </c>
      <c r="I77">
        <v>19</v>
      </c>
      <c r="J77">
        <v>1</v>
      </c>
      <c r="K77">
        <v>0</v>
      </c>
      <c r="L77">
        <v>0</v>
      </c>
      <c r="M77">
        <v>0</v>
      </c>
      <c r="N77" t="s">
        <v>142</v>
      </c>
      <c r="O77" t="s">
        <v>288</v>
      </c>
      <c r="P77" t="s">
        <v>288</v>
      </c>
      <c r="Q77" t="s">
        <v>288</v>
      </c>
      <c r="R77" t="s">
        <v>288</v>
      </c>
      <c r="S77" t="s">
        <v>288</v>
      </c>
      <c r="T77" t="s">
        <v>288</v>
      </c>
      <c r="U77" t="s">
        <v>288</v>
      </c>
    </row>
    <row r="78" spans="1:21" x14ac:dyDescent="0.25">
      <c r="A78" t="s">
        <v>143</v>
      </c>
      <c r="B78">
        <v>6.4</v>
      </c>
      <c r="C78" s="45">
        <v>0</v>
      </c>
      <c r="D78">
        <v>40</v>
      </c>
      <c r="E78">
        <v>1057</v>
      </c>
      <c r="F78">
        <v>10</v>
      </c>
      <c r="G78">
        <v>3.5</v>
      </c>
      <c r="H78">
        <v>87</v>
      </c>
      <c r="I78">
        <v>20</v>
      </c>
      <c r="J78">
        <v>1</v>
      </c>
      <c r="K78">
        <v>0</v>
      </c>
      <c r="L78">
        <v>0</v>
      </c>
      <c r="M78">
        <v>0</v>
      </c>
      <c r="N78" t="s">
        <v>143</v>
      </c>
      <c r="O78" t="s">
        <v>288</v>
      </c>
      <c r="P78" t="s">
        <v>288</v>
      </c>
      <c r="Q78" t="s">
        <v>288</v>
      </c>
      <c r="R78" t="s">
        <v>288</v>
      </c>
      <c r="S78" t="s">
        <v>288</v>
      </c>
      <c r="T78" t="s">
        <v>288</v>
      </c>
      <c r="U78" t="s">
        <v>288</v>
      </c>
    </row>
    <row r="79" spans="1:21" x14ac:dyDescent="0.25">
      <c r="A79" t="s">
        <v>144</v>
      </c>
      <c r="B79" t="s">
        <v>32</v>
      </c>
      <c r="C79">
        <v>1</v>
      </c>
      <c r="D79">
        <v>45</v>
      </c>
      <c r="E79">
        <v>1081</v>
      </c>
      <c r="F79">
        <v>15</v>
      </c>
      <c r="G79">
        <v>4.4000000000000004</v>
      </c>
      <c r="H79">
        <v>93.8</v>
      </c>
      <c r="I79">
        <v>23</v>
      </c>
      <c r="J79">
        <v>0</v>
      </c>
      <c r="K79">
        <v>0</v>
      </c>
      <c r="L79">
        <v>1</v>
      </c>
      <c r="M79">
        <v>0</v>
      </c>
      <c r="N79" t="s">
        <v>144</v>
      </c>
      <c r="O79">
        <v>45</v>
      </c>
      <c r="P79">
        <v>1081</v>
      </c>
      <c r="Q79">
        <v>15</v>
      </c>
      <c r="R79">
        <v>4.4000000000000004</v>
      </c>
      <c r="S79">
        <v>93.8</v>
      </c>
      <c r="T79">
        <v>23</v>
      </c>
      <c r="U79" t="s">
        <v>71</v>
      </c>
    </row>
    <row r="80" spans="1:21" x14ac:dyDescent="0.25">
      <c r="A80" t="s">
        <v>145</v>
      </c>
      <c r="B80">
        <v>4</v>
      </c>
      <c r="C80" s="45">
        <v>0</v>
      </c>
      <c r="D80">
        <v>40</v>
      </c>
      <c r="E80">
        <v>1039</v>
      </c>
      <c r="F80">
        <v>18</v>
      </c>
      <c r="G80">
        <v>4.4000000000000004</v>
      </c>
      <c r="H80">
        <v>76.900000000000006</v>
      </c>
      <c r="I80">
        <v>19</v>
      </c>
      <c r="J80">
        <v>1</v>
      </c>
      <c r="K80">
        <v>0</v>
      </c>
      <c r="L80">
        <v>0</v>
      </c>
      <c r="M80">
        <v>0</v>
      </c>
      <c r="N80" t="s">
        <v>145</v>
      </c>
      <c r="O80" t="s">
        <v>288</v>
      </c>
      <c r="P80" t="s">
        <v>288</v>
      </c>
      <c r="Q80" t="s">
        <v>288</v>
      </c>
      <c r="R80" t="s">
        <v>288</v>
      </c>
      <c r="S80" t="s">
        <v>288</v>
      </c>
      <c r="T80" t="s">
        <v>288</v>
      </c>
      <c r="U80" t="s">
        <v>288</v>
      </c>
    </row>
    <row r="81" spans="1:21" x14ac:dyDescent="0.25">
      <c r="A81" t="s">
        <v>146</v>
      </c>
      <c r="B81">
        <v>15.2</v>
      </c>
      <c r="C81" s="45">
        <v>0</v>
      </c>
      <c r="D81">
        <v>20</v>
      </c>
      <c r="E81">
        <v>1110</v>
      </c>
      <c r="F81">
        <v>158</v>
      </c>
      <c r="G81">
        <v>4.4000000000000004</v>
      </c>
      <c r="H81">
        <v>82</v>
      </c>
      <c r="I81">
        <v>21</v>
      </c>
      <c r="J81">
        <v>0</v>
      </c>
      <c r="K81">
        <v>0</v>
      </c>
      <c r="L81">
        <v>0</v>
      </c>
      <c r="M81">
        <v>1</v>
      </c>
      <c r="N81" t="s">
        <v>146</v>
      </c>
      <c r="O81" t="s">
        <v>288</v>
      </c>
      <c r="P81" t="s">
        <v>288</v>
      </c>
      <c r="Q81" t="s">
        <v>288</v>
      </c>
      <c r="R81" t="s">
        <v>288</v>
      </c>
      <c r="S81" t="s">
        <v>288</v>
      </c>
      <c r="T81" t="s">
        <v>288</v>
      </c>
      <c r="U81" t="s">
        <v>288</v>
      </c>
    </row>
    <row r="82" spans="1:21" x14ac:dyDescent="0.25">
      <c r="A82" t="s">
        <v>147</v>
      </c>
      <c r="B82">
        <v>5.4</v>
      </c>
      <c r="C82" s="45">
        <v>0</v>
      </c>
      <c r="D82">
        <v>20</v>
      </c>
      <c r="E82">
        <v>1055</v>
      </c>
      <c r="F82">
        <v>30</v>
      </c>
      <c r="G82">
        <v>4.4000000000000004</v>
      </c>
      <c r="H82">
        <v>74.599999999999994</v>
      </c>
      <c r="I82">
        <v>19</v>
      </c>
      <c r="J82">
        <v>0</v>
      </c>
      <c r="K82">
        <v>0</v>
      </c>
      <c r="L82">
        <v>0</v>
      </c>
      <c r="M82">
        <v>1</v>
      </c>
      <c r="N82" t="s">
        <v>147</v>
      </c>
      <c r="O82" t="s">
        <v>288</v>
      </c>
      <c r="P82" t="s">
        <v>288</v>
      </c>
      <c r="Q82" t="s">
        <v>288</v>
      </c>
      <c r="R82" t="s">
        <v>288</v>
      </c>
      <c r="S82" t="s">
        <v>288</v>
      </c>
      <c r="T82" t="s">
        <v>288</v>
      </c>
      <c r="U82" t="s">
        <v>288</v>
      </c>
    </row>
    <row r="83" spans="1:21" x14ac:dyDescent="0.25">
      <c r="A83" t="s">
        <v>148</v>
      </c>
      <c r="B83">
        <v>8.3000000000000007</v>
      </c>
      <c r="C83" s="45">
        <v>0</v>
      </c>
      <c r="D83">
        <v>70</v>
      </c>
      <c r="E83">
        <v>1076</v>
      </c>
      <c r="F83">
        <v>30</v>
      </c>
      <c r="G83">
        <v>4.4000000000000004</v>
      </c>
      <c r="H83">
        <v>82.9</v>
      </c>
      <c r="I83">
        <v>21</v>
      </c>
      <c r="J83">
        <v>0</v>
      </c>
      <c r="K83">
        <v>0</v>
      </c>
      <c r="L83">
        <v>0</v>
      </c>
      <c r="M83">
        <v>1</v>
      </c>
      <c r="N83" t="s">
        <v>148</v>
      </c>
      <c r="O83" t="s">
        <v>288</v>
      </c>
      <c r="P83" t="s">
        <v>288</v>
      </c>
      <c r="Q83" t="s">
        <v>288</v>
      </c>
      <c r="R83" t="s">
        <v>288</v>
      </c>
      <c r="S83" t="s">
        <v>288</v>
      </c>
      <c r="T83" t="s">
        <v>288</v>
      </c>
      <c r="U83" t="s">
        <v>288</v>
      </c>
    </row>
    <row r="84" spans="1:21" x14ac:dyDescent="0.25">
      <c r="A84" t="s">
        <v>149</v>
      </c>
      <c r="B84">
        <v>6.5</v>
      </c>
      <c r="C84" s="45">
        <v>0</v>
      </c>
      <c r="D84">
        <v>60</v>
      </c>
      <c r="E84">
        <v>1060</v>
      </c>
      <c r="F84">
        <v>25</v>
      </c>
      <c r="G84">
        <v>4.4000000000000004</v>
      </c>
      <c r="H84">
        <v>83.3</v>
      </c>
      <c r="I84">
        <v>19</v>
      </c>
      <c r="J84">
        <v>1</v>
      </c>
      <c r="K84">
        <v>0</v>
      </c>
      <c r="L84">
        <v>0</v>
      </c>
      <c r="M84">
        <v>0</v>
      </c>
      <c r="N84" t="s">
        <v>149</v>
      </c>
      <c r="O84" t="s">
        <v>288</v>
      </c>
      <c r="P84" t="s">
        <v>288</v>
      </c>
      <c r="Q84" t="s">
        <v>288</v>
      </c>
      <c r="R84" t="s">
        <v>288</v>
      </c>
      <c r="S84" t="s">
        <v>288</v>
      </c>
      <c r="T84" t="s">
        <v>288</v>
      </c>
      <c r="U84" t="s">
        <v>288</v>
      </c>
    </row>
    <row r="85" spans="1:21" x14ac:dyDescent="0.25">
      <c r="A85" t="s">
        <v>150</v>
      </c>
      <c r="B85">
        <v>8</v>
      </c>
      <c r="C85" s="45">
        <v>0</v>
      </c>
      <c r="D85">
        <v>45</v>
      </c>
      <c r="E85">
        <v>1075</v>
      </c>
      <c r="F85">
        <v>240</v>
      </c>
      <c r="G85">
        <v>4.4000000000000004</v>
      </c>
      <c r="H85">
        <v>81.3</v>
      </c>
      <c r="I85">
        <v>20</v>
      </c>
      <c r="J85">
        <v>0</v>
      </c>
      <c r="K85">
        <v>0</v>
      </c>
      <c r="L85">
        <v>0</v>
      </c>
      <c r="M85">
        <v>1</v>
      </c>
      <c r="N85" t="s">
        <v>150</v>
      </c>
      <c r="O85" t="s">
        <v>288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</row>
    <row r="86" spans="1:21" x14ac:dyDescent="0.25">
      <c r="A86" t="s">
        <v>151</v>
      </c>
      <c r="B86">
        <v>12</v>
      </c>
      <c r="C86" s="45">
        <v>0</v>
      </c>
      <c r="D86">
        <v>85</v>
      </c>
      <c r="E86">
        <v>1130</v>
      </c>
      <c r="F86">
        <v>24</v>
      </c>
      <c r="G86">
        <v>4.4000000000000004</v>
      </c>
      <c r="H86">
        <v>102.3</v>
      </c>
      <c r="I86">
        <v>21</v>
      </c>
      <c r="J86">
        <v>0</v>
      </c>
      <c r="K86">
        <v>0</v>
      </c>
      <c r="L86">
        <v>0</v>
      </c>
      <c r="M86">
        <v>1</v>
      </c>
      <c r="N86" t="s">
        <v>151</v>
      </c>
      <c r="O86" t="s">
        <v>288</v>
      </c>
      <c r="P86" t="s">
        <v>288</v>
      </c>
      <c r="Q86" t="s">
        <v>288</v>
      </c>
      <c r="R86" t="s">
        <v>288</v>
      </c>
      <c r="S86" t="s">
        <v>288</v>
      </c>
      <c r="T86" t="s">
        <v>288</v>
      </c>
      <c r="U86" t="s">
        <v>288</v>
      </c>
    </row>
    <row r="87" spans="1:21" x14ac:dyDescent="0.25">
      <c r="A87" t="s">
        <v>152</v>
      </c>
      <c r="B87">
        <v>8.1999999999999993</v>
      </c>
      <c r="C87" s="45">
        <v>0</v>
      </c>
      <c r="D87">
        <v>42</v>
      </c>
      <c r="E87">
        <v>1078</v>
      </c>
      <c r="F87">
        <v>90</v>
      </c>
      <c r="G87">
        <v>4.4000000000000004</v>
      </c>
      <c r="H87">
        <v>83.3</v>
      </c>
      <c r="I87">
        <v>21</v>
      </c>
      <c r="J87">
        <v>0</v>
      </c>
      <c r="K87">
        <v>0</v>
      </c>
      <c r="L87">
        <v>0</v>
      </c>
      <c r="M87">
        <v>1</v>
      </c>
      <c r="N87" t="s">
        <v>152</v>
      </c>
      <c r="O87" t="s">
        <v>288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</row>
    <row r="88" spans="1:21" x14ac:dyDescent="0.25">
      <c r="A88" t="s">
        <v>153</v>
      </c>
      <c r="B88">
        <v>5.6</v>
      </c>
      <c r="C88" s="45">
        <v>0</v>
      </c>
      <c r="D88">
        <v>40</v>
      </c>
      <c r="E88">
        <v>1055</v>
      </c>
      <c r="F88">
        <v>15</v>
      </c>
      <c r="G88">
        <v>4.4000000000000004</v>
      </c>
      <c r="H88">
        <v>78</v>
      </c>
      <c r="I88">
        <v>19</v>
      </c>
      <c r="J88">
        <v>1</v>
      </c>
      <c r="K88">
        <v>0</v>
      </c>
      <c r="L88">
        <v>0</v>
      </c>
      <c r="M88">
        <v>0</v>
      </c>
      <c r="N88" t="s">
        <v>153</v>
      </c>
      <c r="O88" t="s">
        <v>288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</row>
    <row r="89" spans="1:21" x14ac:dyDescent="0.25">
      <c r="A89" t="s">
        <v>154</v>
      </c>
      <c r="B89">
        <v>7.2</v>
      </c>
      <c r="C89" s="45">
        <v>0</v>
      </c>
      <c r="D89">
        <v>70</v>
      </c>
      <c r="E89">
        <v>1067</v>
      </c>
      <c r="F89">
        <v>30</v>
      </c>
      <c r="G89">
        <v>4.4000000000000004</v>
      </c>
      <c r="H89">
        <v>82.1</v>
      </c>
      <c r="I89">
        <v>19</v>
      </c>
      <c r="J89">
        <v>1</v>
      </c>
      <c r="K89">
        <v>0</v>
      </c>
      <c r="L89">
        <v>0</v>
      </c>
      <c r="M89">
        <v>0</v>
      </c>
      <c r="N89" t="s">
        <v>154</v>
      </c>
      <c r="O89" t="s">
        <v>288</v>
      </c>
      <c r="P89" t="s">
        <v>288</v>
      </c>
      <c r="Q89" t="s">
        <v>288</v>
      </c>
      <c r="R89" t="s">
        <v>288</v>
      </c>
      <c r="S89" t="s">
        <v>288</v>
      </c>
      <c r="T89" t="s">
        <v>288</v>
      </c>
      <c r="U89" t="s">
        <v>288</v>
      </c>
    </row>
    <row r="90" spans="1:21" x14ac:dyDescent="0.25">
      <c r="A90" t="s">
        <v>155</v>
      </c>
      <c r="B90">
        <v>6.3</v>
      </c>
      <c r="C90" s="45">
        <v>0</v>
      </c>
      <c r="D90">
        <v>55</v>
      </c>
      <c r="E90">
        <v>1060</v>
      </c>
      <c r="F90">
        <v>30</v>
      </c>
      <c r="G90">
        <v>4.4000000000000004</v>
      </c>
      <c r="H90">
        <v>80</v>
      </c>
      <c r="I90">
        <v>19</v>
      </c>
      <c r="J90">
        <v>0</v>
      </c>
      <c r="K90">
        <v>0</v>
      </c>
      <c r="L90">
        <v>0</v>
      </c>
      <c r="M90">
        <v>1</v>
      </c>
      <c r="N90" t="s">
        <v>155</v>
      </c>
      <c r="O90" t="s">
        <v>288</v>
      </c>
      <c r="P90" t="s">
        <v>288</v>
      </c>
      <c r="Q90" t="s">
        <v>288</v>
      </c>
      <c r="R90" t="s">
        <v>288</v>
      </c>
      <c r="S90" t="s">
        <v>288</v>
      </c>
      <c r="T90" t="s">
        <v>288</v>
      </c>
      <c r="U90" t="s">
        <v>288</v>
      </c>
    </row>
    <row r="91" spans="1:21" x14ac:dyDescent="0.25">
      <c r="A91" t="s">
        <v>156</v>
      </c>
      <c r="B91">
        <v>10</v>
      </c>
      <c r="C91" s="45">
        <v>0</v>
      </c>
      <c r="D91">
        <v>85</v>
      </c>
      <c r="E91">
        <v>1098</v>
      </c>
      <c r="F91">
        <v>30</v>
      </c>
      <c r="G91">
        <v>4.4000000000000004</v>
      </c>
      <c r="H91">
        <v>70</v>
      </c>
      <c r="I91">
        <v>21</v>
      </c>
      <c r="J91">
        <v>0</v>
      </c>
      <c r="K91">
        <v>0</v>
      </c>
      <c r="L91">
        <v>0</v>
      </c>
      <c r="M91">
        <v>1</v>
      </c>
      <c r="N91" t="s">
        <v>156</v>
      </c>
      <c r="O91" t="s">
        <v>288</v>
      </c>
      <c r="P91" t="s">
        <v>288</v>
      </c>
      <c r="Q91" t="s">
        <v>288</v>
      </c>
      <c r="R91" t="s">
        <v>288</v>
      </c>
      <c r="S91" t="s">
        <v>288</v>
      </c>
      <c r="T91" t="s">
        <v>288</v>
      </c>
      <c r="U91" t="s">
        <v>288</v>
      </c>
    </row>
    <row r="92" spans="1:21" x14ac:dyDescent="0.25">
      <c r="A92" t="s">
        <v>157</v>
      </c>
      <c r="B92">
        <v>5.6</v>
      </c>
      <c r="C92" s="45">
        <v>0</v>
      </c>
      <c r="D92">
        <v>30</v>
      </c>
      <c r="E92">
        <v>1058</v>
      </c>
      <c r="F92">
        <v>54</v>
      </c>
      <c r="G92">
        <v>4.4000000000000004</v>
      </c>
      <c r="H92">
        <v>74</v>
      </c>
      <c r="I92">
        <v>19</v>
      </c>
      <c r="J92">
        <v>1</v>
      </c>
      <c r="K92">
        <v>0</v>
      </c>
      <c r="L92">
        <v>0</v>
      </c>
      <c r="M92">
        <v>0</v>
      </c>
      <c r="N92" t="s">
        <v>157</v>
      </c>
      <c r="O92" t="s">
        <v>288</v>
      </c>
      <c r="P92" t="s">
        <v>288</v>
      </c>
      <c r="Q92" t="s">
        <v>288</v>
      </c>
      <c r="R92" t="s">
        <v>288</v>
      </c>
      <c r="S92" t="s">
        <v>288</v>
      </c>
      <c r="T92" t="s">
        <v>288</v>
      </c>
      <c r="U92" t="s">
        <v>288</v>
      </c>
    </row>
    <row r="93" spans="1:21" x14ac:dyDescent="0.25">
      <c r="A93" t="s">
        <v>158</v>
      </c>
      <c r="B93">
        <v>4.5</v>
      </c>
      <c r="C93" s="45">
        <v>0</v>
      </c>
      <c r="D93">
        <v>55</v>
      </c>
      <c r="E93">
        <v>1046</v>
      </c>
      <c r="F93">
        <v>25</v>
      </c>
      <c r="G93">
        <v>4.4000000000000004</v>
      </c>
      <c r="H93">
        <v>73.900000000000006</v>
      </c>
      <c r="I93">
        <v>9</v>
      </c>
      <c r="J93">
        <v>0</v>
      </c>
      <c r="K93">
        <v>1</v>
      </c>
      <c r="L93">
        <v>0</v>
      </c>
      <c r="M93">
        <v>0</v>
      </c>
      <c r="N93" t="s">
        <v>158</v>
      </c>
      <c r="O93" t="s">
        <v>288</v>
      </c>
      <c r="P93" t="s">
        <v>288</v>
      </c>
      <c r="Q93" t="s">
        <v>288</v>
      </c>
      <c r="R93" t="s">
        <v>288</v>
      </c>
      <c r="S93" t="s">
        <v>288</v>
      </c>
      <c r="T93" t="s">
        <v>288</v>
      </c>
      <c r="U93" t="s">
        <v>288</v>
      </c>
    </row>
    <row r="94" spans="1:21" x14ac:dyDescent="0.25">
      <c r="A94" t="s">
        <v>159</v>
      </c>
      <c r="B94">
        <v>8.1999999999999993</v>
      </c>
      <c r="C94" s="45">
        <v>0</v>
      </c>
      <c r="D94">
        <v>42</v>
      </c>
      <c r="E94">
        <v>1078</v>
      </c>
      <c r="F94">
        <v>70</v>
      </c>
      <c r="G94">
        <v>4.4000000000000004</v>
      </c>
      <c r="H94">
        <v>83.3</v>
      </c>
      <c r="I94">
        <v>22</v>
      </c>
      <c r="J94">
        <v>0</v>
      </c>
      <c r="K94">
        <v>0</v>
      </c>
      <c r="L94">
        <v>0</v>
      </c>
      <c r="M94">
        <v>1</v>
      </c>
      <c r="N94" t="s">
        <v>159</v>
      </c>
      <c r="O94" t="s">
        <v>288</v>
      </c>
      <c r="P94" t="s">
        <v>288</v>
      </c>
      <c r="Q94" t="s">
        <v>288</v>
      </c>
      <c r="R94" t="s">
        <v>288</v>
      </c>
      <c r="S94" t="s">
        <v>288</v>
      </c>
      <c r="T94" t="s">
        <v>288</v>
      </c>
      <c r="U94" t="s">
        <v>288</v>
      </c>
    </row>
    <row r="95" spans="1:21" x14ac:dyDescent="0.25">
      <c r="A95" t="s">
        <v>160</v>
      </c>
      <c r="B95">
        <v>8.4</v>
      </c>
      <c r="C95" s="45">
        <v>0</v>
      </c>
      <c r="D95">
        <v>50</v>
      </c>
      <c r="E95">
        <v>1080</v>
      </c>
      <c r="F95">
        <v>200</v>
      </c>
      <c r="G95">
        <v>4.4000000000000004</v>
      </c>
      <c r="H95">
        <v>81.3</v>
      </c>
      <c r="I95">
        <v>14</v>
      </c>
      <c r="J95">
        <v>0</v>
      </c>
      <c r="K95">
        <v>1</v>
      </c>
      <c r="L95">
        <v>0</v>
      </c>
      <c r="M95">
        <v>0</v>
      </c>
      <c r="N95" t="s">
        <v>160</v>
      </c>
      <c r="O95" t="s">
        <v>288</v>
      </c>
      <c r="P95" t="s">
        <v>288</v>
      </c>
      <c r="Q95" t="s">
        <v>288</v>
      </c>
      <c r="R95" t="s">
        <v>288</v>
      </c>
      <c r="S95" t="s">
        <v>288</v>
      </c>
      <c r="T95" t="s">
        <v>288</v>
      </c>
      <c r="U95" t="s">
        <v>288</v>
      </c>
    </row>
    <row r="96" spans="1:21" x14ac:dyDescent="0.25">
      <c r="A96" t="s">
        <v>161</v>
      </c>
      <c r="B96">
        <v>6</v>
      </c>
      <c r="C96" s="45">
        <v>0</v>
      </c>
      <c r="D96">
        <v>50</v>
      </c>
      <c r="E96">
        <v>1050</v>
      </c>
      <c r="F96">
        <v>8</v>
      </c>
      <c r="G96">
        <v>5.2</v>
      </c>
      <c r="H96">
        <v>87</v>
      </c>
      <c r="I96">
        <v>20</v>
      </c>
      <c r="J96">
        <v>1</v>
      </c>
      <c r="K96">
        <v>0</v>
      </c>
      <c r="L96">
        <v>0</v>
      </c>
      <c r="M96">
        <v>0</v>
      </c>
      <c r="N96" t="s">
        <v>161</v>
      </c>
      <c r="O96" t="s">
        <v>288</v>
      </c>
      <c r="P96" t="s">
        <v>288</v>
      </c>
      <c r="Q96" t="s">
        <v>288</v>
      </c>
      <c r="R96" t="s">
        <v>288</v>
      </c>
      <c r="S96" t="s">
        <v>288</v>
      </c>
      <c r="T96" t="s">
        <v>288</v>
      </c>
      <c r="U96" t="s">
        <v>288</v>
      </c>
    </row>
    <row r="97" spans="1:21" x14ac:dyDescent="0.25">
      <c r="A97" t="s">
        <v>162</v>
      </c>
      <c r="B97">
        <v>6.7</v>
      </c>
      <c r="C97" s="45">
        <v>0</v>
      </c>
      <c r="D97">
        <v>40</v>
      </c>
      <c r="E97">
        <v>1063</v>
      </c>
      <c r="F97">
        <v>15</v>
      </c>
      <c r="G97">
        <v>5.2</v>
      </c>
      <c r="H97">
        <v>84</v>
      </c>
      <c r="I97">
        <v>19</v>
      </c>
      <c r="J97">
        <v>1</v>
      </c>
      <c r="K97">
        <v>0</v>
      </c>
      <c r="L97">
        <v>0</v>
      </c>
      <c r="M97">
        <v>0</v>
      </c>
      <c r="N97" t="s">
        <v>162</v>
      </c>
      <c r="O97" t="s">
        <v>288</v>
      </c>
      <c r="P97" t="s">
        <v>288</v>
      </c>
      <c r="Q97" t="s">
        <v>288</v>
      </c>
      <c r="R97" t="s">
        <v>288</v>
      </c>
      <c r="S97" t="s">
        <v>288</v>
      </c>
      <c r="T97" t="s">
        <v>288</v>
      </c>
      <c r="U97" t="s">
        <v>288</v>
      </c>
    </row>
    <row r="98" spans="1:21" x14ac:dyDescent="0.25">
      <c r="A98" t="s">
        <v>163</v>
      </c>
      <c r="B98">
        <v>6.5</v>
      </c>
      <c r="C98" s="45">
        <v>0</v>
      </c>
      <c r="D98">
        <v>35</v>
      </c>
      <c r="E98">
        <v>1068</v>
      </c>
      <c r="F98">
        <v>250</v>
      </c>
      <c r="G98">
        <v>4.2</v>
      </c>
      <c r="H98">
        <v>70.599999999999994</v>
      </c>
      <c r="I98">
        <v>19</v>
      </c>
      <c r="J98">
        <v>1</v>
      </c>
      <c r="K98">
        <v>0</v>
      </c>
      <c r="L98">
        <v>0</v>
      </c>
      <c r="M98">
        <v>0</v>
      </c>
      <c r="N98" t="s">
        <v>163</v>
      </c>
      <c r="O98" t="s">
        <v>288</v>
      </c>
      <c r="P98" t="s">
        <v>288</v>
      </c>
      <c r="Q98" t="s">
        <v>288</v>
      </c>
      <c r="R98" t="s">
        <v>288</v>
      </c>
      <c r="S98" t="s">
        <v>288</v>
      </c>
      <c r="T98" t="s">
        <v>288</v>
      </c>
      <c r="U98" t="s">
        <v>288</v>
      </c>
    </row>
    <row r="99" spans="1:21" x14ac:dyDescent="0.25">
      <c r="A99" t="s">
        <v>164</v>
      </c>
      <c r="B99">
        <v>11.5</v>
      </c>
      <c r="C99" s="45">
        <v>0</v>
      </c>
      <c r="D99">
        <v>80</v>
      </c>
      <c r="E99">
        <v>1096</v>
      </c>
      <c r="F99">
        <v>115</v>
      </c>
      <c r="G99">
        <v>4.4000000000000004</v>
      </c>
      <c r="H99">
        <v>79.2</v>
      </c>
      <c r="I99">
        <v>20</v>
      </c>
      <c r="J99">
        <v>0</v>
      </c>
      <c r="K99">
        <v>0</v>
      </c>
      <c r="L99">
        <v>0</v>
      </c>
      <c r="M99">
        <v>1</v>
      </c>
      <c r="N99" t="s">
        <v>164</v>
      </c>
      <c r="O99" t="s">
        <v>288</v>
      </c>
      <c r="P99" t="s">
        <v>288</v>
      </c>
      <c r="Q99" t="s">
        <v>288</v>
      </c>
      <c r="R99" t="s">
        <v>288</v>
      </c>
      <c r="S99" t="s">
        <v>288</v>
      </c>
      <c r="T99" t="s">
        <v>288</v>
      </c>
      <c r="U99" t="s">
        <v>288</v>
      </c>
    </row>
    <row r="100" spans="1:21" x14ac:dyDescent="0.25">
      <c r="A100" t="s">
        <v>165</v>
      </c>
      <c r="B100">
        <v>8.5</v>
      </c>
      <c r="C100" s="45">
        <v>0</v>
      </c>
      <c r="D100">
        <v>65</v>
      </c>
      <c r="E100">
        <v>1078</v>
      </c>
      <c r="F100">
        <v>31.2</v>
      </c>
      <c r="G100">
        <v>4.4000000000000004</v>
      </c>
      <c r="H100">
        <v>84.6</v>
      </c>
      <c r="I100">
        <v>18</v>
      </c>
      <c r="J100">
        <v>0</v>
      </c>
      <c r="K100">
        <v>0</v>
      </c>
      <c r="L100">
        <v>0</v>
      </c>
      <c r="M100">
        <v>1</v>
      </c>
      <c r="N100" t="s">
        <v>165</v>
      </c>
      <c r="O100" t="s">
        <v>288</v>
      </c>
      <c r="P100" t="s">
        <v>288</v>
      </c>
      <c r="Q100" t="s">
        <v>288</v>
      </c>
      <c r="R100" t="s">
        <v>288</v>
      </c>
      <c r="S100" t="s">
        <v>288</v>
      </c>
      <c r="T100" t="s">
        <v>288</v>
      </c>
      <c r="U100" t="s">
        <v>288</v>
      </c>
    </row>
    <row r="101" spans="1:21" x14ac:dyDescent="0.25">
      <c r="A101" t="s">
        <v>166</v>
      </c>
      <c r="B101">
        <v>5.2</v>
      </c>
      <c r="C101" s="45">
        <v>0</v>
      </c>
      <c r="D101">
        <v>45</v>
      </c>
      <c r="E101">
        <v>1049</v>
      </c>
      <c r="F101">
        <v>45</v>
      </c>
      <c r="G101">
        <v>4.2</v>
      </c>
      <c r="H101">
        <v>81.599999999999994</v>
      </c>
      <c r="I101">
        <v>14</v>
      </c>
      <c r="J101">
        <v>1</v>
      </c>
      <c r="K101">
        <v>0</v>
      </c>
      <c r="L101">
        <v>0</v>
      </c>
      <c r="M101">
        <v>0</v>
      </c>
      <c r="N101" t="s">
        <v>166</v>
      </c>
      <c r="O101" t="s">
        <v>288</v>
      </c>
      <c r="P101" t="s">
        <v>288</v>
      </c>
      <c r="Q101" t="s">
        <v>288</v>
      </c>
      <c r="R101" t="s">
        <v>288</v>
      </c>
      <c r="S101" t="s">
        <v>288</v>
      </c>
      <c r="T101" t="s">
        <v>288</v>
      </c>
      <c r="U101" t="s">
        <v>288</v>
      </c>
    </row>
    <row r="102" spans="1:21" x14ac:dyDescent="0.25">
      <c r="A102" t="s">
        <v>167</v>
      </c>
      <c r="B102">
        <v>7.1</v>
      </c>
      <c r="C102" s="45">
        <v>0</v>
      </c>
      <c r="D102">
        <v>90</v>
      </c>
      <c r="E102">
        <v>1067</v>
      </c>
      <c r="F102">
        <v>15</v>
      </c>
      <c r="G102">
        <v>4.4000000000000004</v>
      </c>
      <c r="H102">
        <v>80.599999999999994</v>
      </c>
      <c r="I102">
        <v>19</v>
      </c>
      <c r="J102">
        <v>1</v>
      </c>
      <c r="K102">
        <v>0</v>
      </c>
      <c r="L102">
        <v>0</v>
      </c>
      <c r="M102">
        <v>0</v>
      </c>
      <c r="N102" t="s">
        <v>167</v>
      </c>
      <c r="O102" t="s">
        <v>288</v>
      </c>
      <c r="P102" t="s">
        <v>288</v>
      </c>
      <c r="Q102" t="s">
        <v>288</v>
      </c>
      <c r="R102" t="s">
        <v>288</v>
      </c>
      <c r="S102" t="s">
        <v>288</v>
      </c>
      <c r="T102" t="s">
        <v>288</v>
      </c>
      <c r="U102" t="s">
        <v>288</v>
      </c>
    </row>
    <row r="103" spans="1:21" x14ac:dyDescent="0.25">
      <c r="A103" t="s">
        <v>168</v>
      </c>
      <c r="B103">
        <v>4.7</v>
      </c>
      <c r="C103" s="45">
        <v>0</v>
      </c>
      <c r="D103">
        <v>45</v>
      </c>
      <c r="E103">
        <v>1055</v>
      </c>
      <c r="F103">
        <v>200</v>
      </c>
      <c r="G103">
        <v>4.4000000000000004</v>
      </c>
      <c r="H103">
        <v>70</v>
      </c>
      <c r="I103">
        <v>19</v>
      </c>
      <c r="J103">
        <v>1</v>
      </c>
      <c r="K103">
        <v>0</v>
      </c>
      <c r="L103">
        <v>0</v>
      </c>
      <c r="M103">
        <v>0</v>
      </c>
      <c r="N103" t="s">
        <v>168</v>
      </c>
      <c r="O103" t="s">
        <v>288</v>
      </c>
      <c r="P103" t="s">
        <v>288</v>
      </c>
      <c r="Q103" t="s">
        <v>288</v>
      </c>
      <c r="R103" t="s">
        <v>288</v>
      </c>
      <c r="S103" t="s">
        <v>288</v>
      </c>
      <c r="T103" t="s">
        <v>288</v>
      </c>
      <c r="U103" t="s">
        <v>288</v>
      </c>
    </row>
    <row r="104" spans="1:21" x14ac:dyDescent="0.25">
      <c r="A104" t="s">
        <v>169</v>
      </c>
      <c r="B104">
        <v>6.7</v>
      </c>
      <c r="C104" s="45">
        <v>0</v>
      </c>
      <c r="D104">
        <v>67</v>
      </c>
      <c r="E104">
        <v>1013</v>
      </c>
      <c r="F104">
        <v>19</v>
      </c>
      <c r="G104">
        <v>4.4000000000000004</v>
      </c>
      <c r="H104">
        <v>79.7</v>
      </c>
      <c r="I104">
        <v>19</v>
      </c>
      <c r="J104">
        <v>1</v>
      </c>
      <c r="K104">
        <v>0</v>
      </c>
      <c r="L104">
        <v>0</v>
      </c>
      <c r="M104">
        <v>0</v>
      </c>
      <c r="N104" t="s">
        <v>169</v>
      </c>
      <c r="O104" t="s">
        <v>288</v>
      </c>
      <c r="P104" t="s">
        <v>288</v>
      </c>
      <c r="Q104" t="s">
        <v>288</v>
      </c>
      <c r="R104" t="s">
        <v>288</v>
      </c>
      <c r="S104" t="s">
        <v>288</v>
      </c>
      <c r="T104" t="s">
        <v>288</v>
      </c>
      <c r="U104" t="s">
        <v>288</v>
      </c>
    </row>
    <row r="105" spans="1:21" x14ac:dyDescent="0.25">
      <c r="A105" t="s">
        <v>170</v>
      </c>
      <c r="B105">
        <v>9</v>
      </c>
      <c r="C105" s="45">
        <v>0</v>
      </c>
      <c r="D105">
        <v>85</v>
      </c>
      <c r="E105">
        <v>1094</v>
      </c>
      <c r="F105">
        <v>400</v>
      </c>
      <c r="G105">
        <v>4.3</v>
      </c>
      <c r="H105">
        <v>73.400000000000006</v>
      </c>
      <c r="I105">
        <v>21</v>
      </c>
      <c r="J105">
        <v>0</v>
      </c>
      <c r="K105">
        <v>0</v>
      </c>
      <c r="L105">
        <v>0</v>
      </c>
      <c r="M105">
        <v>1</v>
      </c>
      <c r="N105" t="s">
        <v>170</v>
      </c>
      <c r="O105" t="s">
        <v>288</v>
      </c>
      <c r="P105" t="s">
        <v>288</v>
      </c>
      <c r="Q105" t="s">
        <v>288</v>
      </c>
      <c r="R105" t="s">
        <v>288</v>
      </c>
      <c r="S105" t="s">
        <v>288</v>
      </c>
      <c r="T105" t="s">
        <v>288</v>
      </c>
      <c r="U105" t="s">
        <v>288</v>
      </c>
    </row>
    <row r="106" spans="1:21" x14ac:dyDescent="0.25">
      <c r="A106" t="s">
        <v>171</v>
      </c>
      <c r="B106">
        <v>6.5</v>
      </c>
      <c r="C106" s="45">
        <v>0</v>
      </c>
      <c r="D106">
        <v>20</v>
      </c>
      <c r="E106">
        <v>1060</v>
      </c>
      <c r="F106" t="s">
        <v>32</v>
      </c>
      <c r="G106">
        <v>3.2</v>
      </c>
      <c r="H106">
        <v>87</v>
      </c>
      <c r="I106">
        <v>20</v>
      </c>
      <c r="J106">
        <v>1</v>
      </c>
      <c r="K106">
        <v>0</v>
      </c>
      <c r="L106">
        <v>0</v>
      </c>
      <c r="M106">
        <v>0</v>
      </c>
      <c r="N106" t="s">
        <v>171</v>
      </c>
      <c r="O106" t="s">
        <v>288</v>
      </c>
      <c r="P106" t="s">
        <v>288</v>
      </c>
      <c r="Q106" t="s">
        <v>288</v>
      </c>
      <c r="R106" t="s">
        <v>288</v>
      </c>
      <c r="S106" t="s">
        <v>288</v>
      </c>
      <c r="T106" t="s">
        <v>288</v>
      </c>
      <c r="U106" t="s">
        <v>288</v>
      </c>
    </row>
    <row r="107" spans="1:21" x14ac:dyDescent="0.25">
      <c r="A107" t="s">
        <v>172</v>
      </c>
      <c r="B107">
        <v>6.7</v>
      </c>
      <c r="C107" s="45">
        <v>0</v>
      </c>
      <c r="D107">
        <v>67</v>
      </c>
      <c r="E107">
        <v>1013</v>
      </c>
      <c r="F107">
        <v>19</v>
      </c>
      <c r="G107">
        <v>4.4000000000000004</v>
      </c>
      <c r="H107">
        <v>79.7</v>
      </c>
      <c r="I107">
        <v>19</v>
      </c>
      <c r="J107">
        <v>1</v>
      </c>
      <c r="K107">
        <v>0</v>
      </c>
      <c r="L107">
        <v>0</v>
      </c>
      <c r="M107">
        <v>0</v>
      </c>
      <c r="N107" t="s">
        <v>172</v>
      </c>
      <c r="O107" t="s">
        <v>288</v>
      </c>
      <c r="P107" t="s">
        <v>288</v>
      </c>
      <c r="Q107" t="s">
        <v>288</v>
      </c>
      <c r="R107" t="s">
        <v>288</v>
      </c>
      <c r="S107" t="s">
        <v>288</v>
      </c>
      <c r="T107" t="s">
        <v>288</v>
      </c>
      <c r="U107" t="s">
        <v>288</v>
      </c>
    </row>
    <row r="108" spans="1:21" x14ac:dyDescent="0.25">
      <c r="A108" t="s">
        <v>173</v>
      </c>
      <c r="B108">
        <v>5</v>
      </c>
      <c r="C108" s="45">
        <v>0</v>
      </c>
      <c r="D108">
        <v>30</v>
      </c>
      <c r="E108">
        <v>1050</v>
      </c>
      <c r="F108">
        <v>60</v>
      </c>
      <c r="G108">
        <v>4.4000000000000004</v>
      </c>
      <c r="H108">
        <v>76</v>
      </c>
      <c r="I108">
        <v>19</v>
      </c>
      <c r="J108">
        <v>1</v>
      </c>
      <c r="K108">
        <v>0</v>
      </c>
      <c r="L108">
        <v>0</v>
      </c>
      <c r="M108">
        <v>0</v>
      </c>
      <c r="N108" t="s">
        <v>173</v>
      </c>
      <c r="O108" t="s">
        <v>288</v>
      </c>
      <c r="P108" t="s">
        <v>288</v>
      </c>
      <c r="Q108" t="s">
        <v>288</v>
      </c>
      <c r="R108" t="s">
        <v>288</v>
      </c>
      <c r="S108" t="s">
        <v>288</v>
      </c>
      <c r="T108" t="s">
        <v>288</v>
      </c>
      <c r="U108" t="s">
        <v>288</v>
      </c>
    </row>
    <row r="109" spans="1:21" x14ac:dyDescent="0.25">
      <c r="A109" t="s">
        <v>174</v>
      </c>
      <c r="B109">
        <v>5.8</v>
      </c>
      <c r="C109" s="45">
        <v>0</v>
      </c>
      <c r="D109">
        <v>40</v>
      </c>
      <c r="E109">
        <v>1053</v>
      </c>
      <c r="F109">
        <v>177.3</v>
      </c>
      <c r="G109">
        <v>4.4000000000000004</v>
      </c>
      <c r="H109">
        <v>84.9</v>
      </c>
      <c r="I109">
        <v>19</v>
      </c>
      <c r="J109">
        <v>1</v>
      </c>
      <c r="K109">
        <v>0</v>
      </c>
      <c r="L109">
        <v>0</v>
      </c>
      <c r="M109">
        <v>0</v>
      </c>
      <c r="N109" t="s">
        <v>174</v>
      </c>
      <c r="O109" t="s">
        <v>288</v>
      </c>
      <c r="P109" t="s">
        <v>288</v>
      </c>
      <c r="Q109" t="s">
        <v>288</v>
      </c>
      <c r="R109" t="s">
        <v>288</v>
      </c>
      <c r="S109" t="s">
        <v>288</v>
      </c>
      <c r="T109" t="s">
        <v>288</v>
      </c>
      <c r="U109" t="s">
        <v>288</v>
      </c>
    </row>
    <row r="110" spans="1:21" x14ac:dyDescent="0.25">
      <c r="A110" t="s">
        <v>175</v>
      </c>
      <c r="B110">
        <v>7.5</v>
      </c>
      <c r="C110" s="45">
        <v>0</v>
      </c>
      <c r="D110">
        <v>90</v>
      </c>
      <c r="E110">
        <v>1072</v>
      </c>
      <c r="F110">
        <v>200</v>
      </c>
      <c r="G110">
        <v>4.4000000000000004</v>
      </c>
      <c r="H110">
        <v>79.2</v>
      </c>
      <c r="I110">
        <v>21</v>
      </c>
      <c r="J110">
        <v>0</v>
      </c>
      <c r="K110">
        <v>0</v>
      </c>
      <c r="L110">
        <v>0</v>
      </c>
      <c r="M110">
        <v>1</v>
      </c>
      <c r="N110" t="s">
        <v>175</v>
      </c>
      <c r="O110" t="s">
        <v>288</v>
      </c>
      <c r="P110" t="s">
        <v>288</v>
      </c>
      <c r="Q110" t="s">
        <v>288</v>
      </c>
      <c r="R110" t="s">
        <v>288</v>
      </c>
      <c r="S110" t="s">
        <v>288</v>
      </c>
      <c r="T110" t="s">
        <v>288</v>
      </c>
      <c r="U110" t="s">
        <v>288</v>
      </c>
    </row>
    <row r="111" spans="1:21" x14ac:dyDescent="0.25">
      <c r="A111" t="s">
        <v>176</v>
      </c>
      <c r="B111">
        <v>4.5</v>
      </c>
      <c r="C111" s="45">
        <v>0</v>
      </c>
      <c r="D111">
        <v>38</v>
      </c>
      <c r="E111">
        <v>1042.9000000000001</v>
      </c>
      <c r="F111">
        <v>18</v>
      </c>
      <c r="G111">
        <v>4.4000000000000004</v>
      </c>
      <c r="H111">
        <v>81</v>
      </c>
      <c r="I111">
        <v>10</v>
      </c>
      <c r="J111">
        <v>0</v>
      </c>
      <c r="K111">
        <v>1</v>
      </c>
      <c r="L111">
        <v>0</v>
      </c>
      <c r="M111">
        <v>0</v>
      </c>
      <c r="N111" t="s">
        <v>176</v>
      </c>
      <c r="O111" t="s">
        <v>288</v>
      </c>
      <c r="P111" t="s">
        <v>288</v>
      </c>
      <c r="Q111" t="s">
        <v>288</v>
      </c>
      <c r="R111" t="s">
        <v>288</v>
      </c>
      <c r="S111" t="s">
        <v>288</v>
      </c>
      <c r="T111" t="s">
        <v>288</v>
      </c>
      <c r="U111" t="s">
        <v>288</v>
      </c>
    </row>
    <row r="112" spans="1:21" x14ac:dyDescent="0.25">
      <c r="A112" t="s">
        <v>177</v>
      </c>
      <c r="B112">
        <v>9</v>
      </c>
      <c r="C112" s="45">
        <v>0</v>
      </c>
      <c r="D112">
        <v>50</v>
      </c>
      <c r="E112">
        <v>1084</v>
      </c>
      <c r="F112">
        <v>20</v>
      </c>
      <c r="G112">
        <v>4.4000000000000004</v>
      </c>
      <c r="H112">
        <v>82.1</v>
      </c>
      <c r="I112">
        <v>21</v>
      </c>
      <c r="J112">
        <v>0</v>
      </c>
      <c r="K112">
        <v>0</v>
      </c>
      <c r="L112">
        <v>0</v>
      </c>
      <c r="M112">
        <v>1</v>
      </c>
      <c r="N112" t="s">
        <v>177</v>
      </c>
      <c r="O112" t="s">
        <v>288</v>
      </c>
      <c r="P112" t="s">
        <v>288</v>
      </c>
      <c r="Q112" t="s">
        <v>288</v>
      </c>
      <c r="R112" t="s">
        <v>288</v>
      </c>
      <c r="S112" t="s">
        <v>288</v>
      </c>
      <c r="T112" t="s">
        <v>288</v>
      </c>
      <c r="U112" t="s">
        <v>288</v>
      </c>
    </row>
    <row r="113" spans="1:21" x14ac:dyDescent="0.25">
      <c r="A113" t="s">
        <v>178</v>
      </c>
      <c r="B113">
        <v>41</v>
      </c>
      <c r="C113" s="45">
        <v>0</v>
      </c>
      <c r="D113">
        <v>1085</v>
      </c>
      <c r="E113">
        <v>1085</v>
      </c>
      <c r="F113">
        <v>40</v>
      </c>
      <c r="G113">
        <v>4.4000000000000004</v>
      </c>
      <c r="H113">
        <v>81.2</v>
      </c>
      <c r="I113">
        <v>21</v>
      </c>
      <c r="J113">
        <v>0</v>
      </c>
      <c r="K113">
        <v>0</v>
      </c>
      <c r="L113">
        <v>0</v>
      </c>
      <c r="M113">
        <v>1</v>
      </c>
      <c r="N113" t="s">
        <v>178</v>
      </c>
      <c r="O113" t="s">
        <v>288</v>
      </c>
      <c r="P113" t="s">
        <v>288</v>
      </c>
      <c r="Q113" t="s">
        <v>288</v>
      </c>
      <c r="R113" t="s">
        <v>288</v>
      </c>
      <c r="S113" t="s">
        <v>288</v>
      </c>
      <c r="T113" t="s">
        <v>288</v>
      </c>
      <c r="U113" t="s">
        <v>288</v>
      </c>
    </row>
    <row r="114" spans="1:21" x14ac:dyDescent="0.25">
      <c r="A114" t="s">
        <v>179</v>
      </c>
      <c r="B114">
        <v>15</v>
      </c>
      <c r="C114" s="45">
        <v>0</v>
      </c>
      <c r="D114">
        <v>90</v>
      </c>
      <c r="E114">
        <v>1120</v>
      </c>
      <c r="F114">
        <v>100</v>
      </c>
      <c r="G114">
        <v>4.4000000000000004</v>
      </c>
      <c r="H114">
        <v>98</v>
      </c>
      <c r="I114">
        <v>19</v>
      </c>
      <c r="J114">
        <v>0</v>
      </c>
      <c r="K114">
        <v>0</v>
      </c>
      <c r="L114">
        <v>0</v>
      </c>
      <c r="M114">
        <v>1</v>
      </c>
      <c r="N114" t="s">
        <v>179</v>
      </c>
      <c r="O114" t="s">
        <v>288</v>
      </c>
      <c r="P114" t="s">
        <v>288</v>
      </c>
      <c r="Q114" t="s">
        <v>288</v>
      </c>
      <c r="R114" t="s">
        <v>288</v>
      </c>
      <c r="S114" t="s">
        <v>288</v>
      </c>
      <c r="T114" t="s">
        <v>288</v>
      </c>
      <c r="U114" t="s">
        <v>288</v>
      </c>
    </row>
    <row r="115" spans="1:21" x14ac:dyDescent="0.25">
      <c r="A115" t="s">
        <v>180</v>
      </c>
      <c r="B115">
        <v>8.5</v>
      </c>
      <c r="C115" s="45">
        <v>0</v>
      </c>
      <c r="D115">
        <v>85</v>
      </c>
      <c r="E115">
        <v>1072</v>
      </c>
      <c r="F115">
        <v>15</v>
      </c>
      <c r="G115">
        <v>4.4000000000000004</v>
      </c>
      <c r="H115">
        <v>90.3</v>
      </c>
      <c r="I115">
        <v>18</v>
      </c>
      <c r="J115">
        <v>0</v>
      </c>
      <c r="K115">
        <v>0</v>
      </c>
      <c r="L115">
        <v>0</v>
      </c>
      <c r="M115">
        <v>1</v>
      </c>
      <c r="N115" t="s">
        <v>180</v>
      </c>
      <c r="O115" t="s">
        <v>288</v>
      </c>
      <c r="P115" t="s">
        <v>288</v>
      </c>
      <c r="Q115" t="s">
        <v>288</v>
      </c>
      <c r="R115" t="s">
        <v>288</v>
      </c>
      <c r="S115" t="s">
        <v>288</v>
      </c>
      <c r="T115" t="s">
        <v>288</v>
      </c>
      <c r="U115" t="s">
        <v>288</v>
      </c>
    </row>
    <row r="116" spans="1:21" x14ac:dyDescent="0.25">
      <c r="A116" t="s">
        <v>181</v>
      </c>
      <c r="B116">
        <v>7.2</v>
      </c>
      <c r="C116" s="45">
        <v>0</v>
      </c>
      <c r="D116">
        <v>100</v>
      </c>
      <c r="E116">
        <v>1064</v>
      </c>
      <c r="F116">
        <v>12</v>
      </c>
      <c r="G116">
        <v>4.4000000000000004</v>
      </c>
      <c r="H116">
        <v>84</v>
      </c>
      <c r="I116">
        <v>19</v>
      </c>
      <c r="J116">
        <v>1</v>
      </c>
      <c r="K116">
        <v>0</v>
      </c>
      <c r="L116">
        <v>0</v>
      </c>
      <c r="M116">
        <v>0</v>
      </c>
      <c r="N116" t="s">
        <v>181</v>
      </c>
      <c r="O116" t="s">
        <v>288</v>
      </c>
      <c r="P116" t="s">
        <v>288</v>
      </c>
      <c r="Q116" t="s">
        <v>288</v>
      </c>
      <c r="R116" t="s">
        <v>288</v>
      </c>
      <c r="S116" t="s">
        <v>288</v>
      </c>
      <c r="T116" t="s">
        <v>288</v>
      </c>
      <c r="U116" t="s">
        <v>288</v>
      </c>
    </row>
    <row r="117" spans="1:21" x14ac:dyDescent="0.25">
      <c r="A117" t="s">
        <v>182</v>
      </c>
      <c r="B117">
        <v>9</v>
      </c>
      <c r="C117" s="45">
        <v>0</v>
      </c>
      <c r="D117">
        <v>80</v>
      </c>
      <c r="E117">
        <v>1083</v>
      </c>
      <c r="F117">
        <v>180</v>
      </c>
      <c r="G117">
        <v>5.2</v>
      </c>
      <c r="H117">
        <v>83.1</v>
      </c>
      <c r="I117">
        <v>21</v>
      </c>
      <c r="J117">
        <v>0</v>
      </c>
      <c r="K117">
        <v>0</v>
      </c>
      <c r="L117">
        <v>0</v>
      </c>
      <c r="M117">
        <v>1</v>
      </c>
      <c r="N117" t="s">
        <v>182</v>
      </c>
      <c r="O117" t="s">
        <v>288</v>
      </c>
      <c r="P117" t="s">
        <v>288</v>
      </c>
      <c r="Q117" t="s">
        <v>288</v>
      </c>
      <c r="R117" t="s">
        <v>288</v>
      </c>
      <c r="S117" t="s">
        <v>288</v>
      </c>
      <c r="T117" t="s">
        <v>288</v>
      </c>
      <c r="U117" t="s">
        <v>288</v>
      </c>
    </row>
    <row r="118" spans="1:21" x14ac:dyDescent="0.25">
      <c r="A118" t="s">
        <v>183</v>
      </c>
      <c r="B118">
        <v>3.8</v>
      </c>
      <c r="C118" s="45">
        <v>0</v>
      </c>
      <c r="D118">
        <v>20</v>
      </c>
      <c r="E118">
        <v>1039</v>
      </c>
      <c r="F118">
        <v>6</v>
      </c>
      <c r="G118">
        <v>5.2</v>
      </c>
      <c r="H118">
        <v>87</v>
      </c>
      <c r="I118">
        <v>20</v>
      </c>
      <c r="J118">
        <v>1</v>
      </c>
      <c r="K118">
        <v>0</v>
      </c>
      <c r="L118">
        <v>0</v>
      </c>
      <c r="M118">
        <v>0</v>
      </c>
      <c r="N118" t="s">
        <v>183</v>
      </c>
      <c r="O118" t="s">
        <v>288</v>
      </c>
      <c r="P118" t="s">
        <v>288</v>
      </c>
      <c r="Q118" t="s">
        <v>288</v>
      </c>
      <c r="R118" t="s">
        <v>288</v>
      </c>
      <c r="S118" t="s">
        <v>288</v>
      </c>
      <c r="T118" t="s">
        <v>288</v>
      </c>
      <c r="U118" t="s">
        <v>288</v>
      </c>
    </row>
    <row r="119" spans="1:21" x14ac:dyDescent="0.25">
      <c r="A119" t="s">
        <v>184</v>
      </c>
      <c r="B119">
        <v>5.7</v>
      </c>
      <c r="C119" s="45">
        <v>0</v>
      </c>
      <c r="D119">
        <v>35</v>
      </c>
      <c r="E119">
        <v>1053</v>
      </c>
      <c r="F119">
        <v>25</v>
      </c>
      <c r="G119">
        <v>4.4000000000000004</v>
      </c>
      <c r="H119">
        <v>79.3</v>
      </c>
      <c r="I119">
        <v>17</v>
      </c>
      <c r="J119">
        <v>1</v>
      </c>
      <c r="K119">
        <v>0</v>
      </c>
      <c r="L119">
        <v>0</v>
      </c>
      <c r="M119">
        <v>0</v>
      </c>
      <c r="N119" t="s">
        <v>184</v>
      </c>
      <c r="O119" t="s">
        <v>288</v>
      </c>
      <c r="P119" t="s">
        <v>288</v>
      </c>
      <c r="Q119" t="s">
        <v>288</v>
      </c>
      <c r="R119" t="s">
        <v>288</v>
      </c>
      <c r="S119" t="s">
        <v>288</v>
      </c>
      <c r="T119" t="s">
        <v>288</v>
      </c>
      <c r="U119" t="s">
        <v>288</v>
      </c>
    </row>
    <row r="120" spans="1:21" x14ac:dyDescent="0.25">
      <c r="A120" t="s">
        <v>185</v>
      </c>
      <c r="B120">
        <v>6.3</v>
      </c>
      <c r="C120" s="45">
        <v>0</v>
      </c>
      <c r="D120">
        <v>130</v>
      </c>
      <c r="E120">
        <v>1060</v>
      </c>
      <c r="F120">
        <v>14</v>
      </c>
      <c r="G120">
        <v>5.2</v>
      </c>
      <c r="H120">
        <v>83</v>
      </c>
      <c r="I120">
        <v>20</v>
      </c>
      <c r="J120">
        <v>1</v>
      </c>
      <c r="K120">
        <v>0</v>
      </c>
      <c r="L120">
        <v>0</v>
      </c>
      <c r="M120">
        <v>0</v>
      </c>
      <c r="N120" t="s">
        <v>185</v>
      </c>
      <c r="O120" t="s">
        <v>288</v>
      </c>
      <c r="P120" t="s">
        <v>288</v>
      </c>
      <c r="Q120" t="s">
        <v>288</v>
      </c>
      <c r="R120" t="s">
        <v>288</v>
      </c>
      <c r="S120" t="s">
        <v>288</v>
      </c>
      <c r="T120" t="s">
        <v>288</v>
      </c>
      <c r="U120" t="s">
        <v>288</v>
      </c>
    </row>
    <row r="121" spans="1:21" x14ac:dyDescent="0.25">
      <c r="A121" t="s">
        <v>186</v>
      </c>
      <c r="B121">
        <v>7.5</v>
      </c>
      <c r="C121" s="45">
        <v>0</v>
      </c>
      <c r="D121">
        <v>75</v>
      </c>
      <c r="E121">
        <v>1068</v>
      </c>
      <c r="F121">
        <v>30</v>
      </c>
      <c r="G121">
        <v>4.4000000000000004</v>
      </c>
      <c r="H121">
        <v>82.1</v>
      </c>
      <c r="I121">
        <v>19</v>
      </c>
      <c r="J121">
        <v>1</v>
      </c>
      <c r="K121">
        <v>0</v>
      </c>
      <c r="L121">
        <v>0</v>
      </c>
      <c r="M121">
        <v>0</v>
      </c>
      <c r="N121" t="s">
        <v>186</v>
      </c>
      <c r="O121" t="s">
        <v>288</v>
      </c>
      <c r="P121" t="s">
        <v>288</v>
      </c>
      <c r="Q121" t="s">
        <v>288</v>
      </c>
      <c r="R121" t="s">
        <v>288</v>
      </c>
      <c r="S121" t="s">
        <v>288</v>
      </c>
      <c r="T121" t="s">
        <v>288</v>
      </c>
      <c r="U121" t="s">
        <v>288</v>
      </c>
    </row>
    <row r="122" spans="1:21" x14ac:dyDescent="0.25">
      <c r="A122" t="s">
        <v>187</v>
      </c>
      <c r="B122">
        <v>4.4000000000000004</v>
      </c>
      <c r="C122" s="45">
        <v>0</v>
      </c>
      <c r="D122">
        <v>35</v>
      </c>
      <c r="E122">
        <v>1045</v>
      </c>
      <c r="F122">
        <v>30</v>
      </c>
      <c r="G122">
        <v>4.4000000000000004</v>
      </c>
      <c r="H122">
        <v>73.3</v>
      </c>
      <c r="I122">
        <v>19</v>
      </c>
      <c r="J122">
        <v>1</v>
      </c>
      <c r="K122">
        <v>0</v>
      </c>
      <c r="L122">
        <v>0</v>
      </c>
      <c r="M122">
        <v>0</v>
      </c>
      <c r="N122" t="s">
        <v>187</v>
      </c>
      <c r="O122" t="s">
        <v>288</v>
      </c>
      <c r="P122" t="s">
        <v>288</v>
      </c>
      <c r="Q122" t="s">
        <v>288</v>
      </c>
      <c r="R122" t="s">
        <v>288</v>
      </c>
      <c r="S122" t="s">
        <v>288</v>
      </c>
      <c r="T122" t="s">
        <v>288</v>
      </c>
      <c r="U122" t="s">
        <v>288</v>
      </c>
    </row>
    <row r="123" spans="1:21" x14ac:dyDescent="0.25">
      <c r="A123" t="s">
        <v>188</v>
      </c>
      <c r="B123">
        <v>18</v>
      </c>
      <c r="C123" s="45">
        <v>0</v>
      </c>
      <c r="D123">
        <v>70</v>
      </c>
      <c r="E123">
        <v>1150</v>
      </c>
      <c r="F123">
        <v>57</v>
      </c>
      <c r="G123">
        <v>4.4000000000000004</v>
      </c>
      <c r="H123">
        <v>93.3</v>
      </c>
      <c r="I123">
        <v>22</v>
      </c>
      <c r="J123">
        <v>0</v>
      </c>
      <c r="K123">
        <v>0</v>
      </c>
      <c r="L123">
        <v>0</v>
      </c>
      <c r="M123">
        <v>1</v>
      </c>
      <c r="N123" t="s">
        <v>188</v>
      </c>
      <c r="O123" t="s">
        <v>288</v>
      </c>
      <c r="P123" t="s">
        <v>288</v>
      </c>
      <c r="Q123" t="s">
        <v>288</v>
      </c>
      <c r="R123" t="s">
        <v>288</v>
      </c>
      <c r="S123" t="s">
        <v>288</v>
      </c>
      <c r="T123" t="s">
        <v>288</v>
      </c>
      <c r="U123" t="s">
        <v>288</v>
      </c>
    </row>
    <row r="124" spans="1:21" x14ac:dyDescent="0.25">
      <c r="A124" t="s">
        <v>189</v>
      </c>
      <c r="B124">
        <v>10.5</v>
      </c>
      <c r="C124" s="45">
        <v>0</v>
      </c>
      <c r="D124">
        <v>14</v>
      </c>
      <c r="E124">
        <v>1093</v>
      </c>
      <c r="F124" t="s">
        <v>32</v>
      </c>
      <c r="G124">
        <v>4.4000000000000004</v>
      </c>
      <c r="H124">
        <v>80</v>
      </c>
      <c r="I124">
        <v>19</v>
      </c>
      <c r="J124">
        <v>1</v>
      </c>
      <c r="K124">
        <v>0</v>
      </c>
      <c r="L124">
        <v>0</v>
      </c>
      <c r="M124">
        <v>0</v>
      </c>
      <c r="N124" t="s">
        <v>189</v>
      </c>
      <c r="O124" t="s">
        <v>288</v>
      </c>
      <c r="P124" t="s">
        <v>288</v>
      </c>
      <c r="Q124" t="s">
        <v>288</v>
      </c>
      <c r="R124" t="s">
        <v>288</v>
      </c>
      <c r="S124" t="s">
        <v>288</v>
      </c>
      <c r="T124" t="s">
        <v>288</v>
      </c>
      <c r="U124" t="s">
        <v>288</v>
      </c>
    </row>
    <row r="125" spans="1:21" x14ac:dyDescent="0.25">
      <c r="A125" t="s">
        <v>190</v>
      </c>
      <c r="B125">
        <v>11.3</v>
      </c>
      <c r="C125" s="45">
        <v>0</v>
      </c>
      <c r="D125">
        <v>50</v>
      </c>
      <c r="E125">
        <v>1098</v>
      </c>
      <c r="F125">
        <v>164</v>
      </c>
      <c r="G125">
        <v>4.4000000000000004</v>
      </c>
      <c r="H125">
        <v>79.599999999999994</v>
      </c>
      <c r="I125">
        <v>20</v>
      </c>
      <c r="J125">
        <v>0</v>
      </c>
      <c r="K125">
        <v>0</v>
      </c>
      <c r="L125">
        <v>0</v>
      </c>
      <c r="M125">
        <v>1</v>
      </c>
      <c r="N125" t="s">
        <v>190</v>
      </c>
      <c r="O125" t="s">
        <v>288</v>
      </c>
      <c r="P125" t="s">
        <v>288</v>
      </c>
      <c r="Q125" t="s">
        <v>288</v>
      </c>
      <c r="R125" t="s">
        <v>288</v>
      </c>
      <c r="S125" t="s">
        <v>288</v>
      </c>
      <c r="T125" t="s">
        <v>288</v>
      </c>
      <c r="U125" t="s">
        <v>288</v>
      </c>
    </row>
    <row r="126" spans="1:21" x14ac:dyDescent="0.25">
      <c r="A126" t="s">
        <v>191</v>
      </c>
      <c r="B126" t="s">
        <v>32</v>
      </c>
      <c r="C126">
        <v>1</v>
      </c>
      <c r="D126">
        <v>25</v>
      </c>
      <c r="E126">
        <v>1052</v>
      </c>
      <c r="F126">
        <v>10</v>
      </c>
      <c r="G126">
        <v>5.2</v>
      </c>
      <c r="H126">
        <v>87</v>
      </c>
      <c r="I126">
        <v>20</v>
      </c>
      <c r="J126">
        <v>0</v>
      </c>
      <c r="K126">
        <v>0</v>
      </c>
      <c r="L126">
        <v>1</v>
      </c>
      <c r="M126">
        <v>0</v>
      </c>
      <c r="N126" t="s">
        <v>191</v>
      </c>
      <c r="O126">
        <v>25</v>
      </c>
      <c r="P126">
        <v>1052</v>
      </c>
      <c r="Q126">
        <v>10</v>
      </c>
      <c r="R126">
        <v>5.2</v>
      </c>
      <c r="S126">
        <v>87</v>
      </c>
      <c r="T126">
        <v>20</v>
      </c>
      <c r="U126" t="s">
        <v>71</v>
      </c>
    </row>
    <row r="127" spans="1:21" x14ac:dyDescent="0.25">
      <c r="A127" t="s">
        <v>192</v>
      </c>
      <c r="B127">
        <v>5.2</v>
      </c>
      <c r="C127" s="45">
        <v>0</v>
      </c>
      <c r="D127">
        <v>65</v>
      </c>
      <c r="E127">
        <v>1048</v>
      </c>
      <c r="F127">
        <v>16</v>
      </c>
      <c r="G127">
        <v>5.2</v>
      </c>
      <c r="H127">
        <v>79</v>
      </c>
      <c r="I127">
        <v>19</v>
      </c>
      <c r="J127">
        <v>1</v>
      </c>
      <c r="K127">
        <v>0</v>
      </c>
      <c r="L127">
        <v>0</v>
      </c>
      <c r="M127">
        <v>0</v>
      </c>
      <c r="N127" t="s">
        <v>192</v>
      </c>
      <c r="O127" t="s">
        <v>288</v>
      </c>
      <c r="P127" t="s">
        <v>288</v>
      </c>
      <c r="Q127" t="s">
        <v>288</v>
      </c>
      <c r="R127" t="s">
        <v>288</v>
      </c>
      <c r="S127" t="s">
        <v>288</v>
      </c>
      <c r="T127" t="s">
        <v>288</v>
      </c>
      <c r="U127" t="s">
        <v>288</v>
      </c>
    </row>
    <row r="128" spans="1:21" x14ac:dyDescent="0.25">
      <c r="A128" t="s">
        <v>193</v>
      </c>
      <c r="B128">
        <v>4.5</v>
      </c>
      <c r="C128" s="45">
        <v>0</v>
      </c>
      <c r="D128">
        <v>25</v>
      </c>
      <c r="E128">
        <v>1043</v>
      </c>
      <c r="F128">
        <v>10</v>
      </c>
      <c r="G128">
        <v>4.2</v>
      </c>
      <c r="H128">
        <v>79.099999999999994</v>
      </c>
      <c r="I128">
        <v>15</v>
      </c>
      <c r="J128">
        <v>1</v>
      </c>
      <c r="K128">
        <v>0</v>
      </c>
      <c r="L128">
        <v>0</v>
      </c>
      <c r="M128">
        <v>0</v>
      </c>
      <c r="N128" t="s">
        <v>193</v>
      </c>
      <c r="O128" t="s">
        <v>288</v>
      </c>
      <c r="P128" t="s">
        <v>288</v>
      </c>
      <c r="Q128" t="s">
        <v>288</v>
      </c>
      <c r="R128" t="s">
        <v>288</v>
      </c>
      <c r="S128" t="s">
        <v>288</v>
      </c>
      <c r="T128" t="s">
        <v>288</v>
      </c>
      <c r="U128" t="s">
        <v>288</v>
      </c>
    </row>
    <row r="129" spans="1:21" x14ac:dyDescent="0.25">
      <c r="A129" t="s">
        <v>194</v>
      </c>
      <c r="B129">
        <v>9.5</v>
      </c>
      <c r="C129" s="45">
        <v>0</v>
      </c>
      <c r="D129">
        <v>80</v>
      </c>
      <c r="E129">
        <v>1075</v>
      </c>
      <c r="F129">
        <v>195</v>
      </c>
      <c r="G129">
        <v>4.5</v>
      </c>
      <c r="H129">
        <v>81.3</v>
      </c>
      <c r="I129">
        <v>19</v>
      </c>
      <c r="J129">
        <v>0</v>
      </c>
      <c r="K129">
        <v>0</v>
      </c>
      <c r="L129">
        <v>0</v>
      </c>
      <c r="M129">
        <v>1</v>
      </c>
      <c r="N129" t="s">
        <v>194</v>
      </c>
      <c r="O129" t="s">
        <v>288</v>
      </c>
      <c r="P129" t="s">
        <v>288</v>
      </c>
      <c r="Q129" t="s">
        <v>288</v>
      </c>
      <c r="R129" t="s">
        <v>288</v>
      </c>
      <c r="S129" t="s">
        <v>288</v>
      </c>
      <c r="T129" t="s">
        <v>288</v>
      </c>
      <c r="U129" t="s">
        <v>288</v>
      </c>
    </row>
    <row r="130" spans="1:21" x14ac:dyDescent="0.25">
      <c r="A130" t="s">
        <v>195</v>
      </c>
      <c r="B130">
        <v>7.2</v>
      </c>
      <c r="C130" s="45">
        <v>0</v>
      </c>
      <c r="D130">
        <v>70</v>
      </c>
      <c r="E130">
        <v>1067</v>
      </c>
      <c r="F130">
        <v>30</v>
      </c>
      <c r="G130">
        <v>4.4000000000000004</v>
      </c>
      <c r="H130">
        <v>82.1</v>
      </c>
      <c r="I130">
        <v>19</v>
      </c>
      <c r="J130">
        <v>1</v>
      </c>
      <c r="K130">
        <v>0</v>
      </c>
      <c r="L130">
        <v>0</v>
      </c>
      <c r="M130">
        <v>0</v>
      </c>
      <c r="N130" t="s">
        <v>195</v>
      </c>
      <c r="O130" t="s">
        <v>288</v>
      </c>
      <c r="P130" t="s">
        <v>288</v>
      </c>
      <c r="Q130" t="s">
        <v>288</v>
      </c>
      <c r="R130" t="s">
        <v>288</v>
      </c>
      <c r="S130" t="s">
        <v>288</v>
      </c>
      <c r="T130" t="s">
        <v>288</v>
      </c>
      <c r="U130" t="s">
        <v>288</v>
      </c>
    </row>
    <row r="131" spans="1:21" x14ac:dyDescent="0.25">
      <c r="A131" t="s">
        <v>196</v>
      </c>
      <c r="B131">
        <v>2.7</v>
      </c>
      <c r="C131" s="45">
        <v>0</v>
      </c>
      <c r="D131">
        <v>36</v>
      </c>
      <c r="E131">
        <v>1033</v>
      </c>
      <c r="F131">
        <v>57</v>
      </c>
      <c r="G131">
        <v>4.4000000000000004</v>
      </c>
      <c r="H131">
        <v>70.8</v>
      </c>
      <c r="I131">
        <v>19</v>
      </c>
      <c r="J131">
        <v>1</v>
      </c>
      <c r="K131">
        <v>0</v>
      </c>
      <c r="L131">
        <v>0</v>
      </c>
      <c r="M131">
        <v>0</v>
      </c>
      <c r="N131" t="s">
        <v>196</v>
      </c>
      <c r="O131" t="s">
        <v>288</v>
      </c>
      <c r="P131" t="s">
        <v>288</v>
      </c>
      <c r="Q131" t="s">
        <v>288</v>
      </c>
      <c r="R131" t="s">
        <v>288</v>
      </c>
      <c r="S131" t="s">
        <v>288</v>
      </c>
      <c r="T131" t="s">
        <v>288</v>
      </c>
      <c r="U131" t="s">
        <v>288</v>
      </c>
    </row>
    <row r="132" spans="1:21" x14ac:dyDescent="0.25">
      <c r="A132" t="s">
        <v>197</v>
      </c>
      <c r="B132">
        <v>6.4</v>
      </c>
      <c r="C132" s="45">
        <v>0</v>
      </c>
      <c r="D132">
        <v>50</v>
      </c>
      <c r="E132">
        <v>1061</v>
      </c>
      <c r="F132">
        <v>20</v>
      </c>
      <c r="G132">
        <v>4.4000000000000004</v>
      </c>
      <c r="H132">
        <v>80.3</v>
      </c>
      <c r="I132">
        <v>19</v>
      </c>
      <c r="J132">
        <v>1</v>
      </c>
      <c r="K132">
        <v>0</v>
      </c>
      <c r="L132">
        <v>0</v>
      </c>
      <c r="M132">
        <v>0</v>
      </c>
      <c r="N132" t="s">
        <v>197</v>
      </c>
      <c r="O132" t="s">
        <v>288</v>
      </c>
      <c r="P132" t="s">
        <v>288</v>
      </c>
      <c r="Q132" t="s">
        <v>288</v>
      </c>
      <c r="R132" t="s">
        <v>288</v>
      </c>
      <c r="S132" t="s">
        <v>288</v>
      </c>
      <c r="T132" t="s">
        <v>288</v>
      </c>
      <c r="U132" t="s">
        <v>288</v>
      </c>
    </row>
    <row r="133" spans="1:21" x14ac:dyDescent="0.25">
      <c r="A133" t="s">
        <v>198</v>
      </c>
      <c r="B133">
        <v>17.2</v>
      </c>
      <c r="C133" s="45">
        <v>0</v>
      </c>
      <c r="D133">
        <v>75</v>
      </c>
      <c r="E133">
        <v>1156</v>
      </c>
      <c r="F133">
        <v>128</v>
      </c>
      <c r="G133">
        <v>4.4000000000000004</v>
      </c>
      <c r="H133">
        <v>80.8</v>
      </c>
      <c r="I133">
        <v>21</v>
      </c>
      <c r="J133">
        <v>0</v>
      </c>
      <c r="K133">
        <v>0</v>
      </c>
      <c r="L133">
        <v>0</v>
      </c>
      <c r="M133">
        <v>1</v>
      </c>
      <c r="N133" t="s">
        <v>198</v>
      </c>
      <c r="O133" t="s">
        <v>288</v>
      </c>
      <c r="P133" t="s">
        <v>288</v>
      </c>
      <c r="Q133" t="s">
        <v>288</v>
      </c>
      <c r="R133" t="s">
        <v>288</v>
      </c>
      <c r="S133" t="s">
        <v>288</v>
      </c>
      <c r="T133" t="s">
        <v>288</v>
      </c>
      <c r="U133" t="s">
        <v>288</v>
      </c>
    </row>
    <row r="134" spans="1:21" x14ac:dyDescent="0.25">
      <c r="A134" t="s">
        <v>199</v>
      </c>
      <c r="B134">
        <v>8.5</v>
      </c>
      <c r="C134" s="45">
        <v>0</v>
      </c>
      <c r="D134">
        <v>100</v>
      </c>
      <c r="E134">
        <v>1068</v>
      </c>
      <c r="F134">
        <v>15</v>
      </c>
      <c r="G134">
        <v>4.4000000000000004</v>
      </c>
      <c r="H134">
        <v>95.6</v>
      </c>
      <c r="I134">
        <v>21</v>
      </c>
      <c r="J134">
        <v>0</v>
      </c>
      <c r="K134">
        <v>0</v>
      </c>
      <c r="L134">
        <v>0</v>
      </c>
      <c r="M134">
        <v>1</v>
      </c>
      <c r="N134" t="s">
        <v>199</v>
      </c>
      <c r="O134" t="s">
        <v>288</v>
      </c>
      <c r="P134" t="s">
        <v>288</v>
      </c>
      <c r="Q134" t="s">
        <v>288</v>
      </c>
      <c r="R134" t="s">
        <v>288</v>
      </c>
      <c r="S134" t="s">
        <v>288</v>
      </c>
      <c r="T134" t="s">
        <v>288</v>
      </c>
      <c r="U134" t="s">
        <v>288</v>
      </c>
    </row>
    <row r="135" spans="1:21" x14ac:dyDescent="0.25">
      <c r="A135" t="s">
        <v>200</v>
      </c>
      <c r="B135">
        <v>4.9000000000000004</v>
      </c>
      <c r="C135" s="45">
        <v>0</v>
      </c>
      <c r="D135">
        <v>30</v>
      </c>
      <c r="E135">
        <v>1047</v>
      </c>
      <c r="F135">
        <v>12</v>
      </c>
      <c r="G135">
        <v>4.4000000000000004</v>
      </c>
      <c r="H135">
        <v>80.7</v>
      </c>
      <c r="I135">
        <v>10</v>
      </c>
      <c r="J135">
        <v>0</v>
      </c>
      <c r="K135">
        <v>1</v>
      </c>
      <c r="L135">
        <v>0</v>
      </c>
      <c r="M135">
        <v>0</v>
      </c>
      <c r="N135" t="s">
        <v>200</v>
      </c>
      <c r="O135" t="s">
        <v>288</v>
      </c>
      <c r="P135" t="s">
        <v>288</v>
      </c>
      <c r="Q135" t="s">
        <v>288</v>
      </c>
      <c r="R135" t="s">
        <v>288</v>
      </c>
      <c r="S135" t="s">
        <v>288</v>
      </c>
      <c r="T135" t="s">
        <v>288</v>
      </c>
      <c r="U135" t="s">
        <v>288</v>
      </c>
    </row>
    <row r="136" spans="1:21" x14ac:dyDescent="0.25">
      <c r="A136" t="s">
        <v>201</v>
      </c>
      <c r="B136">
        <v>4.7</v>
      </c>
      <c r="C136" s="45">
        <v>0</v>
      </c>
      <c r="D136">
        <v>37</v>
      </c>
      <c r="E136">
        <v>1043</v>
      </c>
      <c r="F136">
        <v>10</v>
      </c>
      <c r="G136">
        <v>4.2</v>
      </c>
      <c r="H136">
        <v>83.7</v>
      </c>
      <c r="I136">
        <v>12</v>
      </c>
      <c r="J136">
        <v>0</v>
      </c>
      <c r="K136">
        <v>1</v>
      </c>
      <c r="L136">
        <v>0</v>
      </c>
      <c r="M136">
        <v>0</v>
      </c>
      <c r="N136" t="s">
        <v>201</v>
      </c>
      <c r="O136" t="s">
        <v>288</v>
      </c>
      <c r="P136" t="s">
        <v>288</v>
      </c>
      <c r="Q136" t="s">
        <v>288</v>
      </c>
      <c r="R136" t="s">
        <v>288</v>
      </c>
      <c r="S136" t="s">
        <v>288</v>
      </c>
      <c r="T136" t="s">
        <v>288</v>
      </c>
      <c r="U136" t="s">
        <v>288</v>
      </c>
    </row>
    <row r="137" spans="1:21" x14ac:dyDescent="0.25">
      <c r="A137" t="s">
        <v>202</v>
      </c>
      <c r="B137">
        <v>7.2</v>
      </c>
      <c r="C137" s="45">
        <v>0</v>
      </c>
      <c r="D137">
        <v>100</v>
      </c>
      <c r="E137">
        <v>1064</v>
      </c>
      <c r="F137">
        <v>12</v>
      </c>
      <c r="G137">
        <v>4.4000000000000004</v>
      </c>
      <c r="H137">
        <v>84</v>
      </c>
      <c r="I137">
        <v>19</v>
      </c>
      <c r="J137">
        <v>1</v>
      </c>
      <c r="K137">
        <v>0</v>
      </c>
      <c r="L137">
        <v>0</v>
      </c>
      <c r="M137">
        <v>0</v>
      </c>
      <c r="N137" t="s">
        <v>202</v>
      </c>
      <c r="O137" t="s">
        <v>288</v>
      </c>
      <c r="P137" t="s">
        <v>288</v>
      </c>
      <c r="Q137" t="s">
        <v>288</v>
      </c>
      <c r="R137" t="s">
        <v>288</v>
      </c>
      <c r="S137" t="s">
        <v>288</v>
      </c>
      <c r="T137" t="s">
        <v>288</v>
      </c>
      <c r="U137" t="s">
        <v>288</v>
      </c>
    </row>
    <row r="138" spans="1:21" x14ac:dyDescent="0.25">
      <c r="A138" t="s">
        <v>203</v>
      </c>
      <c r="B138">
        <v>10</v>
      </c>
      <c r="C138" s="45">
        <v>0</v>
      </c>
      <c r="D138">
        <v>80</v>
      </c>
      <c r="E138">
        <v>1097</v>
      </c>
      <c r="F138">
        <v>65</v>
      </c>
      <c r="G138">
        <v>4.4000000000000004</v>
      </c>
      <c r="H138">
        <v>79.400000000000006</v>
      </c>
      <c r="I138">
        <v>21</v>
      </c>
      <c r="J138">
        <v>0</v>
      </c>
      <c r="K138">
        <v>0</v>
      </c>
      <c r="L138">
        <v>0</v>
      </c>
      <c r="M138">
        <v>1</v>
      </c>
      <c r="N138" t="s">
        <v>203</v>
      </c>
      <c r="O138" t="s">
        <v>288</v>
      </c>
      <c r="P138" t="s">
        <v>288</v>
      </c>
      <c r="Q138" t="s">
        <v>288</v>
      </c>
      <c r="R138" t="s">
        <v>288</v>
      </c>
      <c r="S138" t="s">
        <v>288</v>
      </c>
      <c r="T138" t="s">
        <v>288</v>
      </c>
      <c r="U138" t="s">
        <v>288</v>
      </c>
    </row>
    <row r="139" spans="1:21" x14ac:dyDescent="0.25">
      <c r="A139" t="s">
        <v>204</v>
      </c>
      <c r="B139">
        <v>4.5</v>
      </c>
      <c r="C139" s="45">
        <v>0</v>
      </c>
      <c r="D139">
        <v>55</v>
      </c>
      <c r="E139">
        <v>1045</v>
      </c>
      <c r="F139">
        <v>20</v>
      </c>
      <c r="G139">
        <v>4.2</v>
      </c>
      <c r="H139">
        <v>73.900000000000006</v>
      </c>
      <c r="I139">
        <v>19</v>
      </c>
      <c r="J139">
        <v>1</v>
      </c>
      <c r="K139">
        <v>0</v>
      </c>
      <c r="L139">
        <v>0</v>
      </c>
      <c r="M139">
        <v>0</v>
      </c>
      <c r="N139" t="s">
        <v>204</v>
      </c>
      <c r="O139" t="s">
        <v>288</v>
      </c>
      <c r="P139" t="s">
        <v>288</v>
      </c>
      <c r="Q139" t="s">
        <v>288</v>
      </c>
      <c r="R139" t="s">
        <v>288</v>
      </c>
      <c r="S139" t="s">
        <v>288</v>
      </c>
      <c r="T139" t="s">
        <v>288</v>
      </c>
      <c r="U139" t="s">
        <v>288</v>
      </c>
    </row>
    <row r="140" spans="1:21" x14ac:dyDescent="0.25">
      <c r="A140" t="s">
        <v>205</v>
      </c>
      <c r="B140">
        <v>7.2</v>
      </c>
      <c r="C140" s="45">
        <v>0</v>
      </c>
      <c r="D140">
        <v>50</v>
      </c>
      <c r="E140">
        <v>1068</v>
      </c>
      <c r="F140">
        <v>150</v>
      </c>
      <c r="G140">
        <v>4.4000000000000004</v>
      </c>
      <c r="H140">
        <v>78.599999999999994</v>
      </c>
      <c r="I140">
        <v>19</v>
      </c>
      <c r="J140">
        <v>0</v>
      </c>
      <c r="K140">
        <v>0</v>
      </c>
      <c r="L140">
        <v>0</v>
      </c>
      <c r="M140">
        <v>1</v>
      </c>
      <c r="N140" t="s">
        <v>205</v>
      </c>
      <c r="O140" t="s">
        <v>288</v>
      </c>
      <c r="P140" t="s">
        <v>288</v>
      </c>
      <c r="Q140" t="s">
        <v>288</v>
      </c>
      <c r="R140" t="s">
        <v>288</v>
      </c>
      <c r="S140" t="s">
        <v>288</v>
      </c>
      <c r="T140" t="s">
        <v>288</v>
      </c>
      <c r="U140" t="s">
        <v>288</v>
      </c>
    </row>
    <row r="141" spans="1:21" x14ac:dyDescent="0.25">
      <c r="A141" t="s">
        <v>206</v>
      </c>
      <c r="B141">
        <v>7.2</v>
      </c>
      <c r="C141" s="45">
        <v>0</v>
      </c>
      <c r="D141">
        <v>250</v>
      </c>
      <c r="E141">
        <v>1065</v>
      </c>
      <c r="F141">
        <v>15</v>
      </c>
      <c r="G141">
        <v>4.4000000000000004</v>
      </c>
      <c r="H141">
        <v>84.6</v>
      </c>
      <c r="I141">
        <v>21</v>
      </c>
      <c r="J141">
        <v>0</v>
      </c>
      <c r="K141">
        <v>0</v>
      </c>
      <c r="L141">
        <v>0</v>
      </c>
      <c r="M141">
        <v>1</v>
      </c>
      <c r="N141" t="s">
        <v>206</v>
      </c>
      <c r="O141" t="s">
        <v>288</v>
      </c>
      <c r="P141" t="s">
        <v>288</v>
      </c>
      <c r="Q141" t="s">
        <v>288</v>
      </c>
      <c r="R141" t="s">
        <v>288</v>
      </c>
      <c r="S141" t="s">
        <v>288</v>
      </c>
      <c r="T141" t="s">
        <v>288</v>
      </c>
      <c r="U141" t="s">
        <v>288</v>
      </c>
    </row>
    <row r="142" spans="1:21" x14ac:dyDescent="0.25">
      <c r="A142" t="s">
        <v>207</v>
      </c>
      <c r="B142">
        <v>6.7</v>
      </c>
      <c r="C142" s="45">
        <v>0</v>
      </c>
      <c r="D142">
        <v>67</v>
      </c>
      <c r="E142">
        <v>1064</v>
      </c>
      <c r="F142">
        <v>19</v>
      </c>
      <c r="G142">
        <v>4.4000000000000004</v>
      </c>
      <c r="H142">
        <v>79.7</v>
      </c>
      <c r="I142">
        <v>19</v>
      </c>
      <c r="J142">
        <v>1</v>
      </c>
      <c r="K142">
        <v>0</v>
      </c>
      <c r="L142">
        <v>0</v>
      </c>
      <c r="M142">
        <v>0</v>
      </c>
      <c r="N142" t="s">
        <v>207</v>
      </c>
      <c r="O142" t="s">
        <v>288</v>
      </c>
      <c r="P142" t="s">
        <v>288</v>
      </c>
      <c r="Q142" t="s">
        <v>288</v>
      </c>
      <c r="R142" t="s">
        <v>288</v>
      </c>
      <c r="S142" t="s">
        <v>288</v>
      </c>
      <c r="T142" t="s">
        <v>288</v>
      </c>
      <c r="U142" t="s">
        <v>288</v>
      </c>
    </row>
    <row r="143" spans="1:21" x14ac:dyDescent="0.25">
      <c r="A143" t="s">
        <v>208</v>
      </c>
      <c r="B143">
        <v>7.2</v>
      </c>
      <c r="C143" s="45">
        <v>0</v>
      </c>
      <c r="D143">
        <v>100</v>
      </c>
      <c r="E143">
        <v>1064</v>
      </c>
      <c r="F143">
        <v>12</v>
      </c>
      <c r="G143">
        <v>4.4000000000000004</v>
      </c>
      <c r="H143">
        <v>84</v>
      </c>
      <c r="I143">
        <v>19</v>
      </c>
      <c r="J143">
        <v>1</v>
      </c>
      <c r="K143">
        <v>0</v>
      </c>
      <c r="L143">
        <v>0</v>
      </c>
      <c r="M143">
        <v>0</v>
      </c>
      <c r="N143" t="s">
        <v>208</v>
      </c>
      <c r="O143" t="s">
        <v>288</v>
      </c>
      <c r="P143" t="s">
        <v>288</v>
      </c>
      <c r="Q143" t="s">
        <v>288</v>
      </c>
      <c r="R143" t="s">
        <v>288</v>
      </c>
      <c r="S143" t="s">
        <v>288</v>
      </c>
      <c r="T143" t="s">
        <v>288</v>
      </c>
      <c r="U143" t="s">
        <v>288</v>
      </c>
    </row>
    <row r="144" spans="1:21" x14ac:dyDescent="0.25">
      <c r="A144" t="s">
        <v>209</v>
      </c>
      <c r="B144">
        <v>4.4000000000000004</v>
      </c>
      <c r="C144" s="45">
        <v>0</v>
      </c>
      <c r="D144">
        <v>70</v>
      </c>
      <c r="E144">
        <v>1045</v>
      </c>
      <c r="F144">
        <v>30</v>
      </c>
      <c r="G144">
        <v>4.4000000000000004</v>
      </c>
      <c r="H144">
        <v>82.9</v>
      </c>
      <c r="I144">
        <v>20</v>
      </c>
      <c r="J144">
        <v>0</v>
      </c>
      <c r="K144">
        <v>0</v>
      </c>
      <c r="L144">
        <v>0</v>
      </c>
      <c r="M144">
        <v>1</v>
      </c>
      <c r="N144" t="s">
        <v>209</v>
      </c>
      <c r="O144" t="s">
        <v>288</v>
      </c>
      <c r="P144" t="s">
        <v>288</v>
      </c>
      <c r="Q144" t="s">
        <v>288</v>
      </c>
      <c r="R144" t="s">
        <v>288</v>
      </c>
      <c r="S144" t="s">
        <v>288</v>
      </c>
      <c r="T144" t="s">
        <v>288</v>
      </c>
      <c r="U144" t="s">
        <v>288</v>
      </c>
    </row>
    <row r="145" spans="1:21" x14ac:dyDescent="0.25">
      <c r="A145" t="s">
        <v>210</v>
      </c>
      <c r="B145">
        <v>9</v>
      </c>
      <c r="C145" s="45">
        <v>0</v>
      </c>
      <c r="D145">
        <v>70</v>
      </c>
      <c r="E145">
        <v>1090</v>
      </c>
      <c r="F145">
        <v>190</v>
      </c>
      <c r="G145">
        <v>4.4000000000000004</v>
      </c>
      <c r="H145">
        <v>80</v>
      </c>
      <c r="I145">
        <v>21</v>
      </c>
      <c r="J145">
        <v>0</v>
      </c>
      <c r="K145">
        <v>0</v>
      </c>
      <c r="L145">
        <v>0</v>
      </c>
      <c r="M145">
        <v>1</v>
      </c>
      <c r="N145" t="s">
        <v>210</v>
      </c>
      <c r="O145" t="s">
        <v>288</v>
      </c>
      <c r="P145" t="s">
        <v>288</v>
      </c>
      <c r="Q145" t="s">
        <v>288</v>
      </c>
      <c r="R145" t="s">
        <v>288</v>
      </c>
      <c r="S145" t="s">
        <v>288</v>
      </c>
      <c r="T145" t="s">
        <v>288</v>
      </c>
      <c r="U145" t="s">
        <v>288</v>
      </c>
    </row>
    <row r="146" spans="1:21" x14ac:dyDescent="0.25">
      <c r="A146" t="s">
        <v>211</v>
      </c>
      <c r="B146">
        <v>7.5</v>
      </c>
      <c r="C146" s="45">
        <v>0</v>
      </c>
      <c r="D146">
        <v>80</v>
      </c>
      <c r="E146">
        <v>1069</v>
      </c>
      <c r="F146">
        <v>50</v>
      </c>
      <c r="G146">
        <v>4.4000000000000004</v>
      </c>
      <c r="H146">
        <v>82.6</v>
      </c>
      <c r="I146">
        <v>22</v>
      </c>
      <c r="J146">
        <v>0</v>
      </c>
      <c r="K146">
        <v>0</v>
      </c>
      <c r="L146">
        <v>0</v>
      </c>
      <c r="M146">
        <v>1</v>
      </c>
      <c r="N146" t="s">
        <v>211</v>
      </c>
      <c r="O146" t="s">
        <v>288</v>
      </c>
      <c r="P146" t="s">
        <v>288</v>
      </c>
      <c r="Q146" t="s">
        <v>288</v>
      </c>
      <c r="R146" t="s">
        <v>288</v>
      </c>
      <c r="S146" t="s">
        <v>288</v>
      </c>
      <c r="T146" t="s">
        <v>288</v>
      </c>
      <c r="U146" t="s">
        <v>288</v>
      </c>
    </row>
    <row r="147" spans="1:21" x14ac:dyDescent="0.25">
      <c r="A147" t="s">
        <v>212</v>
      </c>
      <c r="B147">
        <v>16.100000000000001</v>
      </c>
      <c r="C147" s="45">
        <v>0</v>
      </c>
      <c r="D147">
        <v>85</v>
      </c>
      <c r="E147">
        <v>1125</v>
      </c>
      <c r="F147">
        <v>400</v>
      </c>
      <c r="G147">
        <v>4.3</v>
      </c>
      <c r="H147">
        <v>84</v>
      </c>
      <c r="I147">
        <v>21</v>
      </c>
      <c r="J147">
        <v>0</v>
      </c>
      <c r="K147">
        <v>0</v>
      </c>
      <c r="L147">
        <v>0</v>
      </c>
      <c r="M147">
        <v>1</v>
      </c>
      <c r="N147" t="s">
        <v>212</v>
      </c>
      <c r="O147" t="s">
        <v>288</v>
      </c>
      <c r="P147" t="s">
        <v>288</v>
      </c>
      <c r="Q147" t="s">
        <v>288</v>
      </c>
      <c r="R147" t="s">
        <v>288</v>
      </c>
      <c r="S147" t="s">
        <v>288</v>
      </c>
      <c r="T147" t="s">
        <v>288</v>
      </c>
      <c r="U147" t="s">
        <v>288</v>
      </c>
    </row>
    <row r="148" spans="1:21" x14ac:dyDescent="0.25">
      <c r="A148" t="s">
        <v>213</v>
      </c>
      <c r="B148">
        <v>6.7</v>
      </c>
      <c r="C148" s="45">
        <v>0</v>
      </c>
      <c r="D148">
        <v>70</v>
      </c>
      <c r="E148">
        <v>1063</v>
      </c>
      <c r="F148">
        <v>30</v>
      </c>
      <c r="G148">
        <v>4.4000000000000004</v>
      </c>
      <c r="H148">
        <v>81</v>
      </c>
      <c r="I148">
        <v>99</v>
      </c>
      <c r="J148">
        <v>1</v>
      </c>
      <c r="K148">
        <v>0</v>
      </c>
      <c r="L148">
        <v>0</v>
      </c>
      <c r="M148">
        <v>0</v>
      </c>
      <c r="N148" t="s">
        <v>213</v>
      </c>
      <c r="O148" t="s">
        <v>288</v>
      </c>
      <c r="P148" t="s">
        <v>288</v>
      </c>
      <c r="Q148" t="s">
        <v>288</v>
      </c>
      <c r="R148" t="s">
        <v>288</v>
      </c>
      <c r="S148" t="s">
        <v>288</v>
      </c>
      <c r="T148" t="s">
        <v>288</v>
      </c>
      <c r="U148" t="s">
        <v>288</v>
      </c>
    </row>
    <row r="149" spans="1:21" x14ac:dyDescent="0.25">
      <c r="A149" t="s">
        <v>214</v>
      </c>
      <c r="B149">
        <v>2.5</v>
      </c>
      <c r="C149" s="45">
        <v>0</v>
      </c>
      <c r="D149">
        <v>35</v>
      </c>
      <c r="E149">
        <v>1027</v>
      </c>
      <c r="F149">
        <v>10</v>
      </c>
      <c r="G149">
        <v>4.2</v>
      </c>
      <c r="H149">
        <v>70.400000000000006</v>
      </c>
      <c r="I149">
        <v>19</v>
      </c>
      <c r="J149">
        <v>1</v>
      </c>
      <c r="K149">
        <v>0</v>
      </c>
      <c r="L149">
        <v>0</v>
      </c>
      <c r="M149">
        <v>0</v>
      </c>
      <c r="N149" t="s">
        <v>214</v>
      </c>
      <c r="O149" t="s">
        <v>288</v>
      </c>
      <c r="P149" t="s">
        <v>288</v>
      </c>
      <c r="Q149" t="s">
        <v>288</v>
      </c>
      <c r="R149" t="s">
        <v>288</v>
      </c>
      <c r="S149" t="s">
        <v>288</v>
      </c>
      <c r="T149" t="s">
        <v>288</v>
      </c>
      <c r="U149" t="s">
        <v>288</v>
      </c>
    </row>
    <row r="150" spans="1:21" x14ac:dyDescent="0.25">
      <c r="A150" t="s">
        <v>215</v>
      </c>
      <c r="B150">
        <v>7.4</v>
      </c>
      <c r="C150" s="45">
        <v>0</v>
      </c>
      <c r="D150">
        <v>70</v>
      </c>
      <c r="E150">
        <v>1069</v>
      </c>
      <c r="F150">
        <v>30</v>
      </c>
      <c r="G150">
        <v>4.4000000000000004</v>
      </c>
      <c r="H150">
        <v>82.6</v>
      </c>
      <c r="I150">
        <v>19</v>
      </c>
      <c r="J150">
        <v>1</v>
      </c>
      <c r="K150">
        <v>0</v>
      </c>
      <c r="L150">
        <v>0</v>
      </c>
      <c r="M150">
        <v>0</v>
      </c>
      <c r="N150" t="s">
        <v>215</v>
      </c>
      <c r="O150" t="s">
        <v>288</v>
      </c>
      <c r="P150" t="s">
        <v>288</v>
      </c>
      <c r="Q150" t="s">
        <v>288</v>
      </c>
      <c r="R150" t="s">
        <v>288</v>
      </c>
      <c r="S150" t="s">
        <v>288</v>
      </c>
      <c r="T150" t="s">
        <v>288</v>
      </c>
      <c r="U150" t="s">
        <v>288</v>
      </c>
    </row>
    <row r="151" spans="1:21" x14ac:dyDescent="0.25">
      <c r="A151" t="s">
        <v>216</v>
      </c>
      <c r="B151">
        <v>2.8</v>
      </c>
      <c r="C151" s="45">
        <v>0</v>
      </c>
      <c r="D151">
        <v>30</v>
      </c>
      <c r="E151">
        <v>1032.5</v>
      </c>
      <c r="F151">
        <v>42</v>
      </c>
      <c r="G151">
        <v>4.4000000000000004</v>
      </c>
      <c r="H151">
        <v>63.1</v>
      </c>
      <c r="I151">
        <v>22</v>
      </c>
      <c r="J151">
        <v>1</v>
      </c>
      <c r="K151">
        <v>0</v>
      </c>
      <c r="L151">
        <v>0</v>
      </c>
      <c r="M151">
        <v>0</v>
      </c>
      <c r="N151" t="s">
        <v>216</v>
      </c>
      <c r="O151" t="s">
        <v>288</v>
      </c>
      <c r="P151" t="s">
        <v>288</v>
      </c>
      <c r="Q151" t="s">
        <v>288</v>
      </c>
      <c r="R151" t="s">
        <v>288</v>
      </c>
      <c r="S151" t="s">
        <v>288</v>
      </c>
      <c r="T151" t="s">
        <v>288</v>
      </c>
      <c r="U151" t="s">
        <v>288</v>
      </c>
    </row>
    <row r="152" spans="1:21" x14ac:dyDescent="0.25">
      <c r="A152" t="s">
        <v>217</v>
      </c>
      <c r="B152">
        <v>4.2</v>
      </c>
      <c r="C152" s="45">
        <v>0</v>
      </c>
      <c r="D152">
        <v>25</v>
      </c>
      <c r="E152">
        <v>1044</v>
      </c>
      <c r="F152">
        <v>19</v>
      </c>
      <c r="G152">
        <v>4.4000000000000004</v>
      </c>
      <c r="H152">
        <v>72.7</v>
      </c>
      <c r="I152">
        <v>16</v>
      </c>
      <c r="J152">
        <v>0</v>
      </c>
      <c r="K152">
        <v>1</v>
      </c>
      <c r="L152">
        <v>0</v>
      </c>
      <c r="M152">
        <v>0</v>
      </c>
      <c r="N152" t="s">
        <v>217</v>
      </c>
      <c r="O152" t="s">
        <v>288</v>
      </c>
      <c r="P152" t="s">
        <v>288</v>
      </c>
      <c r="Q152" t="s">
        <v>288</v>
      </c>
      <c r="R152" t="s">
        <v>288</v>
      </c>
      <c r="S152" t="s">
        <v>288</v>
      </c>
      <c r="T152" t="s">
        <v>288</v>
      </c>
      <c r="U152" t="s">
        <v>288</v>
      </c>
    </row>
    <row r="153" spans="1:21" x14ac:dyDescent="0.25">
      <c r="A153" t="s">
        <v>218</v>
      </c>
      <c r="B153">
        <v>5.8</v>
      </c>
      <c r="C153" s="45">
        <v>0</v>
      </c>
      <c r="D153">
        <v>40</v>
      </c>
      <c r="E153">
        <v>1060</v>
      </c>
      <c r="F153">
        <v>35</v>
      </c>
      <c r="G153">
        <v>4.4000000000000004</v>
      </c>
      <c r="H153">
        <v>76.7</v>
      </c>
      <c r="I153">
        <v>19</v>
      </c>
      <c r="J153">
        <v>1</v>
      </c>
      <c r="K153">
        <v>0</v>
      </c>
      <c r="L153">
        <v>0</v>
      </c>
      <c r="M153">
        <v>0</v>
      </c>
      <c r="N153" t="s">
        <v>218</v>
      </c>
      <c r="O153" t="s">
        <v>288</v>
      </c>
      <c r="P153" t="s">
        <v>288</v>
      </c>
      <c r="Q153" t="s">
        <v>288</v>
      </c>
      <c r="R153" t="s">
        <v>288</v>
      </c>
      <c r="S153" t="s">
        <v>288</v>
      </c>
      <c r="T153" t="s">
        <v>288</v>
      </c>
      <c r="U153" t="s">
        <v>288</v>
      </c>
    </row>
    <row r="154" spans="1:21" x14ac:dyDescent="0.25">
      <c r="A154" t="s">
        <v>219</v>
      </c>
      <c r="B154">
        <v>5.2</v>
      </c>
      <c r="C154" s="45">
        <v>0</v>
      </c>
      <c r="D154">
        <v>50</v>
      </c>
      <c r="E154">
        <v>1050</v>
      </c>
      <c r="F154">
        <v>17</v>
      </c>
      <c r="G154">
        <v>4.4000000000000004</v>
      </c>
      <c r="H154">
        <v>80</v>
      </c>
      <c r="I154">
        <v>19</v>
      </c>
      <c r="J154">
        <v>1</v>
      </c>
      <c r="K154">
        <v>0</v>
      </c>
      <c r="L154">
        <v>0</v>
      </c>
      <c r="M154">
        <v>0</v>
      </c>
      <c r="N154" t="s">
        <v>219</v>
      </c>
      <c r="O154" t="s">
        <v>288</v>
      </c>
      <c r="P154" t="s">
        <v>288</v>
      </c>
      <c r="Q154" t="s">
        <v>288</v>
      </c>
      <c r="R154" t="s">
        <v>288</v>
      </c>
      <c r="S154" t="s">
        <v>288</v>
      </c>
      <c r="T154" t="s">
        <v>288</v>
      </c>
      <c r="U154" t="s">
        <v>288</v>
      </c>
    </row>
    <row r="155" spans="1:21" x14ac:dyDescent="0.25">
      <c r="A155" t="s">
        <v>220</v>
      </c>
      <c r="B155">
        <v>10</v>
      </c>
      <c r="C155" s="45">
        <v>0</v>
      </c>
      <c r="D155">
        <v>55</v>
      </c>
      <c r="E155">
        <v>1128</v>
      </c>
      <c r="F155">
        <v>300</v>
      </c>
      <c r="G155">
        <v>4.4000000000000004</v>
      </c>
      <c r="H155">
        <v>89</v>
      </c>
      <c r="I155">
        <v>21</v>
      </c>
      <c r="J155">
        <v>0</v>
      </c>
      <c r="K155">
        <v>0</v>
      </c>
      <c r="L155">
        <v>0</v>
      </c>
      <c r="M155">
        <v>1</v>
      </c>
      <c r="N155" t="s">
        <v>220</v>
      </c>
      <c r="O155" t="s">
        <v>288</v>
      </c>
      <c r="P155" t="s">
        <v>288</v>
      </c>
      <c r="Q155" t="s">
        <v>288</v>
      </c>
      <c r="R155" t="s">
        <v>288</v>
      </c>
      <c r="S155" t="s">
        <v>288</v>
      </c>
      <c r="T155" t="s">
        <v>288</v>
      </c>
      <c r="U155" t="s">
        <v>288</v>
      </c>
    </row>
    <row r="156" spans="1:21" x14ac:dyDescent="0.25">
      <c r="A156" t="s">
        <v>221</v>
      </c>
      <c r="B156">
        <v>12.8</v>
      </c>
      <c r="C156" s="45">
        <v>0</v>
      </c>
      <c r="D156">
        <v>70</v>
      </c>
      <c r="E156">
        <v>1108</v>
      </c>
      <c r="F156">
        <v>79</v>
      </c>
      <c r="G156">
        <v>4.4000000000000004</v>
      </c>
      <c r="H156">
        <v>81.5</v>
      </c>
      <c r="I156">
        <v>18</v>
      </c>
      <c r="J156">
        <v>0</v>
      </c>
      <c r="K156">
        <v>0</v>
      </c>
      <c r="L156">
        <v>0</v>
      </c>
      <c r="M156">
        <v>1</v>
      </c>
      <c r="N156" t="s">
        <v>221</v>
      </c>
      <c r="O156" t="s">
        <v>288</v>
      </c>
      <c r="P156" t="s">
        <v>288</v>
      </c>
      <c r="Q156" t="s">
        <v>288</v>
      </c>
      <c r="R156" t="s">
        <v>288</v>
      </c>
      <c r="S156" t="s">
        <v>288</v>
      </c>
      <c r="T156" t="s">
        <v>288</v>
      </c>
      <c r="U156" t="s">
        <v>288</v>
      </c>
    </row>
    <row r="157" spans="1:21" x14ac:dyDescent="0.25">
      <c r="A157" t="s">
        <v>222</v>
      </c>
      <c r="B157">
        <v>8.3000000000000007</v>
      </c>
      <c r="C157" s="45">
        <v>0</v>
      </c>
      <c r="D157">
        <v>70</v>
      </c>
      <c r="E157">
        <v>1076</v>
      </c>
      <c r="F157">
        <v>30</v>
      </c>
      <c r="G157">
        <v>4.4000000000000004</v>
      </c>
      <c r="H157">
        <v>82.9</v>
      </c>
      <c r="I157">
        <v>21</v>
      </c>
      <c r="J157">
        <v>0</v>
      </c>
      <c r="K157">
        <v>0</v>
      </c>
      <c r="L157">
        <v>0</v>
      </c>
      <c r="M157">
        <v>1</v>
      </c>
      <c r="N157" t="s">
        <v>222</v>
      </c>
      <c r="O157" t="s">
        <v>288</v>
      </c>
      <c r="P157" t="s">
        <v>288</v>
      </c>
      <c r="Q157" t="s">
        <v>288</v>
      </c>
      <c r="R157" t="s">
        <v>288</v>
      </c>
      <c r="S157" t="s">
        <v>288</v>
      </c>
      <c r="T157" t="s">
        <v>288</v>
      </c>
      <c r="U157" t="s">
        <v>288</v>
      </c>
    </row>
    <row r="158" spans="1:21" x14ac:dyDescent="0.25">
      <c r="A158" t="s">
        <v>223</v>
      </c>
      <c r="B158">
        <v>6.5</v>
      </c>
      <c r="C158" s="45">
        <v>0</v>
      </c>
      <c r="D158">
        <v>55</v>
      </c>
      <c r="E158">
        <v>1059</v>
      </c>
      <c r="F158">
        <v>50</v>
      </c>
      <c r="G158">
        <v>4.4000000000000004</v>
      </c>
      <c r="H158">
        <v>81.400000000000006</v>
      </c>
      <c r="I158">
        <v>19</v>
      </c>
      <c r="J158">
        <v>1</v>
      </c>
      <c r="K158">
        <v>0</v>
      </c>
      <c r="L158">
        <v>0</v>
      </c>
      <c r="M158">
        <v>0</v>
      </c>
      <c r="N158" t="s">
        <v>223</v>
      </c>
      <c r="O158" t="s">
        <v>288</v>
      </c>
      <c r="P158" t="s">
        <v>288</v>
      </c>
      <c r="Q158" t="s">
        <v>288</v>
      </c>
      <c r="R158" t="s">
        <v>288</v>
      </c>
      <c r="S158" t="s">
        <v>288</v>
      </c>
      <c r="T158" t="s">
        <v>288</v>
      </c>
      <c r="U158" t="s">
        <v>288</v>
      </c>
    </row>
    <row r="159" spans="1:21" x14ac:dyDescent="0.25">
      <c r="A159" t="s">
        <v>224</v>
      </c>
      <c r="B159">
        <v>6</v>
      </c>
      <c r="C159" s="45">
        <v>0</v>
      </c>
      <c r="D159">
        <v>60</v>
      </c>
      <c r="E159">
        <v>1056</v>
      </c>
      <c r="F159">
        <v>17</v>
      </c>
      <c r="G159">
        <v>4.4000000000000004</v>
      </c>
      <c r="H159">
        <v>82.14</v>
      </c>
      <c r="I159">
        <v>19</v>
      </c>
      <c r="J159">
        <v>1</v>
      </c>
      <c r="K159">
        <v>0</v>
      </c>
      <c r="L159">
        <v>0</v>
      </c>
      <c r="M159">
        <v>0</v>
      </c>
      <c r="N159" t="s">
        <v>224</v>
      </c>
      <c r="O159" t="s">
        <v>288</v>
      </c>
      <c r="P159" t="s">
        <v>288</v>
      </c>
      <c r="Q159" t="s">
        <v>288</v>
      </c>
      <c r="R159" t="s">
        <v>288</v>
      </c>
      <c r="S159" t="s">
        <v>288</v>
      </c>
      <c r="T159" t="s">
        <v>288</v>
      </c>
      <c r="U159" t="s">
        <v>288</v>
      </c>
    </row>
    <row r="160" spans="1:21" x14ac:dyDescent="0.25">
      <c r="A160" t="s">
        <v>225</v>
      </c>
      <c r="B160">
        <v>3</v>
      </c>
      <c r="C160" s="45">
        <v>0</v>
      </c>
      <c r="D160">
        <v>8</v>
      </c>
      <c r="E160">
        <v>1007</v>
      </c>
      <c r="F160">
        <v>9</v>
      </c>
      <c r="G160">
        <v>3.2</v>
      </c>
      <c r="H160">
        <v>82.5</v>
      </c>
      <c r="I160">
        <v>19</v>
      </c>
      <c r="J160">
        <v>1</v>
      </c>
      <c r="K160">
        <v>0</v>
      </c>
      <c r="L160">
        <v>0</v>
      </c>
      <c r="M160">
        <v>0</v>
      </c>
      <c r="N160" t="s">
        <v>225</v>
      </c>
      <c r="O160" t="s">
        <v>288</v>
      </c>
      <c r="P160" t="s">
        <v>288</v>
      </c>
      <c r="Q160" t="s">
        <v>288</v>
      </c>
      <c r="R160" t="s">
        <v>288</v>
      </c>
      <c r="S160" t="s">
        <v>288</v>
      </c>
      <c r="T160" t="s">
        <v>288</v>
      </c>
      <c r="U160" t="s">
        <v>288</v>
      </c>
    </row>
    <row r="161" spans="1:21" x14ac:dyDescent="0.25">
      <c r="A161" t="s">
        <v>226</v>
      </c>
      <c r="B161">
        <v>7.6</v>
      </c>
      <c r="C161" s="45">
        <v>0</v>
      </c>
      <c r="D161">
        <v>175</v>
      </c>
      <c r="E161">
        <v>1072</v>
      </c>
      <c r="F161">
        <v>40</v>
      </c>
      <c r="G161">
        <v>4.4000000000000004</v>
      </c>
      <c r="H161">
        <v>80.599999999999994</v>
      </c>
      <c r="I161">
        <v>21</v>
      </c>
      <c r="J161">
        <v>0</v>
      </c>
      <c r="K161">
        <v>0</v>
      </c>
      <c r="L161">
        <v>0</v>
      </c>
      <c r="M161">
        <v>1</v>
      </c>
      <c r="N161" t="s">
        <v>226</v>
      </c>
      <c r="O161" t="s">
        <v>288</v>
      </c>
      <c r="P161" t="s">
        <v>288</v>
      </c>
      <c r="Q161" t="s">
        <v>288</v>
      </c>
      <c r="R161" t="s">
        <v>288</v>
      </c>
      <c r="S161" t="s">
        <v>288</v>
      </c>
      <c r="T161" t="s">
        <v>288</v>
      </c>
      <c r="U161" t="s">
        <v>288</v>
      </c>
    </row>
    <row r="162" spans="1:21" x14ac:dyDescent="0.25">
      <c r="A162" t="s">
        <v>227</v>
      </c>
      <c r="B162">
        <v>5.5</v>
      </c>
      <c r="C162" s="45">
        <v>0</v>
      </c>
      <c r="D162">
        <v>35</v>
      </c>
      <c r="E162">
        <v>1053</v>
      </c>
      <c r="F162">
        <v>25</v>
      </c>
      <c r="G162">
        <v>4.4000000000000004</v>
      </c>
      <c r="H162">
        <v>79.3</v>
      </c>
      <c r="I162">
        <v>17</v>
      </c>
      <c r="J162">
        <v>1</v>
      </c>
      <c r="K162">
        <v>0</v>
      </c>
      <c r="L162">
        <v>0</v>
      </c>
      <c r="M162">
        <v>0</v>
      </c>
      <c r="N162" t="s">
        <v>227</v>
      </c>
      <c r="O162" t="s">
        <v>288</v>
      </c>
      <c r="P162" t="s">
        <v>288</v>
      </c>
      <c r="Q162" t="s">
        <v>288</v>
      </c>
      <c r="R162" t="s">
        <v>288</v>
      </c>
      <c r="S162" t="s">
        <v>288</v>
      </c>
      <c r="T162" t="s">
        <v>288</v>
      </c>
      <c r="U162" t="s">
        <v>288</v>
      </c>
    </row>
    <row r="163" spans="1:21" x14ac:dyDescent="0.25">
      <c r="A163" t="s">
        <v>228</v>
      </c>
      <c r="B163">
        <v>8.8000000000000007</v>
      </c>
      <c r="C163" s="45">
        <v>0</v>
      </c>
      <c r="D163">
        <v>40</v>
      </c>
      <c r="E163">
        <v>1084</v>
      </c>
      <c r="F163">
        <v>190</v>
      </c>
      <c r="G163">
        <v>4.5</v>
      </c>
      <c r="H163">
        <v>79.8</v>
      </c>
      <c r="I163">
        <v>21</v>
      </c>
      <c r="J163">
        <v>0</v>
      </c>
      <c r="K163">
        <v>0</v>
      </c>
      <c r="L163">
        <v>0</v>
      </c>
      <c r="M163">
        <v>1</v>
      </c>
      <c r="N163" t="s">
        <v>228</v>
      </c>
      <c r="O163" t="s">
        <v>288</v>
      </c>
      <c r="P163" t="s">
        <v>288</v>
      </c>
      <c r="Q163" t="s">
        <v>288</v>
      </c>
      <c r="R163" t="s">
        <v>288</v>
      </c>
      <c r="S163" t="s">
        <v>288</v>
      </c>
      <c r="T163" t="s">
        <v>288</v>
      </c>
      <c r="U163" t="s">
        <v>288</v>
      </c>
    </row>
    <row r="164" spans="1:21" x14ac:dyDescent="0.25">
      <c r="A164" t="s">
        <v>229</v>
      </c>
      <c r="B164">
        <v>5.2</v>
      </c>
      <c r="C164" s="45">
        <v>0</v>
      </c>
      <c r="D164">
        <v>45</v>
      </c>
      <c r="E164">
        <v>1048</v>
      </c>
      <c r="F164">
        <v>35</v>
      </c>
      <c r="G164">
        <v>4.4000000000000004</v>
      </c>
      <c r="H164">
        <v>77.099999999999994</v>
      </c>
      <c r="I164">
        <v>19</v>
      </c>
      <c r="J164">
        <v>1</v>
      </c>
      <c r="K164">
        <v>0</v>
      </c>
      <c r="L164">
        <v>0</v>
      </c>
      <c r="M164">
        <v>0</v>
      </c>
      <c r="N164" t="s">
        <v>229</v>
      </c>
      <c r="O164" t="s">
        <v>288</v>
      </c>
      <c r="P164" t="s">
        <v>288</v>
      </c>
      <c r="Q164" t="s">
        <v>288</v>
      </c>
      <c r="R164" t="s">
        <v>288</v>
      </c>
      <c r="S164" t="s">
        <v>288</v>
      </c>
      <c r="T164" t="s">
        <v>288</v>
      </c>
      <c r="U164" t="s">
        <v>288</v>
      </c>
    </row>
    <row r="165" spans="1:21" x14ac:dyDescent="0.25">
      <c r="A165" t="s">
        <v>230</v>
      </c>
      <c r="B165">
        <v>5.2</v>
      </c>
      <c r="C165" s="45">
        <v>0</v>
      </c>
      <c r="D165">
        <v>55</v>
      </c>
      <c r="E165">
        <v>1053</v>
      </c>
      <c r="F165">
        <v>165</v>
      </c>
      <c r="G165">
        <v>5.2</v>
      </c>
      <c r="H165">
        <v>75.5</v>
      </c>
      <c r="I165">
        <v>19</v>
      </c>
      <c r="J165">
        <v>1</v>
      </c>
      <c r="K165">
        <v>0</v>
      </c>
      <c r="L165">
        <v>0</v>
      </c>
      <c r="M165">
        <v>0</v>
      </c>
      <c r="N165" t="s">
        <v>230</v>
      </c>
      <c r="O165" t="s">
        <v>288</v>
      </c>
      <c r="P165" t="s">
        <v>288</v>
      </c>
      <c r="Q165" t="s">
        <v>288</v>
      </c>
      <c r="R165" t="s">
        <v>288</v>
      </c>
      <c r="S165" t="s">
        <v>288</v>
      </c>
      <c r="T165" t="s">
        <v>288</v>
      </c>
      <c r="U165" t="s">
        <v>288</v>
      </c>
    </row>
    <row r="166" spans="1:21" x14ac:dyDescent="0.25">
      <c r="A166" t="s">
        <v>231</v>
      </c>
      <c r="B166">
        <v>8</v>
      </c>
      <c r="C166" s="45">
        <v>0</v>
      </c>
      <c r="D166">
        <v>85</v>
      </c>
      <c r="E166">
        <v>1074</v>
      </c>
      <c r="F166">
        <v>35</v>
      </c>
      <c r="G166">
        <v>5.2</v>
      </c>
      <c r="H166">
        <v>82.4</v>
      </c>
      <c r="I166">
        <v>19</v>
      </c>
      <c r="J166">
        <v>1</v>
      </c>
      <c r="K166">
        <v>0</v>
      </c>
      <c r="L166">
        <v>0</v>
      </c>
      <c r="M166">
        <v>0</v>
      </c>
      <c r="N166" t="s">
        <v>231</v>
      </c>
      <c r="O166" t="s">
        <v>288</v>
      </c>
      <c r="P166" t="s">
        <v>288</v>
      </c>
      <c r="Q166" t="s">
        <v>288</v>
      </c>
      <c r="R166" t="s">
        <v>288</v>
      </c>
      <c r="S166" t="s">
        <v>288</v>
      </c>
      <c r="T166" t="s">
        <v>288</v>
      </c>
      <c r="U166" t="s">
        <v>288</v>
      </c>
    </row>
    <row r="167" spans="1:21" x14ac:dyDescent="0.25">
      <c r="A167" t="s">
        <v>232</v>
      </c>
      <c r="B167">
        <v>6.7</v>
      </c>
      <c r="C167" s="45">
        <v>0</v>
      </c>
      <c r="D167">
        <v>70</v>
      </c>
      <c r="E167">
        <v>1066</v>
      </c>
      <c r="F167">
        <v>30</v>
      </c>
      <c r="G167">
        <v>4.4000000000000004</v>
      </c>
      <c r="H167">
        <v>77.3</v>
      </c>
      <c r="I167">
        <v>19</v>
      </c>
      <c r="J167">
        <v>1</v>
      </c>
      <c r="K167">
        <v>0</v>
      </c>
      <c r="L167">
        <v>0</v>
      </c>
      <c r="M167">
        <v>0</v>
      </c>
      <c r="N167" t="s">
        <v>232</v>
      </c>
      <c r="O167" t="s">
        <v>288</v>
      </c>
      <c r="P167" t="s">
        <v>288</v>
      </c>
      <c r="Q167" t="s">
        <v>288</v>
      </c>
      <c r="R167" t="s">
        <v>288</v>
      </c>
      <c r="S167" t="s">
        <v>288</v>
      </c>
      <c r="T167" t="s">
        <v>288</v>
      </c>
      <c r="U167" t="s">
        <v>288</v>
      </c>
    </row>
    <row r="168" spans="1:21" x14ac:dyDescent="0.25">
      <c r="A168" t="s">
        <v>233</v>
      </c>
      <c r="B168">
        <v>15</v>
      </c>
      <c r="C168" s="45">
        <v>0</v>
      </c>
      <c r="D168">
        <v>90</v>
      </c>
      <c r="E168">
        <v>1120</v>
      </c>
      <c r="F168">
        <v>100</v>
      </c>
      <c r="G168">
        <v>4.4000000000000004</v>
      </c>
      <c r="H168">
        <v>98</v>
      </c>
      <c r="I168">
        <v>19</v>
      </c>
      <c r="J168">
        <v>1</v>
      </c>
      <c r="K168">
        <v>0</v>
      </c>
      <c r="L168">
        <v>0</v>
      </c>
      <c r="M168">
        <v>0</v>
      </c>
      <c r="N168" t="s">
        <v>233</v>
      </c>
      <c r="O168" t="s">
        <v>288</v>
      </c>
      <c r="P168" t="s">
        <v>288</v>
      </c>
      <c r="Q168" t="s">
        <v>288</v>
      </c>
      <c r="R168" t="s">
        <v>288</v>
      </c>
      <c r="S168" t="s">
        <v>288</v>
      </c>
      <c r="T168" t="s">
        <v>288</v>
      </c>
      <c r="U168" t="s">
        <v>288</v>
      </c>
    </row>
    <row r="169" spans="1:21" x14ac:dyDescent="0.25">
      <c r="A169" t="s">
        <v>234</v>
      </c>
      <c r="B169">
        <v>11.5</v>
      </c>
      <c r="C169" s="45">
        <v>0</v>
      </c>
      <c r="D169">
        <v>50</v>
      </c>
      <c r="E169">
        <v>1104</v>
      </c>
      <c r="F169">
        <v>38</v>
      </c>
      <c r="G169">
        <v>4.4000000000000004</v>
      </c>
      <c r="H169">
        <v>85</v>
      </c>
      <c r="I169">
        <v>21</v>
      </c>
      <c r="J169">
        <v>0</v>
      </c>
      <c r="K169">
        <v>0</v>
      </c>
      <c r="L169">
        <v>0</v>
      </c>
      <c r="M169">
        <v>1</v>
      </c>
      <c r="N169" t="s">
        <v>234</v>
      </c>
      <c r="O169" t="s">
        <v>288</v>
      </c>
      <c r="P169" t="s">
        <v>288</v>
      </c>
      <c r="Q169" t="s">
        <v>288</v>
      </c>
      <c r="R169" t="s">
        <v>288</v>
      </c>
      <c r="S169" t="s">
        <v>288</v>
      </c>
      <c r="T169" t="s">
        <v>288</v>
      </c>
      <c r="U169" t="s">
        <v>288</v>
      </c>
    </row>
    <row r="170" spans="1:21" x14ac:dyDescent="0.25">
      <c r="A170" t="s">
        <v>235</v>
      </c>
      <c r="B170">
        <v>7.1</v>
      </c>
      <c r="C170" s="45">
        <v>0</v>
      </c>
      <c r="D170">
        <v>80</v>
      </c>
      <c r="E170">
        <v>1067</v>
      </c>
      <c r="F170">
        <v>71</v>
      </c>
      <c r="G170">
        <v>4.4000000000000004</v>
      </c>
      <c r="H170">
        <v>79</v>
      </c>
      <c r="I170">
        <v>19</v>
      </c>
      <c r="J170">
        <v>1</v>
      </c>
      <c r="K170">
        <v>0</v>
      </c>
      <c r="L170">
        <v>0</v>
      </c>
      <c r="M170">
        <v>0</v>
      </c>
      <c r="N170" t="s">
        <v>235</v>
      </c>
      <c r="O170" t="s">
        <v>288</v>
      </c>
      <c r="P170" t="s">
        <v>288</v>
      </c>
      <c r="Q170" t="s">
        <v>288</v>
      </c>
      <c r="R170" t="s">
        <v>288</v>
      </c>
      <c r="S170" t="s">
        <v>288</v>
      </c>
      <c r="T170" t="s">
        <v>288</v>
      </c>
      <c r="U170" t="s">
        <v>288</v>
      </c>
    </row>
    <row r="171" spans="1:21" x14ac:dyDescent="0.25">
      <c r="A171" t="s">
        <v>236</v>
      </c>
      <c r="B171" t="s">
        <v>32</v>
      </c>
      <c r="C171">
        <v>1</v>
      </c>
      <c r="D171">
        <v>45</v>
      </c>
      <c r="E171">
        <v>1089</v>
      </c>
      <c r="F171">
        <v>15</v>
      </c>
      <c r="G171">
        <v>4.4000000000000004</v>
      </c>
      <c r="H171">
        <v>94.4</v>
      </c>
      <c r="I171">
        <v>23</v>
      </c>
      <c r="J171">
        <v>0</v>
      </c>
      <c r="K171">
        <v>0</v>
      </c>
      <c r="L171">
        <v>1</v>
      </c>
      <c r="M171">
        <v>0</v>
      </c>
      <c r="N171" t="s">
        <v>236</v>
      </c>
      <c r="O171">
        <v>45</v>
      </c>
      <c r="P171">
        <v>1089</v>
      </c>
      <c r="Q171">
        <v>15</v>
      </c>
      <c r="R171">
        <v>4.4000000000000004</v>
      </c>
      <c r="S171">
        <v>94.4</v>
      </c>
      <c r="T171">
        <v>23</v>
      </c>
      <c r="U171" t="s">
        <v>71</v>
      </c>
    </row>
    <row r="172" spans="1:21" x14ac:dyDescent="0.25">
      <c r="A172" t="s">
        <v>237</v>
      </c>
      <c r="B172">
        <v>7.5</v>
      </c>
      <c r="C172" s="45">
        <v>0</v>
      </c>
      <c r="D172">
        <v>0</v>
      </c>
      <c r="E172">
        <v>1069</v>
      </c>
      <c r="F172">
        <v>50</v>
      </c>
      <c r="G172">
        <v>4.4000000000000004</v>
      </c>
      <c r="H172">
        <v>81.099999999999994</v>
      </c>
      <c r="I172">
        <v>19</v>
      </c>
      <c r="J172">
        <v>1</v>
      </c>
      <c r="K172">
        <v>0</v>
      </c>
      <c r="L172">
        <v>0</v>
      </c>
      <c r="M172">
        <v>0</v>
      </c>
      <c r="N172" t="s">
        <v>237</v>
      </c>
      <c r="O172" t="s">
        <v>288</v>
      </c>
      <c r="P172" t="s">
        <v>288</v>
      </c>
      <c r="Q172" t="s">
        <v>288</v>
      </c>
      <c r="R172" t="s">
        <v>288</v>
      </c>
      <c r="S172" t="s">
        <v>288</v>
      </c>
      <c r="T172" t="s">
        <v>288</v>
      </c>
      <c r="U172" t="s">
        <v>288</v>
      </c>
    </row>
    <row r="173" spans="1:21" x14ac:dyDescent="0.25">
      <c r="A173" t="s">
        <v>238</v>
      </c>
      <c r="B173">
        <v>7.2</v>
      </c>
      <c r="C173" s="45">
        <v>0</v>
      </c>
      <c r="D173">
        <v>130</v>
      </c>
      <c r="E173">
        <v>1065</v>
      </c>
      <c r="F173">
        <v>14</v>
      </c>
      <c r="G173">
        <v>5.2</v>
      </c>
      <c r="H173">
        <v>87</v>
      </c>
      <c r="I173">
        <v>20</v>
      </c>
      <c r="J173">
        <v>1</v>
      </c>
      <c r="K173">
        <v>0</v>
      </c>
      <c r="L173">
        <v>0</v>
      </c>
      <c r="M173">
        <v>0</v>
      </c>
      <c r="N173" t="s">
        <v>238</v>
      </c>
      <c r="O173" t="s">
        <v>288</v>
      </c>
      <c r="P173" t="s">
        <v>288</v>
      </c>
      <c r="Q173" t="s">
        <v>288</v>
      </c>
      <c r="R173" t="s">
        <v>288</v>
      </c>
      <c r="S173" t="s">
        <v>288</v>
      </c>
      <c r="T173" t="s">
        <v>288</v>
      </c>
      <c r="U173" t="s">
        <v>288</v>
      </c>
    </row>
    <row r="174" spans="1:21" x14ac:dyDescent="0.25">
      <c r="A174" t="s">
        <v>239</v>
      </c>
      <c r="B174">
        <v>5.2</v>
      </c>
      <c r="C174" s="45">
        <v>0</v>
      </c>
      <c r="D174">
        <v>55</v>
      </c>
      <c r="E174">
        <v>1052</v>
      </c>
      <c r="F174">
        <v>200</v>
      </c>
      <c r="G174">
        <v>5.2</v>
      </c>
      <c r="H174">
        <v>73.099999999999994</v>
      </c>
      <c r="I174">
        <v>19</v>
      </c>
      <c r="J174">
        <v>1</v>
      </c>
      <c r="K174">
        <v>0</v>
      </c>
      <c r="L174">
        <v>0</v>
      </c>
      <c r="M174">
        <v>0</v>
      </c>
      <c r="N174" t="s">
        <v>239</v>
      </c>
      <c r="O174" t="s">
        <v>288</v>
      </c>
      <c r="P174" t="s">
        <v>288</v>
      </c>
      <c r="Q174" t="s">
        <v>288</v>
      </c>
      <c r="R174" t="s">
        <v>288</v>
      </c>
      <c r="S174" t="s">
        <v>288</v>
      </c>
      <c r="T174" t="s">
        <v>288</v>
      </c>
      <c r="U174" t="s">
        <v>288</v>
      </c>
    </row>
    <row r="175" spans="1:21" x14ac:dyDescent="0.25">
      <c r="A175" t="s">
        <v>240</v>
      </c>
      <c r="B175">
        <v>6.8</v>
      </c>
      <c r="C175" s="45">
        <v>0</v>
      </c>
      <c r="D175">
        <v>30</v>
      </c>
      <c r="E175">
        <v>1068</v>
      </c>
      <c r="F175">
        <v>86</v>
      </c>
      <c r="G175">
        <v>4.4000000000000004</v>
      </c>
      <c r="H175">
        <v>76.5</v>
      </c>
      <c r="I175">
        <v>19</v>
      </c>
      <c r="J175">
        <v>1</v>
      </c>
      <c r="K175">
        <v>0</v>
      </c>
      <c r="L175">
        <v>0</v>
      </c>
      <c r="M175">
        <v>0</v>
      </c>
      <c r="N175" t="s">
        <v>240</v>
      </c>
      <c r="O175" t="s">
        <v>288</v>
      </c>
      <c r="P175" t="s">
        <v>288</v>
      </c>
      <c r="Q175" t="s">
        <v>288</v>
      </c>
      <c r="R175" t="s">
        <v>288</v>
      </c>
      <c r="S175" t="s">
        <v>288</v>
      </c>
      <c r="T175" t="s">
        <v>288</v>
      </c>
      <c r="U175" t="s">
        <v>288</v>
      </c>
    </row>
    <row r="176" spans="1:21" x14ac:dyDescent="0.25">
      <c r="A176" t="s">
        <v>241</v>
      </c>
      <c r="B176">
        <v>5.5</v>
      </c>
      <c r="C176" s="45">
        <v>0</v>
      </c>
      <c r="D176">
        <v>60</v>
      </c>
      <c r="E176">
        <v>1062</v>
      </c>
      <c r="F176">
        <v>230</v>
      </c>
      <c r="G176">
        <v>4.4000000000000004</v>
      </c>
      <c r="H176">
        <v>67.7</v>
      </c>
      <c r="I176">
        <v>19</v>
      </c>
      <c r="J176">
        <v>1</v>
      </c>
      <c r="K176">
        <v>0</v>
      </c>
      <c r="L176">
        <v>0</v>
      </c>
      <c r="M176">
        <v>0</v>
      </c>
      <c r="N176" t="s">
        <v>241</v>
      </c>
      <c r="O176" t="s">
        <v>288</v>
      </c>
      <c r="P176" t="s">
        <v>288</v>
      </c>
      <c r="Q176" t="s">
        <v>288</v>
      </c>
      <c r="R176" t="s">
        <v>288</v>
      </c>
      <c r="S176" t="s">
        <v>288</v>
      </c>
      <c r="T176" t="s">
        <v>288</v>
      </c>
      <c r="U176" t="s">
        <v>288</v>
      </c>
    </row>
    <row r="177" spans="1:21" x14ac:dyDescent="0.25">
      <c r="A177" t="s">
        <v>242</v>
      </c>
      <c r="B177">
        <v>5.2</v>
      </c>
      <c r="C177" s="45">
        <v>0</v>
      </c>
      <c r="D177">
        <v>40</v>
      </c>
      <c r="E177">
        <v>1048</v>
      </c>
      <c r="F177">
        <v>13</v>
      </c>
      <c r="G177">
        <v>4.4000000000000004</v>
      </c>
      <c r="H177">
        <v>79.2</v>
      </c>
      <c r="I177">
        <v>19</v>
      </c>
      <c r="J177">
        <v>1</v>
      </c>
      <c r="K177">
        <v>0</v>
      </c>
      <c r="L177">
        <v>0</v>
      </c>
      <c r="M177">
        <v>0</v>
      </c>
      <c r="N177" t="s">
        <v>242</v>
      </c>
      <c r="O177" t="s">
        <v>288</v>
      </c>
      <c r="P177" t="s">
        <v>288</v>
      </c>
      <c r="Q177" t="s">
        <v>288</v>
      </c>
      <c r="R177" t="s">
        <v>288</v>
      </c>
      <c r="S177" t="s">
        <v>288</v>
      </c>
      <c r="T177" t="s">
        <v>288</v>
      </c>
      <c r="U177" t="s">
        <v>288</v>
      </c>
    </row>
    <row r="178" spans="1:21" x14ac:dyDescent="0.25">
      <c r="A178" t="s">
        <v>243</v>
      </c>
      <c r="B178">
        <v>6.7</v>
      </c>
      <c r="C178" s="45">
        <v>0</v>
      </c>
      <c r="D178">
        <v>70</v>
      </c>
      <c r="E178">
        <v>1066</v>
      </c>
      <c r="F178">
        <v>30</v>
      </c>
      <c r="G178">
        <v>4.4000000000000004</v>
      </c>
      <c r="H178">
        <v>77.3</v>
      </c>
      <c r="I178">
        <v>19</v>
      </c>
      <c r="J178">
        <v>1</v>
      </c>
      <c r="K178">
        <v>0</v>
      </c>
      <c r="L178">
        <v>0</v>
      </c>
      <c r="M178">
        <v>0</v>
      </c>
      <c r="N178" t="s">
        <v>243</v>
      </c>
      <c r="O178" t="s">
        <v>288</v>
      </c>
      <c r="P178" t="s">
        <v>288</v>
      </c>
      <c r="Q178" t="s">
        <v>288</v>
      </c>
      <c r="R178" t="s">
        <v>288</v>
      </c>
      <c r="S178" t="s">
        <v>288</v>
      </c>
      <c r="T178" t="s">
        <v>288</v>
      </c>
      <c r="U178" t="s">
        <v>288</v>
      </c>
    </row>
    <row r="179" spans="1:21" x14ac:dyDescent="0.25">
      <c r="A179" t="s">
        <v>244</v>
      </c>
      <c r="B179">
        <v>5</v>
      </c>
      <c r="C179" s="45">
        <v>0</v>
      </c>
      <c r="D179">
        <v>50</v>
      </c>
      <c r="E179">
        <v>1053</v>
      </c>
      <c r="F179">
        <v>200</v>
      </c>
      <c r="G179">
        <v>4.4000000000000004</v>
      </c>
      <c r="H179">
        <v>73.599999999999994</v>
      </c>
      <c r="I179">
        <v>19</v>
      </c>
      <c r="J179">
        <v>1</v>
      </c>
      <c r="K179">
        <v>0</v>
      </c>
      <c r="L179">
        <v>0</v>
      </c>
      <c r="M179">
        <v>0</v>
      </c>
      <c r="N179" t="s">
        <v>244</v>
      </c>
      <c r="O179" t="s">
        <v>288</v>
      </c>
      <c r="P179" t="s">
        <v>288</v>
      </c>
      <c r="Q179" t="s">
        <v>288</v>
      </c>
      <c r="R179" t="s">
        <v>288</v>
      </c>
      <c r="S179" t="s">
        <v>288</v>
      </c>
      <c r="T179" t="s">
        <v>288</v>
      </c>
      <c r="U179" t="s">
        <v>288</v>
      </c>
    </row>
    <row r="180" spans="1:21" x14ac:dyDescent="0.25">
      <c r="A180" t="s">
        <v>245</v>
      </c>
      <c r="B180">
        <v>9</v>
      </c>
      <c r="C180" s="45">
        <v>0</v>
      </c>
      <c r="D180">
        <v>85</v>
      </c>
      <c r="E180">
        <v>1094</v>
      </c>
      <c r="F180">
        <v>400</v>
      </c>
      <c r="G180">
        <v>4.3</v>
      </c>
      <c r="H180">
        <v>73.400000000000006</v>
      </c>
      <c r="I180">
        <v>21</v>
      </c>
      <c r="J180">
        <v>0</v>
      </c>
      <c r="K180">
        <v>0</v>
      </c>
      <c r="L180">
        <v>0</v>
      </c>
      <c r="M180">
        <v>1</v>
      </c>
      <c r="N180" t="s">
        <v>245</v>
      </c>
      <c r="O180" t="s">
        <v>288</v>
      </c>
      <c r="P180" t="s">
        <v>288</v>
      </c>
      <c r="Q180" t="s">
        <v>288</v>
      </c>
      <c r="R180" t="s">
        <v>288</v>
      </c>
      <c r="S180" t="s">
        <v>288</v>
      </c>
      <c r="T180" t="s">
        <v>288</v>
      </c>
      <c r="U180" t="s">
        <v>288</v>
      </c>
    </row>
    <row r="181" spans="1:21" x14ac:dyDescent="0.25">
      <c r="A181" t="s">
        <v>246</v>
      </c>
      <c r="B181">
        <v>9.1999999999999993</v>
      </c>
      <c r="C181" s="45">
        <v>0</v>
      </c>
      <c r="D181">
        <v>65</v>
      </c>
      <c r="E181">
        <v>1069</v>
      </c>
      <c r="F181">
        <v>60</v>
      </c>
      <c r="G181">
        <v>4.2</v>
      </c>
      <c r="H181">
        <v>82.6</v>
      </c>
      <c r="I181">
        <v>18</v>
      </c>
      <c r="J181">
        <v>1</v>
      </c>
      <c r="K181">
        <v>0</v>
      </c>
      <c r="L181">
        <v>0</v>
      </c>
      <c r="M181">
        <v>0</v>
      </c>
      <c r="N181" t="s">
        <v>246</v>
      </c>
      <c r="O181" t="s">
        <v>288</v>
      </c>
      <c r="P181" t="s">
        <v>288</v>
      </c>
      <c r="Q181" t="s">
        <v>288</v>
      </c>
      <c r="R181" t="s">
        <v>288</v>
      </c>
      <c r="S181" t="s">
        <v>288</v>
      </c>
      <c r="T181" t="s">
        <v>288</v>
      </c>
      <c r="U181" t="s">
        <v>288</v>
      </c>
    </row>
    <row r="182" spans="1:21" x14ac:dyDescent="0.25">
      <c r="A182" t="s">
        <v>247</v>
      </c>
      <c r="B182">
        <v>13.8</v>
      </c>
      <c r="C182" s="45">
        <v>0</v>
      </c>
      <c r="D182">
        <v>60</v>
      </c>
      <c r="E182">
        <v>1088</v>
      </c>
      <c r="F182">
        <v>25</v>
      </c>
      <c r="G182">
        <v>4.4000000000000004</v>
      </c>
      <c r="H182">
        <v>83</v>
      </c>
      <c r="I182">
        <v>21</v>
      </c>
      <c r="J182">
        <v>0</v>
      </c>
      <c r="K182">
        <v>0</v>
      </c>
      <c r="L182">
        <v>0</v>
      </c>
      <c r="M182">
        <v>1</v>
      </c>
      <c r="N182" t="s">
        <v>247</v>
      </c>
      <c r="O182" t="s">
        <v>288</v>
      </c>
      <c r="P182" t="s">
        <v>288</v>
      </c>
      <c r="Q182" t="s">
        <v>288</v>
      </c>
      <c r="R182" t="s">
        <v>288</v>
      </c>
      <c r="S182" t="s">
        <v>288</v>
      </c>
      <c r="T182" t="s">
        <v>288</v>
      </c>
      <c r="U182" t="s">
        <v>288</v>
      </c>
    </row>
    <row r="183" spans="1:21" x14ac:dyDescent="0.25">
      <c r="A183" t="s">
        <v>248</v>
      </c>
      <c r="B183">
        <v>4.5</v>
      </c>
      <c r="C183" s="45">
        <v>0</v>
      </c>
      <c r="D183">
        <v>40</v>
      </c>
      <c r="E183">
        <v>1045</v>
      </c>
      <c r="F183">
        <v>18</v>
      </c>
      <c r="G183">
        <v>4.2</v>
      </c>
      <c r="H183">
        <v>75.599999999999994</v>
      </c>
      <c r="I183">
        <v>19</v>
      </c>
      <c r="J183">
        <v>1</v>
      </c>
      <c r="K183">
        <v>0</v>
      </c>
      <c r="L183">
        <v>0</v>
      </c>
      <c r="M183">
        <v>0</v>
      </c>
      <c r="N183" t="s">
        <v>248</v>
      </c>
      <c r="O183" t="s">
        <v>288</v>
      </c>
      <c r="P183" t="s">
        <v>288</v>
      </c>
      <c r="Q183" t="s">
        <v>288</v>
      </c>
      <c r="R183" t="s">
        <v>288</v>
      </c>
      <c r="S183" t="s">
        <v>288</v>
      </c>
      <c r="T183" t="s">
        <v>288</v>
      </c>
      <c r="U183" t="s">
        <v>288</v>
      </c>
    </row>
    <row r="184" spans="1:21" x14ac:dyDescent="0.25">
      <c r="A184" t="s">
        <v>249</v>
      </c>
      <c r="B184">
        <v>3.2</v>
      </c>
      <c r="C184" s="45">
        <v>0</v>
      </c>
      <c r="D184">
        <v>8</v>
      </c>
      <c r="E184">
        <v>1007</v>
      </c>
      <c r="F184">
        <v>8</v>
      </c>
      <c r="G184">
        <v>3.2</v>
      </c>
      <c r="H184">
        <v>78</v>
      </c>
      <c r="I184">
        <v>21</v>
      </c>
      <c r="J184">
        <v>1</v>
      </c>
      <c r="K184">
        <v>0</v>
      </c>
      <c r="L184">
        <v>0</v>
      </c>
      <c r="M184">
        <v>0</v>
      </c>
      <c r="N184" t="s">
        <v>249</v>
      </c>
      <c r="O184" t="s">
        <v>288</v>
      </c>
      <c r="P184" t="s">
        <v>288</v>
      </c>
      <c r="Q184" t="s">
        <v>288</v>
      </c>
      <c r="R184" t="s">
        <v>288</v>
      </c>
      <c r="S184" t="s">
        <v>288</v>
      </c>
      <c r="T184" t="s">
        <v>288</v>
      </c>
      <c r="U184" t="s">
        <v>288</v>
      </c>
    </row>
    <row r="185" spans="1:21" x14ac:dyDescent="0.25">
      <c r="A185" t="s">
        <v>250</v>
      </c>
      <c r="B185">
        <v>16.100000000000001</v>
      </c>
      <c r="C185" s="45">
        <v>0</v>
      </c>
      <c r="D185">
        <v>100</v>
      </c>
      <c r="E185">
        <v>1015</v>
      </c>
      <c r="F185">
        <v>500</v>
      </c>
      <c r="G185">
        <v>4.4000000000000004</v>
      </c>
      <c r="H185">
        <v>84</v>
      </c>
      <c r="I185">
        <v>21</v>
      </c>
      <c r="J185">
        <v>0</v>
      </c>
      <c r="K185">
        <v>0</v>
      </c>
      <c r="L185">
        <v>0</v>
      </c>
      <c r="M185">
        <v>1</v>
      </c>
      <c r="N185" t="s">
        <v>250</v>
      </c>
      <c r="O185" t="s">
        <v>288</v>
      </c>
      <c r="P185" t="s">
        <v>288</v>
      </c>
      <c r="Q185" t="s">
        <v>288</v>
      </c>
      <c r="R185" t="s">
        <v>288</v>
      </c>
      <c r="S185" t="s">
        <v>288</v>
      </c>
      <c r="T185" t="s">
        <v>288</v>
      </c>
      <c r="U185" t="s">
        <v>288</v>
      </c>
    </row>
    <row r="186" spans="1:21" x14ac:dyDescent="0.25">
      <c r="A186" t="s">
        <v>251</v>
      </c>
      <c r="B186">
        <v>4.7</v>
      </c>
      <c r="C186" s="45">
        <v>0</v>
      </c>
      <c r="D186">
        <v>25</v>
      </c>
      <c r="E186">
        <v>1008</v>
      </c>
      <c r="F186">
        <v>25</v>
      </c>
      <c r="G186">
        <v>4.2</v>
      </c>
      <c r="H186">
        <v>75.599999999999994</v>
      </c>
      <c r="I186">
        <v>12</v>
      </c>
      <c r="J186">
        <v>0</v>
      </c>
      <c r="K186">
        <v>1</v>
      </c>
      <c r="L186">
        <v>0</v>
      </c>
      <c r="M186">
        <v>0</v>
      </c>
      <c r="N186" t="s">
        <v>251</v>
      </c>
      <c r="O186" t="s">
        <v>288</v>
      </c>
      <c r="P186" t="s">
        <v>288</v>
      </c>
      <c r="Q186" t="s">
        <v>288</v>
      </c>
      <c r="R186" t="s">
        <v>288</v>
      </c>
      <c r="S186" t="s">
        <v>288</v>
      </c>
      <c r="T186" t="s">
        <v>288</v>
      </c>
      <c r="U186" t="s">
        <v>288</v>
      </c>
    </row>
    <row r="187" spans="1:21" x14ac:dyDescent="0.25">
      <c r="A187" t="s">
        <v>252</v>
      </c>
      <c r="B187">
        <v>14.2</v>
      </c>
      <c r="C187" s="45">
        <v>0</v>
      </c>
      <c r="D187">
        <v>20</v>
      </c>
      <c r="E187">
        <v>1025</v>
      </c>
      <c r="F187">
        <v>67</v>
      </c>
      <c r="G187">
        <v>4</v>
      </c>
      <c r="H187">
        <v>75.599999999999994</v>
      </c>
      <c r="I187">
        <v>21</v>
      </c>
      <c r="J187">
        <v>0</v>
      </c>
      <c r="K187">
        <v>0</v>
      </c>
      <c r="L187">
        <v>0</v>
      </c>
      <c r="M187">
        <v>1</v>
      </c>
      <c r="N187" t="s">
        <v>252</v>
      </c>
      <c r="O187" t="s">
        <v>288</v>
      </c>
      <c r="P187" t="s">
        <v>288</v>
      </c>
      <c r="Q187" t="s">
        <v>288</v>
      </c>
      <c r="R187" t="s">
        <v>288</v>
      </c>
      <c r="S187" t="s">
        <v>288</v>
      </c>
      <c r="T187" t="s">
        <v>288</v>
      </c>
      <c r="U187" t="s">
        <v>288</v>
      </c>
    </row>
    <row r="188" spans="1:21" x14ac:dyDescent="0.25">
      <c r="A188" t="s">
        <v>253</v>
      </c>
      <c r="B188">
        <v>13</v>
      </c>
      <c r="C188" s="45">
        <v>0</v>
      </c>
      <c r="D188">
        <v>100</v>
      </c>
      <c r="E188">
        <v>1015</v>
      </c>
      <c r="F188">
        <v>300</v>
      </c>
      <c r="G188">
        <v>4.4000000000000004</v>
      </c>
      <c r="H188">
        <v>84.4</v>
      </c>
      <c r="I188">
        <v>21</v>
      </c>
      <c r="J188">
        <v>0</v>
      </c>
      <c r="K188">
        <v>0</v>
      </c>
      <c r="L188">
        <v>0</v>
      </c>
      <c r="M188">
        <v>1</v>
      </c>
      <c r="N188" t="s">
        <v>253</v>
      </c>
      <c r="O188" t="s">
        <v>288</v>
      </c>
      <c r="P188" t="s">
        <v>288</v>
      </c>
      <c r="Q188" t="s">
        <v>288</v>
      </c>
      <c r="R188" t="s">
        <v>288</v>
      </c>
      <c r="S188" t="s">
        <v>288</v>
      </c>
      <c r="T188" t="s">
        <v>288</v>
      </c>
      <c r="U188" t="s">
        <v>288</v>
      </c>
    </row>
    <row r="189" spans="1:21" x14ac:dyDescent="0.25">
      <c r="A189" t="s">
        <v>254</v>
      </c>
      <c r="B189">
        <v>7.2</v>
      </c>
      <c r="C189" s="45">
        <v>0</v>
      </c>
      <c r="D189">
        <v>250</v>
      </c>
      <c r="E189">
        <v>1065</v>
      </c>
      <c r="F189">
        <v>15</v>
      </c>
      <c r="G189">
        <v>4.4000000000000004</v>
      </c>
      <c r="H189">
        <v>84.6</v>
      </c>
      <c r="I189">
        <v>21</v>
      </c>
      <c r="J189">
        <v>0</v>
      </c>
      <c r="K189">
        <v>0</v>
      </c>
      <c r="L189">
        <v>0</v>
      </c>
      <c r="M189">
        <v>1</v>
      </c>
      <c r="N189" t="s">
        <v>254</v>
      </c>
      <c r="O189" t="s">
        <v>288</v>
      </c>
      <c r="P189" t="s">
        <v>288</v>
      </c>
      <c r="Q189" t="s">
        <v>288</v>
      </c>
      <c r="R189" t="s">
        <v>288</v>
      </c>
      <c r="S189" t="s">
        <v>288</v>
      </c>
      <c r="T189" t="s">
        <v>288</v>
      </c>
      <c r="U189" t="s">
        <v>288</v>
      </c>
    </row>
    <row r="190" spans="1:21" x14ac:dyDescent="0.25">
      <c r="A190" t="s">
        <v>255</v>
      </c>
      <c r="B190">
        <v>9.1999999999999993</v>
      </c>
      <c r="C190" s="45">
        <v>0</v>
      </c>
      <c r="D190">
        <v>50</v>
      </c>
      <c r="E190">
        <v>1016</v>
      </c>
      <c r="F190">
        <v>78.8</v>
      </c>
      <c r="G190">
        <v>4.2</v>
      </c>
      <c r="H190">
        <v>81</v>
      </c>
      <c r="I190">
        <v>21</v>
      </c>
      <c r="J190">
        <v>0</v>
      </c>
      <c r="K190">
        <v>0</v>
      </c>
      <c r="L190">
        <v>0</v>
      </c>
      <c r="M190">
        <v>1</v>
      </c>
      <c r="N190" t="s">
        <v>255</v>
      </c>
      <c r="O190" t="s">
        <v>288</v>
      </c>
      <c r="P190" t="s">
        <v>288</v>
      </c>
      <c r="Q190" t="s">
        <v>288</v>
      </c>
      <c r="R190" t="s">
        <v>288</v>
      </c>
      <c r="S190" t="s">
        <v>288</v>
      </c>
      <c r="T190" t="s">
        <v>288</v>
      </c>
      <c r="U190" t="s">
        <v>288</v>
      </c>
    </row>
    <row r="191" spans="1:21" x14ac:dyDescent="0.25">
      <c r="A191" t="s">
        <v>256</v>
      </c>
      <c r="B191">
        <v>4.9000000000000004</v>
      </c>
      <c r="C191" s="45">
        <v>0</v>
      </c>
      <c r="D191">
        <v>18</v>
      </c>
      <c r="E191">
        <v>1010</v>
      </c>
      <c r="F191">
        <v>13</v>
      </c>
      <c r="G191">
        <v>4.2</v>
      </c>
      <c r="H191">
        <v>78.7</v>
      </c>
      <c r="I191">
        <v>12</v>
      </c>
      <c r="J191">
        <v>0</v>
      </c>
      <c r="K191">
        <v>1</v>
      </c>
      <c r="L191">
        <v>0</v>
      </c>
      <c r="M191">
        <v>0</v>
      </c>
      <c r="N191" t="s">
        <v>256</v>
      </c>
      <c r="O191" t="s">
        <v>288</v>
      </c>
      <c r="P191" t="s">
        <v>288</v>
      </c>
      <c r="Q191" t="s">
        <v>288</v>
      </c>
      <c r="R191" t="s">
        <v>288</v>
      </c>
      <c r="S191" t="s">
        <v>288</v>
      </c>
      <c r="T191" t="s">
        <v>288</v>
      </c>
      <c r="U191" t="s">
        <v>288</v>
      </c>
    </row>
    <row r="192" spans="1:21" x14ac:dyDescent="0.25">
      <c r="A192" t="s">
        <v>257</v>
      </c>
      <c r="B192">
        <v>7.2</v>
      </c>
      <c r="C192" s="45">
        <v>0</v>
      </c>
      <c r="D192">
        <v>250</v>
      </c>
      <c r="E192">
        <v>1065</v>
      </c>
      <c r="F192">
        <v>17</v>
      </c>
      <c r="G192">
        <v>4.4000000000000004</v>
      </c>
      <c r="H192">
        <v>84.6</v>
      </c>
      <c r="I192">
        <v>21</v>
      </c>
      <c r="J192">
        <v>0</v>
      </c>
      <c r="K192">
        <v>0</v>
      </c>
      <c r="L192">
        <v>0</v>
      </c>
      <c r="M192">
        <v>1</v>
      </c>
      <c r="N192" t="s">
        <v>257</v>
      </c>
      <c r="O192" t="s">
        <v>288</v>
      </c>
      <c r="P192" t="s">
        <v>288</v>
      </c>
      <c r="Q192" t="s">
        <v>288</v>
      </c>
      <c r="R192" t="s">
        <v>288</v>
      </c>
      <c r="S192" t="s">
        <v>288</v>
      </c>
      <c r="T192" t="s">
        <v>288</v>
      </c>
      <c r="U192" t="s">
        <v>288</v>
      </c>
    </row>
    <row r="193" spans="1:21" x14ac:dyDescent="0.25">
      <c r="A193" t="s">
        <v>258</v>
      </c>
      <c r="B193">
        <v>7.2</v>
      </c>
      <c r="C193" s="45">
        <v>0</v>
      </c>
      <c r="D193">
        <v>250</v>
      </c>
      <c r="E193">
        <v>1065</v>
      </c>
      <c r="F193">
        <v>104</v>
      </c>
      <c r="G193">
        <v>4.4000000000000004</v>
      </c>
      <c r="H193">
        <v>84.6</v>
      </c>
      <c r="I193">
        <v>21</v>
      </c>
      <c r="J193">
        <v>0</v>
      </c>
      <c r="K193">
        <v>0</v>
      </c>
      <c r="L193">
        <v>0</v>
      </c>
      <c r="M193">
        <v>1</v>
      </c>
      <c r="N193" t="s">
        <v>258</v>
      </c>
      <c r="O193" t="s">
        <v>288</v>
      </c>
      <c r="P193" t="s">
        <v>288</v>
      </c>
      <c r="Q193" t="s">
        <v>288</v>
      </c>
      <c r="R193" t="s">
        <v>288</v>
      </c>
      <c r="S193" t="s">
        <v>288</v>
      </c>
      <c r="T193" t="s">
        <v>288</v>
      </c>
      <c r="U193" t="s">
        <v>288</v>
      </c>
    </row>
    <row r="194" spans="1:21" x14ac:dyDescent="0.25">
      <c r="A194" t="s">
        <v>259</v>
      </c>
      <c r="B194">
        <v>4.5</v>
      </c>
      <c r="C194" s="45">
        <v>0</v>
      </c>
      <c r="D194">
        <v>40</v>
      </c>
      <c r="E194">
        <v>1045</v>
      </c>
      <c r="F194">
        <v>18</v>
      </c>
      <c r="G194">
        <v>4.2</v>
      </c>
      <c r="H194">
        <v>75.599999999999994</v>
      </c>
      <c r="I194">
        <v>19</v>
      </c>
      <c r="J194">
        <v>1</v>
      </c>
      <c r="K194">
        <v>0</v>
      </c>
      <c r="L194">
        <v>0</v>
      </c>
      <c r="M194">
        <v>0</v>
      </c>
      <c r="N194" t="s">
        <v>259</v>
      </c>
      <c r="O194" t="s">
        <v>288</v>
      </c>
      <c r="P194" t="s">
        <v>288</v>
      </c>
      <c r="Q194" t="s">
        <v>288</v>
      </c>
      <c r="R194" t="s">
        <v>288</v>
      </c>
      <c r="S194" t="s">
        <v>288</v>
      </c>
      <c r="T194" t="s">
        <v>288</v>
      </c>
      <c r="U194" t="s">
        <v>288</v>
      </c>
    </row>
    <row r="195" spans="1:21" x14ac:dyDescent="0.25">
      <c r="A195" t="s">
        <v>260</v>
      </c>
      <c r="B195">
        <v>4.5</v>
      </c>
      <c r="C195" s="45">
        <v>0</v>
      </c>
      <c r="D195">
        <v>40</v>
      </c>
      <c r="E195">
        <v>1045</v>
      </c>
      <c r="F195">
        <v>18</v>
      </c>
      <c r="G195">
        <v>4.2</v>
      </c>
      <c r="H195">
        <v>75.599999999999994</v>
      </c>
      <c r="I195">
        <v>19</v>
      </c>
      <c r="J195">
        <v>1</v>
      </c>
      <c r="K195">
        <v>0</v>
      </c>
      <c r="L195">
        <v>0</v>
      </c>
      <c r="M195">
        <v>0</v>
      </c>
      <c r="N195" t="s">
        <v>260</v>
      </c>
      <c r="O195" t="s">
        <v>288</v>
      </c>
      <c r="P195" t="s">
        <v>288</v>
      </c>
      <c r="Q195" t="s">
        <v>288</v>
      </c>
      <c r="R195" t="s">
        <v>288</v>
      </c>
      <c r="S195" t="s">
        <v>288</v>
      </c>
      <c r="T195" t="s">
        <v>288</v>
      </c>
      <c r="U195" t="s">
        <v>288</v>
      </c>
    </row>
    <row r="196" spans="1:21" x14ac:dyDescent="0.25">
      <c r="A196" t="s">
        <v>261</v>
      </c>
      <c r="B196">
        <v>4.5</v>
      </c>
      <c r="C196" s="45">
        <v>0</v>
      </c>
      <c r="D196">
        <v>40</v>
      </c>
      <c r="E196">
        <v>1045</v>
      </c>
      <c r="F196">
        <v>18</v>
      </c>
      <c r="G196">
        <v>4.2</v>
      </c>
      <c r="H196">
        <v>75.599999999999994</v>
      </c>
      <c r="I196">
        <v>19</v>
      </c>
      <c r="J196">
        <v>1</v>
      </c>
      <c r="K196">
        <v>0</v>
      </c>
      <c r="L196">
        <v>0</v>
      </c>
      <c r="M196">
        <v>0</v>
      </c>
      <c r="N196" t="s">
        <v>261</v>
      </c>
      <c r="O196" t="s">
        <v>288</v>
      </c>
      <c r="P196" t="s">
        <v>288</v>
      </c>
      <c r="Q196" t="s">
        <v>288</v>
      </c>
      <c r="R196" t="s">
        <v>288</v>
      </c>
      <c r="S196" t="s">
        <v>288</v>
      </c>
      <c r="T196" t="s">
        <v>288</v>
      </c>
      <c r="U196" t="s">
        <v>288</v>
      </c>
    </row>
    <row r="197" spans="1:21" x14ac:dyDescent="0.25">
      <c r="A197" t="s">
        <v>262</v>
      </c>
      <c r="B197">
        <v>7.6</v>
      </c>
      <c r="C197" s="45">
        <v>0</v>
      </c>
      <c r="D197">
        <v>70</v>
      </c>
      <c r="E197">
        <v>1067</v>
      </c>
      <c r="F197">
        <v>20</v>
      </c>
      <c r="G197">
        <v>4.4000000000000004</v>
      </c>
      <c r="H197">
        <v>82</v>
      </c>
      <c r="I197">
        <v>21</v>
      </c>
      <c r="J197">
        <v>0</v>
      </c>
      <c r="K197">
        <v>0</v>
      </c>
      <c r="L197">
        <v>0</v>
      </c>
      <c r="M197">
        <v>1</v>
      </c>
      <c r="N197" t="s">
        <v>262</v>
      </c>
      <c r="O197" t="s">
        <v>288</v>
      </c>
      <c r="P197" t="s">
        <v>288</v>
      </c>
      <c r="Q197" t="s">
        <v>288</v>
      </c>
      <c r="R197" t="s">
        <v>288</v>
      </c>
      <c r="S197" t="s">
        <v>288</v>
      </c>
      <c r="T197" t="s">
        <v>288</v>
      </c>
      <c r="U197" t="s">
        <v>288</v>
      </c>
    </row>
    <row r="198" spans="1:21" x14ac:dyDescent="0.25">
      <c r="B198" t="e">
        <f>PEARSON(B2:B197,$C$2:$C$197)</f>
        <v>#DIV/0!</v>
      </c>
      <c r="C198">
        <f>PEARSON(C2:C197,$C$2:$C$197)</f>
        <v>1</v>
      </c>
      <c r="D198">
        <f>PEARSON(D2:D197,$C$2:$C$197)</f>
        <v>-8.5808808706513001E-2</v>
      </c>
      <c r="E198">
        <f>PEARSON(E2:E197,$C$2:$C$197)</f>
        <v>-6.5843216777706354E-2</v>
      </c>
      <c r="F198">
        <f>PEARSON(F2:F197,$C$2:$C$197)</f>
        <v>-0.12641509291300201</v>
      </c>
      <c r="G198">
        <f>PEARSON(G2:G197,$C$2:$C$197)</f>
        <v>5.0034392762098139E-2</v>
      </c>
      <c r="H198">
        <f>PEARSON(H2:H197,$C$2:$C$197)</f>
        <v>0.2332322023633166</v>
      </c>
      <c r="I198">
        <f>PEARSON(I2:I197,$C$2:$C$197)</f>
        <v>8.1033494790428443E-2</v>
      </c>
      <c r="J198">
        <f>PEARSON(J2:J197,$C$2:$C$197)</f>
        <v>-0.20672455764868006</v>
      </c>
      <c r="K198">
        <f t="shared" ref="K198:M198" si="0">PEARSON(K2:K197,$C$2:$C$197)</f>
        <v>-5.7377531054924956E-2</v>
      </c>
      <c r="L198">
        <f t="shared" si="0"/>
        <v>1</v>
      </c>
      <c r="M198">
        <f t="shared" si="0"/>
        <v>-0.14027090192169583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505B-F5DF-4D4F-AFD1-937E7594021F}">
  <dimension ref="A1:Z18"/>
  <sheetViews>
    <sheetView workbookViewId="0">
      <selection activeCell="K9" sqref="K9"/>
    </sheetView>
  </sheetViews>
  <sheetFormatPr defaultRowHeight="15" x14ac:dyDescent="0.25"/>
  <cols>
    <col min="1" max="1" width="49.28515625" bestFit="1" customWidth="1"/>
    <col min="2" max="2" width="11.28515625" customWidth="1"/>
    <col min="3" max="4" width="12.7109375" bestFit="1" customWidth="1"/>
    <col min="5" max="5" width="10.7109375" bestFit="1" customWidth="1"/>
    <col min="6" max="6" width="9.85546875" bestFit="1" customWidth="1"/>
    <col min="7" max="7" width="10.140625" bestFit="1" customWidth="1"/>
    <col min="8" max="8" width="10.28515625" bestFit="1" customWidth="1"/>
    <col min="9" max="12" width="7" customWidth="1"/>
  </cols>
  <sheetData>
    <row r="1" spans="1:26" x14ac:dyDescent="0.25">
      <c r="A1" t="s">
        <v>273</v>
      </c>
      <c r="B1" t="s">
        <v>285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301</v>
      </c>
      <c r="J1" t="s">
        <v>297</v>
      </c>
      <c r="K1" t="s">
        <v>298</v>
      </c>
      <c r="L1" t="s">
        <v>299</v>
      </c>
    </row>
    <row r="2" spans="1:26" x14ac:dyDescent="0.25">
      <c r="A2" s="45" t="s">
        <v>70</v>
      </c>
      <c r="B2" s="45">
        <v>1</v>
      </c>
      <c r="C2">
        <v>38</v>
      </c>
      <c r="D2">
        <v>1045</v>
      </c>
      <c r="E2">
        <v>15</v>
      </c>
      <c r="F2">
        <v>4.4000000000000004</v>
      </c>
      <c r="G2">
        <v>88.9</v>
      </c>
      <c r="H2">
        <v>22</v>
      </c>
      <c r="I2">
        <v>0</v>
      </c>
      <c r="J2">
        <v>0</v>
      </c>
      <c r="K2">
        <v>1</v>
      </c>
      <c r="L2">
        <v>0</v>
      </c>
    </row>
    <row r="3" spans="1:26" x14ac:dyDescent="0.25">
      <c r="A3" s="45" t="s">
        <v>107</v>
      </c>
      <c r="B3" s="45">
        <v>1</v>
      </c>
      <c r="C3">
        <v>20</v>
      </c>
      <c r="D3">
        <v>1048</v>
      </c>
      <c r="E3">
        <v>14</v>
      </c>
      <c r="F3">
        <v>4.2</v>
      </c>
      <c r="G3">
        <v>89.6</v>
      </c>
      <c r="H3">
        <v>22</v>
      </c>
      <c r="I3">
        <v>0</v>
      </c>
      <c r="J3">
        <v>0</v>
      </c>
      <c r="K3">
        <v>1</v>
      </c>
      <c r="L3">
        <v>0</v>
      </c>
    </row>
    <row r="4" spans="1:26" x14ac:dyDescent="0.25">
      <c r="A4" s="45" t="s">
        <v>117</v>
      </c>
      <c r="B4" s="45">
        <v>1</v>
      </c>
      <c r="C4">
        <v>30</v>
      </c>
      <c r="D4">
        <v>1043</v>
      </c>
      <c r="E4">
        <v>15</v>
      </c>
      <c r="F4">
        <v>4.4000000000000004</v>
      </c>
      <c r="G4">
        <v>81.400000000000006</v>
      </c>
      <c r="H4">
        <v>23</v>
      </c>
      <c r="I4">
        <v>0</v>
      </c>
      <c r="J4">
        <v>0</v>
      </c>
      <c r="K4">
        <v>1</v>
      </c>
      <c r="L4">
        <v>0</v>
      </c>
    </row>
    <row r="5" spans="1:26" x14ac:dyDescent="0.25">
      <c r="A5" s="45" t="s">
        <v>137</v>
      </c>
      <c r="B5" s="45">
        <v>1</v>
      </c>
      <c r="C5">
        <v>9</v>
      </c>
      <c r="D5">
        <v>1032</v>
      </c>
      <c r="E5">
        <v>2</v>
      </c>
      <c r="F5">
        <v>4.4000000000000004</v>
      </c>
      <c r="G5">
        <v>88</v>
      </c>
      <c r="H5">
        <v>21</v>
      </c>
      <c r="I5">
        <v>0</v>
      </c>
      <c r="J5">
        <v>0</v>
      </c>
      <c r="K5">
        <v>1</v>
      </c>
      <c r="L5">
        <v>0</v>
      </c>
    </row>
    <row r="6" spans="1:26" x14ac:dyDescent="0.25">
      <c r="A6" s="45" t="s">
        <v>144</v>
      </c>
      <c r="B6" s="45">
        <v>1</v>
      </c>
      <c r="C6">
        <v>45</v>
      </c>
      <c r="D6">
        <v>1081</v>
      </c>
      <c r="E6">
        <v>15</v>
      </c>
      <c r="F6">
        <v>4.4000000000000004</v>
      </c>
      <c r="G6">
        <v>93.8</v>
      </c>
      <c r="H6">
        <v>23</v>
      </c>
      <c r="I6">
        <v>0</v>
      </c>
      <c r="J6">
        <v>0</v>
      </c>
      <c r="K6">
        <v>1</v>
      </c>
      <c r="L6">
        <v>0</v>
      </c>
    </row>
    <row r="7" spans="1:26" x14ac:dyDescent="0.25">
      <c r="A7" s="45" t="s">
        <v>191</v>
      </c>
      <c r="B7" s="45">
        <v>1</v>
      </c>
      <c r="C7">
        <v>25</v>
      </c>
      <c r="D7">
        <v>1052</v>
      </c>
      <c r="E7">
        <v>10</v>
      </c>
      <c r="F7">
        <v>5.2</v>
      </c>
      <c r="G7">
        <v>87</v>
      </c>
      <c r="H7">
        <v>20</v>
      </c>
      <c r="I7">
        <v>0</v>
      </c>
      <c r="J7">
        <v>0</v>
      </c>
      <c r="K7">
        <v>1</v>
      </c>
      <c r="L7">
        <v>0</v>
      </c>
    </row>
    <row r="8" spans="1:26" x14ac:dyDescent="0.25">
      <c r="A8" s="45" t="s">
        <v>236</v>
      </c>
      <c r="B8" s="45">
        <v>1</v>
      </c>
      <c r="C8">
        <v>45</v>
      </c>
      <c r="D8">
        <v>1089</v>
      </c>
      <c r="E8">
        <v>15</v>
      </c>
      <c r="F8">
        <v>4.4000000000000004</v>
      </c>
      <c r="G8">
        <v>94.4</v>
      </c>
      <c r="H8">
        <v>23</v>
      </c>
      <c r="I8">
        <v>0</v>
      </c>
      <c r="J8">
        <v>0</v>
      </c>
      <c r="K8">
        <v>1</v>
      </c>
      <c r="L8">
        <v>0</v>
      </c>
    </row>
    <row r="9" spans="1:26" x14ac:dyDescent="0.25">
      <c r="A9" s="45" t="s">
        <v>289</v>
      </c>
      <c r="C9">
        <f>'ABV-Pearson'!D198</f>
        <v>-8.5808808706513001E-2</v>
      </c>
      <c r="D9">
        <f>'ABV-Pearson'!E198</f>
        <v>-6.5843216777706354E-2</v>
      </c>
      <c r="E9">
        <f>'ABV-Pearson'!F198</f>
        <v>-0.12641509291300201</v>
      </c>
      <c r="F9">
        <f>'ABV-Pearson'!G198</f>
        <v>5.0034392762098139E-2</v>
      </c>
      <c r="G9">
        <f>'ABV-Pearson'!H198</f>
        <v>0.2332322023633166</v>
      </c>
      <c r="H9">
        <f>'ABV-Pearson'!I198</f>
        <v>8.1033494790428443E-2</v>
      </c>
      <c r="I9">
        <f>'ABV-Pearson'!J198</f>
        <v>-0.20672455764868006</v>
      </c>
      <c r="J9">
        <f>'ABV-Pearson'!K198</f>
        <v>-5.7377531054924956E-2</v>
      </c>
      <c r="K9">
        <f>'ABV-Pearson'!L198</f>
        <v>1</v>
      </c>
      <c r="L9">
        <f>'ABV-Pearson'!M198</f>
        <v>-0.14027090192169583</v>
      </c>
    </row>
    <row r="10" spans="1:26" x14ac:dyDescent="0.25">
      <c r="A10" t="s">
        <v>277</v>
      </c>
      <c r="C10" s="48">
        <v>67.086734693877546</v>
      </c>
      <c r="D10" s="48">
        <v>1064.6790816326529</v>
      </c>
      <c r="E10" s="48">
        <v>70.616145833333334</v>
      </c>
      <c r="F10" s="48">
        <v>4.4010204081632587</v>
      </c>
      <c r="G10" s="48">
        <v>80.295969387755136</v>
      </c>
      <c r="H10" s="48">
        <v>19.331632653061224</v>
      </c>
    </row>
    <row r="11" spans="1:26" x14ac:dyDescent="0.25">
      <c r="A11" t="s">
        <v>271</v>
      </c>
      <c r="C11" s="48">
        <v>232.58247949998201</v>
      </c>
      <c r="D11" s="48">
        <v>1117.2188568919878</v>
      </c>
      <c r="E11" s="48">
        <v>250.59577120422767</v>
      </c>
      <c r="F11" s="48">
        <v>5.0542144684369008</v>
      </c>
      <c r="G11" s="48">
        <v>94.720541951882325</v>
      </c>
      <c r="H11" s="48">
        <v>32.038540830778729</v>
      </c>
    </row>
    <row r="12" spans="1:26" x14ac:dyDescent="0.25">
      <c r="A12" t="s">
        <v>272</v>
      </c>
      <c r="C12" s="48">
        <v>-98.409010112226937</v>
      </c>
      <c r="D12" s="48">
        <v>1012.139306373318</v>
      </c>
      <c r="E12" s="48">
        <v>-109.36347953756099</v>
      </c>
      <c r="F12" s="48">
        <v>3.7478263478896165</v>
      </c>
      <c r="G12" s="48">
        <v>65.871396823627947</v>
      </c>
      <c r="H12" s="48">
        <v>6.6247244753437187</v>
      </c>
    </row>
    <row r="13" spans="1:26" x14ac:dyDescent="0.25">
      <c r="A13" t="s">
        <v>276</v>
      </c>
      <c r="C13" s="48">
        <v>30.285714285714285</v>
      </c>
      <c r="D13" s="48">
        <v>1055.7142857142858</v>
      </c>
      <c r="E13" s="48">
        <v>12.285714285714286</v>
      </c>
      <c r="F13" s="48">
        <v>4.4857142857142867</v>
      </c>
      <c r="G13" s="49">
        <v>89.01428571428572</v>
      </c>
      <c r="H13" s="48">
        <v>22</v>
      </c>
      <c r="X13" t="s">
        <v>281</v>
      </c>
    </row>
    <row r="14" spans="1:26" x14ac:dyDescent="0.25">
      <c r="X14" t="s">
        <v>282</v>
      </c>
    </row>
    <row r="15" spans="1:26" x14ac:dyDescent="0.25">
      <c r="X15" t="s">
        <v>278</v>
      </c>
      <c r="Y15" t="s">
        <v>279</v>
      </c>
      <c r="Z15" t="s">
        <v>280</v>
      </c>
    </row>
    <row r="17" spans="24:24" x14ac:dyDescent="0.25">
      <c r="X17" t="s">
        <v>283</v>
      </c>
    </row>
    <row r="18" spans="24:24" x14ac:dyDescent="0.25">
      <c r="X18" t="s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B54B-16B2-4778-A9FA-6CFB11775DA4}">
  <dimension ref="A1:L198"/>
  <sheetViews>
    <sheetView tabSelected="1" workbookViewId="0">
      <selection activeCell="I1" sqref="I1:I1048576"/>
    </sheetView>
  </sheetViews>
  <sheetFormatPr defaultRowHeight="15" x14ac:dyDescent="0.25"/>
  <cols>
    <col min="1" max="1" width="52" bestFit="1" customWidth="1"/>
    <col min="2" max="2" width="7" bestFit="1" customWidth="1"/>
    <col min="3" max="3" width="6.42578125" bestFit="1" customWidth="1"/>
    <col min="4" max="4" width="7" bestFit="1" customWidth="1"/>
    <col min="5" max="5" width="8.5703125" bestFit="1" customWidth="1"/>
    <col min="6" max="6" width="5.7109375" bestFit="1" customWidth="1"/>
    <col min="7" max="7" width="18.85546875" bestFit="1" customWidth="1"/>
    <col min="8" max="8" width="27.140625" bestFit="1" customWidth="1"/>
    <col min="9" max="12" width="27.5703125" customWidth="1"/>
  </cols>
  <sheetData>
    <row r="1" spans="1:12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64</v>
      </c>
      <c r="J1" t="s">
        <v>68</v>
      </c>
      <c r="K1" t="s">
        <v>71</v>
      </c>
      <c r="L1" t="s">
        <v>80</v>
      </c>
    </row>
    <row r="2" spans="1:12" x14ac:dyDescent="0.25">
      <c r="A2" s="45" t="s">
        <v>63</v>
      </c>
      <c r="B2">
        <v>4.5</v>
      </c>
      <c r="C2">
        <v>60</v>
      </c>
      <c r="D2">
        <v>1044</v>
      </c>
      <c r="E2">
        <v>20</v>
      </c>
      <c r="F2">
        <v>4.4000000000000004</v>
      </c>
      <c r="G2">
        <v>75</v>
      </c>
      <c r="H2">
        <v>19</v>
      </c>
      <c r="I2" s="45">
        <v>1</v>
      </c>
      <c r="J2" s="45">
        <v>0</v>
      </c>
      <c r="K2" s="45">
        <v>0</v>
      </c>
      <c r="L2" s="45">
        <v>0</v>
      </c>
    </row>
    <row r="3" spans="1:12" x14ac:dyDescent="0.25">
      <c r="A3" s="45" t="s">
        <v>65</v>
      </c>
      <c r="B3">
        <v>4.0999999999999996</v>
      </c>
      <c r="C3">
        <v>41.5</v>
      </c>
      <c r="D3">
        <v>1041.7</v>
      </c>
      <c r="E3">
        <v>15</v>
      </c>
      <c r="F3">
        <v>4.4000000000000004</v>
      </c>
      <c r="G3">
        <v>76</v>
      </c>
      <c r="H3">
        <v>18</v>
      </c>
      <c r="I3" s="45">
        <v>1</v>
      </c>
      <c r="J3" s="45">
        <v>0</v>
      </c>
      <c r="K3" s="45">
        <v>0</v>
      </c>
      <c r="L3" s="45">
        <v>0</v>
      </c>
    </row>
    <row r="4" spans="1:12" x14ac:dyDescent="0.25">
      <c r="A4" s="45" t="s">
        <v>66</v>
      </c>
      <c r="B4">
        <v>4.2</v>
      </c>
      <c r="C4">
        <v>8</v>
      </c>
      <c r="D4">
        <v>1040</v>
      </c>
      <c r="E4">
        <v>8</v>
      </c>
      <c r="F4">
        <v>3.2</v>
      </c>
      <c r="G4">
        <v>83</v>
      </c>
      <c r="H4">
        <v>21</v>
      </c>
      <c r="I4" s="45">
        <v>1</v>
      </c>
      <c r="J4" s="45">
        <v>0</v>
      </c>
      <c r="K4" s="45">
        <v>0</v>
      </c>
      <c r="L4" s="45">
        <v>0</v>
      </c>
    </row>
    <row r="5" spans="1:12" x14ac:dyDescent="0.25">
      <c r="A5" s="45" t="s">
        <v>67</v>
      </c>
      <c r="B5">
        <v>6.3</v>
      </c>
      <c r="C5">
        <v>55</v>
      </c>
      <c r="D5">
        <v>1060</v>
      </c>
      <c r="E5">
        <v>30</v>
      </c>
      <c r="F5">
        <v>4.4000000000000004</v>
      </c>
      <c r="G5">
        <v>80</v>
      </c>
      <c r="H5">
        <v>9</v>
      </c>
      <c r="I5" s="45">
        <v>0</v>
      </c>
      <c r="J5" s="45">
        <v>1</v>
      </c>
      <c r="K5" s="45">
        <v>0</v>
      </c>
      <c r="L5" s="45">
        <v>0</v>
      </c>
    </row>
    <row r="6" spans="1:12" x14ac:dyDescent="0.25">
      <c r="A6" s="45" t="s">
        <v>69</v>
      </c>
      <c r="B6">
        <v>7.2</v>
      </c>
      <c r="C6">
        <v>59</v>
      </c>
      <c r="D6">
        <v>1069</v>
      </c>
      <c r="E6">
        <v>10</v>
      </c>
      <c r="F6">
        <v>4.4000000000000004</v>
      </c>
      <c r="G6">
        <v>67</v>
      </c>
      <c r="H6">
        <v>10</v>
      </c>
      <c r="I6" s="45">
        <v>0</v>
      </c>
      <c r="J6" s="45">
        <v>1</v>
      </c>
      <c r="K6" s="45">
        <v>0</v>
      </c>
      <c r="L6" s="45">
        <v>0</v>
      </c>
    </row>
    <row r="7" spans="1:12" x14ac:dyDescent="0.25">
      <c r="A7" s="45" t="s">
        <v>70</v>
      </c>
      <c r="B7" s="31"/>
      <c r="C7">
        <v>38</v>
      </c>
      <c r="D7">
        <v>1045</v>
      </c>
      <c r="E7">
        <v>15</v>
      </c>
      <c r="F7">
        <v>4.4000000000000004</v>
      </c>
      <c r="G7">
        <v>88.9</v>
      </c>
      <c r="H7">
        <v>22</v>
      </c>
      <c r="I7" s="45">
        <v>0</v>
      </c>
      <c r="J7" s="45">
        <v>0</v>
      </c>
      <c r="K7" s="45">
        <v>1</v>
      </c>
      <c r="L7" s="45">
        <v>0</v>
      </c>
    </row>
    <row r="8" spans="1:12" x14ac:dyDescent="0.25">
      <c r="A8" s="45" t="s">
        <v>72</v>
      </c>
      <c r="B8">
        <v>4.7</v>
      </c>
      <c r="C8">
        <v>40</v>
      </c>
      <c r="D8">
        <v>1046</v>
      </c>
      <c r="E8">
        <v>12</v>
      </c>
      <c r="F8">
        <v>4.4000000000000004</v>
      </c>
      <c r="G8">
        <v>78</v>
      </c>
      <c r="H8">
        <v>10</v>
      </c>
      <c r="I8" s="45">
        <v>0</v>
      </c>
      <c r="J8" s="45">
        <v>1</v>
      </c>
      <c r="K8" s="45">
        <v>0</v>
      </c>
      <c r="L8" s="45">
        <v>0</v>
      </c>
    </row>
    <row r="9" spans="1:12" x14ac:dyDescent="0.25">
      <c r="A9" s="45" t="s">
        <v>73</v>
      </c>
      <c r="B9">
        <v>7.5</v>
      </c>
      <c r="C9">
        <v>75</v>
      </c>
      <c r="D9">
        <v>1068</v>
      </c>
      <c r="E9">
        <v>22</v>
      </c>
      <c r="F9">
        <v>4.4000000000000004</v>
      </c>
      <c r="G9">
        <v>80.900000000000006</v>
      </c>
      <c r="H9">
        <v>19</v>
      </c>
      <c r="I9" s="45">
        <v>1</v>
      </c>
      <c r="J9" s="45">
        <v>0</v>
      </c>
      <c r="K9" s="45">
        <v>0</v>
      </c>
      <c r="L9" s="45">
        <v>0</v>
      </c>
    </row>
    <row r="10" spans="1:12" x14ac:dyDescent="0.25">
      <c r="A10" s="45" t="s">
        <v>74</v>
      </c>
      <c r="B10">
        <v>7.3</v>
      </c>
      <c r="C10">
        <v>30</v>
      </c>
      <c r="D10">
        <v>1079</v>
      </c>
      <c r="E10">
        <v>120</v>
      </c>
      <c r="F10">
        <v>4.4000000000000004</v>
      </c>
      <c r="G10">
        <v>74.7</v>
      </c>
      <c r="H10">
        <v>19</v>
      </c>
      <c r="I10" s="45">
        <v>1</v>
      </c>
      <c r="J10" s="45">
        <v>0</v>
      </c>
      <c r="K10" s="45">
        <v>0</v>
      </c>
      <c r="L10" s="45">
        <v>0</v>
      </c>
    </row>
    <row r="11" spans="1:12" x14ac:dyDescent="0.25">
      <c r="A11" s="45" t="s">
        <v>75</v>
      </c>
      <c r="B11">
        <v>5.3</v>
      </c>
      <c r="C11">
        <v>60</v>
      </c>
      <c r="D11">
        <v>1052</v>
      </c>
      <c r="E11">
        <v>200</v>
      </c>
      <c r="F11">
        <v>4.2</v>
      </c>
      <c r="G11">
        <v>77</v>
      </c>
      <c r="H11">
        <v>19</v>
      </c>
      <c r="I11" s="45">
        <v>1</v>
      </c>
      <c r="J11" s="45">
        <v>0</v>
      </c>
      <c r="K11" s="45">
        <v>0</v>
      </c>
      <c r="L11" s="45">
        <v>0</v>
      </c>
    </row>
    <row r="12" spans="1:12" x14ac:dyDescent="0.25">
      <c r="A12" s="45" t="s">
        <v>76</v>
      </c>
      <c r="B12">
        <v>4.5</v>
      </c>
      <c r="C12">
        <v>50</v>
      </c>
      <c r="D12">
        <v>1047</v>
      </c>
      <c r="E12">
        <v>140</v>
      </c>
      <c r="F12">
        <v>5.2</v>
      </c>
      <c r="G12">
        <v>74.5</v>
      </c>
      <c r="H12">
        <v>19</v>
      </c>
      <c r="I12" s="45">
        <v>1</v>
      </c>
      <c r="J12" s="45">
        <v>0</v>
      </c>
      <c r="K12" s="45">
        <v>0</v>
      </c>
      <c r="L12" s="45">
        <v>0</v>
      </c>
    </row>
    <row r="13" spans="1:12" x14ac:dyDescent="0.25">
      <c r="A13" s="45" t="s">
        <v>77</v>
      </c>
      <c r="B13">
        <v>4.5</v>
      </c>
      <c r="C13">
        <v>42</v>
      </c>
      <c r="D13">
        <v>1046</v>
      </c>
      <c r="E13">
        <v>62</v>
      </c>
      <c r="F13">
        <v>4.4000000000000004</v>
      </c>
      <c r="G13">
        <v>72.8</v>
      </c>
      <c r="H13">
        <v>22</v>
      </c>
      <c r="I13" s="45">
        <v>1</v>
      </c>
      <c r="J13" s="45">
        <v>0</v>
      </c>
      <c r="K13" s="45">
        <v>0</v>
      </c>
      <c r="L13" s="45">
        <v>0</v>
      </c>
    </row>
    <row r="14" spans="1:12" x14ac:dyDescent="0.25">
      <c r="A14" s="45" t="s">
        <v>78</v>
      </c>
      <c r="B14">
        <v>6.1</v>
      </c>
      <c r="C14">
        <v>45</v>
      </c>
      <c r="D14">
        <v>1067</v>
      </c>
      <c r="E14">
        <v>219</v>
      </c>
      <c r="F14">
        <v>4.4000000000000004</v>
      </c>
      <c r="G14">
        <v>70.099999999999994</v>
      </c>
      <c r="H14">
        <v>18</v>
      </c>
      <c r="I14" s="45">
        <v>1</v>
      </c>
      <c r="J14" s="45">
        <v>0</v>
      </c>
      <c r="K14" s="45">
        <v>0</v>
      </c>
      <c r="L14" s="45">
        <v>0</v>
      </c>
    </row>
    <row r="15" spans="1:12" x14ac:dyDescent="0.25">
      <c r="A15" s="45" t="s">
        <v>79</v>
      </c>
      <c r="B15">
        <v>11.2</v>
      </c>
      <c r="C15">
        <v>150</v>
      </c>
      <c r="D15">
        <v>1098</v>
      </c>
      <c r="E15">
        <v>70</v>
      </c>
      <c r="F15">
        <v>4.4000000000000004</v>
      </c>
      <c r="G15">
        <v>87</v>
      </c>
      <c r="H15">
        <v>17</v>
      </c>
      <c r="I15" s="45">
        <v>0</v>
      </c>
      <c r="J15" s="45">
        <v>0</v>
      </c>
      <c r="K15" s="45">
        <v>0</v>
      </c>
      <c r="L15" s="45">
        <v>1</v>
      </c>
    </row>
    <row r="16" spans="1:12" x14ac:dyDescent="0.25">
      <c r="A16" s="45" t="s">
        <v>81</v>
      </c>
      <c r="B16">
        <v>6</v>
      </c>
      <c r="C16">
        <v>70</v>
      </c>
      <c r="D16">
        <v>1058</v>
      </c>
      <c r="E16">
        <v>25</v>
      </c>
      <c r="F16">
        <v>5.2</v>
      </c>
      <c r="G16">
        <v>79.3</v>
      </c>
      <c r="H16">
        <v>19</v>
      </c>
      <c r="I16" s="45">
        <v>1</v>
      </c>
      <c r="J16" s="45">
        <v>0</v>
      </c>
      <c r="K16" s="45">
        <v>0</v>
      </c>
      <c r="L16" s="45">
        <v>0</v>
      </c>
    </row>
    <row r="17" spans="1:12" x14ac:dyDescent="0.25">
      <c r="A17" s="45" t="s">
        <v>82</v>
      </c>
      <c r="B17">
        <v>8.1999999999999993</v>
      </c>
      <c r="C17">
        <v>70</v>
      </c>
      <c r="D17">
        <v>1076</v>
      </c>
      <c r="E17" s="31">
        <v>70.616150000000005</v>
      </c>
      <c r="F17">
        <v>4.4000000000000004</v>
      </c>
      <c r="G17">
        <v>83</v>
      </c>
      <c r="H17">
        <v>19</v>
      </c>
      <c r="I17" s="45">
        <v>1</v>
      </c>
      <c r="J17" s="45">
        <v>0</v>
      </c>
      <c r="K17" s="45">
        <v>0</v>
      </c>
      <c r="L17" s="45">
        <v>0</v>
      </c>
    </row>
    <row r="18" spans="1:12" x14ac:dyDescent="0.25">
      <c r="A18" s="45" t="s">
        <v>83</v>
      </c>
      <c r="B18">
        <v>12.5</v>
      </c>
      <c r="C18">
        <v>100</v>
      </c>
      <c r="D18">
        <v>1093</v>
      </c>
      <c r="E18">
        <v>36</v>
      </c>
      <c r="F18">
        <v>4.4000000000000004</v>
      </c>
      <c r="G18">
        <v>68</v>
      </c>
      <c r="H18">
        <v>19</v>
      </c>
      <c r="I18" s="45">
        <v>1</v>
      </c>
      <c r="J18" s="45">
        <v>0</v>
      </c>
      <c r="K18" s="45">
        <v>0</v>
      </c>
      <c r="L18" s="45">
        <v>0</v>
      </c>
    </row>
    <row r="19" spans="1:12" x14ac:dyDescent="0.25">
      <c r="A19" s="45" t="s">
        <v>84</v>
      </c>
      <c r="B19">
        <v>8</v>
      </c>
      <c r="C19">
        <v>60</v>
      </c>
      <c r="D19">
        <v>1082</v>
      </c>
      <c r="E19">
        <v>12</v>
      </c>
      <c r="F19">
        <v>4.4000000000000004</v>
      </c>
      <c r="G19">
        <v>86</v>
      </c>
      <c r="H19">
        <v>19</v>
      </c>
      <c r="I19" s="45">
        <v>1</v>
      </c>
      <c r="J19" s="45">
        <v>0</v>
      </c>
      <c r="K19" s="45">
        <v>0</v>
      </c>
      <c r="L19" s="45">
        <v>0</v>
      </c>
    </row>
    <row r="20" spans="1:12" x14ac:dyDescent="0.25">
      <c r="A20" s="45" t="s">
        <v>85</v>
      </c>
      <c r="B20">
        <v>4.7</v>
      </c>
      <c r="C20">
        <v>45</v>
      </c>
      <c r="D20">
        <v>1047</v>
      </c>
      <c r="E20">
        <v>8</v>
      </c>
      <c r="F20">
        <v>4.4000000000000004</v>
      </c>
      <c r="G20">
        <v>79</v>
      </c>
      <c r="H20">
        <v>19</v>
      </c>
      <c r="I20" s="45">
        <v>1</v>
      </c>
      <c r="J20" s="45">
        <v>0</v>
      </c>
      <c r="K20" s="45">
        <v>0</v>
      </c>
      <c r="L20" s="45">
        <v>0</v>
      </c>
    </row>
    <row r="21" spans="1:12" x14ac:dyDescent="0.25">
      <c r="A21" s="45" t="s">
        <v>86</v>
      </c>
      <c r="B21">
        <v>3.5</v>
      </c>
      <c r="C21">
        <v>33</v>
      </c>
      <c r="D21">
        <v>1038</v>
      </c>
      <c r="E21">
        <v>50</v>
      </c>
      <c r="F21">
        <v>4.4000000000000004</v>
      </c>
      <c r="G21">
        <v>68.400000000000006</v>
      </c>
      <c r="H21">
        <v>19</v>
      </c>
      <c r="I21" s="45">
        <v>1</v>
      </c>
      <c r="J21" s="45">
        <v>0</v>
      </c>
      <c r="K21" s="45">
        <v>0</v>
      </c>
      <c r="L21" s="45">
        <v>0</v>
      </c>
    </row>
    <row r="22" spans="1:12" x14ac:dyDescent="0.25">
      <c r="A22" s="45" t="s">
        <v>87</v>
      </c>
      <c r="B22">
        <v>15</v>
      </c>
      <c r="C22">
        <v>90</v>
      </c>
      <c r="D22">
        <v>1120</v>
      </c>
      <c r="E22">
        <v>100</v>
      </c>
      <c r="F22">
        <v>4.4000000000000004</v>
      </c>
      <c r="G22">
        <v>98</v>
      </c>
      <c r="H22">
        <v>19</v>
      </c>
      <c r="I22" s="45">
        <v>1</v>
      </c>
      <c r="J22" s="45">
        <v>0</v>
      </c>
      <c r="K22" s="45">
        <v>0</v>
      </c>
      <c r="L22" s="45">
        <v>0</v>
      </c>
    </row>
    <row r="23" spans="1:12" x14ac:dyDescent="0.25">
      <c r="A23" s="45" t="s">
        <v>88</v>
      </c>
      <c r="B23">
        <v>6.7</v>
      </c>
      <c r="C23">
        <v>67</v>
      </c>
      <c r="D23">
        <v>1013</v>
      </c>
      <c r="E23">
        <v>19</v>
      </c>
      <c r="F23">
        <v>4.4000000000000004</v>
      </c>
      <c r="G23">
        <v>79.7</v>
      </c>
      <c r="H23">
        <v>19</v>
      </c>
      <c r="I23" s="45">
        <v>1</v>
      </c>
      <c r="J23" s="45">
        <v>0</v>
      </c>
      <c r="K23" s="45">
        <v>0</v>
      </c>
      <c r="L23" s="45">
        <v>0</v>
      </c>
    </row>
    <row r="24" spans="1:12" x14ac:dyDescent="0.25">
      <c r="A24" s="45" t="s">
        <v>89</v>
      </c>
      <c r="B24">
        <v>7.8</v>
      </c>
      <c r="C24">
        <v>70</v>
      </c>
      <c r="D24">
        <v>1074</v>
      </c>
      <c r="E24">
        <v>90</v>
      </c>
      <c r="F24">
        <v>4.4000000000000004</v>
      </c>
      <c r="G24">
        <v>79.7</v>
      </c>
      <c r="H24">
        <v>18</v>
      </c>
      <c r="I24" s="45">
        <v>0</v>
      </c>
      <c r="J24" s="45">
        <v>0</v>
      </c>
      <c r="K24" s="45">
        <v>0</v>
      </c>
      <c r="L24" s="45">
        <v>1</v>
      </c>
    </row>
    <row r="25" spans="1:12" x14ac:dyDescent="0.25">
      <c r="A25" s="45" t="s">
        <v>90</v>
      </c>
      <c r="B25">
        <v>6.7</v>
      </c>
      <c r="C25">
        <v>70</v>
      </c>
      <c r="D25">
        <v>1066</v>
      </c>
      <c r="E25">
        <v>30</v>
      </c>
      <c r="F25">
        <v>4.4000000000000004</v>
      </c>
      <c r="G25">
        <v>77.3</v>
      </c>
      <c r="H25">
        <v>19</v>
      </c>
      <c r="I25" s="45">
        <v>1</v>
      </c>
      <c r="J25" s="45">
        <v>0</v>
      </c>
      <c r="K25" s="45">
        <v>0</v>
      </c>
      <c r="L25" s="45">
        <v>0</v>
      </c>
    </row>
    <row r="26" spans="1:12" x14ac:dyDescent="0.25">
      <c r="A26" s="45" t="s">
        <v>91</v>
      </c>
      <c r="B26">
        <v>0.5</v>
      </c>
      <c r="C26">
        <v>55</v>
      </c>
      <c r="D26">
        <v>1007</v>
      </c>
      <c r="E26">
        <v>30</v>
      </c>
      <c r="F26">
        <v>4.4000000000000004</v>
      </c>
      <c r="G26">
        <v>28.6</v>
      </c>
      <c r="H26">
        <v>19</v>
      </c>
      <c r="I26" s="45">
        <v>1</v>
      </c>
      <c r="J26" s="45">
        <v>0</v>
      </c>
      <c r="K26" s="45">
        <v>0</v>
      </c>
      <c r="L26" s="45">
        <v>0</v>
      </c>
    </row>
    <row r="27" spans="1:12" x14ac:dyDescent="0.25">
      <c r="A27" s="45" t="s">
        <v>92</v>
      </c>
      <c r="B27">
        <v>7.5</v>
      </c>
      <c r="C27">
        <v>75</v>
      </c>
      <c r="D27">
        <v>1068</v>
      </c>
      <c r="E27">
        <v>30</v>
      </c>
      <c r="F27">
        <v>4.4000000000000004</v>
      </c>
      <c r="G27">
        <v>82.1</v>
      </c>
      <c r="H27">
        <v>19</v>
      </c>
      <c r="I27" s="45">
        <v>1</v>
      </c>
      <c r="J27" s="45">
        <v>0</v>
      </c>
      <c r="K27" s="45">
        <v>0</v>
      </c>
      <c r="L27" s="45">
        <v>0</v>
      </c>
    </row>
    <row r="28" spans="1:12" x14ac:dyDescent="0.25">
      <c r="A28" s="45" t="s">
        <v>93</v>
      </c>
      <c r="B28">
        <v>5.8</v>
      </c>
      <c r="C28">
        <v>35</v>
      </c>
      <c r="D28">
        <v>1049</v>
      </c>
      <c r="E28">
        <v>44</v>
      </c>
      <c r="F28">
        <v>4.4000000000000004</v>
      </c>
      <c r="G28">
        <v>90</v>
      </c>
      <c r="H28">
        <v>19</v>
      </c>
      <c r="I28" s="45">
        <v>1</v>
      </c>
      <c r="J28" s="45">
        <v>0</v>
      </c>
      <c r="K28" s="45">
        <v>0</v>
      </c>
      <c r="L28" s="45">
        <v>0</v>
      </c>
    </row>
    <row r="29" spans="1:12" x14ac:dyDescent="0.25">
      <c r="A29" s="45" t="s">
        <v>94</v>
      </c>
      <c r="B29">
        <v>3.6</v>
      </c>
      <c r="C29">
        <v>8</v>
      </c>
      <c r="D29">
        <v>1040</v>
      </c>
      <c r="E29" s="31">
        <v>70.616150000000005</v>
      </c>
      <c r="F29">
        <v>3.2</v>
      </c>
      <c r="G29">
        <v>83</v>
      </c>
      <c r="H29">
        <v>21</v>
      </c>
      <c r="I29" s="45">
        <v>1</v>
      </c>
      <c r="J29" s="45">
        <v>0</v>
      </c>
      <c r="K29" s="45">
        <v>0</v>
      </c>
      <c r="L29" s="45">
        <v>0</v>
      </c>
    </row>
    <row r="30" spans="1:12" x14ac:dyDescent="0.25">
      <c r="A30" s="45" t="s">
        <v>95</v>
      </c>
      <c r="B30">
        <v>10.5</v>
      </c>
      <c r="C30">
        <v>85</v>
      </c>
      <c r="D30">
        <v>1102</v>
      </c>
      <c r="E30">
        <v>64</v>
      </c>
      <c r="F30">
        <v>4.4000000000000004</v>
      </c>
      <c r="G30">
        <v>102</v>
      </c>
      <c r="H30">
        <v>21</v>
      </c>
      <c r="I30" s="45">
        <v>0</v>
      </c>
      <c r="J30" s="45">
        <v>0</v>
      </c>
      <c r="K30" s="45">
        <v>0</v>
      </c>
      <c r="L30" s="45">
        <v>1</v>
      </c>
    </row>
    <row r="31" spans="1:12" x14ac:dyDescent="0.25">
      <c r="A31" s="45" t="s">
        <v>96</v>
      </c>
      <c r="B31">
        <v>12.5</v>
      </c>
      <c r="C31">
        <v>125</v>
      </c>
      <c r="D31">
        <v>1087</v>
      </c>
      <c r="E31">
        <v>40</v>
      </c>
      <c r="F31">
        <v>4.4000000000000004</v>
      </c>
      <c r="G31">
        <v>81.2</v>
      </c>
      <c r="H31">
        <v>21</v>
      </c>
      <c r="I31" s="45">
        <v>0</v>
      </c>
      <c r="J31" s="45">
        <v>0</v>
      </c>
      <c r="K31" s="45">
        <v>0</v>
      </c>
      <c r="L31" s="45">
        <v>1</v>
      </c>
    </row>
    <row r="32" spans="1:12" x14ac:dyDescent="0.25">
      <c r="A32" s="45" t="s">
        <v>97</v>
      </c>
      <c r="B32">
        <v>7.2</v>
      </c>
      <c r="C32">
        <v>70</v>
      </c>
      <c r="D32">
        <v>1067</v>
      </c>
      <c r="E32">
        <v>30</v>
      </c>
      <c r="F32">
        <v>4.4000000000000004</v>
      </c>
      <c r="G32">
        <v>82.1</v>
      </c>
      <c r="H32">
        <v>19</v>
      </c>
      <c r="I32" s="45">
        <v>1</v>
      </c>
      <c r="J32" s="45">
        <v>0</v>
      </c>
      <c r="K32" s="45">
        <v>0</v>
      </c>
      <c r="L32" s="45">
        <v>0</v>
      </c>
    </row>
    <row r="33" spans="1:12" x14ac:dyDescent="0.25">
      <c r="A33" s="45" t="s">
        <v>98</v>
      </c>
      <c r="B33">
        <v>8.1999999999999993</v>
      </c>
      <c r="C33">
        <v>70</v>
      </c>
      <c r="D33">
        <v>1076</v>
      </c>
      <c r="E33">
        <v>16</v>
      </c>
      <c r="F33">
        <v>4.4000000000000004</v>
      </c>
      <c r="G33">
        <v>83</v>
      </c>
      <c r="H33">
        <v>21</v>
      </c>
      <c r="I33" s="45">
        <v>1</v>
      </c>
      <c r="J33" s="45">
        <v>0</v>
      </c>
      <c r="K33" s="45">
        <v>0</v>
      </c>
      <c r="L33" s="45">
        <v>0</v>
      </c>
    </row>
    <row r="34" spans="1:12" x14ac:dyDescent="0.25">
      <c r="A34" s="45" t="s">
        <v>99</v>
      </c>
      <c r="B34">
        <v>10.7</v>
      </c>
      <c r="C34">
        <v>100</v>
      </c>
      <c r="D34">
        <v>1105</v>
      </c>
      <c r="E34">
        <v>300</v>
      </c>
      <c r="F34">
        <v>4.3</v>
      </c>
      <c r="G34">
        <v>76.2</v>
      </c>
      <c r="H34">
        <v>21</v>
      </c>
      <c r="I34" s="45">
        <v>0</v>
      </c>
      <c r="J34" s="45">
        <v>0</v>
      </c>
      <c r="K34" s="45">
        <v>0</v>
      </c>
      <c r="L34" s="45">
        <v>1</v>
      </c>
    </row>
    <row r="35" spans="1:12" x14ac:dyDescent="0.25">
      <c r="A35" s="45" t="s">
        <v>100</v>
      </c>
      <c r="B35">
        <v>9.1999999999999993</v>
      </c>
      <c r="C35">
        <v>125</v>
      </c>
      <c r="D35">
        <v>1085</v>
      </c>
      <c r="E35">
        <v>40</v>
      </c>
      <c r="F35">
        <v>4.4000000000000004</v>
      </c>
      <c r="G35">
        <v>81.2</v>
      </c>
      <c r="H35">
        <v>21</v>
      </c>
      <c r="I35" s="45">
        <v>0</v>
      </c>
      <c r="J35" s="45">
        <v>0</v>
      </c>
      <c r="K35" s="45">
        <v>0</v>
      </c>
      <c r="L35" s="45">
        <v>1</v>
      </c>
    </row>
    <row r="36" spans="1:12" x14ac:dyDescent="0.25">
      <c r="A36" s="45" t="s">
        <v>101</v>
      </c>
      <c r="B36">
        <v>7.1</v>
      </c>
      <c r="C36">
        <v>65</v>
      </c>
      <c r="D36">
        <v>1065</v>
      </c>
      <c r="E36">
        <v>13</v>
      </c>
      <c r="F36">
        <v>4.4000000000000004</v>
      </c>
      <c r="G36">
        <v>85</v>
      </c>
      <c r="H36">
        <v>9</v>
      </c>
      <c r="I36" s="45">
        <v>0</v>
      </c>
      <c r="J36" s="45">
        <v>1</v>
      </c>
      <c r="K36" s="45">
        <v>0</v>
      </c>
      <c r="L36" s="45">
        <v>0</v>
      </c>
    </row>
    <row r="37" spans="1:12" x14ac:dyDescent="0.25">
      <c r="A37" s="45" t="s">
        <v>102</v>
      </c>
      <c r="B37">
        <v>5</v>
      </c>
      <c r="C37">
        <v>47</v>
      </c>
      <c r="D37">
        <v>1048.5</v>
      </c>
      <c r="E37">
        <v>65</v>
      </c>
      <c r="F37">
        <v>4.4000000000000004</v>
      </c>
      <c r="G37">
        <v>79.400000000000006</v>
      </c>
      <c r="H37">
        <v>19</v>
      </c>
      <c r="I37" s="45">
        <v>1</v>
      </c>
      <c r="J37" s="45">
        <v>0</v>
      </c>
      <c r="K37" s="45">
        <v>0</v>
      </c>
      <c r="L37" s="45">
        <v>0</v>
      </c>
    </row>
    <row r="38" spans="1:12" x14ac:dyDescent="0.25">
      <c r="A38" s="45" t="s">
        <v>103</v>
      </c>
      <c r="B38">
        <v>16.5</v>
      </c>
      <c r="C38">
        <v>20.5</v>
      </c>
      <c r="D38">
        <v>1112</v>
      </c>
      <c r="E38">
        <v>20</v>
      </c>
      <c r="F38">
        <v>4.4000000000000004</v>
      </c>
      <c r="G38">
        <v>100</v>
      </c>
      <c r="H38">
        <v>20</v>
      </c>
      <c r="I38" s="45">
        <v>0</v>
      </c>
      <c r="J38" s="45">
        <v>0</v>
      </c>
      <c r="K38" s="45">
        <v>0</v>
      </c>
      <c r="L38" s="45">
        <v>1</v>
      </c>
    </row>
    <row r="39" spans="1:12" x14ac:dyDescent="0.25">
      <c r="A39" s="45" t="s">
        <v>104</v>
      </c>
      <c r="B39">
        <v>12.8</v>
      </c>
      <c r="C39">
        <v>50</v>
      </c>
      <c r="D39">
        <v>1096</v>
      </c>
      <c r="E39">
        <v>111</v>
      </c>
      <c r="F39">
        <v>4.4000000000000004</v>
      </c>
      <c r="G39">
        <v>79.17</v>
      </c>
      <c r="H39">
        <v>21</v>
      </c>
      <c r="I39" s="45">
        <v>0</v>
      </c>
      <c r="J39" s="45">
        <v>0</v>
      </c>
      <c r="K39" s="45">
        <v>0</v>
      </c>
      <c r="L39" s="45">
        <v>1</v>
      </c>
    </row>
    <row r="40" spans="1:12" x14ac:dyDescent="0.25">
      <c r="A40" s="45" t="s">
        <v>105</v>
      </c>
      <c r="B40">
        <v>6.7</v>
      </c>
      <c r="C40">
        <v>70</v>
      </c>
      <c r="D40">
        <v>1066</v>
      </c>
      <c r="E40">
        <v>30</v>
      </c>
      <c r="F40">
        <v>4.4000000000000004</v>
      </c>
      <c r="G40">
        <v>77.3</v>
      </c>
      <c r="H40">
        <v>19</v>
      </c>
      <c r="I40" s="45">
        <v>1</v>
      </c>
      <c r="J40" s="45">
        <v>0</v>
      </c>
      <c r="K40" s="45">
        <v>0</v>
      </c>
      <c r="L40" s="45">
        <v>0</v>
      </c>
    </row>
    <row r="41" spans="1:12" x14ac:dyDescent="0.25">
      <c r="A41" s="45" t="s">
        <v>106</v>
      </c>
      <c r="B41">
        <v>10</v>
      </c>
      <c r="C41">
        <v>35</v>
      </c>
      <c r="D41">
        <v>1080</v>
      </c>
      <c r="E41">
        <v>80</v>
      </c>
      <c r="F41">
        <v>4.4000000000000004</v>
      </c>
      <c r="G41">
        <v>85</v>
      </c>
      <c r="H41">
        <v>19</v>
      </c>
      <c r="I41" s="45">
        <v>0</v>
      </c>
      <c r="J41" s="45">
        <v>0</v>
      </c>
      <c r="K41" s="45">
        <v>0</v>
      </c>
      <c r="L41" s="45">
        <v>1</v>
      </c>
    </row>
    <row r="42" spans="1:12" x14ac:dyDescent="0.25">
      <c r="A42" s="45" t="s">
        <v>107</v>
      </c>
      <c r="B42" s="31"/>
      <c r="C42">
        <v>20</v>
      </c>
      <c r="D42">
        <v>1048</v>
      </c>
      <c r="E42">
        <v>14</v>
      </c>
      <c r="F42">
        <v>4.2</v>
      </c>
      <c r="G42">
        <v>89.6</v>
      </c>
      <c r="H42">
        <v>22</v>
      </c>
      <c r="I42" s="45">
        <v>0</v>
      </c>
      <c r="J42" s="45">
        <v>0</v>
      </c>
      <c r="K42" s="45">
        <v>1</v>
      </c>
      <c r="L42" s="45">
        <v>0</v>
      </c>
    </row>
    <row r="43" spans="1:12" x14ac:dyDescent="0.25">
      <c r="A43" s="45" t="s">
        <v>108</v>
      </c>
      <c r="B43">
        <v>10</v>
      </c>
      <c r="C43">
        <v>55</v>
      </c>
      <c r="D43">
        <v>1090</v>
      </c>
      <c r="E43">
        <v>300</v>
      </c>
      <c r="F43">
        <v>4.4000000000000004</v>
      </c>
      <c r="G43">
        <v>84.4</v>
      </c>
      <c r="H43">
        <v>21</v>
      </c>
      <c r="I43" s="45">
        <v>0</v>
      </c>
      <c r="J43" s="45">
        <v>0</v>
      </c>
      <c r="K43" s="45">
        <v>0</v>
      </c>
      <c r="L43" s="45">
        <v>1</v>
      </c>
    </row>
    <row r="44" spans="1:12" x14ac:dyDescent="0.25">
      <c r="A44" s="45" t="s">
        <v>109</v>
      </c>
      <c r="B44">
        <v>4.5</v>
      </c>
      <c r="C44">
        <v>35</v>
      </c>
      <c r="D44">
        <v>1048</v>
      </c>
      <c r="E44">
        <v>40</v>
      </c>
      <c r="F44">
        <v>4.4000000000000004</v>
      </c>
      <c r="G44">
        <v>72.900000000000006</v>
      </c>
      <c r="H44">
        <v>19</v>
      </c>
      <c r="I44" s="45">
        <v>1</v>
      </c>
      <c r="J44" s="45">
        <v>0</v>
      </c>
      <c r="K44" s="45">
        <v>0</v>
      </c>
      <c r="L44" s="45">
        <v>0</v>
      </c>
    </row>
    <row r="45" spans="1:12" x14ac:dyDescent="0.25">
      <c r="A45" s="45" t="s">
        <v>110</v>
      </c>
      <c r="B45">
        <v>7.4</v>
      </c>
      <c r="C45">
        <v>65</v>
      </c>
      <c r="D45">
        <v>1069</v>
      </c>
      <c r="E45">
        <v>60</v>
      </c>
      <c r="F45">
        <v>4.2</v>
      </c>
      <c r="G45">
        <v>82.6</v>
      </c>
      <c r="H45">
        <v>18</v>
      </c>
      <c r="I45" s="45">
        <v>1</v>
      </c>
      <c r="J45" s="45">
        <v>0</v>
      </c>
      <c r="K45" s="45">
        <v>0</v>
      </c>
      <c r="L45" s="45">
        <v>0</v>
      </c>
    </row>
    <row r="46" spans="1:12" x14ac:dyDescent="0.25">
      <c r="A46" s="45" t="s">
        <v>111</v>
      </c>
      <c r="B46">
        <v>7.2</v>
      </c>
      <c r="C46">
        <v>70</v>
      </c>
      <c r="D46">
        <v>1067</v>
      </c>
      <c r="E46">
        <v>30</v>
      </c>
      <c r="F46">
        <v>4.4000000000000004</v>
      </c>
      <c r="G46">
        <v>82.1</v>
      </c>
      <c r="H46">
        <v>19</v>
      </c>
      <c r="I46" s="45">
        <v>1</v>
      </c>
      <c r="J46" s="45">
        <v>0</v>
      </c>
      <c r="K46" s="45">
        <v>0</v>
      </c>
      <c r="L46" s="45">
        <v>0</v>
      </c>
    </row>
    <row r="47" spans="1:12" x14ac:dyDescent="0.25">
      <c r="A47" s="45" t="s">
        <v>112</v>
      </c>
      <c r="B47">
        <v>9.5</v>
      </c>
      <c r="C47">
        <v>85</v>
      </c>
      <c r="D47">
        <v>1095</v>
      </c>
      <c r="E47">
        <v>250</v>
      </c>
      <c r="F47">
        <v>4.4000000000000004</v>
      </c>
      <c r="G47">
        <v>76.8</v>
      </c>
      <c r="H47">
        <v>18</v>
      </c>
      <c r="I47" s="45">
        <v>0</v>
      </c>
      <c r="J47" s="45">
        <v>0</v>
      </c>
      <c r="K47" s="45">
        <v>0</v>
      </c>
      <c r="L47" s="45">
        <v>1</v>
      </c>
    </row>
    <row r="48" spans="1:12" x14ac:dyDescent="0.25">
      <c r="A48" s="45" t="s">
        <v>113</v>
      </c>
      <c r="B48">
        <v>9.1999999999999993</v>
      </c>
      <c r="C48">
        <v>149</v>
      </c>
      <c r="D48">
        <v>1083</v>
      </c>
      <c r="E48">
        <v>19.5</v>
      </c>
      <c r="F48">
        <v>4.4000000000000004</v>
      </c>
      <c r="G48">
        <v>83</v>
      </c>
      <c r="H48">
        <v>19</v>
      </c>
      <c r="I48" s="45">
        <v>0</v>
      </c>
      <c r="J48" s="45">
        <v>0</v>
      </c>
      <c r="K48" s="45">
        <v>0</v>
      </c>
      <c r="L48" s="45">
        <v>1</v>
      </c>
    </row>
    <row r="49" spans="1:12" x14ac:dyDescent="0.25">
      <c r="A49" s="45" t="s">
        <v>114</v>
      </c>
      <c r="B49">
        <v>9</v>
      </c>
      <c r="C49">
        <v>65</v>
      </c>
      <c r="D49">
        <v>1080</v>
      </c>
      <c r="E49">
        <v>97</v>
      </c>
      <c r="F49">
        <v>4.4000000000000004</v>
      </c>
      <c r="G49">
        <v>76</v>
      </c>
      <c r="H49">
        <v>19</v>
      </c>
      <c r="I49" s="45">
        <v>1</v>
      </c>
      <c r="J49" s="45">
        <v>0</v>
      </c>
      <c r="K49" s="45">
        <v>0</v>
      </c>
      <c r="L49" s="45">
        <v>0</v>
      </c>
    </row>
    <row r="50" spans="1:12" x14ac:dyDescent="0.25">
      <c r="A50" s="45" t="s">
        <v>115</v>
      </c>
      <c r="B50">
        <v>7.2</v>
      </c>
      <c r="C50">
        <v>100</v>
      </c>
      <c r="D50">
        <v>1064</v>
      </c>
      <c r="E50">
        <v>12</v>
      </c>
      <c r="F50">
        <v>4.4000000000000004</v>
      </c>
      <c r="G50">
        <v>84</v>
      </c>
      <c r="H50">
        <v>19</v>
      </c>
      <c r="I50" s="45">
        <v>1</v>
      </c>
      <c r="J50" s="45">
        <v>0</v>
      </c>
      <c r="K50" s="45">
        <v>0</v>
      </c>
      <c r="L50" s="45">
        <v>0</v>
      </c>
    </row>
    <row r="51" spans="1:12" x14ac:dyDescent="0.25">
      <c r="A51" s="45" t="s">
        <v>116</v>
      </c>
      <c r="B51">
        <v>7.5</v>
      </c>
      <c r="C51">
        <v>30</v>
      </c>
      <c r="D51">
        <v>1080</v>
      </c>
      <c r="E51">
        <v>46</v>
      </c>
      <c r="F51">
        <v>4.5</v>
      </c>
      <c r="G51">
        <v>70</v>
      </c>
      <c r="H51">
        <v>12</v>
      </c>
      <c r="I51" s="45">
        <v>0</v>
      </c>
      <c r="J51" s="45">
        <v>1</v>
      </c>
      <c r="K51" s="45">
        <v>0</v>
      </c>
      <c r="L51" s="45">
        <v>0</v>
      </c>
    </row>
    <row r="52" spans="1:12" x14ac:dyDescent="0.25">
      <c r="A52" s="45" t="s">
        <v>117</v>
      </c>
      <c r="B52" s="31"/>
      <c r="C52">
        <v>30</v>
      </c>
      <c r="D52">
        <v>1043</v>
      </c>
      <c r="E52">
        <v>15</v>
      </c>
      <c r="F52">
        <v>4.4000000000000004</v>
      </c>
      <c r="G52">
        <v>81.400000000000006</v>
      </c>
      <c r="H52">
        <v>23</v>
      </c>
      <c r="I52" s="45">
        <v>0</v>
      </c>
      <c r="J52" s="45">
        <v>0</v>
      </c>
      <c r="K52" s="45">
        <v>1</v>
      </c>
      <c r="L52" s="45">
        <v>0</v>
      </c>
    </row>
    <row r="53" spans="1:12" x14ac:dyDescent="0.25">
      <c r="A53" s="45" t="s">
        <v>118</v>
      </c>
      <c r="B53">
        <v>10.43</v>
      </c>
      <c r="C53">
        <v>65</v>
      </c>
      <c r="D53">
        <v>1095</v>
      </c>
      <c r="E53">
        <v>23</v>
      </c>
      <c r="F53">
        <v>4.4000000000000004</v>
      </c>
      <c r="G53">
        <v>83.2</v>
      </c>
      <c r="H53">
        <v>21</v>
      </c>
      <c r="I53" s="45">
        <v>0</v>
      </c>
      <c r="J53" s="45">
        <v>0</v>
      </c>
      <c r="K53" s="45">
        <v>0</v>
      </c>
      <c r="L53" s="45">
        <v>1</v>
      </c>
    </row>
    <row r="54" spans="1:12" x14ac:dyDescent="0.25">
      <c r="A54" s="45" t="s">
        <v>119</v>
      </c>
      <c r="B54">
        <v>7.1</v>
      </c>
      <c r="C54">
        <v>68</v>
      </c>
      <c r="D54">
        <v>1056</v>
      </c>
      <c r="E54">
        <v>14</v>
      </c>
      <c r="F54">
        <v>4.4000000000000004</v>
      </c>
      <c r="G54">
        <v>82.1</v>
      </c>
      <c r="H54">
        <v>10</v>
      </c>
      <c r="I54" s="45">
        <v>0</v>
      </c>
      <c r="J54" s="45">
        <v>1</v>
      </c>
      <c r="K54" s="45">
        <v>0</v>
      </c>
      <c r="L54" s="45">
        <v>0</v>
      </c>
    </row>
    <row r="55" spans="1:12" x14ac:dyDescent="0.25">
      <c r="A55" s="45" t="s">
        <v>120</v>
      </c>
      <c r="B55">
        <v>8</v>
      </c>
      <c r="C55">
        <v>35</v>
      </c>
      <c r="D55">
        <v>1077</v>
      </c>
      <c r="E55">
        <v>15</v>
      </c>
      <c r="F55">
        <v>4.4000000000000004</v>
      </c>
      <c r="G55">
        <v>79.2</v>
      </c>
      <c r="H55">
        <v>9</v>
      </c>
      <c r="I55" s="45">
        <v>0</v>
      </c>
      <c r="J55" s="45">
        <v>1</v>
      </c>
      <c r="K55" s="45">
        <v>0</v>
      </c>
      <c r="L55" s="45">
        <v>0</v>
      </c>
    </row>
    <row r="56" spans="1:12" x14ac:dyDescent="0.25">
      <c r="A56" s="45" t="s">
        <v>121</v>
      </c>
      <c r="B56">
        <v>5</v>
      </c>
      <c r="C56">
        <v>50</v>
      </c>
      <c r="D56">
        <v>1049</v>
      </c>
      <c r="E56">
        <v>110</v>
      </c>
      <c r="F56">
        <v>4.4000000000000004</v>
      </c>
      <c r="G56">
        <v>79</v>
      </c>
      <c r="H56">
        <v>19</v>
      </c>
      <c r="I56" s="45">
        <v>1</v>
      </c>
      <c r="J56" s="45">
        <v>0</v>
      </c>
      <c r="K56" s="45">
        <v>0</v>
      </c>
      <c r="L56" s="45">
        <v>0</v>
      </c>
    </row>
    <row r="57" spans="1:12" x14ac:dyDescent="0.25">
      <c r="A57" s="45" t="s">
        <v>122</v>
      </c>
      <c r="B57">
        <v>5.4</v>
      </c>
      <c r="C57">
        <v>35</v>
      </c>
      <c r="D57">
        <v>1050</v>
      </c>
      <c r="E57">
        <v>11.5</v>
      </c>
      <c r="F57">
        <v>4.4000000000000004</v>
      </c>
      <c r="G57">
        <v>84</v>
      </c>
      <c r="H57">
        <v>19</v>
      </c>
      <c r="I57" s="45">
        <v>1</v>
      </c>
      <c r="J57" s="45">
        <v>0</v>
      </c>
      <c r="K57" s="45">
        <v>0</v>
      </c>
      <c r="L57" s="45">
        <v>0</v>
      </c>
    </row>
    <row r="58" spans="1:12" x14ac:dyDescent="0.25">
      <c r="A58" s="45" t="s">
        <v>123</v>
      </c>
      <c r="B58">
        <v>4.0999999999999996</v>
      </c>
      <c r="C58">
        <v>65</v>
      </c>
      <c r="D58">
        <v>1042</v>
      </c>
      <c r="E58">
        <v>17</v>
      </c>
      <c r="F58">
        <v>4.4000000000000004</v>
      </c>
      <c r="G58">
        <v>76.2</v>
      </c>
      <c r="H58">
        <v>19</v>
      </c>
      <c r="I58" s="45">
        <v>0</v>
      </c>
      <c r="J58" s="45">
        <v>0</v>
      </c>
      <c r="K58" s="45">
        <v>0</v>
      </c>
      <c r="L58" s="45">
        <v>1</v>
      </c>
    </row>
    <row r="59" spans="1:12" x14ac:dyDescent="0.25">
      <c r="A59" s="45" t="s">
        <v>124</v>
      </c>
      <c r="B59">
        <v>10.199999999999999</v>
      </c>
      <c r="C59">
        <v>50</v>
      </c>
      <c r="D59">
        <v>1026</v>
      </c>
      <c r="E59">
        <v>197</v>
      </c>
      <c r="F59">
        <v>4.4000000000000004</v>
      </c>
      <c r="G59">
        <v>74.5</v>
      </c>
      <c r="H59">
        <v>21</v>
      </c>
      <c r="I59" s="45">
        <v>0</v>
      </c>
      <c r="J59" s="45">
        <v>0</v>
      </c>
      <c r="K59" s="45">
        <v>0</v>
      </c>
      <c r="L59" s="45">
        <v>1</v>
      </c>
    </row>
    <row r="60" spans="1:12" x14ac:dyDescent="0.25">
      <c r="A60" s="45" t="s">
        <v>125</v>
      </c>
      <c r="B60">
        <v>4</v>
      </c>
      <c r="C60">
        <v>35</v>
      </c>
      <c r="D60">
        <v>1041</v>
      </c>
      <c r="E60">
        <v>45</v>
      </c>
      <c r="F60">
        <v>5.2</v>
      </c>
      <c r="G60">
        <v>75.599999999999994</v>
      </c>
      <c r="H60">
        <v>19</v>
      </c>
      <c r="I60" s="45">
        <v>1</v>
      </c>
      <c r="J60" s="45">
        <v>0</v>
      </c>
      <c r="K60" s="45">
        <v>0</v>
      </c>
      <c r="L60" s="45">
        <v>0</v>
      </c>
    </row>
    <row r="61" spans="1:12" x14ac:dyDescent="0.25">
      <c r="A61" s="45" t="s">
        <v>126</v>
      </c>
      <c r="B61">
        <v>7</v>
      </c>
      <c r="C61">
        <v>20</v>
      </c>
      <c r="D61">
        <v>1081</v>
      </c>
      <c r="E61">
        <v>12</v>
      </c>
      <c r="F61">
        <v>3.2</v>
      </c>
      <c r="G61">
        <v>74</v>
      </c>
      <c r="H61">
        <v>19</v>
      </c>
      <c r="I61" s="45">
        <v>0</v>
      </c>
      <c r="J61" s="45">
        <v>0</v>
      </c>
      <c r="K61" s="45">
        <v>0</v>
      </c>
      <c r="L61" s="45">
        <v>1</v>
      </c>
    </row>
    <row r="62" spans="1:12" x14ac:dyDescent="0.25">
      <c r="A62" s="45" t="s">
        <v>127</v>
      </c>
      <c r="B62">
        <v>12.7</v>
      </c>
      <c r="C62">
        <v>85</v>
      </c>
      <c r="D62">
        <v>1113.5</v>
      </c>
      <c r="E62">
        <v>250</v>
      </c>
      <c r="F62">
        <v>5.2</v>
      </c>
      <c r="G62">
        <v>76.8</v>
      </c>
      <c r="H62">
        <v>18</v>
      </c>
      <c r="I62" s="45">
        <v>0</v>
      </c>
      <c r="J62" s="45">
        <v>0</v>
      </c>
      <c r="K62" s="45">
        <v>0</v>
      </c>
      <c r="L62" s="45">
        <v>1</v>
      </c>
    </row>
    <row r="63" spans="1:12" x14ac:dyDescent="0.25">
      <c r="A63" s="45" t="s">
        <v>128</v>
      </c>
      <c r="B63">
        <v>6.5</v>
      </c>
      <c r="C63">
        <v>35</v>
      </c>
      <c r="D63">
        <v>1050</v>
      </c>
      <c r="E63">
        <v>23</v>
      </c>
      <c r="F63">
        <v>4.4000000000000004</v>
      </c>
      <c r="G63">
        <v>76</v>
      </c>
      <c r="H63">
        <v>18</v>
      </c>
      <c r="I63" s="45">
        <v>1</v>
      </c>
      <c r="J63" s="45">
        <v>0</v>
      </c>
      <c r="K63" s="45">
        <v>0</v>
      </c>
      <c r="L63" s="45">
        <v>0</v>
      </c>
    </row>
    <row r="64" spans="1:12" x14ac:dyDescent="0.25">
      <c r="A64" s="45" t="s">
        <v>129</v>
      </c>
      <c r="B64">
        <v>7.5</v>
      </c>
      <c r="C64">
        <v>50</v>
      </c>
      <c r="D64">
        <v>1070</v>
      </c>
      <c r="E64">
        <v>40</v>
      </c>
      <c r="F64">
        <v>4.4000000000000004</v>
      </c>
      <c r="G64">
        <v>81.400000000000006</v>
      </c>
      <c r="H64">
        <v>21</v>
      </c>
      <c r="I64" s="45">
        <v>0</v>
      </c>
      <c r="J64" s="45">
        <v>0</v>
      </c>
      <c r="K64" s="45">
        <v>0</v>
      </c>
      <c r="L64" s="45">
        <v>1</v>
      </c>
    </row>
    <row r="65" spans="1:12" x14ac:dyDescent="0.25">
      <c r="A65" s="45" t="s">
        <v>130</v>
      </c>
      <c r="B65">
        <v>4.2</v>
      </c>
      <c r="C65">
        <v>50</v>
      </c>
      <c r="D65">
        <v>1042</v>
      </c>
      <c r="E65">
        <v>30</v>
      </c>
      <c r="F65">
        <v>4.4000000000000004</v>
      </c>
      <c r="G65">
        <v>76.2</v>
      </c>
      <c r="H65">
        <v>19</v>
      </c>
      <c r="I65" s="45">
        <v>1</v>
      </c>
      <c r="J65" s="45">
        <v>0</v>
      </c>
      <c r="K65" s="45">
        <v>0</v>
      </c>
      <c r="L65" s="45">
        <v>0</v>
      </c>
    </row>
    <row r="66" spans="1:12" x14ac:dyDescent="0.25">
      <c r="A66" s="45" t="s">
        <v>131</v>
      </c>
      <c r="B66">
        <v>11.8</v>
      </c>
      <c r="C66">
        <v>80</v>
      </c>
      <c r="D66">
        <v>1096</v>
      </c>
      <c r="E66">
        <v>115</v>
      </c>
      <c r="F66">
        <v>5.2</v>
      </c>
      <c r="G66">
        <v>79.2</v>
      </c>
      <c r="H66">
        <v>20</v>
      </c>
      <c r="I66" s="45">
        <v>0</v>
      </c>
      <c r="J66" s="45">
        <v>0</v>
      </c>
      <c r="K66" s="45">
        <v>0</v>
      </c>
      <c r="L66" s="45">
        <v>1</v>
      </c>
    </row>
    <row r="67" spans="1:12" x14ac:dyDescent="0.25">
      <c r="A67" s="45" t="s">
        <v>132</v>
      </c>
      <c r="B67">
        <v>7.6</v>
      </c>
      <c r="C67">
        <v>70</v>
      </c>
      <c r="D67">
        <v>1073</v>
      </c>
      <c r="E67">
        <v>59</v>
      </c>
      <c r="F67">
        <v>4.4000000000000004</v>
      </c>
      <c r="G67">
        <v>79.5</v>
      </c>
      <c r="H67">
        <v>20</v>
      </c>
      <c r="I67" s="45">
        <v>0</v>
      </c>
      <c r="J67" s="45">
        <v>0</v>
      </c>
      <c r="K67" s="45">
        <v>0</v>
      </c>
      <c r="L67" s="45">
        <v>1</v>
      </c>
    </row>
    <row r="68" spans="1:12" x14ac:dyDescent="0.25">
      <c r="A68" s="45" t="s">
        <v>133</v>
      </c>
      <c r="B68">
        <v>15</v>
      </c>
      <c r="C68">
        <v>80</v>
      </c>
      <c r="D68">
        <v>1113</v>
      </c>
      <c r="E68">
        <v>400</v>
      </c>
      <c r="F68">
        <v>4</v>
      </c>
      <c r="G68">
        <v>84.1</v>
      </c>
      <c r="H68">
        <v>21</v>
      </c>
      <c r="I68" s="45">
        <v>0</v>
      </c>
      <c r="J68" s="45">
        <v>0</v>
      </c>
      <c r="K68" s="45">
        <v>0</v>
      </c>
      <c r="L68" s="45">
        <v>1</v>
      </c>
    </row>
    <row r="69" spans="1:12" x14ac:dyDescent="0.25">
      <c r="A69" s="45" t="s">
        <v>134</v>
      </c>
      <c r="B69">
        <v>4.4000000000000004</v>
      </c>
      <c r="C69">
        <v>35</v>
      </c>
      <c r="D69">
        <v>1040</v>
      </c>
      <c r="E69">
        <v>12</v>
      </c>
      <c r="F69">
        <v>4.4000000000000004</v>
      </c>
      <c r="G69">
        <v>79.5</v>
      </c>
      <c r="H69">
        <v>10</v>
      </c>
      <c r="I69" s="45">
        <v>0</v>
      </c>
      <c r="J69" s="45">
        <v>1</v>
      </c>
      <c r="K69" s="45">
        <v>0</v>
      </c>
      <c r="L69" s="45">
        <v>0</v>
      </c>
    </row>
    <row r="70" spans="1:12" x14ac:dyDescent="0.25">
      <c r="A70" s="45" t="s">
        <v>135</v>
      </c>
      <c r="B70">
        <v>6.3</v>
      </c>
      <c r="C70">
        <v>85</v>
      </c>
      <c r="D70">
        <v>1063</v>
      </c>
      <c r="E70">
        <v>24</v>
      </c>
      <c r="F70">
        <v>4.2</v>
      </c>
      <c r="G70">
        <v>82.6</v>
      </c>
      <c r="H70">
        <v>19</v>
      </c>
      <c r="I70" s="45">
        <v>1</v>
      </c>
      <c r="J70" s="45">
        <v>0</v>
      </c>
      <c r="K70" s="45">
        <v>0</v>
      </c>
      <c r="L70" s="45">
        <v>0</v>
      </c>
    </row>
    <row r="71" spans="1:12" x14ac:dyDescent="0.25">
      <c r="A71" s="45" t="s">
        <v>136</v>
      </c>
      <c r="B71">
        <v>7.2</v>
      </c>
      <c r="C71">
        <v>70</v>
      </c>
      <c r="D71">
        <v>1067</v>
      </c>
      <c r="E71">
        <v>30</v>
      </c>
      <c r="F71">
        <v>4.4000000000000004</v>
      </c>
      <c r="G71">
        <v>82.1</v>
      </c>
      <c r="H71">
        <v>19</v>
      </c>
      <c r="I71" s="45">
        <v>1</v>
      </c>
      <c r="J71" s="45">
        <v>0</v>
      </c>
      <c r="K71" s="45">
        <v>0</v>
      </c>
      <c r="L71" s="45">
        <v>0</v>
      </c>
    </row>
    <row r="72" spans="1:12" x14ac:dyDescent="0.25">
      <c r="A72" s="45" t="s">
        <v>137</v>
      </c>
      <c r="B72" s="31"/>
      <c r="C72">
        <v>9</v>
      </c>
      <c r="D72">
        <v>1032</v>
      </c>
      <c r="E72">
        <v>2</v>
      </c>
      <c r="F72">
        <v>4.4000000000000004</v>
      </c>
      <c r="G72">
        <v>88</v>
      </c>
      <c r="H72">
        <v>21</v>
      </c>
      <c r="I72" s="45">
        <v>0</v>
      </c>
      <c r="J72" s="45">
        <v>0</v>
      </c>
      <c r="K72" s="45">
        <v>1</v>
      </c>
      <c r="L72" s="45">
        <v>0</v>
      </c>
    </row>
    <row r="73" spans="1:12" x14ac:dyDescent="0.25">
      <c r="A73" s="45" t="s">
        <v>138</v>
      </c>
      <c r="B73">
        <v>4.5</v>
      </c>
      <c r="C73">
        <v>35</v>
      </c>
      <c r="D73">
        <v>1048</v>
      </c>
      <c r="E73">
        <v>44</v>
      </c>
      <c r="F73">
        <v>4.4000000000000004</v>
      </c>
      <c r="G73">
        <v>72.900000000000006</v>
      </c>
      <c r="H73">
        <v>19</v>
      </c>
      <c r="I73" s="45">
        <v>1</v>
      </c>
      <c r="J73" s="45">
        <v>0</v>
      </c>
      <c r="K73" s="45">
        <v>0</v>
      </c>
      <c r="L73" s="45">
        <v>0</v>
      </c>
    </row>
    <row r="74" spans="1:12" x14ac:dyDescent="0.25">
      <c r="A74" s="45" t="s">
        <v>139</v>
      </c>
      <c r="B74">
        <v>4.5</v>
      </c>
      <c r="C74">
        <v>30</v>
      </c>
      <c r="D74">
        <v>1045</v>
      </c>
      <c r="E74">
        <v>25</v>
      </c>
      <c r="F74">
        <v>4.4000000000000004</v>
      </c>
      <c r="G74">
        <v>75.599999999999994</v>
      </c>
      <c r="H74">
        <v>19</v>
      </c>
      <c r="I74" s="45">
        <v>1</v>
      </c>
      <c r="J74" s="45">
        <v>0</v>
      </c>
      <c r="K74" s="45">
        <v>0</v>
      </c>
      <c r="L74" s="45">
        <v>0</v>
      </c>
    </row>
    <row r="75" spans="1:12" x14ac:dyDescent="0.25">
      <c r="A75" s="45" t="s">
        <v>140</v>
      </c>
      <c r="B75">
        <v>7.5</v>
      </c>
      <c r="C75">
        <v>70</v>
      </c>
      <c r="D75">
        <v>1068</v>
      </c>
      <c r="E75">
        <v>30</v>
      </c>
      <c r="F75">
        <v>4.4000000000000004</v>
      </c>
      <c r="G75">
        <v>82.1</v>
      </c>
      <c r="H75">
        <v>19</v>
      </c>
      <c r="I75" s="45">
        <v>1</v>
      </c>
      <c r="J75" s="45">
        <v>0</v>
      </c>
      <c r="K75" s="45">
        <v>0</v>
      </c>
      <c r="L75" s="45">
        <v>0</v>
      </c>
    </row>
    <row r="76" spans="1:12" x14ac:dyDescent="0.25">
      <c r="A76" s="45" t="s">
        <v>141</v>
      </c>
      <c r="B76">
        <v>10</v>
      </c>
      <c r="C76">
        <v>85</v>
      </c>
      <c r="D76">
        <v>1098</v>
      </c>
      <c r="E76">
        <v>130</v>
      </c>
      <c r="F76">
        <v>4.4000000000000004</v>
      </c>
      <c r="G76">
        <v>79.599999999999994</v>
      </c>
      <c r="H76">
        <v>21</v>
      </c>
      <c r="I76" s="45">
        <v>0</v>
      </c>
      <c r="J76" s="45">
        <v>0</v>
      </c>
      <c r="K76" s="45">
        <v>0</v>
      </c>
      <c r="L76" s="45">
        <v>1</v>
      </c>
    </row>
    <row r="77" spans="1:12" x14ac:dyDescent="0.25">
      <c r="A77" s="45" t="s">
        <v>142</v>
      </c>
      <c r="B77">
        <v>3.8</v>
      </c>
      <c r="C77">
        <v>35</v>
      </c>
      <c r="D77">
        <v>1040</v>
      </c>
      <c r="E77">
        <v>25</v>
      </c>
      <c r="F77">
        <v>4.4000000000000004</v>
      </c>
      <c r="G77">
        <v>70</v>
      </c>
      <c r="H77">
        <v>19</v>
      </c>
      <c r="I77" s="45">
        <v>1</v>
      </c>
      <c r="J77" s="45">
        <v>0</v>
      </c>
      <c r="K77" s="45">
        <v>0</v>
      </c>
      <c r="L77" s="45">
        <v>0</v>
      </c>
    </row>
    <row r="78" spans="1:12" x14ac:dyDescent="0.25">
      <c r="A78" s="45" t="s">
        <v>143</v>
      </c>
      <c r="B78">
        <v>6.4</v>
      </c>
      <c r="C78">
        <v>40</v>
      </c>
      <c r="D78">
        <v>1057</v>
      </c>
      <c r="E78">
        <v>10</v>
      </c>
      <c r="F78">
        <v>3.5</v>
      </c>
      <c r="G78">
        <v>87</v>
      </c>
      <c r="H78">
        <v>20</v>
      </c>
      <c r="I78" s="45">
        <v>1</v>
      </c>
      <c r="J78" s="45">
        <v>0</v>
      </c>
      <c r="K78" s="45">
        <v>0</v>
      </c>
      <c r="L78" s="45">
        <v>0</v>
      </c>
    </row>
    <row r="79" spans="1:12" x14ac:dyDescent="0.25">
      <c r="A79" s="45" t="s">
        <v>144</v>
      </c>
      <c r="B79" s="31"/>
      <c r="C79">
        <v>45</v>
      </c>
      <c r="D79">
        <v>1081</v>
      </c>
      <c r="E79">
        <v>15</v>
      </c>
      <c r="F79">
        <v>4.4000000000000004</v>
      </c>
      <c r="G79">
        <v>93.8</v>
      </c>
      <c r="H79">
        <v>23</v>
      </c>
      <c r="I79" s="45">
        <v>0</v>
      </c>
      <c r="J79" s="45">
        <v>0</v>
      </c>
      <c r="K79" s="45">
        <v>1</v>
      </c>
      <c r="L79" s="45">
        <v>0</v>
      </c>
    </row>
    <row r="80" spans="1:12" x14ac:dyDescent="0.25">
      <c r="A80" s="45" t="s">
        <v>145</v>
      </c>
      <c r="B80">
        <v>4</v>
      </c>
      <c r="C80">
        <v>40</v>
      </c>
      <c r="D80">
        <v>1039</v>
      </c>
      <c r="E80">
        <v>18</v>
      </c>
      <c r="F80">
        <v>4.4000000000000004</v>
      </c>
      <c r="G80">
        <v>76.900000000000006</v>
      </c>
      <c r="H80">
        <v>19</v>
      </c>
      <c r="I80" s="45">
        <v>1</v>
      </c>
      <c r="J80" s="45">
        <v>0</v>
      </c>
      <c r="K80" s="45">
        <v>0</v>
      </c>
      <c r="L80" s="45">
        <v>0</v>
      </c>
    </row>
    <row r="81" spans="1:12" x14ac:dyDescent="0.25">
      <c r="A81" s="45" t="s">
        <v>146</v>
      </c>
      <c r="B81">
        <v>15.2</v>
      </c>
      <c r="C81">
        <v>20</v>
      </c>
      <c r="D81">
        <v>1110</v>
      </c>
      <c r="E81">
        <v>158</v>
      </c>
      <c r="F81">
        <v>4.4000000000000004</v>
      </c>
      <c r="G81">
        <v>82</v>
      </c>
      <c r="H81">
        <v>21</v>
      </c>
      <c r="I81" s="45">
        <v>0</v>
      </c>
      <c r="J81" s="45">
        <v>0</v>
      </c>
      <c r="K81" s="45">
        <v>0</v>
      </c>
      <c r="L81" s="45">
        <v>1</v>
      </c>
    </row>
    <row r="82" spans="1:12" x14ac:dyDescent="0.25">
      <c r="A82" s="45" t="s">
        <v>147</v>
      </c>
      <c r="B82">
        <v>5.4</v>
      </c>
      <c r="C82">
        <v>20</v>
      </c>
      <c r="D82">
        <v>1055</v>
      </c>
      <c r="E82">
        <v>30</v>
      </c>
      <c r="F82">
        <v>4.4000000000000004</v>
      </c>
      <c r="G82">
        <v>74.599999999999994</v>
      </c>
      <c r="H82">
        <v>19</v>
      </c>
      <c r="I82" s="45">
        <v>0</v>
      </c>
      <c r="J82" s="45">
        <v>0</v>
      </c>
      <c r="K82" s="45">
        <v>0</v>
      </c>
      <c r="L82" s="45">
        <v>1</v>
      </c>
    </row>
    <row r="83" spans="1:12" x14ac:dyDescent="0.25">
      <c r="A83" s="45" t="s">
        <v>148</v>
      </c>
      <c r="B83">
        <v>8.3000000000000007</v>
      </c>
      <c r="C83">
        <v>70</v>
      </c>
      <c r="D83">
        <v>1076</v>
      </c>
      <c r="E83">
        <v>30</v>
      </c>
      <c r="F83">
        <v>4.4000000000000004</v>
      </c>
      <c r="G83">
        <v>82.9</v>
      </c>
      <c r="H83">
        <v>21</v>
      </c>
      <c r="I83" s="45">
        <v>0</v>
      </c>
      <c r="J83" s="45">
        <v>0</v>
      </c>
      <c r="K83" s="45">
        <v>0</v>
      </c>
      <c r="L83" s="45">
        <v>1</v>
      </c>
    </row>
    <row r="84" spans="1:12" x14ac:dyDescent="0.25">
      <c r="A84" s="45" t="s">
        <v>149</v>
      </c>
      <c r="B84">
        <v>6.5</v>
      </c>
      <c r="C84">
        <v>60</v>
      </c>
      <c r="D84">
        <v>1060</v>
      </c>
      <c r="E84">
        <v>25</v>
      </c>
      <c r="F84">
        <v>4.4000000000000004</v>
      </c>
      <c r="G84">
        <v>83.3</v>
      </c>
      <c r="H84">
        <v>19</v>
      </c>
      <c r="I84" s="45">
        <v>1</v>
      </c>
      <c r="J84" s="45">
        <v>0</v>
      </c>
      <c r="K84" s="45">
        <v>0</v>
      </c>
      <c r="L84" s="45">
        <v>0</v>
      </c>
    </row>
    <row r="85" spans="1:12" x14ac:dyDescent="0.25">
      <c r="A85" s="45" t="s">
        <v>150</v>
      </c>
      <c r="B85">
        <v>8</v>
      </c>
      <c r="C85">
        <v>45</v>
      </c>
      <c r="D85">
        <v>1075</v>
      </c>
      <c r="E85">
        <v>240</v>
      </c>
      <c r="F85">
        <v>4.4000000000000004</v>
      </c>
      <c r="G85">
        <v>81.3</v>
      </c>
      <c r="H85">
        <v>20</v>
      </c>
      <c r="I85" s="45">
        <v>0</v>
      </c>
      <c r="J85" s="45">
        <v>0</v>
      </c>
      <c r="K85" s="45">
        <v>0</v>
      </c>
      <c r="L85" s="45">
        <v>1</v>
      </c>
    </row>
    <row r="86" spans="1:12" x14ac:dyDescent="0.25">
      <c r="A86" s="45" t="s">
        <v>151</v>
      </c>
      <c r="B86">
        <v>12</v>
      </c>
      <c r="C86">
        <v>85</v>
      </c>
      <c r="D86">
        <v>1130</v>
      </c>
      <c r="E86">
        <v>24</v>
      </c>
      <c r="F86">
        <v>4.4000000000000004</v>
      </c>
      <c r="G86">
        <v>102.3</v>
      </c>
      <c r="H86">
        <v>21</v>
      </c>
      <c r="I86" s="45">
        <v>0</v>
      </c>
      <c r="J86" s="45">
        <v>0</v>
      </c>
      <c r="K86" s="45">
        <v>0</v>
      </c>
      <c r="L86" s="45">
        <v>1</v>
      </c>
    </row>
    <row r="87" spans="1:12" x14ac:dyDescent="0.25">
      <c r="A87" s="45" t="s">
        <v>152</v>
      </c>
      <c r="B87">
        <v>8.1999999999999993</v>
      </c>
      <c r="C87">
        <v>42</v>
      </c>
      <c r="D87">
        <v>1078</v>
      </c>
      <c r="E87">
        <v>90</v>
      </c>
      <c r="F87">
        <v>4.4000000000000004</v>
      </c>
      <c r="G87">
        <v>83.3</v>
      </c>
      <c r="H87">
        <v>21</v>
      </c>
      <c r="I87" s="45">
        <v>0</v>
      </c>
      <c r="J87" s="45">
        <v>0</v>
      </c>
      <c r="K87" s="45">
        <v>0</v>
      </c>
      <c r="L87" s="45">
        <v>1</v>
      </c>
    </row>
    <row r="88" spans="1:12" x14ac:dyDescent="0.25">
      <c r="A88" s="45" t="s">
        <v>153</v>
      </c>
      <c r="B88">
        <v>5.6</v>
      </c>
      <c r="C88">
        <v>40</v>
      </c>
      <c r="D88">
        <v>1055</v>
      </c>
      <c r="E88">
        <v>15</v>
      </c>
      <c r="F88">
        <v>4.4000000000000004</v>
      </c>
      <c r="G88">
        <v>78</v>
      </c>
      <c r="H88">
        <v>19</v>
      </c>
      <c r="I88" s="45">
        <v>1</v>
      </c>
      <c r="J88" s="45">
        <v>0</v>
      </c>
      <c r="K88" s="45">
        <v>0</v>
      </c>
      <c r="L88" s="45">
        <v>0</v>
      </c>
    </row>
    <row r="89" spans="1:12" x14ac:dyDescent="0.25">
      <c r="A89" s="45" t="s">
        <v>154</v>
      </c>
      <c r="B89">
        <v>7.2</v>
      </c>
      <c r="C89">
        <v>70</v>
      </c>
      <c r="D89">
        <v>1067</v>
      </c>
      <c r="E89">
        <v>30</v>
      </c>
      <c r="F89">
        <v>4.4000000000000004</v>
      </c>
      <c r="G89">
        <v>82.1</v>
      </c>
      <c r="H89">
        <v>19</v>
      </c>
      <c r="I89" s="45">
        <v>1</v>
      </c>
      <c r="J89" s="45">
        <v>0</v>
      </c>
      <c r="K89" s="45">
        <v>0</v>
      </c>
      <c r="L89" s="45">
        <v>0</v>
      </c>
    </row>
    <row r="90" spans="1:12" x14ac:dyDescent="0.25">
      <c r="A90" s="45" t="s">
        <v>155</v>
      </c>
      <c r="B90">
        <v>6.3</v>
      </c>
      <c r="C90">
        <v>55</v>
      </c>
      <c r="D90">
        <v>1060</v>
      </c>
      <c r="E90">
        <v>30</v>
      </c>
      <c r="F90">
        <v>4.4000000000000004</v>
      </c>
      <c r="G90">
        <v>80</v>
      </c>
      <c r="H90">
        <v>19</v>
      </c>
      <c r="I90" s="45">
        <v>0</v>
      </c>
      <c r="J90" s="45">
        <v>0</v>
      </c>
      <c r="K90" s="45">
        <v>0</v>
      </c>
      <c r="L90" s="45">
        <v>1</v>
      </c>
    </row>
    <row r="91" spans="1:12" x14ac:dyDescent="0.25">
      <c r="A91" s="45" t="s">
        <v>156</v>
      </c>
      <c r="B91">
        <v>10</v>
      </c>
      <c r="C91">
        <v>85</v>
      </c>
      <c r="D91">
        <v>1098</v>
      </c>
      <c r="E91">
        <v>30</v>
      </c>
      <c r="F91">
        <v>4.4000000000000004</v>
      </c>
      <c r="G91">
        <v>70</v>
      </c>
      <c r="H91">
        <v>21</v>
      </c>
      <c r="I91" s="45">
        <v>0</v>
      </c>
      <c r="J91" s="45">
        <v>0</v>
      </c>
      <c r="K91" s="45">
        <v>0</v>
      </c>
      <c r="L91" s="45">
        <v>1</v>
      </c>
    </row>
    <row r="92" spans="1:12" x14ac:dyDescent="0.25">
      <c r="A92" s="45" t="s">
        <v>157</v>
      </c>
      <c r="B92">
        <v>5.6</v>
      </c>
      <c r="C92">
        <v>30</v>
      </c>
      <c r="D92">
        <v>1058</v>
      </c>
      <c r="E92">
        <v>54</v>
      </c>
      <c r="F92">
        <v>4.4000000000000004</v>
      </c>
      <c r="G92">
        <v>74</v>
      </c>
      <c r="H92">
        <v>19</v>
      </c>
      <c r="I92" s="45">
        <v>1</v>
      </c>
      <c r="J92" s="45">
        <v>0</v>
      </c>
      <c r="K92" s="45">
        <v>0</v>
      </c>
      <c r="L92" s="45">
        <v>0</v>
      </c>
    </row>
    <row r="93" spans="1:12" x14ac:dyDescent="0.25">
      <c r="A93" s="45" t="s">
        <v>158</v>
      </c>
      <c r="B93">
        <v>4.5</v>
      </c>
      <c r="C93">
        <v>55</v>
      </c>
      <c r="D93">
        <v>1046</v>
      </c>
      <c r="E93">
        <v>25</v>
      </c>
      <c r="F93">
        <v>4.4000000000000004</v>
      </c>
      <c r="G93">
        <v>73.900000000000006</v>
      </c>
      <c r="H93">
        <v>9</v>
      </c>
      <c r="I93" s="45">
        <v>0</v>
      </c>
      <c r="J93" s="45">
        <v>1</v>
      </c>
      <c r="K93" s="45">
        <v>0</v>
      </c>
      <c r="L93" s="45">
        <v>0</v>
      </c>
    </row>
    <row r="94" spans="1:12" x14ac:dyDescent="0.25">
      <c r="A94" s="45" t="s">
        <v>159</v>
      </c>
      <c r="B94">
        <v>8.1999999999999993</v>
      </c>
      <c r="C94">
        <v>42</v>
      </c>
      <c r="D94">
        <v>1078</v>
      </c>
      <c r="E94">
        <v>70</v>
      </c>
      <c r="F94">
        <v>4.4000000000000004</v>
      </c>
      <c r="G94">
        <v>83.3</v>
      </c>
      <c r="H94">
        <v>22</v>
      </c>
      <c r="I94" s="45">
        <v>0</v>
      </c>
      <c r="J94" s="45">
        <v>0</v>
      </c>
      <c r="K94" s="45">
        <v>0</v>
      </c>
      <c r="L94" s="45">
        <v>1</v>
      </c>
    </row>
    <row r="95" spans="1:12" x14ac:dyDescent="0.25">
      <c r="A95" s="45" t="s">
        <v>160</v>
      </c>
      <c r="B95">
        <v>8.4</v>
      </c>
      <c r="C95">
        <v>50</v>
      </c>
      <c r="D95">
        <v>1080</v>
      </c>
      <c r="E95">
        <v>200</v>
      </c>
      <c r="F95">
        <v>4.4000000000000004</v>
      </c>
      <c r="G95">
        <v>81.3</v>
      </c>
      <c r="H95">
        <v>14</v>
      </c>
      <c r="I95" s="45">
        <v>0</v>
      </c>
      <c r="J95" s="45">
        <v>1</v>
      </c>
      <c r="K95" s="45">
        <v>0</v>
      </c>
      <c r="L95" s="45">
        <v>0</v>
      </c>
    </row>
    <row r="96" spans="1:12" x14ac:dyDescent="0.25">
      <c r="A96" s="45" t="s">
        <v>161</v>
      </c>
      <c r="B96">
        <v>6</v>
      </c>
      <c r="C96">
        <v>50</v>
      </c>
      <c r="D96">
        <v>1050</v>
      </c>
      <c r="E96">
        <v>8</v>
      </c>
      <c r="F96">
        <v>5.2</v>
      </c>
      <c r="G96">
        <v>87</v>
      </c>
      <c r="H96">
        <v>20</v>
      </c>
      <c r="I96" s="45">
        <v>1</v>
      </c>
      <c r="J96" s="45">
        <v>0</v>
      </c>
      <c r="K96" s="45">
        <v>0</v>
      </c>
      <c r="L96" s="45">
        <v>0</v>
      </c>
    </row>
    <row r="97" spans="1:12" x14ac:dyDescent="0.25">
      <c r="A97" s="45" t="s">
        <v>162</v>
      </c>
      <c r="B97">
        <v>6.7</v>
      </c>
      <c r="C97">
        <v>40</v>
      </c>
      <c r="D97">
        <v>1063</v>
      </c>
      <c r="E97">
        <v>15</v>
      </c>
      <c r="F97">
        <v>5.2</v>
      </c>
      <c r="G97">
        <v>84</v>
      </c>
      <c r="H97">
        <v>19</v>
      </c>
      <c r="I97" s="45">
        <v>1</v>
      </c>
      <c r="J97" s="45">
        <v>0</v>
      </c>
      <c r="K97" s="45">
        <v>0</v>
      </c>
      <c r="L97" s="45">
        <v>0</v>
      </c>
    </row>
    <row r="98" spans="1:12" x14ac:dyDescent="0.25">
      <c r="A98" s="45" t="s">
        <v>163</v>
      </c>
      <c r="B98">
        <v>6.5</v>
      </c>
      <c r="C98">
        <v>35</v>
      </c>
      <c r="D98">
        <v>1068</v>
      </c>
      <c r="E98">
        <v>250</v>
      </c>
      <c r="F98">
        <v>4.2</v>
      </c>
      <c r="G98">
        <v>70.599999999999994</v>
      </c>
      <c r="H98">
        <v>19</v>
      </c>
      <c r="I98" s="45">
        <v>1</v>
      </c>
      <c r="J98" s="45">
        <v>0</v>
      </c>
      <c r="K98" s="45">
        <v>0</v>
      </c>
      <c r="L98" s="45">
        <v>0</v>
      </c>
    </row>
    <row r="99" spans="1:12" x14ac:dyDescent="0.25">
      <c r="A99" s="45" t="s">
        <v>164</v>
      </c>
      <c r="B99">
        <v>11.5</v>
      </c>
      <c r="C99">
        <v>80</v>
      </c>
      <c r="D99">
        <v>1096</v>
      </c>
      <c r="E99">
        <v>115</v>
      </c>
      <c r="F99">
        <v>4.4000000000000004</v>
      </c>
      <c r="G99">
        <v>79.2</v>
      </c>
      <c r="H99">
        <v>20</v>
      </c>
      <c r="I99" s="45">
        <v>0</v>
      </c>
      <c r="J99" s="45">
        <v>0</v>
      </c>
      <c r="K99" s="45">
        <v>0</v>
      </c>
      <c r="L99" s="45">
        <v>1</v>
      </c>
    </row>
    <row r="100" spans="1:12" x14ac:dyDescent="0.25">
      <c r="A100" s="45" t="s">
        <v>165</v>
      </c>
      <c r="B100">
        <v>8.5</v>
      </c>
      <c r="C100">
        <v>65</v>
      </c>
      <c r="D100">
        <v>1078</v>
      </c>
      <c r="E100">
        <v>31.2</v>
      </c>
      <c r="F100">
        <v>4.4000000000000004</v>
      </c>
      <c r="G100">
        <v>84.6</v>
      </c>
      <c r="H100">
        <v>18</v>
      </c>
      <c r="I100" s="45">
        <v>0</v>
      </c>
      <c r="J100" s="45">
        <v>0</v>
      </c>
      <c r="K100" s="45">
        <v>0</v>
      </c>
      <c r="L100" s="45">
        <v>1</v>
      </c>
    </row>
    <row r="101" spans="1:12" x14ac:dyDescent="0.25">
      <c r="A101" s="45" t="s">
        <v>166</v>
      </c>
      <c r="B101">
        <v>5.2</v>
      </c>
      <c r="C101">
        <v>45</v>
      </c>
      <c r="D101">
        <v>1049</v>
      </c>
      <c r="E101">
        <v>45</v>
      </c>
      <c r="F101">
        <v>4.2</v>
      </c>
      <c r="G101">
        <v>81.599999999999994</v>
      </c>
      <c r="H101">
        <v>14</v>
      </c>
      <c r="I101" s="45">
        <v>1</v>
      </c>
      <c r="J101" s="45">
        <v>0</v>
      </c>
      <c r="K101" s="45">
        <v>0</v>
      </c>
      <c r="L101" s="45">
        <v>0</v>
      </c>
    </row>
    <row r="102" spans="1:12" x14ac:dyDescent="0.25">
      <c r="A102" s="45" t="s">
        <v>167</v>
      </c>
      <c r="B102">
        <v>7.1</v>
      </c>
      <c r="C102">
        <v>90</v>
      </c>
      <c r="D102">
        <v>1067</v>
      </c>
      <c r="E102">
        <v>15</v>
      </c>
      <c r="F102">
        <v>4.4000000000000004</v>
      </c>
      <c r="G102">
        <v>80.599999999999994</v>
      </c>
      <c r="H102">
        <v>19</v>
      </c>
      <c r="I102" s="45">
        <v>1</v>
      </c>
      <c r="J102" s="45">
        <v>0</v>
      </c>
      <c r="K102" s="45">
        <v>0</v>
      </c>
      <c r="L102" s="45">
        <v>0</v>
      </c>
    </row>
    <row r="103" spans="1:12" x14ac:dyDescent="0.25">
      <c r="A103" s="45" t="s">
        <v>168</v>
      </c>
      <c r="B103">
        <v>4.7</v>
      </c>
      <c r="C103">
        <v>45</v>
      </c>
      <c r="D103">
        <v>1055</v>
      </c>
      <c r="E103">
        <v>200</v>
      </c>
      <c r="F103">
        <v>4.4000000000000004</v>
      </c>
      <c r="G103">
        <v>70</v>
      </c>
      <c r="H103">
        <v>19</v>
      </c>
      <c r="I103" s="45">
        <v>1</v>
      </c>
      <c r="J103" s="45">
        <v>0</v>
      </c>
      <c r="K103" s="45">
        <v>0</v>
      </c>
      <c r="L103" s="45">
        <v>0</v>
      </c>
    </row>
    <row r="104" spans="1:12" x14ac:dyDescent="0.25">
      <c r="A104" s="45" t="s">
        <v>169</v>
      </c>
      <c r="B104">
        <v>6.7</v>
      </c>
      <c r="C104">
        <v>67</v>
      </c>
      <c r="D104">
        <v>1013</v>
      </c>
      <c r="E104">
        <v>19</v>
      </c>
      <c r="F104">
        <v>4.4000000000000004</v>
      </c>
      <c r="G104">
        <v>79.7</v>
      </c>
      <c r="H104">
        <v>19</v>
      </c>
      <c r="I104" s="45">
        <v>1</v>
      </c>
      <c r="J104" s="45">
        <v>0</v>
      </c>
      <c r="K104" s="45">
        <v>0</v>
      </c>
      <c r="L104" s="45">
        <v>0</v>
      </c>
    </row>
    <row r="105" spans="1:12" x14ac:dyDescent="0.25">
      <c r="A105" s="45" t="s">
        <v>170</v>
      </c>
      <c r="B105">
        <v>9</v>
      </c>
      <c r="C105">
        <v>85</v>
      </c>
      <c r="D105">
        <v>1094</v>
      </c>
      <c r="E105">
        <v>400</v>
      </c>
      <c r="F105">
        <v>4.3</v>
      </c>
      <c r="G105">
        <v>73.400000000000006</v>
      </c>
      <c r="H105">
        <v>21</v>
      </c>
      <c r="I105" s="45">
        <v>0</v>
      </c>
      <c r="J105" s="45">
        <v>0</v>
      </c>
      <c r="K105" s="45">
        <v>0</v>
      </c>
      <c r="L105" s="45">
        <v>1</v>
      </c>
    </row>
    <row r="106" spans="1:12" x14ac:dyDescent="0.25">
      <c r="A106" s="45" t="s">
        <v>171</v>
      </c>
      <c r="B106">
        <v>6.5</v>
      </c>
      <c r="C106">
        <v>20</v>
      </c>
      <c r="D106">
        <v>1060</v>
      </c>
      <c r="E106" s="31">
        <v>70.616150000000005</v>
      </c>
      <c r="F106">
        <v>3.2</v>
      </c>
      <c r="G106">
        <v>87</v>
      </c>
      <c r="H106">
        <v>20</v>
      </c>
      <c r="I106" s="45">
        <v>1</v>
      </c>
      <c r="J106" s="45">
        <v>0</v>
      </c>
      <c r="K106" s="45">
        <v>0</v>
      </c>
      <c r="L106" s="45">
        <v>0</v>
      </c>
    </row>
    <row r="107" spans="1:12" x14ac:dyDescent="0.25">
      <c r="A107" s="45" t="s">
        <v>172</v>
      </c>
      <c r="B107">
        <v>6.7</v>
      </c>
      <c r="C107">
        <v>67</v>
      </c>
      <c r="D107">
        <v>1013</v>
      </c>
      <c r="E107">
        <v>19</v>
      </c>
      <c r="F107">
        <v>4.4000000000000004</v>
      </c>
      <c r="G107">
        <v>79.7</v>
      </c>
      <c r="H107">
        <v>19</v>
      </c>
      <c r="I107" s="45">
        <v>1</v>
      </c>
      <c r="J107" s="45">
        <v>0</v>
      </c>
      <c r="K107" s="45">
        <v>0</v>
      </c>
      <c r="L107" s="45">
        <v>0</v>
      </c>
    </row>
    <row r="108" spans="1:12" x14ac:dyDescent="0.25">
      <c r="A108" s="45" t="s">
        <v>173</v>
      </c>
      <c r="B108">
        <v>5</v>
      </c>
      <c r="C108">
        <v>30</v>
      </c>
      <c r="D108">
        <v>1050</v>
      </c>
      <c r="E108">
        <v>60</v>
      </c>
      <c r="F108">
        <v>4.4000000000000004</v>
      </c>
      <c r="G108">
        <v>76</v>
      </c>
      <c r="H108">
        <v>19</v>
      </c>
      <c r="I108" s="45">
        <v>1</v>
      </c>
      <c r="J108" s="45">
        <v>0</v>
      </c>
      <c r="K108" s="45">
        <v>0</v>
      </c>
      <c r="L108" s="45">
        <v>0</v>
      </c>
    </row>
    <row r="109" spans="1:12" x14ac:dyDescent="0.25">
      <c r="A109" s="45" t="s">
        <v>174</v>
      </c>
      <c r="B109">
        <v>5.8</v>
      </c>
      <c r="C109">
        <v>40</v>
      </c>
      <c r="D109">
        <v>1053</v>
      </c>
      <c r="E109">
        <v>177.3</v>
      </c>
      <c r="F109">
        <v>4.4000000000000004</v>
      </c>
      <c r="G109">
        <v>84.9</v>
      </c>
      <c r="H109">
        <v>19</v>
      </c>
      <c r="I109" s="45">
        <v>1</v>
      </c>
      <c r="J109" s="45">
        <v>0</v>
      </c>
      <c r="K109" s="45">
        <v>0</v>
      </c>
      <c r="L109" s="45">
        <v>0</v>
      </c>
    </row>
    <row r="110" spans="1:12" x14ac:dyDescent="0.25">
      <c r="A110" s="45" t="s">
        <v>175</v>
      </c>
      <c r="B110">
        <v>7.5</v>
      </c>
      <c r="C110">
        <v>90</v>
      </c>
      <c r="D110">
        <v>1072</v>
      </c>
      <c r="E110">
        <v>200</v>
      </c>
      <c r="F110">
        <v>4.4000000000000004</v>
      </c>
      <c r="G110">
        <v>79.2</v>
      </c>
      <c r="H110">
        <v>21</v>
      </c>
      <c r="I110" s="45">
        <v>0</v>
      </c>
      <c r="J110" s="45">
        <v>0</v>
      </c>
      <c r="K110" s="45">
        <v>0</v>
      </c>
      <c r="L110" s="45">
        <v>1</v>
      </c>
    </row>
    <row r="111" spans="1:12" x14ac:dyDescent="0.25">
      <c r="A111" s="45" t="s">
        <v>176</v>
      </c>
      <c r="B111">
        <v>4.5</v>
      </c>
      <c r="C111">
        <v>38</v>
      </c>
      <c r="D111">
        <v>1042.9000000000001</v>
      </c>
      <c r="E111">
        <v>18</v>
      </c>
      <c r="F111">
        <v>4.4000000000000004</v>
      </c>
      <c r="G111">
        <v>81</v>
      </c>
      <c r="H111">
        <v>10</v>
      </c>
      <c r="I111" s="45">
        <v>0</v>
      </c>
      <c r="J111" s="45">
        <v>1</v>
      </c>
      <c r="K111" s="45">
        <v>0</v>
      </c>
      <c r="L111" s="45">
        <v>0</v>
      </c>
    </row>
    <row r="112" spans="1:12" x14ac:dyDescent="0.25">
      <c r="A112" s="45" t="s">
        <v>177</v>
      </c>
      <c r="B112">
        <v>9</v>
      </c>
      <c r="C112">
        <v>50</v>
      </c>
      <c r="D112">
        <v>1084</v>
      </c>
      <c r="E112">
        <v>20</v>
      </c>
      <c r="F112">
        <v>4.4000000000000004</v>
      </c>
      <c r="G112">
        <v>82.1</v>
      </c>
      <c r="H112">
        <v>21</v>
      </c>
      <c r="I112" s="45">
        <v>0</v>
      </c>
      <c r="J112" s="45">
        <v>0</v>
      </c>
      <c r="K112" s="45">
        <v>0</v>
      </c>
      <c r="L112" s="45">
        <v>1</v>
      </c>
    </row>
    <row r="113" spans="1:12" x14ac:dyDescent="0.25">
      <c r="A113" s="45" t="s">
        <v>178</v>
      </c>
      <c r="B113">
        <v>41</v>
      </c>
      <c r="C113">
        <v>1085</v>
      </c>
      <c r="D113">
        <v>1085</v>
      </c>
      <c r="E113">
        <v>40</v>
      </c>
      <c r="F113">
        <v>4.4000000000000004</v>
      </c>
      <c r="G113">
        <v>81.2</v>
      </c>
      <c r="H113">
        <v>21</v>
      </c>
      <c r="I113" s="45">
        <v>0</v>
      </c>
      <c r="J113" s="45">
        <v>0</v>
      </c>
      <c r="K113" s="45">
        <v>0</v>
      </c>
      <c r="L113" s="45">
        <v>1</v>
      </c>
    </row>
    <row r="114" spans="1:12" x14ac:dyDescent="0.25">
      <c r="A114" s="45" t="s">
        <v>179</v>
      </c>
      <c r="B114">
        <v>15</v>
      </c>
      <c r="C114">
        <v>90</v>
      </c>
      <c r="D114">
        <v>1120</v>
      </c>
      <c r="E114">
        <v>100</v>
      </c>
      <c r="F114">
        <v>4.4000000000000004</v>
      </c>
      <c r="G114">
        <v>98</v>
      </c>
      <c r="H114">
        <v>19</v>
      </c>
      <c r="I114" s="45">
        <v>0</v>
      </c>
      <c r="J114" s="45">
        <v>0</v>
      </c>
      <c r="K114" s="45">
        <v>0</v>
      </c>
      <c r="L114" s="45">
        <v>1</v>
      </c>
    </row>
    <row r="115" spans="1:12" x14ac:dyDescent="0.25">
      <c r="A115" s="45" t="s">
        <v>180</v>
      </c>
      <c r="B115">
        <v>8.5</v>
      </c>
      <c r="C115">
        <v>85</v>
      </c>
      <c r="D115">
        <v>1072</v>
      </c>
      <c r="E115">
        <v>15</v>
      </c>
      <c r="F115">
        <v>4.4000000000000004</v>
      </c>
      <c r="G115">
        <v>90.3</v>
      </c>
      <c r="H115">
        <v>18</v>
      </c>
      <c r="I115" s="45">
        <v>0</v>
      </c>
      <c r="J115" s="45">
        <v>0</v>
      </c>
      <c r="K115" s="45">
        <v>0</v>
      </c>
      <c r="L115" s="45">
        <v>1</v>
      </c>
    </row>
    <row r="116" spans="1:12" x14ac:dyDescent="0.25">
      <c r="A116" s="45" t="s">
        <v>181</v>
      </c>
      <c r="B116">
        <v>7.2</v>
      </c>
      <c r="C116">
        <v>100</v>
      </c>
      <c r="D116">
        <v>1064</v>
      </c>
      <c r="E116">
        <v>12</v>
      </c>
      <c r="F116">
        <v>4.4000000000000004</v>
      </c>
      <c r="G116">
        <v>84</v>
      </c>
      <c r="H116">
        <v>19</v>
      </c>
      <c r="I116" s="45">
        <v>1</v>
      </c>
      <c r="J116" s="45">
        <v>0</v>
      </c>
      <c r="K116" s="45">
        <v>0</v>
      </c>
      <c r="L116" s="45">
        <v>0</v>
      </c>
    </row>
    <row r="117" spans="1:12" x14ac:dyDescent="0.25">
      <c r="A117" s="45" t="s">
        <v>182</v>
      </c>
      <c r="B117">
        <v>9</v>
      </c>
      <c r="C117">
        <v>80</v>
      </c>
      <c r="D117">
        <v>1083</v>
      </c>
      <c r="E117">
        <v>180</v>
      </c>
      <c r="F117">
        <v>5.2</v>
      </c>
      <c r="G117">
        <v>83.1</v>
      </c>
      <c r="H117">
        <v>21</v>
      </c>
      <c r="I117" s="45">
        <v>0</v>
      </c>
      <c r="J117" s="45">
        <v>0</v>
      </c>
      <c r="K117" s="45">
        <v>0</v>
      </c>
      <c r="L117" s="45">
        <v>1</v>
      </c>
    </row>
    <row r="118" spans="1:12" x14ac:dyDescent="0.25">
      <c r="A118" s="45" t="s">
        <v>183</v>
      </c>
      <c r="B118">
        <v>3.8</v>
      </c>
      <c r="C118">
        <v>20</v>
      </c>
      <c r="D118">
        <v>1039</v>
      </c>
      <c r="E118">
        <v>6</v>
      </c>
      <c r="F118">
        <v>5.2</v>
      </c>
      <c r="G118">
        <v>87</v>
      </c>
      <c r="H118">
        <v>20</v>
      </c>
      <c r="I118" s="45">
        <v>1</v>
      </c>
      <c r="J118" s="45">
        <v>0</v>
      </c>
      <c r="K118" s="45">
        <v>0</v>
      </c>
      <c r="L118" s="45">
        <v>0</v>
      </c>
    </row>
    <row r="119" spans="1:12" x14ac:dyDescent="0.25">
      <c r="A119" s="45" t="s">
        <v>184</v>
      </c>
      <c r="B119">
        <v>5.7</v>
      </c>
      <c r="C119">
        <v>35</v>
      </c>
      <c r="D119">
        <v>1053</v>
      </c>
      <c r="E119">
        <v>25</v>
      </c>
      <c r="F119">
        <v>4.4000000000000004</v>
      </c>
      <c r="G119">
        <v>79.3</v>
      </c>
      <c r="H119">
        <v>17</v>
      </c>
      <c r="I119" s="45">
        <v>1</v>
      </c>
      <c r="J119" s="45">
        <v>0</v>
      </c>
      <c r="K119" s="45">
        <v>0</v>
      </c>
      <c r="L119" s="45">
        <v>0</v>
      </c>
    </row>
    <row r="120" spans="1:12" x14ac:dyDescent="0.25">
      <c r="A120" s="45" t="s">
        <v>185</v>
      </c>
      <c r="B120">
        <v>6.3</v>
      </c>
      <c r="C120">
        <v>130</v>
      </c>
      <c r="D120">
        <v>1060</v>
      </c>
      <c r="E120">
        <v>14</v>
      </c>
      <c r="F120">
        <v>5.2</v>
      </c>
      <c r="G120">
        <v>83</v>
      </c>
      <c r="H120">
        <v>20</v>
      </c>
      <c r="I120" s="45">
        <v>1</v>
      </c>
      <c r="J120" s="45">
        <v>0</v>
      </c>
      <c r="K120" s="45">
        <v>0</v>
      </c>
      <c r="L120" s="45">
        <v>0</v>
      </c>
    </row>
    <row r="121" spans="1:12" x14ac:dyDescent="0.25">
      <c r="A121" s="45" t="s">
        <v>186</v>
      </c>
      <c r="B121">
        <v>7.5</v>
      </c>
      <c r="C121">
        <v>75</v>
      </c>
      <c r="D121">
        <v>1068</v>
      </c>
      <c r="E121">
        <v>30</v>
      </c>
      <c r="F121">
        <v>4.4000000000000004</v>
      </c>
      <c r="G121">
        <v>82.1</v>
      </c>
      <c r="H121">
        <v>19</v>
      </c>
      <c r="I121" s="45">
        <v>1</v>
      </c>
      <c r="J121" s="45">
        <v>0</v>
      </c>
      <c r="K121" s="45">
        <v>0</v>
      </c>
      <c r="L121" s="45">
        <v>0</v>
      </c>
    </row>
    <row r="122" spans="1:12" x14ac:dyDescent="0.25">
      <c r="A122" s="45" t="s">
        <v>187</v>
      </c>
      <c r="B122">
        <v>4.4000000000000004</v>
      </c>
      <c r="C122">
        <v>35</v>
      </c>
      <c r="D122">
        <v>1045</v>
      </c>
      <c r="E122">
        <v>30</v>
      </c>
      <c r="F122">
        <v>4.4000000000000004</v>
      </c>
      <c r="G122">
        <v>73.3</v>
      </c>
      <c r="H122">
        <v>19</v>
      </c>
      <c r="I122" s="45">
        <v>1</v>
      </c>
      <c r="J122" s="45">
        <v>0</v>
      </c>
      <c r="K122" s="45">
        <v>0</v>
      </c>
      <c r="L122" s="45">
        <v>0</v>
      </c>
    </row>
    <row r="123" spans="1:12" x14ac:dyDescent="0.25">
      <c r="A123" s="45" t="s">
        <v>188</v>
      </c>
      <c r="B123">
        <v>18</v>
      </c>
      <c r="C123">
        <v>70</v>
      </c>
      <c r="D123">
        <v>1150</v>
      </c>
      <c r="E123">
        <v>57</v>
      </c>
      <c r="F123">
        <v>4.4000000000000004</v>
      </c>
      <c r="G123">
        <v>93.3</v>
      </c>
      <c r="H123">
        <v>22</v>
      </c>
      <c r="I123" s="45">
        <v>0</v>
      </c>
      <c r="J123" s="45">
        <v>0</v>
      </c>
      <c r="K123" s="45">
        <v>0</v>
      </c>
      <c r="L123" s="45">
        <v>1</v>
      </c>
    </row>
    <row r="124" spans="1:12" x14ac:dyDescent="0.25">
      <c r="A124" s="45" t="s">
        <v>189</v>
      </c>
      <c r="B124">
        <v>10.5</v>
      </c>
      <c r="C124">
        <v>14</v>
      </c>
      <c r="D124">
        <v>1093</v>
      </c>
      <c r="E124" s="31">
        <v>70.616150000000005</v>
      </c>
      <c r="F124">
        <v>4.4000000000000004</v>
      </c>
      <c r="G124">
        <v>80</v>
      </c>
      <c r="H124">
        <v>19</v>
      </c>
      <c r="I124" s="45">
        <v>1</v>
      </c>
      <c r="J124" s="45">
        <v>0</v>
      </c>
      <c r="K124" s="45">
        <v>0</v>
      </c>
      <c r="L124" s="45">
        <v>0</v>
      </c>
    </row>
    <row r="125" spans="1:12" x14ac:dyDescent="0.25">
      <c r="A125" s="45" t="s">
        <v>190</v>
      </c>
      <c r="B125">
        <v>11.3</v>
      </c>
      <c r="C125">
        <v>50</v>
      </c>
      <c r="D125">
        <v>1098</v>
      </c>
      <c r="E125">
        <v>164</v>
      </c>
      <c r="F125">
        <v>4.4000000000000004</v>
      </c>
      <c r="G125">
        <v>79.599999999999994</v>
      </c>
      <c r="H125">
        <v>20</v>
      </c>
      <c r="I125" s="45">
        <v>0</v>
      </c>
      <c r="J125" s="45">
        <v>0</v>
      </c>
      <c r="K125" s="45">
        <v>0</v>
      </c>
      <c r="L125" s="45">
        <v>1</v>
      </c>
    </row>
    <row r="126" spans="1:12" x14ac:dyDescent="0.25">
      <c r="A126" s="45" t="s">
        <v>191</v>
      </c>
      <c r="B126" s="31"/>
      <c r="C126">
        <v>25</v>
      </c>
      <c r="D126">
        <v>1052</v>
      </c>
      <c r="E126">
        <v>10</v>
      </c>
      <c r="F126">
        <v>5.2</v>
      </c>
      <c r="G126">
        <v>87</v>
      </c>
      <c r="H126">
        <v>20</v>
      </c>
      <c r="I126" s="45">
        <v>0</v>
      </c>
      <c r="J126" s="45">
        <v>0</v>
      </c>
      <c r="K126" s="45">
        <v>1</v>
      </c>
      <c r="L126" s="45">
        <v>0</v>
      </c>
    </row>
    <row r="127" spans="1:12" x14ac:dyDescent="0.25">
      <c r="A127" s="45" t="s">
        <v>192</v>
      </c>
      <c r="B127">
        <v>5.2</v>
      </c>
      <c r="C127">
        <v>65</v>
      </c>
      <c r="D127">
        <v>1048</v>
      </c>
      <c r="E127">
        <v>16</v>
      </c>
      <c r="F127">
        <v>5.2</v>
      </c>
      <c r="G127">
        <v>79</v>
      </c>
      <c r="H127">
        <v>19</v>
      </c>
      <c r="I127" s="45">
        <v>1</v>
      </c>
      <c r="J127" s="45">
        <v>0</v>
      </c>
      <c r="K127" s="45">
        <v>0</v>
      </c>
      <c r="L127" s="45">
        <v>0</v>
      </c>
    </row>
    <row r="128" spans="1:12" x14ac:dyDescent="0.25">
      <c r="A128" s="45" t="s">
        <v>193</v>
      </c>
      <c r="B128">
        <v>4.5</v>
      </c>
      <c r="C128">
        <v>25</v>
      </c>
      <c r="D128">
        <v>1043</v>
      </c>
      <c r="E128">
        <v>10</v>
      </c>
      <c r="F128">
        <v>4.2</v>
      </c>
      <c r="G128">
        <v>79.099999999999994</v>
      </c>
      <c r="H128">
        <v>15</v>
      </c>
      <c r="I128" s="45">
        <v>1</v>
      </c>
      <c r="J128" s="45">
        <v>0</v>
      </c>
      <c r="K128" s="45">
        <v>0</v>
      </c>
      <c r="L128" s="45">
        <v>0</v>
      </c>
    </row>
    <row r="129" spans="1:12" x14ac:dyDescent="0.25">
      <c r="A129" s="45" t="s">
        <v>194</v>
      </c>
      <c r="B129">
        <v>9.5</v>
      </c>
      <c r="C129">
        <v>80</v>
      </c>
      <c r="D129">
        <v>1075</v>
      </c>
      <c r="E129">
        <v>195</v>
      </c>
      <c r="F129">
        <v>4.5</v>
      </c>
      <c r="G129">
        <v>81.3</v>
      </c>
      <c r="H129">
        <v>19</v>
      </c>
      <c r="I129" s="45">
        <v>0</v>
      </c>
      <c r="J129" s="45">
        <v>0</v>
      </c>
      <c r="K129" s="45">
        <v>0</v>
      </c>
      <c r="L129" s="45">
        <v>1</v>
      </c>
    </row>
    <row r="130" spans="1:12" x14ac:dyDescent="0.25">
      <c r="A130" s="45" t="s">
        <v>195</v>
      </c>
      <c r="B130">
        <v>7.2</v>
      </c>
      <c r="C130">
        <v>70</v>
      </c>
      <c r="D130">
        <v>1067</v>
      </c>
      <c r="E130">
        <v>30</v>
      </c>
      <c r="F130">
        <v>4.4000000000000004</v>
      </c>
      <c r="G130">
        <v>82.1</v>
      </c>
      <c r="H130">
        <v>19</v>
      </c>
      <c r="I130" s="45">
        <v>1</v>
      </c>
      <c r="J130" s="45">
        <v>0</v>
      </c>
      <c r="K130" s="45">
        <v>0</v>
      </c>
      <c r="L130" s="45">
        <v>0</v>
      </c>
    </row>
    <row r="131" spans="1:12" x14ac:dyDescent="0.25">
      <c r="A131" s="45" t="s">
        <v>196</v>
      </c>
      <c r="B131">
        <v>2.7</v>
      </c>
      <c r="C131">
        <v>36</v>
      </c>
      <c r="D131">
        <v>1033</v>
      </c>
      <c r="E131">
        <v>57</v>
      </c>
      <c r="F131">
        <v>4.4000000000000004</v>
      </c>
      <c r="G131">
        <v>70.8</v>
      </c>
      <c r="H131">
        <v>19</v>
      </c>
      <c r="I131" s="45">
        <v>1</v>
      </c>
      <c r="J131" s="45">
        <v>0</v>
      </c>
      <c r="K131" s="45">
        <v>0</v>
      </c>
      <c r="L131" s="45">
        <v>0</v>
      </c>
    </row>
    <row r="132" spans="1:12" x14ac:dyDescent="0.25">
      <c r="A132" s="45" t="s">
        <v>197</v>
      </c>
      <c r="B132">
        <v>6.4</v>
      </c>
      <c r="C132">
        <v>50</v>
      </c>
      <c r="D132">
        <v>1061</v>
      </c>
      <c r="E132">
        <v>20</v>
      </c>
      <c r="F132">
        <v>4.4000000000000004</v>
      </c>
      <c r="G132">
        <v>80.3</v>
      </c>
      <c r="H132">
        <v>19</v>
      </c>
      <c r="I132" s="45">
        <v>1</v>
      </c>
      <c r="J132" s="45">
        <v>0</v>
      </c>
      <c r="K132" s="45">
        <v>0</v>
      </c>
      <c r="L132" s="45">
        <v>0</v>
      </c>
    </row>
    <row r="133" spans="1:12" x14ac:dyDescent="0.25">
      <c r="A133" s="45" t="s">
        <v>198</v>
      </c>
      <c r="B133">
        <v>17.2</v>
      </c>
      <c r="C133">
        <v>75</v>
      </c>
      <c r="D133">
        <v>1156</v>
      </c>
      <c r="E133">
        <v>128</v>
      </c>
      <c r="F133">
        <v>4.4000000000000004</v>
      </c>
      <c r="G133">
        <v>80.8</v>
      </c>
      <c r="H133">
        <v>21</v>
      </c>
      <c r="I133" s="45">
        <v>0</v>
      </c>
      <c r="J133" s="45">
        <v>0</v>
      </c>
      <c r="K133" s="45">
        <v>0</v>
      </c>
      <c r="L133" s="45">
        <v>1</v>
      </c>
    </row>
    <row r="134" spans="1:12" x14ac:dyDescent="0.25">
      <c r="A134" s="45" t="s">
        <v>199</v>
      </c>
      <c r="B134">
        <v>8.5</v>
      </c>
      <c r="C134">
        <v>100</v>
      </c>
      <c r="D134">
        <v>1068</v>
      </c>
      <c r="E134">
        <v>15</v>
      </c>
      <c r="F134">
        <v>4.4000000000000004</v>
      </c>
      <c r="G134">
        <v>95.6</v>
      </c>
      <c r="H134">
        <v>21</v>
      </c>
      <c r="I134" s="45">
        <v>0</v>
      </c>
      <c r="J134" s="45">
        <v>0</v>
      </c>
      <c r="K134" s="45">
        <v>0</v>
      </c>
      <c r="L134" s="45">
        <v>1</v>
      </c>
    </row>
    <row r="135" spans="1:12" x14ac:dyDescent="0.25">
      <c r="A135" s="45" t="s">
        <v>200</v>
      </c>
      <c r="B135">
        <v>4.9000000000000004</v>
      </c>
      <c r="C135">
        <v>30</v>
      </c>
      <c r="D135">
        <v>1047</v>
      </c>
      <c r="E135">
        <v>12</v>
      </c>
      <c r="F135">
        <v>4.4000000000000004</v>
      </c>
      <c r="G135">
        <v>80.7</v>
      </c>
      <c r="H135">
        <v>10</v>
      </c>
      <c r="I135" s="45">
        <v>0</v>
      </c>
      <c r="J135" s="45">
        <v>1</v>
      </c>
      <c r="K135" s="45">
        <v>0</v>
      </c>
      <c r="L135" s="45">
        <v>0</v>
      </c>
    </row>
    <row r="136" spans="1:12" x14ac:dyDescent="0.25">
      <c r="A136" s="45" t="s">
        <v>201</v>
      </c>
      <c r="B136">
        <v>4.7</v>
      </c>
      <c r="C136">
        <v>37</v>
      </c>
      <c r="D136">
        <v>1043</v>
      </c>
      <c r="E136">
        <v>10</v>
      </c>
      <c r="F136">
        <v>4.2</v>
      </c>
      <c r="G136">
        <v>83.7</v>
      </c>
      <c r="H136">
        <v>12</v>
      </c>
      <c r="I136" s="45">
        <v>0</v>
      </c>
      <c r="J136" s="45">
        <v>1</v>
      </c>
      <c r="K136" s="45">
        <v>0</v>
      </c>
      <c r="L136" s="45">
        <v>0</v>
      </c>
    </row>
    <row r="137" spans="1:12" x14ac:dyDescent="0.25">
      <c r="A137" s="45" t="s">
        <v>202</v>
      </c>
      <c r="B137">
        <v>7.2</v>
      </c>
      <c r="C137">
        <v>100</v>
      </c>
      <c r="D137">
        <v>1064</v>
      </c>
      <c r="E137">
        <v>12</v>
      </c>
      <c r="F137">
        <v>4.4000000000000004</v>
      </c>
      <c r="G137">
        <v>84</v>
      </c>
      <c r="H137">
        <v>19</v>
      </c>
      <c r="I137" s="45">
        <v>1</v>
      </c>
      <c r="J137" s="45">
        <v>0</v>
      </c>
      <c r="K137" s="45">
        <v>0</v>
      </c>
      <c r="L137" s="45">
        <v>0</v>
      </c>
    </row>
    <row r="138" spans="1:12" x14ac:dyDescent="0.25">
      <c r="A138" s="45" t="s">
        <v>203</v>
      </c>
      <c r="B138">
        <v>10</v>
      </c>
      <c r="C138">
        <v>80</v>
      </c>
      <c r="D138">
        <v>1097</v>
      </c>
      <c r="E138">
        <v>65</v>
      </c>
      <c r="F138">
        <v>4.4000000000000004</v>
      </c>
      <c r="G138">
        <v>79.400000000000006</v>
      </c>
      <c r="H138">
        <v>21</v>
      </c>
      <c r="I138" s="45">
        <v>0</v>
      </c>
      <c r="J138" s="45">
        <v>0</v>
      </c>
      <c r="K138" s="45">
        <v>0</v>
      </c>
      <c r="L138" s="45">
        <v>1</v>
      </c>
    </row>
    <row r="139" spans="1:12" x14ac:dyDescent="0.25">
      <c r="A139" s="45" t="s">
        <v>204</v>
      </c>
      <c r="B139">
        <v>4.5</v>
      </c>
      <c r="C139">
        <v>55</v>
      </c>
      <c r="D139">
        <v>1045</v>
      </c>
      <c r="E139">
        <v>20</v>
      </c>
      <c r="F139">
        <v>4.2</v>
      </c>
      <c r="G139">
        <v>73.900000000000006</v>
      </c>
      <c r="H139">
        <v>19</v>
      </c>
      <c r="I139" s="45">
        <v>1</v>
      </c>
      <c r="J139" s="45">
        <v>0</v>
      </c>
      <c r="K139" s="45">
        <v>0</v>
      </c>
      <c r="L139" s="45">
        <v>0</v>
      </c>
    </row>
    <row r="140" spans="1:12" x14ac:dyDescent="0.25">
      <c r="A140" s="45" t="s">
        <v>205</v>
      </c>
      <c r="B140">
        <v>7.2</v>
      </c>
      <c r="C140">
        <v>50</v>
      </c>
      <c r="D140">
        <v>1068</v>
      </c>
      <c r="E140">
        <v>150</v>
      </c>
      <c r="F140">
        <v>4.4000000000000004</v>
      </c>
      <c r="G140">
        <v>78.599999999999994</v>
      </c>
      <c r="H140">
        <v>19</v>
      </c>
      <c r="I140" s="45">
        <v>0</v>
      </c>
      <c r="J140" s="45">
        <v>0</v>
      </c>
      <c r="K140" s="45">
        <v>0</v>
      </c>
      <c r="L140" s="45">
        <v>1</v>
      </c>
    </row>
    <row r="141" spans="1:12" x14ac:dyDescent="0.25">
      <c r="A141" s="45" t="s">
        <v>206</v>
      </c>
      <c r="B141">
        <v>7.2</v>
      </c>
      <c r="C141">
        <v>250</v>
      </c>
      <c r="D141">
        <v>1065</v>
      </c>
      <c r="E141">
        <v>15</v>
      </c>
      <c r="F141">
        <v>4.4000000000000004</v>
      </c>
      <c r="G141">
        <v>84.6</v>
      </c>
      <c r="H141">
        <v>21</v>
      </c>
      <c r="I141" s="45">
        <v>0</v>
      </c>
      <c r="J141" s="45">
        <v>0</v>
      </c>
      <c r="K141" s="45">
        <v>0</v>
      </c>
      <c r="L141" s="45">
        <v>1</v>
      </c>
    </row>
    <row r="142" spans="1:12" x14ac:dyDescent="0.25">
      <c r="A142" s="45" t="s">
        <v>207</v>
      </c>
      <c r="B142">
        <v>6.7</v>
      </c>
      <c r="C142">
        <v>67</v>
      </c>
      <c r="D142">
        <v>1064</v>
      </c>
      <c r="E142">
        <v>19</v>
      </c>
      <c r="F142">
        <v>4.4000000000000004</v>
      </c>
      <c r="G142">
        <v>79.7</v>
      </c>
      <c r="H142">
        <v>19</v>
      </c>
      <c r="I142" s="45">
        <v>1</v>
      </c>
      <c r="J142" s="45">
        <v>0</v>
      </c>
      <c r="K142" s="45">
        <v>0</v>
      </c>
      <c r="L142" s="45">
        <v>0</v>
      </c>
    </row>
    <row r="143" spans="1:12" x14ac:dyDescent="0.25">
      <c r="A143" s="45" t="s">
        <v>208</v>
      </c>
      <c r="B143">
        <v>7.2</v>
      </c>
      <c r="C143">
        <v>100</v>
      </c>
      <c r="D143">
        <v>1064</v>
      </c>
      <c r="E143">
        <v>12</v>
      </c>
      <c r="F143">
        <v>4.4000000000000004</v>
      </c>
      <c r="G143">
        <v>84</v>
      </c>
      <c r="H143">
        <v>19</v>
      </c>
      <c r="I143" s="45">
        <v>1</v>
      </c>
      <c r="J143" s="45">
        <v>0</v>
      </c>
      <c r="K143" s="45">
        <v>0</v>
      </c>
      <c r="L143" s="45">
        <v>0</v>
      </c>
    </row>
    <row r="144" spans="1:12" x14ac:dyDescent="0.25">
      <c r="A144" s="45" t="s">
        <v>209</v>
      </c>
      <c r="B144">
        <v>4.4000000000000004</v>
      </c>
      <c r="C144">
        <v>70</v>
      </c>
      <c r="D144">
        <v>1045</v>
      </c>
      <c r="E144">
        <v>30</v>
      </c>
      <c r="F144">
        <v>4.4000000000000004</v>
      </c>
      <c r="G144">
        <v>82.9</v>
      </c>
      <c r="H144">
        <v>20</v>
      </c>
      <c r="I144" s="45">
        <v>0</v>
      </c>
      <c r="J144" s="45">
        <v>0</v>
      </c>
      <c r="K144" s="45">
        <v>0</v>
      </c>
      <c r="L144" s="45">
        <v>1</v>
      </c>
    </row>
    <row r="145" spans="1:12" x14ac:dyDescent="0.25">
      <c r="A145" s="45" t="s">
        <v>210</v>
      </c>
      <c r="B145">
        <v>9</v>
      </c>
      <c r="C145">
        <v>70</v>
      </c>
      <c r="D145">
        <v>1090</v>
      </c>
      <c r="E145">
        <v>190</v>
      </c>
      <c r="F145">
        <v>4.4000000000000004</v>
      </c>
      <c r="G145">
        <v>80</v>
      </c>
      <c r="H145">
        <v>21</v>
      </c>
      <c r="I145" s="45">
        <v>0</v>
      </c>
      <c r="J145" s="45">
        <v>0</v>
      </c>
      <c r="K145" s="45">
        <v>0</v>
      </c>
      <c r="L145" s="45">
        <v>1</v>
      </c>
    </row>
    <row r="146" spans="1:12" x14ac:dyDescent="0.25">
      <c r="A146" s="45" t="s">
        <v>211</v>
      </c>
      <c r="B146">
        <v>7.5</v>
      </c>
      <c r="C146">
        <v>80</v>
      </c>
      <c r="D146">
        <v>1069</v>
      </c>
      <c r="E146">
        <v>50</v>
      </c>
      <c r="F146">
        <v>4.4000000000000004</v>
      </c>
      <c r="G146">
        <v>82.6</v>
      </c>
      <c r="H146">
        <v>22</v>
      </c>
      <c r="I146" s="45">
        <v>0</v>
      </c>
      <c r="J146" s="45">
        <v>0</v>
      </c>
      <c r="K146" s="45">
        <v>0</v>
      </c>
      <c r="L146" s="45">
        <v>1</v>
      </c>
    </row>
    <row r="147" spans="1:12" x14ac:dyDescent="0.25">
      <c r="A147" s="45" t="s">
        <v>212</v>
      </c>
      <c r="B147">
        <v>16.100000000000001</v>
      </c>
      <c r="C147">
        <v>85</v>
      </c>
      <c r="D147">
        <v>1125</v>
      </c>
      <c r="E147">
        <v>400</v>
      </c>
      <c r="F147">
        <v>4.3</v>
      </c>
      <c r="G147">
        <v>84</v>
      </c>
      <c r="H147">
        <v>21</v>
      </c>
      <c r="I147" s="45">
        <v>0</v>
      </c>
      <c r="J147" s="45">
        <v>0</v>
      </c>
      <c r="K147" s="45">
        <v>0</v>
      </c>
      <c r="L147" s="45">
        <v>1</v>
      </c>
    </row>
    <row r="148" spans="1:12" x14ac:dyDescent="0.25">
      <c r="A148" s="45" t="s">
        <v>213</v>
      </c>
      <c r="B148">
        <v>6.7</v>
      </c>
      <c r="C148">
        <v>70</v>
      </c>
      <c r="D148">
        <v>1063</v>
      </c>
      <c r="E148">
        <v>30</v>
      </c>
      <c r="F148">
        <v>4.4000000000000004</v>
      </c>
      <c r="G148">
        <v>81</v>
      </c>
      <c r="H148">
        <v>99</v>
      </c>
      <c r="I148" s="45">
        <v>1</v>
      </c>
      <c r="J148" s="45">
        <v>0</v>
      </c>
      <c r="K148" s="45">
        <v>0</v>
      </c>
      <c r="L148" s="45">
        <v>0</v>
      </c>
    </row>
    <row r="149" spans="1:12" x14ac:dyDescent="0.25">
      <c r="A149" s="45" t="s">
        <v>214</v>
      </c>
      <c r="B149">
        <v>2.5</v>
      </c>
      <c r="C149">
        <v>35</v>
      </c>
      <c r="D149">
        <v>1027</v>
      </c>
      <c r="E149">
        <v>10</v>
      </c>
      <c r="F149">
        <v>4.2</v>
      </c>
      <c r="G149">
        <v>70.400000000000006</v>
      </c>
      <c r="H149">
        <v>19</v>
      </c>
      <c r="I149" s="45">
        <v>1</v>
      </c>
      <c r="J149" s="45">
        <v>0</v>
      </c>
      <c r="K149" s="45">
        <v>0</v>
      </c>
      <c r="L149" s="45">
        <v>0</v>
      </c>
    </row>
    <row r="150" spans="1:12" x14ac:dyDescent="0.25">
      <c r="A150" s="45" t="s">
        <v>215</v>
      </c>
      <c r="B150">
        <v>7.4</v>
      </c>
      <c r="C150">
        <v>70</v>
      </c>
      <c r="D150">
        <v>1069</v>
      </c>
      <c r="E150">
        <v>30</v>
      </c>
      <c r="F150">
        <v>4.4000000000000004</v>
      </c>
      <c r="G150">
        <v>82.6</v>
      </c>
      <c r="H150">
        <v>19</v>
      </c>
      <c r="I150" s="45">
        <v>1</v>
      </c>
      <c r="J150" s="45">
        <v>0</v>
      </c>
      <c r="K150" s="45">
        <v>0</v>
      </c>
      <c r="L150" s="45">
        <v>0</v>
      </c>
    </row>
    <row r="151" spans="1:12" x14ac:dyDescent="0.25">
      <c r="A151" s="45" t="s">
        <v>216</v>
      </c>
      <c r="B151">
        <v>2.8</v>
      </c>
      <c r="C151">
        <v>30</v>
      </c>
      <c r="D151">
        <v>1032.5</v>
      </c>
      <c r="E151">
        <v>42</v>
      </c>
      <c r="F151">
        <v>4.4000000000000004</v>
      </c>
      <c r="G151">
        <v>63.1</v>
      </c>
      <c r="H151">
        <v>22</v>
      </c>
      <c r="I151" s="45">
        <v>1</v>
      </c>
      <c r="J151" s="45">
        <v>0</v>
      </c>
      <c r="K151" s="45">
        <v>0</v>
      </c>
      <c r="L151" s="45">
        <v>0</v>
      </c>
    </row>
    <row r="152" spans="1:12" x14ac:dyDescent="0.25">
      <c r="A152" s="45" t="s">
        <v>217</v>
      </c>
      <c r="B152">
        <v>4.2</v>
      </c>
      <c r="C152">
        <v>25</v>
      </c>
      <c r="D152">
        <v>1044</v>
      </c>
      <c r="E152">
        <v>19</v>
      </c>
      <c r="F152">
        <v>4.4000000000000004</v>
      </c>
      <c r="G152">
        <v>72.7</v>
      </c>
      <c r="H152">
        <v>16</v>
      </c>
      <c r="I152" s="45">
        <v>0</v>
      </c>
      <c r="J152" s="45">
        <v>1</v>
      </c>
      <c r="K152" s="45">
        <v>0</v>
      </c>
      <c r="L152" s="45">
        <v>0</v>
      </c>
    </row>
    <row r="153" spans="1:12" x14ac:dyDescent="0.25">
      <c r="A153" s="45" t="s">
        <v>218</v>
      </c>
      <c r="B153">
        <v>5.8</v>
      </c>
      <c r="C153">
        <v>40</v>
      </c>
      <c r="D153">
        <v>1060</v>
      </c>
      <c r="E153">
        <v>35</v>
      </c>
      <c r="F153">
        <v>4.4000000000000004</v>
      </c>
      <c r="G153">
        <v>76.7</v>
      </c>
      <c r="H153">
        <v>19</v>
      </c>
      <c r="I153" s="45">
        <v>1</v>
      </c>
      <c r="J153" s="45">
        <v>0</v>
      </c>
      <c r="K153" s="45">
        <v>0</v>
      </c>
      <c r="L153" s="45">
        <v>0</v>
      </c>
    </row>
    <row r="154" spans="1:12" x14ac:dyDescent="0.25">
      <c r="A154" s="45" t="s">
        <v>219</v>
      </c>
      <c r="B154">
        <v>5.2</v>
      </c>
      <c r="C154">
        <v>50</v>
      </c>
      <c r="D154">
        <v>1050</v>
      </c>
      <c r="E154">
        <v>17</v>
      </c>
      <c r="F154">
        <v>4.4000000000000004</v>
      </c>
      <c r="G154">
        <v>80</v>
      </c>
      <c r="H154">
        <v>19</v>
      </c>
      <c r="I154" s="45">
        <v>1</v>
      </c>
      <c r="J154" s="45">
        <v>0</v>
      </c>
      <c r="K154" s="45">
        <v>0</v>
      </c>
      <c r="L154" s="45">
        <v>0</v>
      </c>
    </row>
    <row r="155" spans="1:12" x14ac:dyDescent="0.25">
      <c r="A155" s="45" t="s">
        <v>220</v>
      </c>
      <c r="B155">
        <v>10</v>
      </c>
      <c r="C155">
        <v>55</v>
      </c>
      <c r="D155">
        <v>1128</v>
      </c>
      <c r="E155">
        <v>300</v>
      </c>
      <c r="F155">
        <v>4.4000000000000004</v>
      </c>
      <c r="G155">
        <v>89</v>
      </c>
      <c r="H155">
        <v>21</v>
      </c>
      <c r="I155" s="45">
        <v>0</v>
      </c>
      <c r="J155" s="45">
        <v>0</v>
      </c>
      <c r="K155" s="45">
        <v>0</v>
      </c>
      <c r="L155" s="45">
        <v>1</v>
      </c>
    </row>
    <row r="156" spans="1:12" x14ac:dyDescent="0.25">
      <c r="A156" s="45" t="s">
        <v>221</v>
      </c>
      <c r="B156">
        <v>12.8</v>
      </c>
      <c r="C156">
        <v>70</v>
      </c>
      <c r="D156">
        <v>1108</v>
      </c>
      <c r="E156">
        <v>79</v>
      </c>
      <c r="F156">
        <v>4.4000000000000004</v>
      </c>
      <c r="G156">
        <v>81.5</v>
      </c>
      <c r="H156">
        <v>18</v>
      </c>
      <c r="I156" s="45">
        <v>0</v>
      </c>
      <c r="J156" s="45">
        <v>0</v>
      </c>
      <c r="K156" s="45">
        <v>0</v>
      </c>
      <c r="L156" s="45">
        <v>1</v>
      </c>
    </row>
    <row r="157" spans="1:12" x14ac:dyDescent="0.25">
      <c r="A157" s="45" t="s">
        <v>222</v>
      </c>
      <c r="B157">
        <v>8.3000000000000007</v>
      </c>
      <c r="C157">
        <v>70</v>
      </c>
      <c r="D157">
        <v>1076</v>
      </c>
      <c r="E157">
        <v>30</v>
      </c>
      <c r="F157">
        <v>4.4000000000000004</v>
      </c>
      <c r="G157">
        <v>82.9</v>
      </c>
      <c r="H157">
        <v>21</v>
      </c>
      <c r="I157" s="45">
        <v>0</v>
      </c>
      <c r="J157" s="45">
        <v>0</v>
      </c>
      <c r="K157" s="45">
        <v>0</v>
      </c>
      <c r="L157" s="45">
        <v>1</v>
      </c>
    </row>
    <row r="158" spans="1:12" x14ac:dyDescent="0.25">
      <c r="A158" s="45" t="s">
        <v>223</v>
      </c>
      <c r="B158">
        <v>6.5</v>
      </c>
      <c r="C158">
        <v>55</v>
      </c>
      <c r="D158">
        <v>1059</v>
      </c>
      <c r="E158">
        <v>50</v>
      </c>
      <c r="F158">
        <v>4.4000000000000004</v>
      </c>
      <c r="G158">
        <v>81.400000000000006</v>
      </c>
      <c r="H158">
        <v>19</v>
      </c>
      <c r="I158" s="45">
        <v>1</v>
      </c>
      <c r="J158" s="45">
        <v>0</v>
      </c>
      <c r="K158" s="45">
        <v>0</v>
      </c>
      <c r="L158" s="45">
        <v>0</v>
      </c>
    </row>
    <row r="159" spans="1:12" x14ac:dyDescent="0.25">
      <c r="A159" s="45" t="s">
        <v>224</v>
      </c>
      <c r="B159">
        <v>6</v>
      </c>
      <c r="C159">
        <v>60</v>
      </c>
      <c r="D159">
        <v>1056</v>
      </c>
      <c r="E159">
        <v>17</v>
      </c>
      <c r="F159">
        <v>4.4000000000000004</v>
      </c>
      <c r="G159">
        <v>82.14</v>
      </c>
      <c r="H159">
        <v>19</v>
      </c>
      <c r="I159" s="45">
        <v>1</v>
      </c>
      <c r="J159" s="45">
        <v>0</v>
      </c>
      <c r="K159" s="45">
        <v>0</v>
      </c>
      <c r="L159" s="45">
        <v>0</v>
      </c>
    </row>
    <row r="160" spans="1:12" x14ac:dyDescent="0.25">
      <c r="A160" s="45" t="s">
        <v>225</v>
      </c>
      <c r="B160">
        <v>3</v>
      </c>
      <c r="C160">
        <v>8</v>
      </c>
      <c r="D160">
        <v>1007</v>
      </c>
      <c r="E160">
        <v>9</v>
      </c>
      <c r="F160">
        <v>3.2</v>
      </c>
      <c r="G160">
        <v>82.5</v>
      </c>
      <c r="H160">
        <v>19</v>
      </c>
      <c r="I160" s="45">
        <v>1</v>
      </c>
      <c r="J160" s="45">
        <v>0</v>
      </c>
      <c r="K160" s="45">
        <v>0</v>
      </c>
      <c r="L160" s="45">
        <v>0</v>
      </c>
    </row>
    <row r="161" spans="1:12" x14ac:dyDescent="0.25">
      <c r="A161" s="45" t="s">
        <v>226</v>
      </c>
      <c r="B161">
        <v>7.6</v>
      </c>
      <c r="C161">
        <v>175</v>
      </c>
      <c r="D161">
        <v>1072</v>
      </c>
      <c r="E161">
        <v>40</v>
      </c>
      <c r="F161">
        <v>4.4000000000000004</v>
      </c>
      <c r="G161">
        <v>80.599999999999994</v>
      </c>
      <c r="H161">
        <v>21</v>
      </c>
      <c r="I161" s="45">
        <v>0</v>
      </c>
      <c r="J161" s="45">
        <v>0</v>
      </c>
      <c r="K161" s="45">
        <v>0</v>
      </c>
      <c r="L161" s="45">
        <v>1</v>
      </c>
    </row>
    <row r="162" spans="1:12" x14ac:dyDescent="0.25">
      <c r="A162" s="45" t="s">
        <v>227</v>
      </c>
      <c r="B162">
        <v>5.5</v>
      </c>
      <c r="C162">
        <v>35</v>
      </c>
      <c r="D162">
        <v>1053</v>
      </c>
      <c r="E162">
        <v>25</v>
      </c>
      <c r="F162">
        <v>4.4000000000000004</v>
      </c>
      <c r="G162">
        <v>79.3</v>
      </c>
      <c r="H162">
        <v>17</v>
      </c>
      <c r="I162" s="45">
        <v>1</v>
      </c>
      <c r="J162" s="45">
        <v>0</v>
      </c>
      <c r="K162" s="45">
        <v>0</v>
      </c>
      <c r="L162" s="45">
        <v>0</v>
      </c>
    </row>
    <row r="163" spans="1:12" x14ac:dyDescent="0.25">
      <c r="A163" s="45" t="s">
        <v>228</v>
      </c>
      <c r="B163">
        <v>8.8000000000000007</v>
      </c>
      <c r="C163">
        <v>40</v>
      </c>
      <c r="D163">
        <v>1084</v>
      </c>
      <c r="E163">
        <v>190</v>
      </c>
      <c r="F163">
        <v>4.5</v>
      </c>
      <c r="G163">
        <v>79.8</v>
      </c>
      <c r="H163">
        <v>21</v>
      </c>
      <c r="I163" s="45">
        <v>0</v>
      </c>
      <c r="J163" s="45">
        <v>0</v>
      </c>
      <c r="K163" s="45">
        <v>0</v>
      </c>
      <c r="L163" s="45">
        <v>1</v>
      </c>
    </row>
    <row r="164" spans="1:12" x14ac:dyDescent="0.25">
      <c r="A164" s="45" t="s">
        <v>229</v>
      </c>
      <c r="B164">
        <v>5.2</v>
      </c>
      <c r="C164">
        <v>45</v>
      </c>
      <c r="D164">
        <v>1048</v>
      </c>
      <c r="E164">
        <v>35</v>
      </c>
      <c r="F164">
        <v>4.4000000000000004</v>
      </c>
      <c r="G164">
        <v>77.099999999999994</v>
      </c>
      <c r="H164">
        <v>19</v>
      </c>
      <c r="I164" s="45">
        <v>1</v>
      </c>
      <c r="J164" s="45">
        <v>0</v>
      </c>
      <c r="K164" s="45">
        <v>0</v>
      </c>
      <c r="L164" s="45">
        <v>0</v>
      </c>
    </row>
    <row r="165" spans="1:12" x14ac:dyDescent="0.25">
      <c r="A165" s="45" t="s">
        <v>230</v>
      </c>
      <c r="B165">
        <v>5.2</v>
      </c>
      <c r="C165">
        <v>55</v>
      </c>
      <c r="D165">
        <v>1053</v>
      </c>
      <c r="E165">
        <v>165</v>
      </c>
      <c r="F165">
        <v>5.2</v>
      </c>
      <c r="G165">
        <v>75.5</v>
      </c>
      <c r="H165">
        <v>19</v>
      </c>
      <c r="I165" s="45">
        <v>1</v>
      </c>
      <c r="J165" s="45">
        <v>0</v>
      </c>
      <c r="K165" s="45">
        <v>0</v>
      </c>
      <c r="L165" s="45">
        <v>0</v>
      </c>
    </row>
    <row r="166" spans="1:12" x14ac:dyDescent="0.25">
      <c r="A166" s="45" t="s">
        <v>231</v>
      </c>
      <c r="B166">
        <v>8</v>
      </c>
      <c r="C166">
        <v>85</v>
      </c>
      <c r="D166">
        <v>1074</v>
      </c>
      <c r="E166">
        <v>35</v>
      </c>
      <c r="F166">
        <v>5.2</v>
      </c>
      <c r="G166">
        <v>82.4</v>
      </c>
      <c r="H166">
        <v>19</v>
      </c>
      <c r="I166" s="45">
        <v>1</v>
      </c>
      <c r="J166" s="45">
        <v>0</v>
      </c>
      <c r="K166" s="45">
        <v>0</v>
      </c>
      <c r="L166" s="45">
        <v>0</v>
      </c>
    </row>
    <row r="167" spans="1:12" x14ac:dyDescent="0.25">
      <c r="A167" s="45" t="s">
        <v>232</v>
      </c>
      <c r="B167">
        <v>6.7</v>
      </c>
      <c r="C167">
        <v>70</v>
      </c>
      <c r="D167">
        <v>1066</v>
      </c>
      <c r="E167">
        <v>30</v>
      </c>
      <c r="F167">
        <v>4.4000000000000004</v>
      </c>
      <c r="G167">
        <v>77.3</v>
      </c>
      <c r="H167">
        <v>19</v>
      </c>
      <c r="I167" s="45">
        <v>1</v>
      </c>
      <c r="J167" s="45">
        <v>0</v>
      </c>
      <c r="K167" s="45">
        <v>0</v>
      </c>
      <c r="L167" s="45">
        <v>0</v>
      </c>
    </row>
    <row r="168" spans="1:12" x14ac:dyDescent="0.25">
      <c r="A168" s="45" t="s">
        <v>233</v>
      </c>
      <c r="B168">
        <v>15</v>
      </c>
      <c r="C168">
        <v>90</v>
      </c>
      <c r="D168">
        <v>1120</v>
      </c>
      <c r="E168">
        <v>100</v>
      </c>
      <c r="F168">
        <v>4.4000000000000004</v>
      </c>
      <c r="G168">
        <v>98</v>
      </c>
      <c r="H168">
        <v>19</v>
      </c>
      <c r="I168" s="45">
        <v>1</v>
      </c>
      <c r="J168" s="45">
        <v>0</v>
      </c>
      <c r="K168" s="45">
        <v>0</v>
      </c>
      <c r="L168" s="45">
        <v>0</v>
      </c>
    </row>
    <row r="169" spans="1:12" x14ac:dyDescent="0.25">
      <c r="A169" s="45" t="s">
        <v>234</v>
      </c>
      <c r="B169">
        <v>11.5</v>
      </c>
      <c r="C169">
        <v>50</v>
      </c>
      <c r="D169">
        <v>1104</v>
      </c>
      <c r="E169">
        <v>38</v>
      </c>
      <c r="F169">
        <v>4.4000000000000004</v>
      </c>
      <c r="G169">
        <v>85</v>
      </c>
      <c r="H169">
        <v>21</v>
      </c>
      <c r="I169" s="45">
        <v>0</v>
      </c>
      <c r="J169" s="45">
        <v>0</v>
      </c>
      <c r="K169" s="45">
        <v>0</v>
      </c>
      <c r="L169" s="45">
        <v>1</v>
      </c>
    </row>
    <row r="170" spans="1:12" x14ac:dyDescent="0.25">
      <c r="A170" s="45" t="s">
        <v>235</v>
      </c>
      <c r="B170">
        <v>7.1</v>
      </c>
      <c r="C170">
        <v>80</v>
      </c>
      <c r="D170">
        <v>1067</v>
      </c>
      <c r="E170">
        <v>71</v>
      </c>
      <c r="F170">
        <v>4.4000000000000004</v>
      </c>
      <c r="G170">
        <v>79</v>
      </c>
      <c r="H170">
        <v>19</v>
      </c>
      <c r="I170" s="45">
        <v>1</v>
      </c>
      <c r="J170" s="45">
        <v>0</v>
      </c>
      <c r="K170" s="45">
        <v>0</v>
      </c>
      <c r="L170" s="45">
        <v>0</v>
      </c>
    </row>
    <row r="171" spans="1:12" x14ac:dyDescent="0.25">
      <c r="A171" s="45" t="s">
        <v>236</v>
      </c>
      <c r="B171" s="31"/>
      <c r="C171">
        <v>45</v>
      </c>
      <c r="D171">
        <v>1089</v>
      </c>
      <c r="E171">
        <v>15</v>
      </c>
      <c r="F171">
        <v>4.4000000000000004</v>
      </c>
      <c r="G171">
        <v>94.4</v>
      </c>
      <c r="H171">
        <v>23</v>
      </c>
      <c r="I171" s="45">
        <v>0</v>
      </c>
      <c r="J171" s="45">
        <v>0</v>
      </c>
      <c r="K171" s="45">
        <v>1</v>
      </c>
      <c r="L171" s="45">
        <v>0</v>
      </c>
    </row>
    <row r="172" spans="1:12" x14ac:dyDescent="0.25">
      <c r="A172" s="45" t="s">
        <v>237</v>
      </c>
      <c r="B172">
        <v>7.5</v>
      </c>
      <c r="C172">
        <v>0</v>
      </c>
      <c r="D172">
        <v>1069</v>
      </c>
      <c r="E172">
        <v>50</v>
      </c>
      <c r="F172">
        <v>4.4000000000000004</v>
      </c>
      <c r="G172">
        <v>81.099999999999994</v>
      </c>
      <c r="H172">
        <v>19</v>
      </c>
      <c r="I172" s="45">
        <v>1</v>
      </c>
      <c r="J172" s="45">
        <v>0</v>
      </c>
      <c r="K172" s="45">
        <v>0</v>
      </c>
      <c r="L172" s="45">
        <v>0</v>
      </c>
    </row>
    <row r="173" spans="1:12" x14ac:dyDescent="0.25">
      <c r="A173" s="45" t="s">
        <v>238</v>
      </c>
      <c r="B173">
        <v>7.2</v>
      </c>
      <c r="C173">
        <v>130</v>
      </c>
      <c r="D173">
        <v>1065</v>
      </c>
      <c r="E173">
        <v>14</v>
      </c>
      <c r="F173">
        <v>5.2</v>
      </c>
      <c r="G173">
        <v>87</v>
      </c>
      <c r="H173">
        <v>20</v>
      </c>
      <c r="I173" s="45">
        <v>1</v>
      </c>
      <c r="J173" s="45">
        <v>0</v>
      </c>
      <c r="K173" s="45">
        <v>0</v>
      </c>
      <c r="L173" s="45">
        <v>0</v>
      </c>
    </row>
    <row r="174" spans="1:12" x14ac:dyDescent="0.25">
      <c r="A174" s="45" t="s">
        <v>239</v>
      </c>
      <c r="B174">
        <v>5.2</v>
      </c>
      <c r="C174">
        <v>55</v>
      </c>
      <c r="D174">
        <v>1052</v>
      </c>
      <c r="E174">
        <v>200</v>
      </c>
      <c r="F174">
        <v>5.2</v>
      </c>
      <c r="G174">
        <v>73.099999999999994</v>
      </c>
      <c r="H174">
        <v>19</v>
      </c>
      <c r="I174" s="45">
        <v>1</v>
      </c>
      <c r="J174" s="45">
        <v>0</v>
      </c>
      <c r="K174" s="45">
        <v>0</v>
      </c>
      <c r="L174" s="45">
        <v>0</v>
      </c>
    </row>
    <row r="175" spans="1:12" x14ac:dyDescent="0.25">
      <c r="A175" s="45" t="s">
        <v>240</v>
      </c>
      <c r="B175">
        <v>6.8</v>
      </c>
      <c r="C175">
        <v>30</v>
      </c>
      <c r="D175">
        <v>1068</v>
      </c>
      <c r="E175">
        <v>86</v>
      </c>
      <c r="F175">
        <v>4.4000000000000004</v>
      </c>
      <c r="G175">
        <v>76.5</v>
      </c>
      <c r="H175">
        <v>19</v>
      </c>
      <c r="I175" s="45">
        <v>1</v>
      </c>
      <c r="J175" s="45">
        <v>0</v>
      </c>
      <c r="K175" s="45">
        <v>0</v>
      </c>
      <c r="L175" s="45">
        <v>0</v>
      </c>
    </row>
    <row r="176" spans="1:12" x14ac:dyDescent="0.25">
      <c r="A176" s="45" t="s">
        <v>241</v>
      </c>
      <c r="B176">
        <v>5.5</v>
      </c>
      <c r="C176">
        <v>60</v>
      </c>
      <c r="D176">
        <v>1062</v>
      </c>
      <c r="E176">
        <v>230</v>
      </c>
      <c r="F176">
        <v>4.4000000000000004</v>
      </c>
      <c r="G176">
        <v>67.7</v>
      </c>
      <c r="H176">
        <v>19</v>
      </c>
      <c r="I176" s="45">
        <v>1</v>
      </c>
      <c r="J176" s="45">
        <v>0</v>
      </c>
      <c r="K176" s="45">
        <v>0</v>
      </c>
      <c r="L176" s="45">
        <v>0</v>
      </c>
    </row>
    <row r="177" spans="1:12" x14ac:dyDescent="0.25">
      <c r="A177" s="45" t="s">
        <v>242</v>
      </c>
      <c r="B177">
        <v>5.2</v>
      </c>
      <c r="C177">
        <v>40</v>
      </c>
      <c r="D177">
        <v>1048</v>
      </c>
      <c r="E177">
        <v>13</v>
      </c>
      <c r="F177">
        <v>4.4000000000000004</v>
      </c>
      <c r="G177">
        <v>79.2</v>
      </c>
      <c r="H177">
        <v>19</v>
      </c>
      <c r="I177" s="45">
        <v>1</v>
      </c>
      <c r="J177" s="45">
        <v>0</v>
      </c>
      <c r="K177" s="45">
        <v>0</v>
      </c>
      <c r="L177" s="45">
        <v>0</v>
      </c>
    </row>
    <row r="178" spans="1:12" x14ac:dyDescent="0.25">
      <c r="A178" s="45" t="s">
        <v>243</v>
      </c>
      <c r="B178">
        <v>6.7</v>
      </c>
      <c r="C178">
        <v>70</v>
      </c>
      <c r="D178">
        <v>1066</v>
      </c>
      <c r="E178">
        <v>30</v>
      </c>
      <c r="F178">
        <v>4.4000000000000004</v>
      </c>
      <c r="G178">
        <v>77.3</v>
      </c>
      <c r="H178">
        <v>19</v>
      </c>
      <c r="I178" s="45">
        <v>1</v>
      </c>
      <c r="J178" s="45">
        <v>0</v>
      </c>
      <c r="K178" s="45">
        <v>0</v>
      </c>
      <c r="L178" s="45">
        <v>0</v>
      </c>
    </row>
    <row r="179" spans="1:12" x14ac:dyDescent="0.25">
      <c r="A179" s="45" t="s">
        <v>244</v>
      </c>
      <c r="B179">
        <v>5</v>
      </c>
      <c r="C179">
        <v>50</v>
      </c>
      <c r="D179">
        <v>1053</v>
      </c>
      <c r="E179">
        <v>200</v>
      </c>
      <c r="F179">
        <v>4.4000000000000004</v>
      </c>
      <c r="G179">
        <v>73.599999999999994</v>
      </c>
      <c r="H179">
        <v>19</v>
      </c>
      <c r="I179" s="45">
        <v>1</v>
      </c>
      <c r="J179" s="45">
        <v>0</v>
      </c>
      <c r="K179" s="45">
        <v>0</v>
      </c>
      <c r="L179" s="45">
        <v>0</v>
      </c>
    </row>
    <row r="180" spans="1:12" x14ac:dyDescent="0.25">
      <c r="A180" s="45" t="s">
        <v>245</v>
      </c>
      <c r="B180">
        <v>9</v>
      </c>
      <c r="C180">
        <v>85</v>
      </c>
      <c r="D180">
        <v>1094</v>
      </c>
      <c r="E180">
        <v>400</v>
      </c>
      <c r="F180">
        <v>4.3</v>
      </c>
      <c r="G180">
        <v>73.400000000000006</v>
      </c>
      <c r="H180">
        <v>21</v>
      </c>
      <c r="I180" s="45">
        <v>0</v>
      </c>
      <c r="J180" s="45">
        <v>0</v>
      </c>
      <c r="K180" s="45">
        <v>0</v>
      </c>
      <c r="L180" s="45">
        <v>1</v>
      </c>
    </row>
    <row r="181" spans="1:12" x14ac:dyDescent="0.25">
      <c r="A181" s="45" t="s">
        <v>246</v>
      </c>
      <c r="B181">
        <v>9.1999999999999993</v>
      </c>
      <c r="C181">
        <v>65</v>
      </c>
      <c r="D181">
        <v>1069</v>
      </c>
      <c r="E181">
        <v>60</v>
      </c>
      <c r="F181">
        <v>4.2</v>
      </c>
      <c r="G181">
        <v>82.6</v>
      </c>
      <c r="H181">
        <v>18</v>
      </c>
      <c r="I181" s="45">
        <v>1</v>
      </c>
      <c r="J181" s="45">
        <v>0</v>
      </c>
      <c r="K181" s="45">
        <v>0</v>
      </c>
      <c r="L181" s="45">
        <v>0</v>
      </c>
    </row>
    <row r="182" spans="1:12" x14ac:dyDescent="0.25">
      <c r="A182" s="45" t="s">
        <v>247</v>
      </c>
      <c r="B182">
        <v>13.8</v>
      </c>
      <c r="C182">
        <v>60</v>
      </c>
      <c r="D182">
        <v>1088</v>
      </c>
      <c r="E182">
        <v>25</v>
      </c>
      <c r="F182">
        <v>4.4000000000000004</v>
      </c>
      <c r="G182">
        <v>83</v>
      </c>
      <c r="H182">
        <v>21</v>
      </c>
      <c r="I182" s="45">
        <v>0</v>
      </c>
      <c r="J182" s="45">
        <v>0</v>
      </c>
      <c r="K182" s="45">
        <v>0</v>
      </c>
      <c r="L182" s="45">
        <v>1</v>
      </c>
    </row>
    <row r="183" spans="1:12" x14ac:dyDescent="0.25">
      <c r="A183" s="45" t="s">
        <v>248</v>
      </c>
      <c r="B183">
        <v>4.5</v>
      </c>
      <c r="C183">
        <v>40</v>
      </c>
      <c r="D183">
        <v>1045</v>
      </c>
      <c r="E183">
        <v>18</v>
      </c>
      <c r="F183">
        <v>4.2</v>
      </c>
      <c r="G183">
        <v>75.599999999999994</v>
      </c>
      <c r="H183">
        <v>19</v>
      </c>
      <c r="I183" s="45">
        <v>1</v>
      </c>
      <c r="J183" s="45">
        <v>0</v>
      </c>
      <c r="K183" s="45">
        <v>0</v>
      </c>
      <c r="L183" s="45">
        <v>0</v>
      </c>
    </row>
    <row r="184" spans="1:12" x14ac:dyDescent="0.25">
      <c r="A184" s="45" t="s">
        <v>249</v>
      </c>
      <c r="B184">
        <v>3.2</v>
      </c>
      <c r="C184">
        <v>8</v>
      </c>
      <c r="D184">
        <v>1007</v>
      </c>
      <c r="E184">
        <v>8</v>
      </c>
      <c r="F184">
        <v>3.2</v>
      </c>
      <c r="G184">
        <v>78</v>
      </c>
      <c r="H184">
        <v>21</v>
      </c>
      <c r="I184" s="45">
        <v>1</v>
      </c>
      <c r="J184" s="45">
        <v>0</v>
      </c>
      <c r="K184" s="45">
        <v>0</v>
      </c>
      <c r="L184" s="45">
        <v>0</v>
      </c>
    </row>
    <row r="185" spans="1:12" x14ac:dyDescent="0.25">
      <c r="A185" s="45" t="s">
        <v>250</v>
      </c>
      <c r="B185">
        <v>16.100000000000001</v>
      </c>
      <c r="C185">
        <v>100</v>
      </c>
      <c r="D185">
        <v>1015</v>
      </c>
      <c r="E185">
        <v>500</v>
      </c>
      <c r="F185">
        <v>4.4000000000000004</v>
      </c>
      <c r="G185">
        <v>84</v>
      </c>
      <c r="H185">
        <v>21</v>
      </c>
      <c r="I185" s="45">
        <v>0</v>
      </c>
      <c r="J185" s="45">
        <v>0</v>
      </c>
      <c r="K185" s="45">
        <v>0</v>
      </c>
      <c r="L185" s="45">
        <v>1</v>
      </c>
    </row>
    <row r="186" spans="1:12" x14ac:dyDescent="0.25">
      <c r="A186" s="45" t="s">
        <v>251</v>
      </c>
      <c r="B186">
        <v>4.7</v>
      </c>
      <c r="C186">
        <v>25</v>
      </c>
      <c r="D186">
        <v>1008</v>
      </c>
      <c r="E186">
        <v>25</v>
      </c>
      <c r="F186">
        <v>4.2</v>
      </c>
      <c r="G186">
        <v>75.599999999999994</v>
      </c>
      <c r="H186">
        <v>12</v>
      </c>
      <c r="I186" s="45">
        <v>0</v>
      </c>
      <c r="J186" s="45">
        <v>1</v>
      </c>
      <c r="K186" s="45">
        <v>0</v>
      </c>
      <c r="L186" s="45">
        <v>0</v>
      </c>
    </row>
    <row r="187" spans="1:12" x14ac:dyDescent="0.25">
      <c r="A187" s="45" t="s">
        <v>252</v>
      </c>
      <c r="B187">
        <v>14.2</v>
      </c>
      <c r="C187">
        <v>20</v>
      </c>
      <c r="D187">
        <v>1025</v>
      </c>
      <c r="E187">
        <v>67</v>
      </c>
      <c r="F187">
        <v>4</v>
      </c>
      <c r="G187">
        <v>75.599999999999994</v>
      </c>
      <c r="H187">
        <v>21</v>
      </c>
      <c r="I187" s="45">
        <v>0</v>
      </c>
      <c r="J187" s="45">
        <v>0</v>
      </c>
      <c r="K187" s="45">
        <v>0</v>
      </c>
      <c r="L187" s="45">
        <v>1</v>
      </c>
    </row>
    <row r="188" spans="1:12" x14ac:dyDescent="0.25">
      <c r="A188" s="45" t="s">
        <v>253</v>
      </c>
      <c r="B188">
        <v>13</v>
      </c>
      <c r="C188">
        <v>100</v>
      </c>
      <c r="D188">
        <v>1015</v>
      </c>
      <c r="E188">
        <v>300</v>
      </c>
      <c r="F188">
        <v>4.4000000000000004</v>
      </c>
      <c r="G188">
        <v>84.4</v>
      </c>
      <c r="H188">
        <v>21</v>
      </c>
      <c r="I188" s="45">
        <v>0</v>
      </c>
      <c r="J188" s="45">
        <v>0</v>
      </c>
      <c r="K188" s="45">
        <v>0</v>
      </c>
      <c r="L188" s="45">
        <v>1</v>
      </c>
    </row>
    <row r="189" spans="1:12" x14ac:dyDescent="0.25">
      <c r="A189" s="45" t="s">
        <v>254</v>
      </c>
      <c r="B189">
        <v>7.2</v>
      </c>
      <c r="C189">
        <v>250</v>
      </c>
      <c r="D189">
        <v>1065</v>
      </c>
      <c r="E189">
        <v>15</v>
      </c>
      <c r="F189">
        <v>4.4000000000000004</v>
      </c>
      <c r="G189">
        <v>84.6</v>
      </c>
      <c r="H189">
        <v>21</v>
      </c>
      <c r="I189" s="45">
        <v>0</v>
      </c>
      <c r="J189" s="45">
        <v>0</v>
      </c>
      <c r="K189" s="45">
        <v>0</v>
      </c>
      <c r="L189" s="45">
        <v>1</v>
      </c>
    </row>
    <row r="190" spans="1:12" x14ac:dyDescent="0.25">
      <c r="A190" s="45" t="s">
        <v>255</v>
      </c>
      <c r="B190">
        <v>9.1999999999999993</v>
      </c>
      <c r="C190">
        <v>50</v>
      </c>
      <c r="D190">
        <v>1016</v>
      </c>
      <c r="E190">
        <v>78.8</v>
      </c>
      <c r="F190">
        <v>4.2</v>
      </c>
      <c r="G190">
        <v>81</v>
      </c>
      <c r="H190">
        <v>21</v>
      </c>
      <c r="I190" s="45">
        <v>0</v>
      </c>
      <c r="J190" s="45">
        <v>0</v>
      </c>
      <c r="K190" s="45">
        <v>0</v>
      </c>
      <c r="L190" s="45">
        <v>1</v>
      </c>
    </row>
    <row r="191" spans="1:12" x14ac:dyDescent="0.25">
      <c r="A191" s="45" t="s">
        <v>256</v>
      </c>
      <c r="B191">
        <v>4.9000000000000004</v>
      </c>
      <c r="C191">
        <v>18</v>
      </c>
      <c r="D191">
        <v>1010</v>
      </c>
      <c r="E191">
        <v>13</v>
      </c>
      <c r="F191">
        <v>4.2</v>
      </c>
      <c r="G191">
        <v>78.7</v>
      </c>
      <c r="H191">
        <v>12</v>
      </c>
      <c r="I191" s="45">
        <v>0</v>
      </c>
      <c r="J191" s="45">
        <v>1</v>
      </c>
      <c r="K191" s="45">
        <v>0</v>
      </c>
      <c r="L191" s="45">
        <v>0</v>
      </c>
    </row>
    <row r="192" spans="1:12" x14ac:dyDescent="0.25">
      <c r="A192" s="45" t="s">
        <v>257</v>
      </c>
      <c r="B192">
        <v>7.2</v>
      </c>
      <c r="C192">
        <v>250</v>
      </c>
      <c r="D192">
        <v>1065</v>
      </c>
      <c r="E192">
        <v>17</v>
      </c>
      <c r="F192">
        <v>4.4000000000000004</v>
      </c>
      <c r="G192">
        <v>84.6</v>
      </c>
      <c r="H192">
        <v>21</v>
      </c>
      <c r="I192" s="45">
        <v>0</v>
      </c>
      <c r="J192" s="45">
        <v>0</v>
      </c>
      <c r="K192" s="45">
        <v>0</v>
      </c>
      <c r="L192" s="45">
        <v>1</v>
      </c>
    </row>
    <row r="193" spans="1:12" x14ac:dyDescent="0.25">
      <c r="A193" s="45" t="s">
        <v>258</v>
      </c>
      <c r="B193">
        <v>7.2</v>
      </c>
      <c r="C193">
        <v>250</v>
      </c>
      <c r="D193">
        <v>1065</v>
      </c>
      <c r="E193">
        <v>104</v>
      </c>
      <c r="F193">
        <v>4.4000000000000004</v>
      </c>
      <c r="G193">
        <v>84.6</v>
      </c>
      <c r="H193">
        <v>21</v>
      </c>
      <c r="I193" s="45">
        <v>0</v>
      </c>
      <c r="J193" s="45">
        <v>0</v>
      </c>
      <c r="K193" s="45">
        <v>0</v>
      </c>
      <c r="L193" s="45">
        <v>1</v>
      </c>
    </row>
    <row r="194" spans="1:12" x14ac:dyDescent="0.25">
      <c r="A194" s="45" t="s">
        <v>259</v>
      </c>
      <c r="B194">
        <v>4.5</v>
      </c>
      <c r="C194">
        <v>40</v>
      </c>
      <c r="D194">
        <v>1045</v>
      </c>
      <c r="E194">
        <v>18</v>
      </c>
      <c r="F194">
        <v>4.2</v>
      </c>
      <c r="G194">
        <v>75.599999999999994</v>
      </c>
      <c r="H194">
        <v>19</v>
      </c>
      <c r="I194" s="45">
        <v>1</v>
      </c>
      <c r="J194" s="45">
        <v>0</v>
      </c>
      <c r="K194" s="45">
        <v>0</v>
      </c>
      <c r="L194" s="45">
        <v>0</v>
      </c>
    </row>
    <row r="195" spans="1:12" x14ac:dyDescent="0.25">
      <c r="A195" s="45" t="s">
        <v>260</v>
      </c>
      <c r="B195">
        <v>4.5</v>
      </c>
      <c r="C195">
        <v>40</v>
      </c>
      <c r="D195">
        <v>1045</v>
      </c>
      <c r="E195">
        <v>18</v>
      </c>
      <c r="F195">
        <v>4.2</v>
      </c>
      <c r="G195">
        <v>75.599999999999994</v>
      </c>
      <c r="H195">
        <v>19</v>
      </c>
      <c r="I195" s="45">
        <v>1</v>
      </c>
      <c r="J195" s="45">
        <v>0</v>
      </c>
      <c r="K195" s="45">
        <v>0</v>
      </c>
      <c r="L195" s="45">
        <v>0</v>
      </c>
    </row>
    <row r="196" spans="1:12" x14ac:dyDescent="0.25">
      <c r="A196" s="45" t="s">
        <v>261</v>
      </c>
      <c r="B196">
        <v>4.5</v>
      </c>
      <c r="C196">
        <v>40</v>
      </c>
      <c r="D196">
        <v>1045</v>
      </c>
      <c r="E196">
        <v>18</v>
      </c>
      <c r="F196">
        <v>4.2</v>
      </c>
      <c r="G196">
        <v>75.599999999999994</v>
      </c>
      <c r="H196">
        <v>19</v>
      </c>
      <c r="I196" s="45">
        <v>1</v>
      </c>
      <c r="J196" s="45">
        <v>0</v>
      </c>
      <c r="K196" s="45">
        <v>0</v>
      </c>
      <c r="L196" s="45">
        <v>0</v>
      </c>
    </row>
    <row r="197" spans="1:12" x14ac:dyDescent="0.25">
      <c r="A197" s="45" t="s">
        <v>262</v>
      </c>
      <c r="B197">
        <v>7.6</v>
      </c>
      <c r="C197">
        <v>70</v>
      </c>
      <c r="D197">
        <v>1067</v>
      </c>
      <c r="E197">
        <v>20</v>
      </c>
      <c r="F197">
        <v>4.4000000000000004</v>
      </c>
      <c r="G197">
        <v>82</v>
      </c>
      <c r="H197">
        <v>21</v>
      </c>
      <c r="I197" s="45">
        <v>0</v>
      </c>
      <c r="J197" s="45">
        <v>0</v>
      </c>
      <c r="K197" s="45">
        <v>0</v>
      </c>
      <c r="L197" s="45">
        <v>1</v>
      </c>
    </row>
    <row r="198" spans="1:12" x14ac:dyDescent="0.25">
      <c r="A198" s="4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64E37-766E-4534-B492-B62F4ACEF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AHP</vt:lpstr>
      <vt:lpstr>AHP (Sensitivity)</vt:lpstr>
      <vt:lpstr>TOPSIS</vt:lpstr>
      <vt:lpstr>TOPSIS (sensitivity)</vt:lpstr>
      <vt:lpstr>Results</vt:lpstr>
      <vt:lpstr>Weights</vt:lpstr>
      <vt:lpstr>C11</vt:lpstr>
      <vt:lpstr>C12</vt:lpstr>
      <vt:lpstr>C2</vt:lpstr>
      <vt:lpstr>C3</vt:lpstr>
      <vt:lpstr>C4</vt:lpstr>
      <vt:lpstr>C5</vt:lpstr>
      <vt:lpstr>EBC-BrewdogNew</vt:lpstr>
      <vt:lpstr>EBC-Pearson</vt:lpstr>
      <vt:lpstr>ABV-BrewdogNew</vt:lpstr>
      <vt:lpstr>ABV-Pearson</vt:lpstr>
      <vt:lpstr>ABV-final result</vt:lpstr>
      <vt:lpstr>ABV-BrewdogNew-csv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Mozi</dc:creator>
  <cp:lastModifiedBy>Mojtaba Mozi</cp:lastModifiedBy>
  <dcterms:created xsi:type="dcterms:W3CDTF">2021-11-25T09:18:29Z</dcterms:created>
  <dcterms:modified xsi:type="dcterms:W3CDTF">2021-12-04T19:29:13Z</dcterms:modified>
</cp:coreProperties>
</file>