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B9499E92-4BE1-4D67-9451-4539D94E5097}" xr6:coauthVersionLast="47" xr6:coauthVersionMax="47" xr10:uidLastSave="{00000000-0000-0000-0000-000000000000}"/>
  <bookViews>
    <workbookView xWindow="28680" yWindow="-120" windowWidth="37710" windowHeight="21840" tabRatio="638" xr2:uid="{331D296A-DE97-4357-9338-22F5C8F49D08}"/>
  </bookViews>
  <sheets>
    <sheet name="position_1916" sheetId="17" r:id="rId1"/>
    <sheet name="position_2414" sheetId="20" r:id="rId2"/>
    <sheet name="e00937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3" i="17" l="1"/>
  <c r="N35" i="17" s="1"/>
  <c r="N36" i="17" s="1"/>
  <c r="N27" i="17"/>
  <c r="K39" i="17"/>
  <c r="K38" i="17"/>
  <c r="K37" i="17"/>
  <c r="K36" i="17"/>
  <c r="K35" i="17"/>
  <c r="K34" i="17"/>
  <c r="K27" i="17"/>
  <c r="N25" i="17"/>
  <c r="N26" i="17" s="1"/>
  <c r="K25" i="17"/>
  <c r="K26" i="17"/>
  <c r="K31" i="17"/>
  <c r="K32" i="17"/>
  <c r="K33" i="17"/>
  <c r="K155" i="20"/>
  <c r="K154" i="20"/>
  <c r="K153" i="20"/>
  <c r="K152" i="20"/>
  <c r="K151" i="20"/>
  <c r="K150" i="20"/>
  <c r="K149" i="20"/>
  <c r="K148" i="20"/>
  <c r="K147" i="20"/>
  <c r="K146" i="20"/>
  <c r="K145" i="20"/>
  <c r="K144" i="20"/>
  <c r="K143" i="20"/>
  <c r="K142" i="20"/>
  <c r="K141" i="20"/>
  <c r="N140" i="20"/>
  <c r="M140" i="20"/>
  <c r="K140" i="20"/>
  <c r="N139" i="20"/>
  <c r="M139" i="20"/>
  <c r="K139" i="20"/>
  <c r="M138" i="20"/>
  <c r="K138" i="20"/>
  <c r="M137" i="20"/>
  <c r="K137" i="20"/>
  <c r="M136" i="20"/>
  <c r="K136" i="20"/>
  <c r="M135" i="20"/>
  <c r="K135" i="20"/>
  <c r="K134" i="20"/>
  <c r="K133" i="20"/>
  <c r="N132" i="20"/>
  <c r="M132" i="20"/>
  <c r="K132" i="20"/>
  <c r="N131" i="20"/>
  <c r="M131" i="20"/>
  <c r="K131" i="20"/>
  <c r="M130" i="20"/>
  <c r="K130" i="20"/>
  <c r="M129" i="20"/>
  <c r="K129" i="20"/>
  <c r="M128" i="20"/>
  <c r="K128" i="20"/>
  <c r="K127" i="20"/>
  <c r="K126" i="20"/>
  <c r="N125" i="20"/>
  <c r="M125" i="20"/>
  <c r="K125" i="20"/>
  <c r="N124" i="20"/>
  <c r="M124" i="20"/>
  <c r="K124" i="20"/>
  <c r="M123" i="20"/>
  <c r="K123" i="20"/>
  <c r="M122" i="20"/>
  <c r="K122" i="20"/>
  <c r="M121" i="20"/>
  <c r="K121" i="20"/>
  <c r="M120" i="20"/>
  <c r="K120" i="20"/>
  <c r="K119" i="20"/>
  <c r="K118" i="20"/>
  <c r="N117" i="20"/>
  <c r="M117" i="20"/>
  <c r="K117" i="20"/>
  <c r="N116" i="20"/>
  <c r="M116" i="20"/>
  <c r="K116" i="20"/>
  <c r="M115" i="20"/>
  <c r="K115" i="20"/>
  <c r="M114" i="20"/>
  <c r="K114" i="20"/>
  <c r="M113" i="20"/>
  <c r="K113" i="20"/>
  <c r="M112" i="20"/>
  <c r="K112" i="20"/>
  <c r="K111" i="20"/>
  <c r="K110" i="20"/>
  <c r="N109" i="20"/>
  <c r="K109" i="20"/>
  <c r="N108" i="20"/>
  <c r="K108" i="20"/>
  <c r="K107" i="20"/>
  <c r="K106" i="20"/>
  <c r="K105" i="20"/>
  <c r="K104" i="20"/>
  <c r="K103" i="20"/>
  <c r="K102" i="20"/>
  <c r="K101" i="20"/>
  <c r="K100" i="20"/>
  <c r="K99" i="20"/>
  <c r="K98" i="20"/>
  <c r="H98" i="20"/>
  <c r="I98" i="20" s="1"/>
  <c r="K97" i="20"/>
  <c r="K96" i="20"/>
  <c r="K95" i="20"/>
  <c r="K94" i="20"/>
  <c r="H94" i="20"/>
  <c r="F94" i="20"/>
  <c r="K93" i="20"/>
  <c r="H93" i="20"/>
  <c r="F93" i="20"/>
  <c r="K92" i="20"/>
  <c r="F92" i="20"/>
  <c r="N91" i="20"/>
  <c r="M91" i="20"/>
  <c r="K91" i="20"/>
  <c r="F91" i="20"/>
  <c r="N90" i="20"/>
  <c r="M90" i="20"/>
  <c r="K90" i="20"/>
  <c r="F90" i="20"/>
  <c r="M89" i="20"/>
  <c r="K89" i="20"/>
  <c r="F89" i="20"/>
  <c r="M88" i="20"/>
  <c r="K88" i="20"/>
  <c r="M87" i="20"/>
  <c r="K87" i="20"/>
  <c r="M86" i="20"/>
  <c r="K86" i="20"/>
  <c r="H86" i="20"/>
  <c r="F86" i="20"/>
  <c r="K85" i="20"/>
  <c r="H85" i="20"/>
  <c r="F85" i="20"/>
  <c r="K84" i="20"/>
  <c r="F84" i="20"/>
  <c r="N83" i="20"/>
  <c r="M83" i="20"/>
  <c r="K83" i="20"/>
  <c r="F83" i="20"/>
  <c r="N82" i="20"/>
  <c r="M82" i="20"/>
  <c r="K82" i="20"/>
  <c r="F82" i="20"/>
  <c r="M81" i="20"/>
  <c r="K81" i="20"/>
  <c r="F81" i="20"/>
  <c r="M80" i="20"/>
  <c r="K80" i="20"/>
  <c r="M79" i="20"/>
  <c r="K79" i="20"/>
  <c r="M78" i="20"/>
  <c r="K78" i="20"/>
  <c r="K77" i="20"/>
  <c r="K76" i="20"/>
  <c r="N75" i="20"/>
  <c r="M75" i="20"/>
  <c r="K75" i="20"/>
  <c r="N74" i="20"/>
  <c r="M74" i="20"/>
  <c r="K74" i="20"/>
  <c r="M73" i="20"/>
  <c r="K73" i="20"/>
  <c r="M72" i="20"/>
  <c r="K72" i="20"/>
  <c r="M71" i="20"/>
  <c r="K71" i="20"/>
  <c r="F71" i="20"/>
  <c r="M70" i="20"/>
  <c r="K70" i="20"/>
  <c r="K69" i="20"/>
  <c r="K68" i="20"/>
  <c r="N67" i="20"/>
  <c r="M67" i="20"/>
  <c r="K67" i="20"/>
  <c r="I67" i="20"/>
  <c r="H67" i="20"/>
  <c r="F67" i="20"/>
  <c r="N66" i="20"/>
  <c r="M66" i="20"/>
  <c r="K66" i="20"/>
  <c r="I66" i="20"/>
  <c r="H66" i="20"/>
  <c r="F66" i="20"/>
  <c r="M65" i="20"/>
  <c r="K65" i="20"/>
  <c r="F65" i="20"/>
  <c r="M64" i="20"/>
  <c r="K64" i="20"/>
  <c r="F64" i="20"/>
  <c r="M63" i="20"/>
  <c r="K63" i="20"/>
  <c r="F63" i="20"/>
  <c r="M62" i="20"/>
  <c r="K62" i="20"/>
  <c r="F62" i="20"/>
  <c r="K61" i="20"/>
  <c r="K60" i="20"/>
  <c r="N59" i="20"/>
  <c r="M59" i="20"/>
  <c r="K59" i="20"/>
  <c r="H59" i="20"/>
  <c r="F59" i="20"/>
  <c r="N58" i="20"/>
  <c r="M58" i="20"/>
  <c r="K58" i="20"/>
  <c r="H58" i="20"/>
  <c r="F58" i="20"/>
  <c r="M57" i="20"/>
  <c r="K57" i="20"/>
  <c r="F57" i="20"/>
  <c r="M56" i="20"/>
  <c r="K56" i="20"/>
  <c r="F56" i="20"/>
  <c r="M55" i="20"/>
  <c r="K55" i="20"/>
  <c r="F55" i="20"/>
  <c r="M54" i="20"/>
  <c r="K54" i="20"/>
  <c r="F54" i="20"/>
  <c r="K53" i="20"/>
  <c r="K52" i="20"/>
  <c r="H52" i="20"/>
  <c r="N51" i="20" a="1"/>
  <c r="N51" i="20" s="1"/>
  <c r="M51" i="20"/>
  <c r="K51" i="20"/>
  <c r="H51" i="20"/>
  <c r="N50" i="20" a="1"/>
  <c r="N50" i="20" s="1"/>
  <c r="M50" i="20"/>
  <c r="K50" i="20"/>
  <c r="H50" i="20"/>
  <c r="M49" i="20"/>
  <c r="K49" i="20"/>
  <c r="H49" i="20"/>
  <c r="M48" i="20"/>
  <c r="K48" i="20"/>
  <c r="H48" i="20"/>
  <c r="M47" i="20"/>
  <c r="K47" i="20"/>
  <c r="M46" i="20"/>
  <c r="K46" i="20"/>
  <c r="K45" i="20"/>
  <c r="K44" i="20"/>
  <c r="N43" i="20"/>
  <c r="M43" i="20"/>
  <c r="K43" i="20"/>
  <c r="N42" i="20"/>
  <c r="M42" i="20"/>
  <c r="K42" i="20"/>
  <c r="M41" i="20"/>
  <c r="K41" i="20"/>
  <c r="M40" i="20"/>
  <c r="K40" i="20"/>
  <c r="M39" i="20"/>
  <c r="K39" i="20"/>
  <c r="M38" i="20"/>
  <c r="K38" i="20"/>
  <c r="K37" i="20"/>
  <c r="K36" i="20"/>
  <c r="H36" i="20"/>
  <c r="N35" i="20"/>
  <c r="M35" i="20"/>
  <c r="K35" i="20"/>
  <c r="N34" i="20"/>
  <c r="M34" i="20"/>
  <c r="K34" i="20"/>
  <c r="M33" i="20"/>
  <c r="K33" i="20"/>
  <c r="M32" i="20"/>
  <c r="K32" i="20"/>
  <c r="M31" i="20"/>
  <c r="K31" i="20"/>
  <c r="N30" i="20"/>
  <c r="N37" i="20" s="1"/>
  <c r="N77" i="20" s="1"/>
  <c r="M30" i="20"/>
  <c r="K30" i="20"/>
  <c r="K29" i="20"/>
  <c r="N28" i="20"/>
  <c r="N29" i="20" s="1"/>
  <c r="H45" i="20" s="1"/>
  <c r="K28" i="20"/>
  <c r="K27" i="20"/>
  <c r="K26" i="20"/>
  <c r="K25" i="20"/>
  <c r="N24" i="20"/>
  <c r="N25" i="20" s="1"/>
  <c r="K24" i="20"/>
  <c r="N23" i="20"/>
  <c r="K23" i="20"/>
  <c r="H23" i="20"/>
  <c r="Q22" i="20"/>
  <c r="K22" i="20"/>
  <c r="Q21" i="20"/>
  <c r="K21" i="20"/>
  <c r="K20" i="20"/>
  <c r="K19" i="20"/>
  <c r="H19" i="20"/>
  <c r="N18" i="20"/>
  <c r="K18" i="20"/>
  <c r="K17" i="20"/>
  <c r="Q16" i="20"/>
  <c r="K16" i="20"/>
  <c r="N15" i="20"/>
  <c r="K15" i="20"/>
  <c r="K14" i="20"/>
  <c r="K13" i="20"/>
  <c r="N12" i="20"/>
  <c r="K12" i="20"/>
  <c r="N11" i="20"/>
  <c r="K11" i="20"/>
  <c r="H11" i="20"/>
  <c r="N10" i="20"/>
  <c r="N20" i="20" s="1"/>
  <c r="K10" i="20"/>
  <c r="N9" i="20"/>
  <c r="K9" i="20"/>
  <c r="K8" i="20"/>
  <c r="Q7" i="20"/>
  <c r="K7" i="20"/>
  <c r="K6" i="20"/>
  <c r="K5" i="20"/>
  <c r="K4" i="20"/>
  <c r="K3" i="20"/>
  <c r="K2" i="20"/>
  <c r="H98" i="17"/>
  <c r="I98" i="17" s="1"/>
  <c r="H50" i="17"/>
  <c r="H94" i="17"/>
  <c r="H93" i="17"/>
  <c r="F94" i="17"/>
  <c r="F93" i="17"/>
  <c r="F92" i="17"/>
  <c r="F91" i="17"/>
  <c r="F90" i="17"/>
  <c r="F89" i="17"/>
  <c r="K112" i="17"/>
  <c r="K113" i="17"/>
  <c r="K114" i="17"/>
  <c r="K115" i="17"/>
  <c r="K110" i="17"/>
  <c r="K111" i="17"/>
  <c r="F86" i="17"/>
  <c r="F85" i="17"/>
  <c r="F84" i="17"/>
  <c r="F83" i="17"/>
  <c r="F82" i="17"/>
  <c r="F81" i="17"/>
  <c r="N12" i="17"/>
  <c r="K4" i="17"/>
  <c r="N23" i="17"/>
  <c r="N24" i="17" s="1"/>
  <c r="N40" i="17"/>
  <c r="N41" i="17" s="1"/>
  <c r="K154" i="17"/>
  <c r="K155" i="17"/>
  <c r="M152" i="17"/>
  <c r="M151" i="17"/>
  <c r="M150" i="17"/>
  <c r="M149" i="17"/>
  <c r="M148" i="17"/>
  <c r="M147" i="17"/>
  <c r="K148" i="17"/>
  <c r="K147" i="17"/>
  <c r="K146" i="17"/>
  <c r="M144" i="17"/>
  <c r="M143" i="17"/>
  <c r="M142" i="17"/>
  <c r="M141" i="17"/>
  <c r="M140" i="17"/>
  <c r="K145" i="17"/>
  <c r="K144" i="17"/>
  <c r="K143" i="17"/>
  <c r="K142" i="17"/>
  <c r="K141" i="17"/>
  <c r="K140" i="17"/>
  <c r="K151" i="17"/>
  <c r="K150" i="17"/>
  <c r="K149" i="17"/>
  <c r="H67" i="17"/>
  <c r="I67" i="17" s="1"/>
  <c r="F67" i="17"/>
  <c r="H66" i="17"/>
  <c r="I66" i="17" s="1"/>
  <c r="F66" i="17"/>
  <c r="F65" i="17"/>
  <c r="F64" i="17"/>
  <c r="F63" i="17"/>
  <c r="F62" i="17"/>
  <c r="M137" i="17"/>
  <c r="M136" i="17"/>
  <c r="M135" i="17"/>
  <c r="M134" i="17"/>
  <c r="M133" i="17"/>
  <c r="M132" i="17"/>
  <c r="M129" i="17"/>
  <c r="M128" i="17"/>
  <c r="M127" i="17"/>
  <c r="M126" i="17"/>
  <c r="M125" i="17"/>
  <c r="M124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7" i="17"/>
  <c r="K126" i="17"/>
  <c r="K125" i="17"/>
  <c r="K124" i="17"/>
  <c r="N26" i="20" l="1"/>
  <c r="N19" i="20"/>
  <c r="N8" i="20"/>
  <c r="N22" i="20"/>
  <c r="N16" i="20"/>
  <c r="H61" i="20"/>
  <c r="H32" i="20"/>
  <c r="Q15" i="20"/>
  <c r="N36" i="20"/>
  <c r="N76" i="20" s="1"/>
  <c r="H60" i="20" s="1"/>
  <c r="N145" i="20"/>
  <c r="N146" i="20" s="1"/>
  <c r="N148" i="20" s="1"/>
  <c r="N7" i="20"/>
  <c r="N17" i="20"/>
  <c r="N27" i="20"/>
  <c r="N151" i="20"/>
  <c r="N32" i="20"/>
  <c r="N72" i="20" s="1"/>
  <c r="H56" i="20" s="1"/>
  <c r="N33" i="20"/>
  <c r="N73" i="20" s="1"/>
  <c r="H57" i="20" s="1"/>
  <c r="N70" i="20"/>
  <c r="H54" i="20" s="1"/>
  <c r="N31" i="20"/>
  <c r="N71" i="20" s="1"/>
  <c r="H55" i="20" s="1"/>
  <c r="F71" i="17"/>
  <c r="H19" i="17"/>
  <c r="K152" i="17"/>
  <c r="K153" i="17"/>
  <c r="K156" i="17"/>
  <c r="K157" i="17"/>
  <c r="K158" i="17"/>
  <c r="K159" i="17"/>
  <c r="K160" i="17"/>
  <c r="K161" i="17"/>
  <c r="K162" i="17"/>
  <c r="K163" i="17"/>
  <c r="K164" i="17"/>
  <c r="K165" i="17"/>
  <c r="K166" i="17"/>
  <c r="K167" i="17"/>
  <c r="M103" i="17"/>
  <c r="M102" i="17"/>
  <c r="M101" i="17"/>
  <c r="M100" i="17"/>
  <c r="M99" i="17"/>
  <c r="M98" i="17"/>
  <c r="M95" i="17"/>
  <c r="M94" i="17"/>
  <c r="M93" i="17"/>
  <c r="M92" i="17"/>
  <c r="M91" i="17"/>
  <c r="M90" i="17"/>
  <c r="M87" i="17"/>
  <c r="M86" i="17"/>
  <c r="M85" i="17"/>
  <c r="M84" i="17"/>
  <c r="K3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8" i="17"/>
  <c r="K29" i="17"/>
  <c r="K30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6" i="17"/>
  <c r="K117" i="17"/>
  <c r="K118" i="17"/>
  <c r="K119" i="17"/>
  <c r="K121" i="17"/>
  <c r="K120" i="17"/>
  <c r="K122" i="17"/>
  <c r="K123" i="17"/>
  <c r="K2" i="17"/>
  <c r="M83" i="17"/>
  <c r="M82" i="17"/>
  <c r="F54" i="17"/>
  <c r="F55" i="17"/>
  <c r="F56" i="17"/>
  <c r="F57" i="17"/>
  <c r="F59" i="17"/>
  <c r="F58" i="17"/>
  <c r="M79" i="17"/>
  <c r="M78" i="17"/>
  <c r="M77" i="17"/>
  <c r="M76" i="17"/>
  <c r="M75" i="17"/>
  <c r="M74" i="17"/>
  <c r="M71" i="17"/>
  <c r="M70" i="17"/>
  <c r="M69" i="17"/>
  <c r="M68" i="17"/>
  <c r="M67" i="17"/>
  <c r="M66" i="17"/>
  <c r="H52" i="17"/>
  <c r="M63" i="17"/>
  <c r="M62" i="17"/>
  <c r="M61" i="17"/>
  <c r="M60" i="17"/>
  <c r="M55" i="17"/>
  <c r="M54" i="17"/>
  <c r="M53" i="17"/>
  <c r="M52" i="17"/>
  <c r="M59" i="17"/>
  <c r="M51" i="17"/>
  <c r="M58" i="17"/>
  <c r="M50" i="17"/>
  <c r="N42" i="17"/>
  <c r="N82" i="17" s="1"/>
  <c r="N46" i="17"/>
  <c r="N86" i="17" s="1"/>
  <c r="H58" i="17" s="1"/>
  <c r="N47" i="17"/>
  <c r="N87" i="17" s="1"/>
  <c r="H59" i="17" s="1"/>
  <c r="M42" i="17"/>
  <c r="M43" i="17"/>
  <c r="M44" i="17"/>
  <c r="M45" i="17"/>
  <c r="M46" i="17"/>
  <c r="M47" i="17"/>
  <c r="H51" i="17"/>
  <c r="N55" i="17"/>
  <c r="N54" i="17"/>
  <c r="N128" i="17" s="1"/>
  <c r="N94" i="17"/>
  <c r="N63" i="17" a="1"/>
  <c r="N62" i="17" a="1"/>
  <c r="N95" i="17"/>
  <c r="N129" i="17"/>
  <c r="N41" i="20"/>
  <c r="N49" i="20" a="1"/>
  <c r="N81" i="20"/>
  <c r="N115" i="20"/>
  <c r="H22" i="20"/>
  <c r="N44" i="20"/>
  <c r="N56" i="17"/>
  <c r="H18" i="20" a="1"/>
  <c r="N45" i="20"/>
  <c r="N40" i="20"/>
  <c r="N80" i="20" s="1"/>
  <c r="N134" i="20"/>
  <c r="N39" i="20"/>
  <c r="N38" i="20"/>
  <c r="N113" i="20"/>
  <c r="N79" i="20"/>
  <c r="N78" i="20"/>
  <c r="N112" i="20"/>
  <c r="N150" i="20" l="1"/>
  <c r="N149" i="20"/>
  <c r="Q6" i="20" s="1"/>
  <c r="H70" i="20"/>
  <c r="N49" i="20"/>
  <c r="N55" i="20"/>
  <c r="N57" i="20"/>
  <c r="H18" i="20"/>
  <c r="N54" i="20"/>
  <c r="N56" i="20"/>
  <c r="N60" i="20"/>
  <c r="N61" i="20"/>
  <c r="N13" i="20"/>
  <c r="N147" i="20"/>
  <c r="N21" i="20"/>
  <c r="N152" i="20"/>
  <c r="N71" i="17"/>
  <c r="N70" i="17"/>
  <c r="N72" i="17"/>
  <c r="N62" i="17"/>
  <c r="N63" i="17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02" i="17"/>
  <c r="N103" i="17"/>
  <c r="N137" i="17"/>
  <c r="N136" i="17"/>
  <c r="N89" i="20"/>
  <c r="N123" i="20"/>
  <c r="N47" i="20" a="1"/>
  <c r="H22" i="17"/>
  <c r="N96" i="17"/>
  <c r="N118" i="20"/>
  <c r="H18" i="17" a="1"/>
  <c r="N48" i="20" a="1"/>
  <c r="N146" i="17"/>
  <c r="N53" i="20" a="1"/>
  <c r="N46" i="20" a="1"/>
  <c r="N53" i="17"/>
  <c r="N51" i="17"/>
  <c r="N114" i="20"/>
  <c r="N130" i="17"/>
  <c r="N50" i="17"/>
  <c r="N84" i="20"/>
  <c r="N64" i="17" a="1"/>
  <c r="N58" i="17" a="1"/>
  <c r="N127" i="17"/>
  <c r="N85" i="20"/>
  <c r="N52" i="20" a="1"/>
  <c r="N52" i="17"/>
  <c r="N119" i="20"/>
  <c r="N57" i="17"/>
  <c r="N125" i="17"/>
  <c r="N47" i="20" l="1"/>
  <c r="N63" i="20" s="1"/>
  <c r="N48" i="20"/>
  <c r="N64" i="20" s="1"/>
  <c r="N46" i="20"/>
  <c r="N62" i="20" s="1"/>
  <c r="N52" i="20"/>
  <c r="N68" i="20" s="1"/>
  <c r="N53" i="20"/>
  <c r="N69" i="20" s="1"/>
  <c r="N154" i="20"/>
  <c r="Q2" i="20" s="1"/>
  <c r="N153" i="20"/>
  <c r="Q23" i="20"/>
  <c r="N14" i="20"/>
  <c r="N3" i="20" s="1"/>
  <c r="N4" i="20" s="1"/>
  <c r="H35" i="20"/>
  <c r="I35" i="20" s="1"/>
  <c r="N65" i="20"/>
  <c r="N138" i="20" s="1"/>
  <c r="N111" i="20"/>
  <c r="N94" i="20"/>
  <c r="N97" i="20" s="1"/>
  <c r="N110" i="20"/>
  <c r="H18" i="17"/>
  <c r="N67" i="17"/>
  <c r="N69" i="17"/>
  <c r="N73" i="17"/>
  <c r="N66" i="17"/>
  <c r="H70" i="17"/>
  <c r="N106" i="17" s="1"/>
  <c r="N109" i="17" s="1"/>
  <c r="N68" i="17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N79" i="17"/>
  <c r="N144" i="17" s="1"/>
  <c r="N58" i="17"/>
  <c r="N74" i="17" s="1"/>
  <c r="N64" i="17"/>
  <c r="N80" i="17" s="1"/>
  <c r="N78" i="17"/>
  <c r="N151" i="17" s="1"/>
  <c r="G24" i="19"/>
  <c r="G14" i="19"/>
  <c r="G12" i="19"/>
  <c r="G20" i="19"/>
  <c r="G28" i="19"/>
  <c r="G26" i="19"/>
  <c r="G34" i="19"/>
  <c r="N18" i="17"/>
  <c r="H45" i="17" s="1"/>
  <c r="N15" i="17"/>
  <c r="N11" i="17"/>
  <c r="N10" i="17"/>
  <c r="N9" i="17"/>
  <c r="N120" i="17"/>
  <c r="N121" i="17"/>
  <c r="N59" i="17" a="1"/>
  <c r="N60" i="17" a="1"/>
  <c r="N87" i="20"/>
  <c r="N121" i="20"/>
  <c r="N61" i="17" a="1"/>
  <c r="N98" i="17"/>
  <c r="N65" i="17" a="1"/>
  <c r="N92" i="20"/>
  <c r="N93" i="20"/>
  <c r="N132" i="17"/>
  <c r="N88" i="20"/>
  <c r="N131" i="17"/>
  <c r="N126" i="20"/>
  <c r="N126" i="17"/>
  <c r="N124" i="17"/>
  <c r="N122" i="20"/>
  <c r="N127" i="20"/>
  <c r="N91" i="17"/>
  <c r="N92" i="17"/>
  <c r="N120" i="20"/>
  <c r="N86" i="20"/>
  <c r="N97" i="17"/>
  <c r="N90" i="17"/>
  <c r="N93" i="17"/>
  <c r="N59" i="17" l="1"/>
  <c r="N128" i="20"/>
  <c r="N32" i="17"/>
  <c r="N31" i="17"/>
  <c r="N29" i="17"/>
  <c r="H78" i="20"/>
  <c r="N137" i="20"/>
  <c r="N65" i="17"/>
  <c r="N81" i="17" s="1"/>
  <c r="N60" i="17"/>
  <c r="N136" i="20"/>
  <c r="H71" i="20"/>
  <c r="N102" i="20" s="1"/>
  <c r="N105" i="20" s="1"/>
  <c r="H77" i="20"/>
  <c r="N135" i="20"/>
  <c r="N141" i="20"/>
  <c r="N133" i="20"/>
  <c r="H79" i="20"/>
  <c r="H72" i="20"/>
  <c r="N103" i="20" s="1"/>
  <c r="N104" i="20" s="1"/>
  <c r="H8" i="20"/>
  <c r="I8" i="20" s="1"/>
  <c r="H7" i="20"/>
  <c r="Q9" i="20"/>
  <c r="Q11" i="20"/>
  <c r="R11" i="20" s="1"/>
  <c r="Q12" i="20"/>
  <c r="Q17" i="20"/>
  <c r="R17" i="20" s="1"/>
  <c r="Q10" i="20"/>
  <c r="R10" i="20" s="1"/>
  <c r="Q8" i="20"/>
  <c r="R8" i="20" s="1"/>
  <c r="Q14" i="20"/>
  <c r="R14" i="20" s="1"/>
  <c r="N155" i="20"/>
  <c r="Q19" i="20" s="1"/>
  <c r="R19" i="20" s="1"/>
  <c r="Q4" i="20"/>
  <c r="Q3" i="20"/>
  <c r="R2" i="20"/>
  <c r="N129" i="20"/>
  <c r="N130" i="20"/>
  <c r="H78" i="17"/>
  <c r="N61" i="17"/>
  <c r="N152" i="17"/>
  <c r="N143" i="17"/>
  <c r="H54" i="17"/>
  <c r="N19" i="17"/>
  <c r="N20" i="17"/>
  <c r="N147" i="17"/>
  <c r="H71" i="17"/>
  <c r="N114" i="17" s="1"/>
  <c r="N16" i="17"/>
  <c r="N17" i="17"/>
  <c r="N8" i="17"/>
  <c r="N7" i="17" s="1"/>
  <c r="N13" i="17" s="1"/>
  <c r="N99" i="17"/>
  <c r="N133" i="17"/>
  <c r="N101" i="17"/>
  <c r="N134" i="17"/>
  <c r="N138" i="17"/>
  <c r="N104" i="17"/>
  <c r="N100" i="17"/>
  <c r="N135" i="17"/>
  <c r="N139" i="17"/>
  <c r="N75" i="17" l="1"/>
  <c r="N148" i="17" s="1"/>
  <c r="N37" i="17"/>
  <c r="N95" i="20"/>
  <c r="N96" i="20" s="1"/>
  <c r="N98" i="20" s="1"/>
  <c r="N99" i="20" s="1"/>
  <c r="H73" i="20" s="1"/>
  <c r="H74" i="20" s="1"/>
  <c r="I74" i="20" s="1"/>
  <c r="H79" i="17"/>
  <c r="N76" i="17"/>
  <c r="N141" i="17" s="1"/>
  <c r="Q20" i="20"/>
  <c r="R20" i="20" s="1"/>
  <c r="Q5" i="20"/>
  <c r="R3" i="20"/>
  <c r="Q18" i="20"/>
  <c r="R18" i="20" s="1"/>
  <c r="R12" i="20"/>
  <c r="Q13" i="20"/>
  <c r="R13" i="20" s="1"/>
  <c r="R9" i="20"/>
  <c r="N2" i="20"/>
  <c r="I7" i="20"/>
  <c r="N106" i="20"/>
  <c r="N107" i="20" s="1"/>
  <c r="H75" i="20" s="1"/>
  <c r="H76" i="20" s="1"/>
  <c r="I76" i="20" s="1"/>
  <c r="N77" i="17"/>
  <c r="N150" i="17" s="1"/>
  <c r="N117" i="17"/>
  <c r="N145" i="17"/>
  <c r="N153" i="17"/>
  <c r="N22" i="17"/>
  <c r="N107" i="17"/>
  <c r="N108" i="17" s="1"/>
  <c r="N110" i="17" s="1"/>
  <c r="N21" i="17"/>
  <c r="H49" i="17"/>
  <c r="H48" i="17"/>
  <c r="Q22" i="17"/>
  <c r="Q21" i="17"/>
  <c r="H11" i="17"/>
  <c r="C41" i="17"/>
  <c r="H23" i="17" s="1"/>
  <c r="Q7" i="17"/>
  <c r="Q16" i="17"/>
  <c r="N105" i="17"/>
  <c r="H72" i="17" l="1"/>
  <c r="N115" i="17" s="1"/>
  <c r="N140" i="17"/>
  <c r="N101" i="20"/>
  <c r="N100" i="20"/>
  <c r="Q24" i="20"/>
  <c r="Q25" i="20"/>
  <c r="N149" i="17"/>
  <c r="H84" i="20"/>
  <c r="H92" i="20"/>
  <c r="N5" i="20"/>
  <c r="H3" i="20" s="1"/>
  <c r="N6" i="20"/>
  <c r="N142" i="17"/>
  <c r="N111" i="17"/>
  <c r="N28" i="17"/>
  <c r="Q15" i="17" s="1"/>
  <c r="N30" i="17"/>
  <c r="N161" i="17"/>
  <c r="N162" i="17"/>
  <c r="N157" i="17"/>
  <c r="N163" i="17"/>
  <c r="N34" i="17" l="1"/>
  <c r="N38" i="17" s="1"/>
  <c r="N39" i="17"/>
  <c r="H96" i="20"/>
  <c r="H88" i="20"/>
  <c r="H90" i="20"/>
  <c r="H95" i="20"/>
  <c r="H91" i="20"/>
  <c r="H89" i="20"/>
  <c r="H82" i="20"/>
  <c r="H87" i="20"/>
  <c r="H83" i="20"/>
  <c r="H81" i="20"/>
  <c r="H12" i="20"/>
  <c r="I12" i="20" s="1"/>
  <c r="H33" i="20"/>
  <c r="I33" i="20" s="1"/>
  <c r="H14" i="20"/>
  <c r="I14" i="20" s="1"/>
  <c r="H15" i="20"/>
  <c r="I15" i="20" s="1"/>
  <c r="H13" i="20"/>
  <c r="H24" i="20"/>
  <c r="H69" i="20"/>
  <c r="I69" i="20" s="1"/>
  <c r="H31" i="20"/>
  <c r="I31" i="20" s="1"/>
  <c r="I3" i="20"/>
  <c r="H29" i="20"/>
  <c r="H63" i="20"/>
  <c r="I63" i="20" s="1"/>
  <c r="H40" i="20"/>
  <c r="I40" i="20" s="1"/>
  <c r="H4" i="20"/>
  <c r="H41" i="20"/>
  <c r="I41" i="20" s="1"/>
  <c r="H65" i="20"/>
  <c r="I65" i="20" s="1"/>
  <c r="H25" i="20"/>
  <c r="I25" i="20" s="1"/>
  <c r="H62" i="20"/>
  <c r="I62" i="20" s="1"/>
  <c r="H99" i="20"/>
  <c r="H64" i="20"/>
  <c r="I64" i="20" s="1"/>
  <c r="H68" i="20"/>
  <c r="I68" i="20" s="1"/>
  <c r="H5" i="20"/>
  <c r="H73" i="17"/>
  <c r="N113" i="17" s="1"/>
  <c r="H32" i="17"/>
  <c r="Q6" i="17"/>
  <c r="Q23" i="17"/>
  <c r="H36" i="17"/>
  <c r="N164" i="17"/>
  <c r="N158" i="17"/>
  <c r="I99" i="20" l="1"/>
  <c r="H100" i="20"/>
  <c r="H101" i="20"/>
  <c r="H20" i="20"/>
  <c r="I13" i="20"/>
  <c r="H43" i="20"/>
  <c r="I43" i="20" s="1"/>
  <c r="H6" i="20"/>
  <c r="H42" i="20"/>
  <c r="I42" i="20" s="1"/>
  <c r="H26" i="20"/>
  <c r="I26" i="20" s="1"/>
  <c r="I4" i="20"/>
  <c r="I29" i="20"/>
  <c r="H30" i="20"/>
  <c r="I30" i="20" s="1"/>
  <c r="H37" i="20"/>
  <c r="I37" i="20" s="1"/>
  <c r="I24" i="20"/>
  <c r="N112" i="17"/>
  <c r="H86" i="17"/>
  <c r="H85" i="17"/>
  <c r="H35" i="17"/>
  <c r="I35" i="17" s="1"/>
  <c r="N14" i="17"/>
  <c r="N160" i="17"/>
  <c r="N166" i="17" s="1"/>
  <c r="N159" i="17"/>
  <c r="N165" i="17" s="1"/>
  <c r="I100" i="20" l="1"/>
  <c r="H102" i="20"/>
  <c r="I20" i="20"/>
  <c r="H21" i="20"/>
  <c r="H103" i="20"/>
  <c r="I101" i="20"/>
  <c r="H89" i="17"/>
  <c r="H81" i="17"/>
  <c r="N3" i="17"/>
  <c r="N4" i="17" s="1"/>
  <c r="Q17" i="17"/>
  <c r="N167" i="17"/>
  <c r="Q2" i="17"/>
  <c r="Q9" i="17"/>
  <c r="Q11" i="17"/>
  <c r="R11" i="17" s="1"/>
  <c r="Q10" i="17"/>
  <c r="Q8" i="17"/>
  <c r="H8" i="17" l="1"/>
  <c r="I8" i="17" s="1"/>
  <c r="H34" i="20"/>
  <c r="I34" i="20" s="1"/>
  <c r="I21" i="20"/>
  <c r="H7" i="17"/>
  <c r="Q19" i="17"/>
  <c r="R19" i="17" s="1"/>
  <c r="R9" i="17"/>
  <c r="R8" i="17"/>
  <c r="R17" i="17"/>
  <c r="Q3" i="17"/>
  <c r="R2" i="17"/>
  <c r="R10" i="17"/>
  <c r="Q4" i="17"/>
  <c r="I7" i="17" l="1"/>
  <c r="N2" i="17"/>
  <c r="Q20" i="17"/>
  <c r="R20" i="17" s="1"/>
  <c r="R3" i="17"/>
  <c r="Q5" i="17"/>
  <c r="N5" i="17" l="1"/>
  <c r="H3" i="17" s="1"/>
  <c r="N6" i="17"/>
  <c r="H14" i="17" s="1"/>
  <c r="Q12" i="17"/>
  <c r="R12" i="17" s="1"/>
  <c r="Q14" i="17"/>
  <c r="R14" i="17" s="1"/>
  <c r="H99" i="17" l="1"/>
  <c r="H101" i="17" s="1"/>
  <c r="H24" i="17"/>
  <c r="H37" i="17" s="1"/>
  <c r="I37" i="17" s="1"/>
  <c r="H33" i="17"/>
  <c r="I33" i="17" s="1"/>
  <c r="H13" i="17"/>
  <c r="H15" i="17"/>
  <c r="I15" i="17" s="1"/>
  <c r="H12" i="17"/>
  <c r="I12" i="17" s="1"/>
  <c r="I14" i="17"/>
  <c r="H4" i="17"/>
  <c r="H62" i="17"/>
  <c r="I62" i="17" s="1"/>
  <c r="H69" i="17"/>
  <c r="I69" i="17" s="1"/>
  <c r="H64" i="17"/>
  <c r="I64" i="17" s="1"/>
  <c r="H65" i="17"/>
  <c r="I65" i="17" s="1"/>
  <c r="H31" i="17"/>
  <c r="I31" i="17" s="1"/>
  <c r="H41" i="17"/>
  <c r="I41" i="17" s="1"/>
  <c r="H68" i="17"/>
  <c r="I68" i="17" s="1"/>
  <c r="H40" i="17"/>
  <c r="I40" i="17" s="1"/>
  <c r="H25" i="17"/>
  <c r="I25" i="17" s="1"/>
  <c r="H63" i="17"/>
  <c r="I63" i="17" s="1"/>
  <c r="H5" i="17"/>
  <c r="H29" i="17"/>
  <c r="I3" i="17"/>
  <c r="Q13" i="17"/>
  <c r="R13" i="17" s="1"/>
  <c r="Q18" i="17"/>
  <c r="R18" i="17" s="1"/>
  <c r="I99" i="17" l="1"/>
  <c r="H100" i="17"/>
  <c r="H102" i="17" s="1"/>
  <c r="I101" i="17"/>
  <c r="H103" i="17"/>
  <c r="I24" i="17"/>
  <c r="H26" i="17"/>
  <c r="I26" i="17" s="1"/>
  <c r="H42" i="17"/>
  <c r="I42" i="17" s="1"/>
  <c r="H43" i="17"/>
  <c r="I43" i="17" s="1"/>
  <c r="I4" i="17"/>
  <c r="H6" i="17"/>
  <c r="H20" i="17"/>
  <c r="I13" i="17"/>
  <c r="H30" i="17"/>
  <c r="I30" i="17" s="1"/>
  <c r="I29" i="17"/>
  <c r="Q24" i="17"/>
  <c r="Q25" i="17"/>
  <c r="N48" i="17"/>
  <c r="N88" i="17" s="1"/>
  <c r="N43" i="17"/>
  <c r="N83" i="17" s="1"/>
  <c r="N49" i="17"/>
  <c r="N44" i="17"/>
  <c r="N84" i="17" s="1"/>
  <c r="N45" i="17"/>
  <c r="N85" i="17" s="1"/>
  <c r="I100" i="17" l="1"/>
  <c r="H74" i="17"/>
  <c r="I74" i="17" s="1"/>
  <c r="H56" i="17"/>
  <c r="H91" i="17" s="1"/>
  <c r="H55" i="17"/>
  <c r="H90" i="17" s="1"/>
  <c r="H60" i="17"/>
  <c r="H95" i="17" s="1"/>
  <c r="H57" i="17"/>
  <c r="H92" i="17" s="1"/>
  <c r="H21" i="17"/>
  <c r="I20" i="17"/>
  <c r="N89" i="17"/>
  <c r="N116" i="17"/>
  <c r="N118" i="17" s="1"/>
  <c r="N119" i="17" s="1"/>
  <c r="H84" i="17" l="1"/>
  <c r="H82" i="17"/>
  <c r="N122" i="17"/>
  <c r="H87" i="17"/>
  <c r="H83" i="17"/>
  <c r="H61" i="17"/>
  <c r="H34" i="17"/>
  <c r="I34" i="17" s="1"/>
  <c r="I21" i="17"/>
  <c r="H75" i="17"/>
  <c r="H76" i="17" s="1"/>
  <c r="I76" i="17" s="1"/>
  <c r="H88" i="17" l="1"/>
  <c r="H96" i="17"/>
  <c r="N123" i="17"/>
  <c r="H77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<sst xmlns="http://schemas.openxmlformats.org/spreadsheetml/2006/main" count="1055" uniqueCount="440">
  <si>
    <t>ジグの長さの半分</t>
    <rPh sb="3" eb="4">
      <t>ナガ</t>
    </rPh>
    <rPh sb="6" eb="8">
      <t>ハンブン</t>
    </rPh>
    <phoneticPr fontId="1"/>
  </si>
  <si>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</si>
  <si>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</si>
  <si>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</si>
  <si>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</si>
  <si>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</si>
  <si>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</si>
  <si>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</si>
  <si>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</si>
  <si>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</si>
  <si>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</si>
  <si>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</si>
  <si>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</si>
  <si>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</si>
  <si>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</si>
  <si>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</si>
  <si>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</si>
  <si>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</si>
  <si>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</si>
  <si>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</si>
  <si>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</si>
  <si>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</si>
  <si>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</si>
  <si>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</si>
  <si>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</si>
  <si>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</si>
  <si>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</si>
  <si>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</si>
  <si>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</si>
  <si>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</si>
  <si>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</si>
  <si>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</si>
  <si>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</si>
  <si>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</si>
  <si>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</si>
  <si>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</si>
  <si>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</si>
  <si>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</si>
  <si>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</si>
  <si>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</si>
  <si>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</si>
  <si>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</si>
  <si>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</si>
  <si>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</si>
  <si>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</si>
  <si>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</si>
  <si>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</si>
  <si>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</si>
  <si>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</si>
  <si>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</si>
  <si>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</si>
  <si>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</si>
  <si>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</si>
  <si>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</si>
  <si>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</si>
  <si>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</si>
  <si>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</si>
  <si>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</si>
  <si>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</si>
  <si>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</si>
  <si>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</si>
  <si>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</si>
  <si>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</si>
  <si>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</si>
  <si>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</si>
  <si>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</si>
  <si>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</si>
  <si>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</si>
  <si>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</si>
  <si>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</si>
  <si>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</si>
  <si>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</si>
  <si>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</si>
  <si>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</si>
  <si>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</si>
  <si>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</si>
  <si>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</si>
  <si>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</si>
  <si>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</si>
  <si>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</si>
  <si>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</si>
  <si>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</si>
  <si>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</si>
  <si>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</si>
  <si>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</si>
  <si>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</si>
  <si>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</si>
  <si>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</si>
  <si>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</si>
  <si>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</si>
  <si>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</si>
  <si>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</si>
  <si>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</si>
  <si>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</si>
  <si>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</si>
  <si>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</si>
  <si>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</si>
  <si>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</si>
  <si>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</si>
  <si>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</si>
  <si>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</si>
  <si>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</si>
  <si>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</si>
  <si>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</si>
  <si>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</si>
  <si>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</si>
  <si>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</si>
  <si>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</si>
  <si>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</si>
  <si>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</si>
  <si>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</si>
  <si>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</si>
  <si>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</si>
  <si>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</si>
  <si>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</si>
  <si>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</si>
  <si>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</si>
  <si>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</si>
  <si>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</si>
  <si>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</si>
  <si>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</si>
  <si>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</si>
  <si>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</si>
  <si>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</si>
  <si>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</si>
  <si>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</si>
  <si>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</si>
  <si>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</si>
  <si>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</si>
  <si>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</si>
  <si>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</si>
  <si>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</si>
  <si>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</si>
  <si>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</si>
  <si>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深さ</t>
    <rPh sb="4" eb="5">
      <t>ソト</t>
    </rPh>
    <rPh sb="5" eb="7">
      <t>メントリ</t>
    </rPh>
    <rPh sb="8" eb="9">
      <t>フカ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</si>
  <si>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</si>
  <si>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深さ</t>
    <rPh sb="4" eb="5">
      <t>ウチ</t>
    </rPh>
    <rPh sb="5" eb="7">
      <t>メントリ</t>
    </rPh>
    <rPh sb="8" eb="9">
      <t>フカ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</si>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</sst>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_ "/>
    <numFmt numFmtId="179" formatCode="0_ "/>
    <numFmt numFmtId="180" formatCode="0.000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80"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FC29-DC21-4B73-8FB9-EE84D8C0B11F}">
  <sheetPr codeName="Sheet16"/>
  <dimension ref="A1:R182"/>
  <sheetViews>
    <sheetView tabSelected="1" workbookViewId="0">
      <selection activeCell="S39" sqref="S39"/>
    </sheetView>
  </sheetViews>
  <sheetFormatPr defaultRowHeight="14.25" x14ac:dyDescent="0.4"/>
  <cols>
    <col min="1" max="1" width="3.75" style="3" bestFit="1" customWidth="1"/>
    <col min="2" max="2" width="23.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1.1205013797803596E-2</v>
      </c>
      <c r="P2" s="9" t="s">
        <v>59</v>
      </c>
      <c r="Q2" s="10">
        <f>C4+N166</f>
        <v>500.00000001278181</v>
      </c>
      <c r="R2" s="10">
        <f>C67+Q2</f>
        <v>-649.97399998721812</v>
      </c>
    </row>
    <row r="3" spans="1:18" ht="15" thickTop="1" x14ac:dyDescent="0.4">
      <c r="A3" s="3" t="s">
        <v>159</v>
      </c>
      <c r="B3" s="11" t="s">
        <v>6</v>
      </c>
      <c r="C3" s="12">
        <v>8922.7000000000007</v>
      </c>
      <c r="E3" s="3" t="s">
        <v>230</v>
      </c>
      <c r="F3" s="9" t="s">
        <v>378</v>
      </c>
      <c r="G3" s="13" t="s">
        <v>124</v>
      </c>
      <c r="H3" s="30">
        <f>$C$4+$N$13*$N$5</f>
        <v>500.01603829462465</v>
      </c>
      <c r="I3" s="30">
        <f>$C$67+H3</f>
        <v>-649.95796170537528</v>
      </c>
      <c r="K3" s="3">
        <f t="shared" ref="K3:K75" si="0">ROW(K3)</f>
        <v>3</v>
      </c>
      <c r="L3" s="45" t="s">
        <v>374</v>
      </c>
      <c r="M3" s="54" t="s">
        <v>82</v>
      </c>
      <c r="N3" s="2">
        <f>ASIN($N$14)</f>
        <v>1.1203216917671469E-2</v>
      </c>
      <c r="P3" s="9" t="s">
        <v>60</v>
      </c>
      <c r="Q3" s="10">
        <f>C4+C5-Q2</f>
        <v>499.99999998721819</v>
      </c>
      <c r="R3" s="10">
        <f>C67+Q3</f>
        <v>-649.97400001278174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499.98396170537535</v>
      </c>
      <c r="I4" s="30">
        <f>$C$67+H4</f>
        <v>-649.99003829462458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0.64189704635213818</v>
      </c>
      <c r="P4" s="9" t="s">
        <v>61</v>
      </c>
      <c r="Q4" s="10">
        <f>Q2-C61</f>
        <v>170.00000001278181</v>
      </c>
    </row>
    <row r="5" spans="1:18" x14ac:dyDescent="0.4">
      <c r="A5" s="3" t="s">
        <v>161</v>
      </c>
      <c r="B5" s="14" t="s">
        <v>9</v>
      </c>
      <c r="C5" s="15">
        <v>600</v>
      </c>
      <c r="D5" s="2"/>
      <c r="F5" s="9" t="s">
        <v>380</v>
      </c>
      <c r="G5" s="13" t="s">
        <v>124</v>
      </c>
      <c r="H5" s="30">
        <f>$H$3-$C$61</f>
        <v>170.01603829462465</v>
      </c>
      <c r="K5" s="3">
        <f t="shared" si="0"/>
        <v>5</v>
      </c>
      <c r="L5" s="45" t="s">
        <v>83</v>
      </c>
      <c r="N5" s="2">
        <f>SIN($N$2)</f>
        <v>1.120477933000264E-2</v>
      </c>
      <c r="P5" s="9" t="s">
        <v>62</v>
      </c>
      <c r="Q5" s="10">
        <f>Q3-C61</f>
        <v>169.99999998721819</v>
      </c>
    </row>
    <row r="6" spans="1:18" x14ac:dyDescent="0.4">
      <c r="B6" s="14" t="s">
        <v>14</v>
      </c>
      <c r="C6" s="19">
        <v>7.1067335251979431</v>
      </c>
      <c r="D6" s="16"/>
      <c r="F6" s="9" t="s">
        <v>381</v>
      </c>
      <c r="G6" s="13" t="s">
        <v>124</v>
      </c>
      <c r="H6" s="50">
        <f>$H$4-$C$61</f>
        <v>169.98396170537535</v>
      </c>
      <c r="K6" s="3">
        <f t="shared" si="0"/>
        <v>6</v>
      </c>
      <c r="L6" s="45" t="s">
        <v>85</v>
      </c>
      <c r="N6" s="2">
        <f>COS($N$2)</f>
        <v>0.99993722448970057</v>
      </c>
      <c r="P6" s="17" t="s">
        <v>29</v>
      </c>
      <c r="Q6" s="18">
        <f>N161-N162</f>
        <v>7.1067335242896661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162</v>
      </c>
      <c r="N7" s="2">
        <f>SQRT($N$8^2-$N$9^2)</f>
        <v>8724.6943808938086</v>
      </c>
      <c r="P7" s="17" t="s">
        <v>74</v>
      </c>
      <c r="Q7" s="18">
        <f>C65+C10/2</f>
        <v>-648.5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163</v>
      </c>
      <c r="M8" s="54" t="s">
        <v>19</v>
      </c>
      <c r="N8" s="2">
        <f>$N$10-$C$63</f>
        <v>8730.2000000000007</v>
      </c>
      <c r="P8" s="9" t="s">
        <v>63</v>
      </c>
      <c r="Q8" s="10">
        <f>-C64+(N16+N17)/2+C6/2-N165</f>
        <v>-8.3385574269177596</v>
      </c>
      <c r="R8" s="10">
        <f t="shared" ref="R8:R14" si="1">$C$66+Q8</f>
        <v>-558.35755742691777</v>
      </c>
    </row>
    <row r="9" spans="1:18" x14ac:dyDescent="0.4">
      <c r="B9" s="14" t="s">
        <v>75</v>
      </c>
      <c r="C9" s="15">
        <v>185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$C$61-$C$62/2</f>
        <v>310</v>
      </c>
      <c r="P9" s="9" t="s">
        <v>17</v>
      </c>
      <c r="Q9" s="10">
        <f>-C64+N15+C6/2-N165</f>
        <v>-8.337590837638345</v>
      </c>
      <c r="R9" s="10">
        <f t="shared" si="1"/>
        <v>-558.35659083763835</v>
      </c>
    </row>
    <row r="10" spans="1:18" x14ac:dyDescent="0.4">
      <c r="B10" s="14" t="s">
        <v>12</v>
      </c>
      <c r="C10" s="15">
        <v>183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8830.2000000000007</v>
      </c>
      <c r="P10" s="9" t="s">
        <v>64</v>
      </c>
      <c r="Q10" s="10">
        <f>C64-(N19+N20)/2-C6/2+N165</f>
        <v>19.565491184843268</v>
      </c>
      <c r="R10" s="10">
        <f t="shared" si="1"/>
        <v>-530.45350881515674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$C$65+C10/2</f>
        <v>-648.5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9015.2000000000007</v>
      </c>
      <c r="P11" s="9" t="s">
        <v>20</v>
      </c>
      <c r="Q11" s="10">
        <f>C64-N18-C6/2+N165</f>
        <v>19.56330812012493</v>
      </c>
      <c r="R11" s="10">
        <f t="shared" si="1"/>
        <v>-530.45569187987508</v>
      </c>
    </row>
    <row r="12" spans="1:18" x14ac:dyDescent="0.4">
      <c r="B12" s="25" t="s">
        <v>112</v>
      </c>
      <c r="C12" s="26">
        <v>1</v>
      </c>
      <c r="F12" s="9" t="s">
        <v>120</v>
      </c>
      <c r="G12" s="13" t="s">
        <v>127</v>
      </c>
      <c r="H12" s="30">
        <f>$N$21-$N$13*$N$6</f>
        <v>-11.905406231671805</v>
      </c>
      <c r="I12" s="30">
        <f>$C$66+H12</f>
        <v>-561.92440623167181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100</v>
      </c>
      <c r="P12" s="9" t="s">
        <v>72</v>
      </c>
      <c r="Q12" s="10" t="e">
        <f>C64-(N19+N20)/2-C6/2+N165-#REF!/2-C35+C36/2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172.9</v>
      </c>
      <c r="F13" s="9" t="s">
        <v>122</v>
      </c>
      <c r="G13" s="13" t="s">
        <v>127</v>
      </c>
      <c r="H13" s="30">
        <f>$N$13*$N$6-$N$22</f>
        <v>23.132339989597313</v>
      </c>
      <c r="I13" s="30">
        <f>$C$66+H13</f>
        <v>-526.88666001040269</v>
      </c>
      <c r="K13" s="3">
        <f t="shared" si="0"/>
        <v>13</v>
      </c>
      <c r="L13" s="45" t="s">
        <v>79</v>
      </c>
      <c r="M13" s="54" t="s">
        <v>95</v>
      </c>
      <c r="N13" s="2">
        <f>$C$64+$N$7</f>
        <v>8926.1943808938086</v>
      </c>
      <c r="P13" s="9" t="s">
        <v>67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202</v>
      </c>
      <c r="C14" s="15">
        <v>172.9</v>
      </c>
      <c r="F14" s="9" t="s">
        <v>121</v>
      </c>
      <c r="G14" s="13" t="s">
        <v>127</v>
      </c>
      <c r="H14" s="30">
        <f>$N$15-$N$13*$N$6</f>
        <v>-11.90443964239239</v>
      </c>
      <c r="I14" s="30">
        <f>$C$66+H14</f>
        <v>-561.9234396423924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1.1202982562652493E-2</v>
      </c>
      <c r="P14" s="9" t="s">
        <v>68</v>
      </c>
      <c r="Q14" s="10" t="e">
        <f>-C64+(N16+N17)/2+C6/2-N165+#REF!/2+C41-C42/2</f>
        <v>#REF!</v>
      </c>
      <c r="R14" s="10" t="e">
        <f t="shared" si="1"/>
        <v>#REF!</v>
      </c>
    </row>
    <row r="15" spans="1:18" x14ac:dyDescent="0.4">
      <c r="A15" s="3" t="s">
        <v>422</v>
      </c>
      <c r="B15" s="14" t="s">
        <v>39</v>
      </c>
      <c r="C15" s="15">
        <v>12.05</v>
      </c>
      <c r="D15" s="16"/>
      <c r="F15" s="9" t="s">
        <v>123</v>
      </c>
      <c r="G15" s="13" t="s">
        <v>127</v>
      </c>
      <c r="H15" s="30">
        <f>$N$13*$N$6-$N$18</f>
        <v>23.130156924878975</v>
      </c>
      <c r="I15" s="30">
        <f>$C$66+H15</f>
        <v>-526.88884307512103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8913.7295948441242</v>
      </c>
      <c r="P15" s="10" t="s">
        <v>49</v>
      </c>
      <c r="Q15" s="10">
        <f>N28-N15</f>
        <v>0.70683627001562854</v>
      </c>
    </row>
    <row r="16" spans="1:18" x14ac:dyDescent="0.4">
      <c r="A16" s="3" t="s">
        <v>423</v>
      </c>
      <c r="B16" s="14" t="s">
        <v>40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9006.321726431941</v>
      </c>
      <c r="P16" s="10" t="s">
        <v>50</v>
      </c>
      <c r="Q16" s="18">
        <f>C15+C16/2</f>
        <v>16.075000000000003</v>
      </c>
    </row>
    <row r="17" spans="1:18" x14ac:dyDescent="0.4">
      <c r="A17" s="3" t="s">
        <v>433</v>
      </c>
      <c r="B17" s="14" t="s">
        <v>41</v>
      </c>
      <c r="C17" s="15">
        <v>6.1360000000000001</v>
      </c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8821.1355300777468</v>
      </c>
      <c r="P17" s="10" t="s">
        <v>52</v>
      </c>
      <c r="Q17" s="10">
        <f>N28-C64+C6/2-N165</f>
        <v>-7.6307545676227164</v>
      </c>
      <c r="R17" s="10">
        <f>$C$66+Q17</f>
        <v>-557.64975456762272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8902.5038775616376</v>
      </c>
      <c r="P18" s="10" t="s">
        <v>47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-76.724999999999994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8995.2115617143772</v>
      </c>
      <c r="P19" s="10" t="s">
        <v>46</v>
      </c>
      <c r="Q19" s="10">
        <f>N29-C17-C13/2+N167-N13</f>
        <v>-7.6318892500185029</v>
      </c>
      <c r="R19" s="10">
        <f>$C$66+Q19</f>
        <v>-557.65088925001851</v>
      </c>
    </row>
    <row r="20" spans="1:18" x14ac:dyDescent="0.4">
      <c r="A20" s="3" t="s">
        <v>143</v>
      </c>
      <c r="B20" s="14" t="s">
        <v>53</v>
      </c>
      <c r="C20" s="15">
        <v>90</v>
      </c>
      <c r="D20" s="2"/>
      <c r="F20" s="9" t="s">
        <v>105</v>
      </c>
      <c r="G20" s="13" t="s">
        <v>127</v>
      </c>
      <c r="H20" s="30">
        <f ca="1">$H$13-$H$18/2-$C$35+$C$42/2</f>
        <v>22.287339989597314</v>
      </c>
      <c r="I20" s="30">
        <f ca="1">$C$66+H20</f>
        <v>-527.73166001040272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8809.7918272794614</v>
      </c>
      <c r="P20" s="10" t="s">
        <v>48</v>
      </c>
      <c r="Q20" s="10">
        <f>Q3-Q16</f>
        <v>483.9249999872182</v>
      </c>
      <c r="R20" s="10">
        <f>C67+Q20</f>
        <v>-666.04900001278179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>
        <f ca="1">-$H$20+$C$46</f>
        <v>-11.287339989597314</v>
      </c>
      <c r="I21" s="30">
        <f ca="1">$C$66+H21</f>
        <v>-561.30633998959729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8913.7286282548448</v>
      </c>
      <c r="P21" s="10" t="s">
        <v>57</v>
      </c>
      <c r="Q21" s="29">
        <f>$C$23/$C$22+1</f>
        <v>7</v>
      </c>
    </row>
    <row r="22" spans="1:18" x14ac:dyDescent="0.4">
      <c r="A22" s="3" t="s">
        <v>177</v>
      </c>
      <c r="B22" s="14" t="s">
        <v>55</v>
      </c>
      <c r="C22" s="15">
        <v>17</v>
      </c>
      <c r="E22" s="3" t="s">
        <v>201</v>
      </c>
      <c r="F22" s="9" t="s">
        <v>142</v>
      </c>
      <c r="G22" s="13" t="s">
        <v>127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8902.5016944969193</v>
      </c>
      <c r="P22" s="10" t="s">
        <v>58</v>
      </c>
      <c r="Q22" s="29">
        <f>$C$24/$C$22+1</f>
        <v>6</v>
      </c>
    </row>
    <row r="23" spans="1:18" x14ac:dyDescent="0.4">
      <c r="A23" s="3" t="s">
        <v>304</v>
      </c>
      <c r="B23" s="14" t="s">
        <v>390</v>
      </c>
      <c r="C23" s="15">
        <v>102</v>
      </c>
      <c r="F23" s="9" t="s">
        <v>86</v>
      </c>
      <c r="G23" s="13" t="s">
        <v>127</v>
      </c>
      <c r="H23" s="30">
        <f>$C$42/2-$C$41+$C$31</f>
        <v>77.799999999999983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16.075000000000003</v>
      </c>
      <c r="P23" s="10" t="s">
        <v>69</v>
      </c>
      <c r="Q23" s="10">
        <f ca="1">DEGREES($N$66)</f>
        <v>859.43669269623479</v>
      </c>
    </row>
    <row r="24" spans="1:18" x14ac:dyDescent="0.4">
      <c r="A24" s="3" t="s">
        <v>305</v>
      </c>
      <c r="B24" s="14" t="s">
        <v>391</v>
      </c>
      <c r="C24" s="15">
        <v>85</v>
      </c>
      <c r="F24" s="9" t="s">
        <v>107</v>
      </c>
      <c r="G24" s="13" t="s">
        <v>127</v>
      </c>
      <c r="H24" s="30">
        <f ca="1">-$N$13*$N$6+$N$21+$H$22/2+$C$41-$C$42/2</f>
        <v>-11.203906231671795</v>
      </c>
      <c r="I24" s="30">
        <f ca="1">$C$66+H24</f>
        <v>-561.2229062316718</v>
      </c>
      <c r="K24" s="3">
        <f t="shared" si="0"/>
        <v>24</v>
      </c>
      <c r="L24" s="45" t="s">
        <v>175</v>
      </c>
      <c r="M24" s="54" t="s">
        <v>44</v>
      </c>
      <c r="N24" s="2">
        <f>$C$4-$N$23</f>
        <v>383.92500000000001</v>
      </c>
      <c r="P24" s="10" t="s">
        <v>70</v>
      </c>
      <c r="Q24" s="10">
        <f ca="1">Q9*$N$107+Q2*$N$74</f>
        <v>-70046.624280368822</v>
      </c>
    </row>
    <row r="25" spans="1:18" x14ac:dyDescent="0.4">
      <c r="A25" s="3" t="s">
        <v>147</v>
      </c>
      <c r="B25" s="14" t="s">
        <v>56</v>
      </c>
      <c r="C25" s="31">
        <v>6</v>
      </c>
      <c r="F25" s="9" t="s">
        <v>108</v>
      </c>
      <c r="G25" s="13" t="s">
        <v>124</v>
      </c>
      <c r="H25" s="30">
        <f>$H$3-$C$43</f>
        <v>468.01603829462465</v>
      </c>
      <c r="I25" s="30">
        <f>$C$67+H25</f>
        <v>-681.95796170537528</v>
      </c>
      <c r="K25" s="3">
        <f t="shared" si="0"/>
        <v>25</v>
      </c>
      <c r="L25" s="45" t="s">
        <v>415</v>
      </c>
      <c r="M25" s="54" t="s">
        <v>417</v>
      </c>
      <c r="N25" s="2">
        <f>$C$15+$C$16</f>
        <v>20.100000000000001</v>
      </c>
      <c r="P25" s="10" t="s">
        <v>71</v>
      </c>
      <c r="Q25" s="10">
        <f ca="1">-Q$9*$N$74+Q$2*$N$107</f>
        <v>4500581.5260234261</v>
      </c>
    </row>
    <row r="26" spans="1:18" x14ac:dyDescent="0.4">
      <c r="B26" s="14" t="s">
        <v>396</v>
      </c>
      <c r="C26" s="19">
        <v>40</v>
      </c>
      <c r="F26" s="9" t="s">
        <v>109</v>
      </c>
      <c r="G26" s="13" t="s">
        <v>124</v>
      </c>
      <c r="H26" s="30">
        <f>$H$4-$C$38</f>
        <v>474.98396170537535</v>
      </c>
      <c r="I26" s="30">
        <f>$C$67+H26</f>
        <v>-674.99003829462458</v>
      </c>
      <c r="K26" s="3">
        <f t="shared" si="0"/>
        <v>26</v>
      </c>
      <c r="L26" s="45" t="s">
        <v>416</v>
      </c>
      <c r="M26" s="54" t="s">
        <v>420</v>
      </c>
      <c r="N26" s="2">
        <f>$C$4-$N$25</f>
        <v>379.9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419</v>
      </c>
      <c r="M27" s="54" t="s">
        <v>421</v>
      </c>
      <c r="N27" s="2">
        <f>$C$4-$C$15</f>
        <v>387.95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369</v>
      </c>
      <c r="M28" s="54" t="s">
        <v>45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487.96603829462464</v>
      </c>
      <c r="I29" s="30">
        <f>$C$67+H29</f>
        <v>-662.00796170537524</v>
      </c>
      <c r="K29" s="3">
        <f t="shared" si="0"/>
        <v>29</v>
      </c>
      <c r="L29" s="45" t="s">
        <v>370</v>
      </c>
      <c r="M29" s="54" t="s">
        <v>93</v>
      </c>
      <c r="N29" s="2">
        <f>SQRT($N$11^2-$N$24^2)</f>
        <v>9007.0212964317452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479.91603829462463</v>
      </c>
      <c r="I30" s="30">
        <f>$C$67+H30</f>
        <v>-670.05796170537531</v>
      </c>
      <c r="K30" s="3">
        <f t="shared" si="0"/>
        <v>30</v>
      </c>
      <c r="L30" s="45" t="s">
        <v>371</v>
      </c>
      <c r="M30" s="54" t="s">
        <v>94</v>
      </c>
      <c r="N30" s="2">
        <f>SQRT($N$10^2-$N$24^2)</f>
        <v>8821.8497852987166</v>
      </c>
    </row>
    <row r="31" spans="1:18" x14ac:dyDescent="0.4">
      <c r="A31" s="3" t="s">
        <v>221</v>
      </c>
      <c r="B31" s="14" t="s">
        <v>21</v>
      </c>
      <c r="C31" s="15">
        <v>7.0000000000000007E-2</v>
      </c>
      <c r="F31" s="9" t="s">
        <v>87</v>
      </c>
      <c r="G31" s="13" t="s">
        <v>124</v>
      </c>
      <c r="H31" s="30">
        <f>$H$3-$N$23</f>
        <v>483.94103829462466</v>
      </c>
      <c r="I31" s="30">
        <f>$C$67+H31</f>
        <v>-666.03296170537533</v>
      </c>
      <c r="K31" s="3">
        <f t="shared" si="0"/>
        <v>31</v>
      </c>
      <c r="L31" s="45" t="s">
        <v>413</v>
      </c>
      <c r="M31" s="54" t="s">
        <v>414</v>
      </c>
      <c r="N31" s="2">
        <f>SQRT($N$11^2-$N$26^2)</f>
        <v>9007.1919614272683</v>
      </c>
    </row>
    <row r="32" spans="1:18" x14ac:dyDescent="0.4">
      <c r="B32" s="14" t="s">
        <v>222</v>
      </c>
      <c r="C32" s="39" t="s">
        <v>223</v>
      </c>
      <c r="F32" s="10" t="s">
        <v>88</v>
      </c>
      <c r="G32" s="30" t="s">
        <v>127</v>
      </c>
      <c r="H32" s="30">
        <f>$N$28-$N$15</f>
        <v>0.70683627001562854</v>
      </c>
      <c r="K32" s="3">
        <f t="shared" si="0"/>
        <v>32</v>
      </c>
      <c r="L32" s="45" t="s">
        <v>418</v>
      </c>
      <c r="M32" s="54" t="s">
        <v>436</v>
      </c>
      <c r="N32" s="2">
        <f>SQRT($N$11^2-$N$27^2)</f>
        <v>9006.8488295019142</v>
      </c>
    </row>
    <row r="33" spans="2:16" x14ac:dyDescent="0.4">
      <c r="F33" s="10" t="s">
        <v>52</v>
      </c>
      <c r="G33" s="30" t="s">
        <v>127</v>
      </c>
      <c r="H33" s="30">
        <f>$N$28-$N$13*$N$6</f>
        <v>-11.197603372376761</v>
      </c>
      <c r="I33" s="30">
        <f>$C$66+H33</f>
        <v>-561.21660337237677</v>
      </c>
      <c r="K33" s="3">
        <f t="shared" si="0"/>
        <v>33</v>
      </c>
      <c r="L33" s="45" t="s">
        <v>424</v>
      </c>
      <c r="M33" s="54" t="s">
        <v>426</v>
      </c>
      <c r="N33" s="2">
        <f>($N$31-$N$32)/$C$16</f>
        <v>4.262508389491932E-2</v>
      </c>
    </row>
    <row r="34" spans="2:16" x14ac:dyDescent="0.4">
      <c r="B34" s="4" t="s">
        <v>438</v>
      </c>
      <c r="F34" s="10" t="s">
        <v>47</v>
      </c>
      <c r="G34" s="30" t="s">
        <v>127</v>
      </c>
      <c r="H34" s="30">
        <f ca="1">$H$21</f>
        <v>-11.287339989597314</v>
      </c>
      <c r="I34" s="30">
        <f ca="1">$C$66+H34</f>
        <v>-561.30633998959729</v>
      </c>
      <c r="K34" s="3">
        <f t="shared" si="0"/>
        <v>34</v>
      </c>
      <c r="L34" s="45" t="s">
        <v>425</v>
      </c>
      <c r="M34" s="54" t="s">
        <v>427</v>
      </c>
      <c r="N34" s="2">
        <f>SIN(ATAN($N$33))</f>
        <v>4.2586413871470295E-2</v>
      </c>
    </row>
    <row r="35" spans="2:16" x14ac:dyDescent="0.4">
      <c r="B35" s="14" t="s">
        <v>22</v>
      </c>
      <c r="C35" s="33">
        <v>13.82</v>
      </c>
      <c r="F35" s="10" t="s">
        <v>130</v>
      </c>
      <c r="G35" s="30" t="s">
        <v>127</v>
      </c>
      <c r="H35" s="30">
        <f>$N$29-$C$17-$C$13/2-$N$13</f>
        <v>-11.759084462064493</v>
      </c>
      <c r="I35" s="30">
        <f>$C$66+H35</f>
        <v>-561.7780844620645</v>
      </c>
      <c r="K35" s="3">
        <f t="shared" si="0"/>
        <v>35</v>
      </c>
      <c r="L35" s="45" t="s">
        <v>428</v>
      </c>
      <c r="M35" s="54" t="s">
        <v>429</v>
      </c>
      <c r="N35" s="2">
        <f>COS(ATAN($N$33))</f>
        <v>0.99909278715921468</v>
      </c>
    </row>
    <row r="36" spans="2:16" x14ac:dyDescent="0.4">
      <c r="B36" s="14" t="s">
        <v>203</v>
      </c>
      <c r="C36" s="33">
        <v>180.95</v>
      </c>
      <c r="F36" s="10" t="s">
        <v>131</v>
      </c>
      <c r="G36" s="30" t="s">
        <v>127</v>
      </c>
      <c r="H36" s="30">
        <f>$C$17+$C$13/2</f>
        <v>92.585999999999999</v>
      </c>
      <c r="K36" s="3">
        <f t="shared" si="0"/>
        <v>36</v>
      </c>
      <c r="L36" s="45" t="s">
        <v>435</v>
      </c>
      <c r="N36" s="2">
        <f>2*$N$35/(1+$N$35^2)</f>
        <v>0.99999958810892742</v>
      </c>
    </row>
    <row r="37" spans="2:16" x14ac:dyDescent="0.4">
      <c r="B37" s="14" t="s">
        <v>204</v>
      </c>
      <c r="C37" s="33">
        <v>180.95</v>
      </c>
      <c r="F37" s="10" t="s">
        <v>92</v>
      </c>
      <c r="G37" s="30" t="s">
        <v>127</v>
      </c>
      <c r="H37" s="30">
        <f ca="1">$H$24</f>
        <v>-11.203906231671795</v>
      </c>
      <c r="I37" s="30">
        <f ca="1">$C$66+H37</f>
        <v>-561.2229062316718</v>
      </c>
      <c r="K37" s="3">
        <f>ROW(K37)</f>
        <v>37</v>
      </c>
      <c r="L37" s="45" t="s">
        <v>430</v>
      </c>
      <c r="M37" s="54" t="s">
        <v>437</v>
      </c>
      <c r="N37" s="2">
        <f>$N$29-$N$32</f>
        <v>0.1724669298309891</v>
      </c>
    </row>
    <row r="38" spans="2:16" x14ac:dyDescent="0.4">
      <c r="B38" s="14" t="s">
        <v>98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431</v>
      </c>
      <c r="N38" s="2">
        <f>$C$16*$N$34/2</f>
        <v>0.17141031583266794</v>
      </c>
    </row>
    <row r="39" spans="2:16" x14ac:dyDescent="0.4">
      <c r="B39" s="21"/>
      <c r="C39" s="21"/>
      <c r="F39" s="32" t="s">
        <v>128</v>
      </c>
      <c r="G39" s="5"/>
      <c r="H39" s="5"/>
      <c r="I39" s="5"/>
      <c r="K39" s="3">
        <f t="shared" si="0"/>
        <v>39</v>
      </c>
      <c r="L39" s="45" t="s">
        <v>432</v>
      </c>
      <c r="M39" s="54" t="s">
        <v>434</v>
      </c>
      <c r="N39" s="2">
        <f>$N$36*($C$17-$N$38)+$N$37</f>
        <v>6.1370541572370785</v>
      </c>
    </row>
    <row r="40" spans="2:16" x14ac:dyDescent="0.4">
      <c r="B40" s="25" t="s">
        <v>439</v>
      </c>
      <c r="C40" s="28"/>
      <c r="F40" s="10" t="s">
        <v>102</v>
      </c>
      <c r="G40" s="30" t="s">
        <v>124</v>
      </c>
      <c r="H40" s="30">
        <f>$H$3-$C$55</f>
        <v>499.01603829462465</v>
      </c>
      <c r="I40" s="30">
        <f>$C$67+H40</f>
        <v>-650.95796170537528</v>
      </c>
      <c r="K40" s="3">
        <f t="shared" si="0"/>
        <v>40</v>
      </c>
      <c r="L40" s="45" t="s">
        <v>409</v>
      </c>
      <c r="M40" s="54" t="s">
        <v>386</v>
      </c>
      <c r="N40" s="2">
        <f>$C$5-$C$51</f>
        <v>590</v>
      </c>
      <c r="P40" s="2"/>
    </row>
    <row r="41" spans="2:16" x14ac:dyDescent="0.4">
      <c r="B41" s="14" t="s">
        <v>26</v>
      </c>
      <c r="C41" s="33">
        <f>12.745</f>
        <v>12.744999999999999</v>
      </c>
      <c r="F41" s="10" t="s">
        <v>101</v>
      </c>
      <c r="G41" s="30" t="s">
        <v>124</v>
      </c>
      <c r="H41" s="30">
        <f>$H$3-$C$57</f>
        <v>499.51603829462465</v>
      </c>
      <c r="I41" s="30">
        <f>$C$67+H41</f>
        <v>-650.45796170537528</v>
      </c>
      <c r="K41" s="3">
        <f t="shared" si="0"/>
        <v>41</v>
      </c>
      <c r="L41" s="45" t="s">
        <v>410</v>
      </c>
      <c r="M41" s="54" t="s">
        <v>387</v>
      </c>
      <c r="N41" s="2">
        <f>SQRT($C$3^2-$N$40^2)</f>
        <v>8903.1722037709678</v>
      </c>
    </row>
    <row r="42" spans="2:16" x14ac:dyDescent="0.4">
      <c r="B42" s="14" t="s">
        <v>383</v>
      </c>
      <c r="C42" s="33">
        <v>180.95</v>
      </c>
      <c r="F42" s="10" t="s">
        <v>103</v>
      </c>
      <c r="G42" s="30" t="s">
        <v>124</v>
      </c>
      <c r="H42" s="30">
        <f>$H$4-$C$49</f>
        <v>495.98396170537535</v>
      </c>
      <c r="I42" s="30">
        <f>$C$67+H42</f>
        <v>-653.99003829462458</v>
      </c>
      <c r="K42" s="3">
        <f t="shared" si="0"/>
        <v>42</v>
      </c>
      <c r="L42" s="45" t="s">
        <v>178</v>
      </c>
      <c r="M42" s="54" t="str">
        <f>IF($C$25&gt;=3, "振分中心-内面溝1列目間距離", "-")</f>
        <v>振分中心-内面溝1列目間距離</v>
      </c>
      <c r="N42" s="44">
        <f>$C$4-$C$20</f>
        <v>310</v>
      </c>
    </row>
    <row r="43" spans="2:16" x14ac:dyDescent="0.4">
      <c r="B43" s="14" t="s">
        <v>97</v>
      </c>
      <c r="C43" s="33">
        <v>32</v>
      </c>
      <c r="F43" s="10" t="s">
        <v>104</v>
      </c>
      <c r="G43" s="30" t="s">
        <v>124</v>
      </c>
      <c r="H43" s="30">
        <f>$H$4-$C$51</f>
        <v>489.98396170537535</v>
      </c>
      <c r="I43" s="30">
        <f>$C$67+H43</f>
        <v>-659.99003829462458</v>
      </c>
      <c r="K43" s="3">
        <f t="shared" si="0"/>
        <v>43</v>
      </c>
      <c r="L43" s="45" t="s">
        <v>233</v>
      </c>
      <c r="M43" s="54" t="str">
        <f>IF($C$25&gt;=4, "振分中心-内面溝2列目間距離", "-")</f>
        <v>振分中心-内面溝2列目間距離</v>
      </c>
      <c r="N43" s="44">
        <f>IF($C$25&gt;=4,$N$42-1*$C$21, "-")</f>
        <v>290</v>
      </c>
    </row>
    <row r="44" spans="2:16" x14ac:dyDescent="0.4"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234</v>
      </c>
      <c r="M44" s="54" t="str">
        <f>IF($C$25&gt;=5, "振分中心-内面溝3列目間距離", "-")</f>
        <v>振分中心-内面溝3列目間距離</v>
      </c>
      <c r="N44" s="44">
        <f>IF($C$25&gt;=5,$N$42-2*$C$21, "-")</f>
        <v>270</v>
      </c>
    </row>
    <row r="45" spans="2:16" x14ac:dyDescent="0.4">
      <c r="B45" s="4" t="s">
        <v>115</v>
      </c>
      <c r="F45" s="10" t="s">
        <v>110</v>
      </c>
      <c r="G45" s="30" t="s">
        <v>127</v>
      </c>
      <c r="H45" s="30">
        <f>$N$41-$N$18</f>
        <v>0.66832620933018916</v>
      </c>
      <c r="I45" s="51"/>
      <c r="K45" s="3">
        <f t="shared" si="0"/>
        <v>45</v>
      </c>
      <c r="L45" s="45" t="s">
        <v>235</v>
      </c>
      <c r="M45" s="54" t="str">
        <f>IF($C$25&gt;=6, "振分中心-内面溝4列目間距離", "-")</f>
        <v>振分中心-内面溝4列目間距離</v>
      </c>
      <c r="N45" s="44">
        <f>IF($C$25&gt;=6,$N$42-3*$C$21, "-")</f>
        <v>250</v>
      </c>
    </row>
    <row r="46" spans="2:16" x14ac:dyDescent="0.4">
      <c r="B46" s="14" t="s">
        <v>23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237</v>
      </c>
      <c r="M46" s="54" t="str">
        <f>IF($C$25&gt;=7, "振分中心-内面溝5列目間距離", "-")</f>
        <v>-</v>
      </c>
      <c r="N46" s="44" t="str">
        <f>IF($C$25&gt;=7,$N$42-4*$C$21, "-")</f>
        <v>-</v>
      </c>
    </row>
    <row r="47" spans="2:16" x14ac:dyDescent="0.4">
      <c r="F47" s="34" t="s">
        <v>113</v>
      </c>
      <c r="G47" s="28"/>
      <c r="H47" s="28"/>
      <c r="K47" s="3">
        <f t="shared" si="0"/>
        <v>47</v>
      </c>
      <c r="L47" s="45" t="s">
        <v>236</v>
      </c>
      <c r="M47" s="54" t="str">
        <f>IF($C$25&gt;=8, "振分中心-内面溝6列目間距離", "-")</f>
        <v>-</v>
      </c>
      <c r="N47" s="44" t="str">
        <f>IF($C$25&gt;=8,$N$42-5*$C$21, "-")</f>
        <v>-</v>
      </c>
    </row>
    <row r="48" spans="2:16" x14ac:dyDescent="0.4">
      <c r="B48" s="4" t="s">
        <v>384</v>
      </c>
      <c r="E48" s="3" t="s">
        <v>255</v>
      </c>
      <c r="F48" s="35" t="s">
        <v>57</v>
      </c>
      <c r="G48" s="36" t="s">
        <v>118</v>
      </c>
      <c r="H48" s="48">
        <f>$C$23/$C$22+1</f>
        <v>7</v>
      </c>
      <c r="K48" s="3">
        <f t="shared" si="0"/>
        <v>48</v>
      </c>
      <c r="L48" s="45" t="s">
        <v>182</v>
      </c>
      <c r="M48" s="54" t="s">
        <v>155</v>
      </c>
      <c r="N48" s="44">
        <f>$N$42-($C$25-2)*$C$21</f>
        <v>230</v>
      </c>
    </row>
    <row r="49" spans="1:14" x14ac:dyDescent="0.4">
      <c r="B49" s="14" t="s">
        <v>134</v>
      </c>
      <c r="C49" s="15">
        <v>4</v>
      </c>
      <c r="E49" s="3" t="s">
        <v>256</v>
      </c>
      <c r="F49" s="10" t="s">
        <v>58</v>
      </c>
      <c r="G49" s="30" t="s">
        <v>118</v>
      </c>
      <c r="H49" s="49">
        <f>$C$24/$C$22+1</f>
        <v>6</v>
      </c>
      <c r="K49" s="3">
        <f t="shared" si="0"/>
        <v>49</v>
      </c>
      <c r="L49" s="45" t="s">
        <v>181</v>
      </c>
      <c r="M49" s="54" t="s">
        <v>154</v>
      </c>
      <c r="N49" s="44">
        <f>$N$42-($C$25-1)*$C$21</f>
        <v>210</v>
      </c>
    </row>
    <row r="50" spans="1:14" x14ac:dyDescent="0.4">
      <c r="B50" s="14" t="s">
        <v>135</v>
      </c>
      <c r="C50" s="15">
        <v>15</v>
      </c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179</v>
      </c>
      <c r="M50" s="54" t="str">
        <f>IF($C$25&gt;=3,"λj ≦ q &lt; λj+1 の λj", "-")</f>
        <v>λj ≦ q &lt; λj+1 の λj</v>
      </c>
      <c r="N50" s="44">
        <f ca="1">IF($C$25&gt;=3,LOOKUP($C$20,INDIRECT($H$52&amp;"!$A:$A")),"-")</f>
        <v>75</v>
      </c>
    </row>
    <row r="51" spans="1:14" x14ac:dyDescent="0.4">
      <c r="B51" s="14" t="s">
        <v>136</v>
      </c>
      <c r="C51" s="15">
        <v>10</v>
      </c>
      <c r="F51" s="10" t="s">
        <v>229</v>
      </c>
      <c r="G51" s="30" t="s">
        <v>118</v>
      </c>
      <c r="H51" s="49">
        <f>QUOTIENT($C$25,2)</f>
        <v>3</v>
      </c>
      <c r="K51" s="3">
        <f t="shared" si="0"/>
        <v>51</v>
      </c>
      <c r="L51" s="45" t="s">
        <v>238</v>
      </c>
      <c r="M51" s="54" t="str">
        <f>IF($C$25&gt;=4,"λj ≦ q+pz &lt; λj+1 の λj", "-")</f>
        <v>λj ≦ q+pz &lt; λj+1 の λj</v>
      </c>
      <c r="N51" s="44">
        <f ca="1">IF($C$25&gt;=4,LOOKUP($C$20+$C$21, INDIRECT($H$52&amp;"!$A:$A")),"-")</f>
        <v>100</v>
      </c>
    </row>
    <row r="52" spans="1:14" x14ac:dyDescent="0.4">
      <c r="B52" s="14" t="s">
        <v>137</v>
      </c>
      <c r="C52" s="15">
        <v>15</v>
      </c>
      <c r="F52" s="10" t="s">
        <v>222</v>
      </c>
      <c r="G52" s="30" t="s">
        <v>118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240</v>
      </c>
      <c r="M52" s="54" t="str">
        <f>IF($C$25&gt;=5,"λj ≦ q+2pz &lt; λj+1 の λj", "-")</f>
        <v>λj ≦ q+2pz &lt; λj+1 の λj</v>
      </c>
      <c r="N52" s="44">
        <f ca="1">IF($C$25&gt;=5,LOOKUP($C$20+2*$C$21, INDIRECT($H$52&amp;"!$A:$A")),"-")</f>
        <v>125</v>
      </c>
    </row>
    <row r="53" spans="1:14" x14ac:dyDescent="0.4">
      <c r="F53" s="32" t="s">
        <v>389</v>
      </c>
      <c r="K53" s="3">
        <f t="shared" si="0"/>
        <v>53</v>
      </c>
      <c r="L53" s="45" t="s">
        <v>242</v>
      </c>
      <c r="M53" s="54" t="str">
        <f>IF($C$25&gt;=6,"λj ≦ q+3pz &lt; λj+1 の λj", "-")</f>
        <v>λj ≦ q+3pz &lt; λj+1 の λj</v>
      </c>
      <c r="N53" s="44">
        <f ca="1">IF($C$25&gt;=6,LOOKUP($C$20+3*$C$21, INDIRECT($H$52&amp;"!$A:$A")),"-")</f>
        <v>150</v>
      </c>
    </row>
    <row r="54" spans="1:14" x14ac:dyDescent="0.4">
      <c r="B54" s="4" t="s">
        <v>385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IF($C$25&gt;=$C$69-5,$N$82-$N$15, "-")</f>
        <v>3.5836378510248323</v>
      </c>
      <c r="K54" s="3">
        <f t="shared" si="0"/>
        <v>54</v>
      </c>
      <c r="L54" s="45" t="s">
        <v>243</v>
      </c>
      <c r="M54" s="54" t="str">
        <f>IF($C$25&gt;=7,"λj ≦ q+4pz &lt; λj+1 の λj", "-")</f>
        <v>-</v>
      </c>
      <c r="N54" s="44" t="str">
        <f ca="1">IF($C$25&gt;=7,LOOKUP($C$20+4*$C$21, INDIRECT($H$52&amp;"!$A:$A")),"-")</f>
        <v>-</v>
      </c>
    </row>
    <row r="55" spans="1:14" ht="16.5" x14ac:dyDescent="0.4">
      <c r="B55" s="14" t="s">
        <v>138</v>
      </c>
      <c r="C55" s="15">
        <v>1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IF($C$25&gt;=$C69-4,$N$83-$N$15, "-")</f>
        <v>4.2564608749580657</v>
      </c>
      <c r="K55" s="3">
        <f t="shared" si="0"/>
        <v>55</v>
      </c>
      <c r="L55" s="45" t="s">
        <v>244</v>
      </c>
      <c r="M55" s="54" t="str">
        <f>IF($C$25&gt;=8,"λj ≦ q+5pz &lt; λj+1 の λj", "-")</f>
        <v>-</v>
      </c>
      <c r="N55" s="44" t="str">
        <f ca="1">IF($C$25&gt;=8,LOOKUP($C$20+5*$C$21, INDIRECT($H$52&amp;"!$A:$A")),"-")</f>
        <v>-</v>
      </c>
    </row>
    <row r="56" spans="1:14" x14ac:dyDescent="0.4">
      <c r="B56" s="14" t="s">
        <v>139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IF($C$25&gt;=$C$69-3,$N$84-$N$15, "-")</f>
        <v>4.8843832356542407</v>
      </c>
      <c r="K56" s="3">
        <f t="shared" si="0"/>
        <v>56</v>
      </c>
      <c r="L56" s="45" t="s">
        <v>246</v>
      </c>
      <c r="M56" s="54" t="s">
        <v>248</v>
      </c>
      <c r="N56" s="2">
        <f ca="1">LOOKUP($C$20+($C$25-2)*$C$21, INDIRECT($H$52&amp;"!$A:$A"))</f>
        <v>150</v>
      </c>
    </row>
    <row r="57" spans="1:14" x14ac:dyDescent="0.4">
      <c r="B57" s="14" t="s">
        <v>140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127</v>
      </c>
      <c r="H57" s="30">
        <f>IF($C$25&gt;=$C$69-2,$N$85-$N$15, "-")</f>
        <v>5.4674144162945595</v>
      </c>
      <c r="K57" s="3">
        <f t="shared" si="0"/>
        <v>57</v>
      </c>
      <c r="L57" s="45" t="s">
        <v>245</v>
      </c>
      <c r="M57" s="54" t="s">
        <v>247</v>
      </c>
      <c r="N57" s="2">
        <f ca="1">LOOKUP($C$20+($C$25-1)*$C$21, INDIRECT($H$52&amp;"!$A:$A"))</f>
        <v>175</v>
      </c>
    </row>
    <row r="58" spans="1:14" x14ac:dyDescent="0.4">
      <c r="B58" s="14" t="s">
        <v>133</v>
      </c>
      <c r="C58" s="15">
        <v>45</v>
      </c>
      <c r="F58" s="10" t="str">
        <f>IF($C$25&gt;=7,"内面溝5列目-トップ端 湾曲中心間X距離", "-")</f>
        <v>-</v>
      </c>
      <c r="G58" s="13" t="s">
        <v>127</v>
      </c>
      <c r="H58" s="30" t="str">
        <f>IF($C$25&gt;=$C69-1,$N$86-$N$15, "-")</f>
        <v>-</v>
      </c>
      <c r="K58" s="3">
        <f t="shared" si="0"/>
        <v>58</v>
      </c>
      <c r="L58" s="45" t="s">
        <v>180</v>
      </c>
      <c r="M58" s="54" t="str">
        <f>IF($C$25&gt;=3,"λj ≦ q &lt; λj+1 の λj+1", "-")</f>
        <v>λj ≦ q &lt; λj+1 の λj+1</v>
      </c>
      <c r="N58" s="2" cm="1">
        <f t="array" aca="1" ref="N58" ca="1">IF($C$25&gt;=3, INDEX(INDIRECT($H$52&amp;"!$A:$A"), MATCH($N50, INDIRECT($H$52&amp;"!$A:$A"), 0) +1),"-")</f>
        <v>100</v>
      </c>
    </row>
    <row r="59" spans="1:14" x14ac:dyDescent="0.4">
      <c r="F59" s="10" t="str">
        <f>IF($C$25&gt;=8,"内面溝6列目-トップ端 湾曲中心間X距離", "-")</f>
        <v>-</v>
      </c>
      <c r="G59" s="13" t="s">
        <v>127</v>
      </c>
      <c r="H59" s="30" t="str">
        <f>IF($C$25&gt;=$C69,$N$87-$N$15, "-")</f>
        <v>-</v>
      </c>
      <c r="K59" s="3">
        <f t="shared" si="0"/>
        <v>59</v>
      </c>
      <c r="L59" s="45" t="s">
        <v>239</v>
      </c>
      <c r="M59" s="54" t="str">
        <f>IF($C$25&gt;=4,"λj ≦ q+pz &lt; λj+1 の λj+1", "-")</f>
        <v>λj ≦ q+pz &lt; λj+1 の λj+1</v>
      </c>
      <c r="N59" s="44" cm="1">
        <f t="array" aca="1" ref="N59" ca="1">IF($C$25&gt;=4, INDEX(INDIRECT($H$52&amp;"!$A:$A"), MATCH($N51, INDIRECT($H$52&amp;"!$A:$A"), 0) +1),"-")</f>
        <v>125</v>
      </c>
    </row>
    <row r="60" spans="1:14" x14ac:dyDescent="0.4">
      <c r="B60" s="25" t="s">
        <v>132</v>
      </c>
      <c r="C60" s="28"/>
      <c r="F60" s="10" t="s">
        <v>270</v>
      </c>
      <c r="G60" s="13" t="s">
        <v>127</v>
      </c>
      <c r="H60" s="30">
        <f>$N$88-$N$15</f>
        <v>6.0055632197072555</v>
      </c>
      <c r="K60" s="3">
        <f t="shared" si="0"/>
        <v>60</v>
      </c>
      <c r="L60" s="45" t="s">
        <v>241</v>
      </c>
      <c r="M60" s="54" t="str">
        <f>IF($C$25&gt;=5,"λj ≦ q+2pz &lt; λj+1 の λj+1", "-")</f>
        <v>λj ≦ q+2pz &lt; λj+1 の λj+1</v>
      </c>
      <c r="N60" s="44" cm="1">
        <f t="array" aca="1" ref="N60" ca="1">IF($C$25&gt;=5, INDEX(INDIRECT($H$52&amp;"!$A:$A"), MATCH($N52, INDIRECT($H$52&amp;"!$A:$A"), 0) +1),"-")</f>
        <v>150</v>
      </c>
    </row>
    <row r="61" spans="1:14" x14ac:dyDescent="0.4">
      <c r="A61" s="3" t="s">
        <v>2</v>
      </c>
      <c r="B61" s="14" t="s">
        <v>0</v>
      </c>
      <c r="C61" s="19">
        <v>330</v>
      </c>
      <c r="E61" s="3" t="s">
        <v>303</v>
      </c>
      <c r="F61" s="10" t="s">
        <v>269</v>
      </c>
      <c r="G61" s="13" t="s">
        <v>127</v>
      </c>
      <c r="H61" s="30">
        <f>$N$89-$N$15</f>
        <v>6.4988377690224297</v>
      </c>
      <c r="K61" s="3">
        <f t="shared" si="0"/>
        <v>61</v>
      </c>
      <c r="L61" s="45" t="s">
        <v>249</v>
      </c>
      <c r="M61" s="54" t="str">
        <f>IF($C$25&gt;=6,"λj ≦ q+3pz &lt; λj+1 の λj+1", "-")</f>
        <v>λj ≦ q+3pz &lt; λj+1 の λj+1</v>
      </c>
      <c r="N61" s="44" cm="1">
        <f t="array" aca="1" ref="N61" ca="1">IF($C$25&gt;=6, INDEX(INDIRECT($H$52&amp;"!$A:$A"), MATCH($N53, INDIRECT($H$52&amp;"!$A:$A"), 0) +1),"-")</f>
        <v>175</v>
      </c>
    </row>
    <row r="62" spans="1:14" x14ac:dyDescent="0.4">
      <c r="A62" s="3" t="s">
        <v>3</v>
      </c>
      <c r="B62" s="14" t="s">
        <v>1</v>
      </c>
      <c r="C62" s="19">
        <v>40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410.01603829462465</v>
      </c>
      <c r="I62" s="30">
        <f>IF($C$25&gt;=3,$C$67+H62,"-")</f>
        <v>-739.95796170537528</v>
      </c>
      <c r="K62" s="3">
        <f t="shared" si="0"/>
        <v>62</v>
      </c>
      <c r="L62" s="45" t="s">
        <v>250</v>
      </c>
      <c r="M62" s="54" t="str">
        <f>IF($C$25&gt;=7,"λj ≦ q+4pz &lt; λj+1 の λj+1", "-")</f>
        <v>-</v>
      </c>
      <c r="N62" s="44" t="str" cm="1">
        <f t="array" aca="1" ref="N62" ca="1">IF($C$25&gt;=7, INDEX(INDIRECT($H$52&amp;"!$A:$A"), MATCH($N54, INDIRECT($H$52&amp;"!$A:$A"), 0) +1),"-")</f>
        <v>-</v>
      </c>
    </row>
    <row r="63" spans="1:14" x14ac:dyDescent="0.4">
      <c r="A63" s="3" t="s">
        <v>4</v>
      </c>
      <c r="B63" s="14" t="s">
        <v>5</v>
      </c>
      <c r="C63" s="19">
        <v>100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390.01603829462465</v>
      </c>
      <c r="I63" s="30">
        <f>IF($C$25&gt;=4,$C$67+H63,"-")</f>
        <v>-759.95796170537528</v>
      </c>
      <c r="K63" s="3">
        <f t="shared" si="0"/>
        <v>63</v>
      </c>
      <c r="L63" s="45" t="s">
        <v>251</v>
      </c>
      <c r="M63" s="54" t="str">
        <f>IF($C$25&gt;=8,"λj ≦ q+5pz &lt; λj+1 の λj+1", "-")</f>
        <v>-</v>
      </c>
      <c r="N63" s="44" t="str" cm="1">
        <f t="array" aca="1" ref="N63" ca="1">IF($C$25&gt;=8, INDEX(INDIRECT($H$52&amp;"!$A:$A"), MATCH($N55, INDIRECT($H$52&amp;"!$A:$A"), 0) +1),"-")</f>
        <v>-</v>
      </c>
    </row>
    <row r="64" spans="1:14" x14ac:dyDescent="0.4">
      <c r="A64" s="3" t="s">
        <v>11</v>
      </c>
      <c r="B64" s="14" t="s">
        <v>16</v>
      </c>
      <c r="C64" s="37">
        <v>201.5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370.01603829462465</v>
      </c>
      <c r="I64" s="30">
        <f>IF($C$25&gt;=5,$C$67+H64,"-")</f>
        <v>-779.95796170537528</v>
      </c>
      <c r="K64" s="3">
        <f t="shared" si="0"/>
        <v>64</v>
      </c>
      <c r="L64" s="45" t="s">
        <v>252</v>
      </c>
      <c r="M64" s="54" t="s">
        <v>254</v>
      </c>
      <c r="N64" s="44" cm="1">
        <f t="array" aca="1" ref="N64" ca="1">INDEX(INDIRECT($H$52&amp;"!$A:$A"), MATCH($N56, INDIRECT($H$52&amp;"!$A:$A"), 0) +1)</f>
        <v>175</v>
      </c>
    </row>
    <row r="65" spans="2:14" x14ac:dyDescent="0.4">
      <c r="B65" s="14" t="s">
        <v>73</v>
      </c>
      <c r="C65" s="37">
        <v>-740</v>
      </c>
      <c r="F65" s="9" t="str">
        <f>IF($C$25&gt;=6,"（傾き前）4列目Z座標","-")</f>
        <v>（傾き前）4列目Z座標</v>
      </c>
      <c r="G65" s="13" t="s">
        <v>124</v>
      </c>
      <c r="H65" s="60">
        <f>IF($C$25&gt;=6,$H$3-$C$20-3*$C$21,"-")</f>
        <v>350.01603829462465</v>
      </c>
      <c r="I65" s="30">
        <f>IF($C$25&gt;=6,$C$67+H65,"-")</f>
        <v>-799.95796170537528</v>
      </c>
      <c r="K65" s="3">
        <f t="shared" si="0"/>
        <v>65</v>
      </c>
      <c r="L65" s="45" t="s">
        <v>253</v>
      </c>
      <c r="M65" s="54" t="s">
        <v>148</v>
      </c>
      <c r="N65" s="44" cm="1">
        <f t="array" aca="1" ref="N65" ca="1">INDEX(INDIRECT($H$52&amp;"!$A:$A"), MATCH($N57, INDIRECT($H$52&amp;"!$A:$A"), 0) +1)</f>
        <v>200</v>
      </c>
    </row>
    <row r="66" spans="2:14" x14ac:dyDescent="0.4">
      <c r="B66" s="14" t="s">
        <v>24</v>
      </c>
      <c r="C66" s="37">
        <v>-550.01900000000001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149</v>
      </c>
      <c r="M66" s="54" t="str">
        <f>IF($C$25&gt;=3,"q-λj","")</f>
        <v>q-λj</v>
      </c>
      <c r="N66" s="44">
        <f ca="1">IF($C$25&gt;=3,$C$20-$N$50, "-")</f>
        <v>15</v>
      </c>
    </row>
    <row r="67" spans="2:14" x14ac:dyDescent="0.4">
      <c r="B67" s="14" t="s">
        <v>25</v>
      </c>
      <c r="C67" s="37">
        <v>-1149.9739999999999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257</v>
      </c>
      <c r="M67" s="54" t="str">
        <f>IF($C$25&gt;=4,"q+pz-λj","")</f>
        <v>q+pz-λj</v>
      </c>
      <c r="N67" s="44">
        <f ca="1">IF($C$25&gt;=4,$C$20+$C$21-$N$51, "-")</f>
        <v>10</v>
      </c>
    </row>
    <row r="68" spans="2:14" x14ac:dyDescent="0.4">
      <c r="B68" s="14" t="s">
        <v>51</v>
      </c>
      <c r="C68" s="37">
        <v>7.2999999999999995E-2</v>
      </c>
      <c r="F68" s="9" t="s">
        <v>347</v>
      </c>
      <c r="G68" s="13" t="s">
        <v>124</v>
      </c>
      <c r="H68" s="60">
        <f>$H$3-$C$20-($C$25-2)*$C$21</f>
        <v>330.01603829462465</v>
      </c>
      <c r="I68" s="30">
        <f>$C$67+H68</f>
        <v>-819.95796170537528</v>
      </c>
      <c r="K68" s="3">
        <f t="shared" si="0"/>
        <v>68</v>
      </c>
      <c r="L68" s="45" t="s">
        <v>258</v>
      </c>
      <c r="M68" s="54" t="str">
        <f>IF($C$25&gt;=5,"q+2pz-λj","")</f>
        <v>q+2pz-λj</v>
      </c>
      <c r="N68" s="44">
        <f ca="1">IF($C$25&gt;=5,$C$20+2*$C$21-$N$52, "-")</f>
        <v>5</v>
      </c>
    </row>
    <row r="69" spans="2:14" x14ac:dyDescent="0.4">
      <c r="B69" s="14" t="s">
        <v>141</v>
      </c>
      <c r="C69" s="38">
        <v>8</v>
      </c>
      <c r="E69" s="3" t="s">
        <v>349</v>
      </c>
      <c r="F69" s="9" t="s">
        <v>348</v>
      </c>
      <c r="G69" s="13" t="s">
        <v>124</v>
      </c>
      <c r="H69" s="60">
        <f>$H$3-$C$20-($C$25-1)*$C$21</f>
        <v>310.01603829462465</v>
      </c>
      <c r="I69" s="30">
        <f>$C$67+H69</f>
        <v>-839.95796170537528</v>
      </c>
      <c r="K69" s="3">
        <f t="shared" si="0"/>
        <v>69</v>
      </c>
      <c r="L69" s="45" t="s">
        <v>259</v>
      </c>
      <c r="M69" s="54" t="str">
        <f>IF($C$25&gt;=6,"q+3pz-λj","")</f>
        <v>q+3pz-λj</v>
      </c>
      <c r="N69" s="44">
        <f ca="1">IF($C$25&gt;=6,$C$20+3*$C$21-$N$53, "-")</f>
        <v>0</v>
      </c>
    </row>
    <row r="70" spans="2:14" x14ac:dyDescent="0.4">
      <c r="E70" s="3" t="s">
        <v>306</v>
      </c>
      <c r="F70" s="10" t="s">
        <v>309</v>
      </c>
      <c r="G70" s="13" t="s">
        <v>127</v>
      </c>
      <c r="H70" s="30">
        <f ca="1">$H$22+$C$31*2</f>
        <v>157.00299999999999</v>
      </c>
      <c r="K70" s="3">
        <f t="shared" si="0"/>
        <v>70</v>
      </c>
      <c r="L70" s="45" t="s">
        <v>260</v>
      </c>
      <c r="M70" s="54" t="str">
        <f>IF($C$25&gt;=7,"q+4pz-λj","-")</f>
        <v>-</v>
      </c>
      <c r="N70" s="44" t="str">
        <f>IF($C$25&gt;=7,$C$20+4*$C$21-$N$54, "-")</f>
        <v>-</v>
      </c>
    </row>
    <row r="71" spans="2:14" x14ac:dyDescent="0.4">
      <c r="B71" s="1" t="s">
        <v>398</v>
      </c>
      <c r="C71" s="5">
        <v>-561.11400000000003</v>
      </c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>
        <f ca="1">IF($C$25&gt;=3,($N$66*$N$98+$N$74*$N$90)/($N$58-$N$50)+$C$31*2,"-")</f>
        <v>156.59259999999998</v>
      </c>
      <c r="K71" s="3">
        <f t="shared" si="0"/>
        <v>71</v>
      </c>
      <c r="L71" s="45" t="s">
        <v>261</v>
      </c>
      <c r="M71" s="54" t="str">
        <f>IF($C$25&gt;=8,"q+5pz-λj","-")</f>
        <v>-</v>
      </c>
      <c r="N71" s="44" t="str">
        <f>IF($C$25&gt;=8,$C$20+5*$C$21-$N$55, "-")</f>
        <v>-</v>
      </c>
    </row>
    <row r="72" spans="2:14" x14ac:dyDescent="0.4">
      <c r="B72" s="1" t="s">
        <v>399</v>
      </c>
      <c r="C72" s="5">
        <v>-648.33199999999999</v>
      </c>
      <c r="F72" s="10" t="s">
        <v>310</v>
      </c>
      <c r="G72" s="13" t="s">
        <v>127</v>
      </c>
      <c r="H72" s="30">
        <f ca="1">($N$73*$N$105+$N$81*$N$97)/($N$65-$N$57)+$C$31*2</f>
        <v>156.16120000000001</v>
      </c>
      <c r="K72" s="3">
        <f t="shared" si="0"/>
        <v>72</v>
      </c>
      <c r="L72" s="45" t="s">
        <v>262</v>
      </c>
      <c r="M72" s="54" t="s">
        <v>262</v>
      </c>
      <c r="N72" s="44">
        <f ca="1">$C$20+($C$25-2)*$C$21-$N$56</f>
        <v>20</v>
      </c>
    </row>
    <row r="73" spans="2:14" x14ac:dyDescent="0.4">
      <c r="E73" s="3" t="s">
        <v>323</v>
      </c>
      <c r="F73" s="10" t="s">
        <v>226</v>
      </c>
      <c r="G73" s="30" t="s">
        <v>125</v>
      </c>
      <c r="H73" s="30">
        <f ca="1">ROUND(DEGREES($N$111),3)</f>
        <v>2.13</v>
      </c>
      <c r="I73" s="5"/>
      <c r="K73" s="3">
        <f t="shared" si="0"/>
        <v>73</v>
      </c>
      <c r="L73" s="45" t="s">
        <v>151</v>
      </c>
      <c r="M73" s="54" t="s">
        <v>151</v>
      </c>
      <c r="N73" s="44">
        <f ca="1">$C$20+($C$25-1)*$C$21-$N$57</f>
        <v>15</v>
      </c>
    </row>
    <row r="74" spans="2:14" x14ac:dyDescent="0.4">
      <c r="E74" s="3" t="s">
        <v>323</v>
      </c>
      <c r="F74" s="10" t="s">
        <v>227</v>
      </c>
      <c r="G74" s="30" t="s">
        <v>125</v>
      </c>
      <c r="H74" s="30">
        <f ca="1">$H$7+$H$73</f>
        <v>2.7719999999999998</v>
      </c>
      <c r="I74" s="30">
        <f ca="1">-$C$68+$H$74</f>
        <v>2.6989999999999998</v>
      </c>
      <c r="K74" s="3">
        <f t="shared" si="0"/>
        <v>74</v>
      </c>
      <c r="L74" s="45" t="s">
        <v>150</v>
      </c>
      <c r="M74" s="54" t="str">
        <f>IF($C$25&gt;=3, "λj+1-q", "-")</f>
        <v>λj+1-q</v>
      </c>
      <c r="N74" s="44">
        <f ca="1">IF($C$25&gt;=3,$N$58-$C$20, "-")</f>
        <v>10</v>
      </c>
    </row>
    <row r="75" spans="2:14" x14ac:dyDescent="0.4">
      <c r="E75" s="3" t="s">
        <v>324</v>
      </c>
      <c r="F75" s="59" t="s">
        <v>322</v>
      </c>
      <c r="G75" s="56" t="s">
        <v>125</v>
      </c>
      <c r="H75" s="56">
        <f ca="1">DEGREES($N$119)</f>
        <v>1.8081075579837422</v>
      </c>
      <c r="K75" s="3">
        <f t="shared" si="0"/>
        <v>75</v>
      </c>
      <c r="L75" s="45" t="s">
        <v>263</v>
      </c>
      <c r="M75" s="54" t="str">
        <f>IF($C$25&gt;=4, "λj+1-q-pz", "-")</f>
        <v>λj+1-q-pz</v>
      </c>
      <c r="N75" s="44">
        <f ca="1">IF($C$25&gt;=4,$N$59-$C$20-$C$21, "-")</f>
        <v>15</v>
      </c>
    </row>
    <row r="76" spans="2:14" x14ac:dyDescent="0.4">
      <c r="E76" s="3" t="s">
        <v>324</v>
      </c>
      <c r="F76" s="59" t="s">
        <v>319</v>
      </c>
      <c r="G76" s="56" t="s">
        <v>125</v>
      </c>
      <c r="H76" s="56">
        <f ca="1">$H$7+$H$75</f>
        <v>2.4501075579837424</v>
      </c>
      <c r="I76" s="56">
        <f ca="1">-$C$68+$H$76</f>
        <v>2.3771075579837424</v>
      </c>
      <c r="K76" s="3">
        <f t="shared" ref="K76:K166" si="2">ROW(K76)</f>
        <v>76</v>
      </c>
      <c r="L76" s="45" t="s">
        <v>264</v>
      </c>
      <c r="M76" s="54" t="str">
        <f>IF($C$25&gt;=5, "λj+1-q-2pz", "-")</f>
        <v>λj+1-q-2pz</v>
      </c>
      <c r="N76" s="44">
        <f ca="1">IF($C$25&gt;=5,$N$60-$C$20-2*$C$21, "-")</f>
        <v>20</v>
      </c>
    </row>
    <row r="77" spans="2:14" x14ac:dyDescent="0.4">
      <c r="F77" s="10" t="s">
        <v>198</v>
      </c>
      <c r="G77" s="30" t="s">
        <v>127</v>
      </c>
      <c r="H77" s="30">
        <f ca="1">MIN($N$122, $N$123)</f>
        <v>21.495936780292737</v>
      </c>
      <c r="K77" s="3">
        <f t="shared" si="2"/>
        <v>77</v>
      </c>
      <c r="L77" s="45" t="s">
        <v>265</v>
      </c>
      <c r="M77" s="54" t="str">
        <f>IF($C$25&gt;=6, "λj+1-q-3pz", "-")</f>
        <v>λj+1-q-3pz</v>
      </c>
      <c r="N77" s="44">
        <f ca="1">IF($C$25&gt;=6,$N$61-$C$20-3*$C$21, "-")</f>
        <v>25</v>
      </c>
    </row>
    <row r="78" spans="2:14" x14ac:dyDescent="0.4">
      <c r="E78" s="3" t="s">
        <v>350</v>
      </c>
      <c r="F78" s="10" t="s">
        <v>411</v>
      </c>
      <c r="G78" s="13" t="s">
        <v>126</v>
      </c>
      <c r="H78" s="30">
        <f ca="1">($N$66*$N$132+$N$74*$N$124)/($N$58-$N$50)+$C$31*2</f>
        <v>154.57380000000001</v>
      </c>
      <c r="K78" s="3">
        <f t="shared" si="2"/>
        <v>78</v>
      </c>
      <c r="L78" s="45" t="s">
        <v>266</v>
      </c>
      <c r="M78" s="54" t="str">
        <f>IF($C$25&gt;=7, "λj+1-q-4pz", "-")</f>
        <v>-</v>
      </c>
      <c r="N78" s="44" t="str">
        <f>IF($C$25&gt;=7,$N$62-$C$20-4*$C$21, "-")</f>
        <v>-</v>
      </c>
    </row>
    <row r="79" spans="2:14" x14ac:dyDescent="0.4">
      <c r="F79" s="10" t="s">
        <v>352</v>
      </c>
      <c r="G79" s="13" t="s">
        <v>126</v>
      </c>
      <c r="H79" s="30">
        <f ca="1">($N$73*$N$139+$N$81*$N$131)/($N$65-$N$57)+$C$31*2</f>
        <v>154.14839999999998</v>
      </c>
      <c r="K79" s="3">
        <f t="shared" si="2"/>
        <v>79</v>
      </c>
      <c r="L79" s="45" t="s">
        <v>267</v>
      </c>
      <c r="M79" s="54" t="str">
        <f>IF($C$25&gt;=8, "λj+1-q-5pz", "-")</f>
        <v>-</v>
      </c>
      <c r="N79" s="44" t="str">
        <f>IF($C$25&gt;=8,$N$63-$C$20-5*$C$21, "-")</f>
        <v>-</v>
      </c>
    </row>
    <row r="80" spans="2:14" x14ac:dyDescent="0.4">
      <c r="F80" s="32" t="s">
        <v>388</v>
      </c>
      <c r="K80" s="3">
        <f t="shared" si="2"/>
        <v>80</v>
      </c>
      <c r="L80" s="45" t="s">
        <v>268</v>
      </c>
      <c r="M80" s="54" t="s">
        <v>268</v>
      </c>
      <c r="N80" s="2">
        <f ca="1">$N$64-$C$20-($C$25-2)*$C$21</f>
        <v>5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>
        <f ca="1">IF($C$25&gt;=$C$69-5,$H$54*$N$113-$C$20*$N$112, "-")</f>
        <v>0.23613623834420849</v>
      </c>
      <c r="K81" s="3">
        <f t="shared" si="2"/>
        <v>81</v>
      </c>
      <c r="L81" s="45" t="s">
        <v>183</v>
      </c>
      <c r="M81" s="54" t="s">
        <v>183</v>
      </c>
      <c r="N81" s="2">
        <f ca="1">$N$65-$C$20-($C$25-1)*$C$21</f>
        <v>10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>
        <f ca="1">IF($C$25&gt;=$C$69-4,$H$55*$N$113-($C$20+$C21)*$N$112, "-")</f>
        <v>0.16515537313498907</v>
      </c>
      <c r="K82" s="3">
        <f t="shared" si="2"/>
        <v>82</v>
      </c>
      <c r="L82" s="45" t="s">
        <v>271</v>
      </c>
      <c r="M82" s="54" t="str">
        <f>IF($C$25&gt;=3,"1列目湾曲中心X","-")</f>
        <v>1列目湾曲中心X</v>
      </c>
      <c r="N82" s="46">
        <f>IF($C$25&gt;=3,SQRT($C$3^2-$N$42^2),"-")</f>
        <v>8917.3132326951491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>
        <f ca="1">IF($C$25&gt;=$C$69-3,$H$56*$N$113-($C$20+2*$C$21)*$N$112, "-")</f>
        <v>4.930486789530697E-2</v>
      </c>
      <c r="K83" s="3">
        <f t="shared" si="2"/>
        <v>83</v>
      </c>
      <c r="L83" s="45" t="s">
        <v>272</v>
      </c>
      <c r="M83" s="54" t="str">
        <f>IF($C$25&gt;=4,"2列目湾曲中心X","-")</f>
        <v>2列目湾曲中心X</v>
      </c>
      <c r="N83" s="46">
        <f>IF($C$25&gt;=4,SQRT($C$3^2-$N$43^2),"-")</f>
        <v>8917.9860557190823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127</v>
      </c>
      <c r="H84" s="30">
        <f ca="1">IF($C$25&gt;=$C$69-2,$H$57*$N$113-($C$20+3*$C$21)*$N$112, "-")</f>
        <v>-0.11140580074584783</v>
      </c>
      <c r="K84" s="3">
        <f t="shared" si="2"/>
        <v>84</v>
      </c>
      <c r="L84" s="45" t="s">
        <v>273</v>
      </c>
      <c r="M84" s="54" t="str">
        <f>IF($C$25&gt;=5,"3列目湾曲中心X","-")</f>
        <v>3列目湾曲中心X</v>
      </c>
      <c r="N84" s="46">
        <f>IF($C$25&gt;=5,SQRT($C$3^2-$N$44^2),"-")</f>
        <v>8918.6139780797785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IF($C$25&gt;=$C$69-1,$H$58*$N$113-($C$20+4*$C$21)*$N$112, "-")</f>
        <v>-</v>
      </c>
      <c r="K85" s="3">
        <f t="shared" si="2"/>
        <v>85</v>
      </c>
      <c r="L85" s="45" t="s">
        <v>274</v>
      </c>
      <c r="M85" s="54" t="str">
        <f>IF($C$25&gt;=6,"4列目湾曲中心X","-")</f>
        <v>4列目湾曲中心X</v>
      </c>
      <c r="N85" s="46">
        <f>IF($C$25&gt;=6,SQRT($C$3^2-$N$45^2),"-")</f>
        <v>8919.1970092604188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IF($C$25&gt;=$C$69,$H$59*$N$113-($C$20+5*$C$21)*$N$112, "-")</f>
        <v>-</v>
      </c>
      <c r="K86" s="3">
        <f t="shared" si="2"/>
        <v>86</v>
      </c>
      <c r="L86" s="45" t="s">
        <v>275</v>
      </c>
      <c r="M86" s="54" t="str">
        <f>IF($C$25&gt;=7,"5列目湾曲中心X","-")</f>
        <v>-</v>
      </c>
      <c r="N86" s="46" t="str">
        <f>IF($C$25&gt;=7,SQRT($C$3^2-$N$46^2),"-")</f>
        <v>-</v>
      </c>
    </row>
    <row r="87" spans="6:14" x14ac:dyDescent="0.4">
      <c r="F87" s="10" t="s">
        <v>270</v>
      </c>
      <c r="G87" s="13" t="s">
        <v>127</v>
      </c>
      <c r="H87" s="30">
        <f ca="1">$H$60*$N$113-($C$20+($C$25-2)*$C$21)*$N$112</f>
        <v>-0.31696783604237844</v>
      </c>
      <c r="K87" s="3">
        <f t="shared" si="2"/>
        <v>87</v>
      </c>
      <c r="L87" s="45" t="s">
        <v>276</v>
      </c>
      <c r="M87" s="54" t="str">
        <f>IF($C$25&gt;=8,"6列目湾曲中心X","-")</f>
        <v>-</v>
      </c>
      <c r="N87" s="46" t="str">
        <f>IF($C$25&gt;=8,SQRT($C$3^2-$N$47^2),"-")</f>
        <v>-</v>
      </c>
    </row>
    <row r="88" spans="6:14" x14ac:dyDescent="0.4">
      <c r="F88" s="10" t="s">
        <v>269</v>
      </c>
      <c r="G88" s="13" t="s">
        <v>127</v>
      </c>
      <c r="H88" s="30">
        <f ca="1">$H$61*$N$113-($C$20+($C$25-1)*$C$21)*$N$112</f>
        <v>-0.56737312047669697</v>
      </c>
      <c r="K88" s="3">
        <f t="shared" si="2"/>
        <v>88</v>
      </c>
      <c r="L88" s="45" t="s">
        <v>277</v>
      </c>
      <c r="M88" s="54" t="s">
        <v>279</v>
      </c>
      <c r="N88" s="47">
        <f>SQRT($C$3^2-$N$48^2)</f>
        <v>8919.7351580638315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>
        <f ca="1">IF($C$25&gt;=$C$69-5,$H$54*$N$112+$C$20*$N$113, "-")</f>
        <v>90.071009208980442</v>
      </c>
      <c r="K89" s="3">
        <f t="shared" si="2"/>
        <v>89</v>
      </c>
      <c r="L89" s="45" t="s">
        <v>278</v>
      </c>
      <c r="M89" s="54" t="s">
        <v>280</v>
      </c>
      <c r="N89" s="47">
        <f>SQRT($C$3^2-$N$49^2)</f>
        <v>8920.2284326131467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>
        <f ca="1">IF($C$25&gt;=$C$69-4,$H$55*$N$112+($C$20+$C$21)*$N$113, "-")</f>
        <v>110.08219739305159</v>
      </c>
      <c r="K90" s="3">
        <f t="shared" si="2"/>
        <v>90</v>
      </c>
      <c r="L90" s="45" t="s">
        <v>281</v>
      </c>
      <c r="M90" s="54" t="str">
        <f>IF($C$25&gt;=3,"λj ≦ q &lt; λj+1 の wAj", "-")</f>
        <v>λj ≦ q &lt; λj+1 の wAj</v>
      </c>
      <c r="N90" s="44">
        <f ca="1">IF($C$25&gt;=3, INDEX(INDIRECT($H$52&amp;"!B:B"), MATCH($N$50, INDIRECT($H$52&amp;"!A:A"), 0)),"-")</f>
        <v>156.52099999999999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>
        <f ca="1">IF($C$25&gt;=$C$69-3,$H$56*$N$112+($C$20+2*$C$21)*$N$113, "-")</f>
        <v>130.09171675638208</v>
      </c>
      <c r="K91" s="3">
        <f t="shared" si="2"/>
        <v>91</v>
      </c>
      <c r="L91" s="45" t="s">
        <v>282</v>
      </c>
      <c r="M91" s="54" t="str">
        <f>IF($C$25&gt;=4,"λj ≦ q+pz &lt; λj+1 の wAj", "-")</f>
        <v>λj ≦ q+pz &lt; λj+1 の wAj</v>
      </c>
      <c r="N91" s="44">
        <f ca="1">IF($C$25&gt;=4, INDEX(INDIRECT($H$52&amp;"!B:B"), MATCH($N$51, INDIRECT($H$52&amp;"!A:A"), 0)),"-")</f>
        <v>156.40700000000001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124</v>
      </c>
      <c r="H92" s="30">
        <f ca="1">IF($C$25&gt;=$C$69-2,$H$57*$N$112+($C$20+3*$C$21)*$N$113, "-")</f>
        <v>150.09956765143286</v>
      </c>
      <c r="K92" s="3">
        <f t="shared" si="2"/>
        <v>92</v>
      </c>
      <c r="L92" s="45" t="s">
        <v>283</v>
      </c>
      <c r="M92" s="54" t="str">
        <f>IF($C$25&gt;=5,"λj ≦ q+2pz &lt; λj+1 の wAj", "-")</f>
        <v>λj ≦ q+2pz &lt; λj+1 の wAj</v>
      </c>
      <c r="N92" s="44">
        <f ca="1">IF($C$25&gt;=5, INDEX(INDIRECT($H$52&amp;"!B:B"), MATCH($N$52, INDIRECT($H$52&amp;"!A:A"), 0)),"-")</f>
        <v>156.29300000000001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IF($C$25&gt;=$C$69-1,$H$58*$N$112+($C$20+4*$C$21)*$N$113, "-")</f>
        <v>-</v>
      </c>
      <c r="K93" s="3">
        <f t="shared" si="2"/>
        <v>93</v>
      </c>
      <c r="L93" s="45" t="s">
        <v>284</v>
      </c>
      <c r="M93" s="54" t="str">
        <f>IF($C$25&gt;=6,"λj ≦ q+3pz &lt; λj+1 の wAj", "-")</f>
        <v>λj ≦ q+3pz &lt; λj+1 の wAj</v>
      </c>
      <c r="N93" s="44">
        <f ca="1">IF($C$25&gt;=6, INDEX(INDIRECT($H$52&amp;"!B:B"), MATCH($N$53, INDIRECT($H$52&amp;"!A:A"), 0)),"-")</f>
        <v>156.179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IF($C$25&gt;=$C$69-0,$H$59*$N$112+($C$20+5*$C$21)*$N$113, "-")</f>
        <v>-</v>
      </c>
      <c r="K94" s="3">
        <f t="shared" si="2"/>
        <v>94</v>
      </c>
      <c r="L94" s="45" t="s">
        <v>285</v>
      </c>
      <c r="M94" s="54" t="str">
        <f>IF($C$25&gt;=7,"λj ≦ q+4pz &lt; λj+1 の wAj", "-")</f>
        <v>-</v>
      </c>
      <c r="N94" s="44" t="str">
        <f ca="1">IF($C$25&gt;=7, INDEX(INDIRECT($H$52&amp;"!B:B"), MATCH($N$54, INDIRECT($H$52&amp;"!A:A"), 0)),"-")</f>
        <v>-</v>
      </c>
    </row>
    <row r="95" spans="6:14" x14ac:dyDescent="0.4">
      <c r="F95" s="10" t="s">
        <v>394</v>
      </c>
      <c r="G95" s="13" t="s">
        <v>124</v>
      </c>
      <c r="H95" s="30">
        <f ca="1">$H$60*$N$112+($C$20+($C$25-2)*$C$21)*$N$113</f>
        <v>170.10575040537816</v>
      </c>
      <c r="K95" s="3">
        <f t="shared" si="2"/>
        <v>95</v>
      </c>
      <c r="L95" s="45" t="s">
        <v>286</v>
      </c>
      <c r="M95" s="54" t="str">
        <f>IF($C$25&gt;=8,"λj ≦ q+5pz &lt; λj+1 の wAj", "-")</f>
        <v>-</v>
      </c>
      <c r="N95" s="44" t="str">
        <f ca="1">IF($C$25&gt;=8, INDEX(INDIRECT($H$52&amp;"!B:B"), MATCH($N$55, INDIRECT($H$52&amp;"!A:A"), 0)),"-")</f>
        <v>-</v>
      </c>
    </row>
    <row r="96" spans="6:14" x14ac:dyDescent="0.4">
      <c r="F96" s="10" t="s">
        <v>395</v>
      </c>
      <c r="G96" s="13" t="s">
        <v>124</v>
      </c>
      <c r="H96" s="30">
        <f ca="1">$H$61*$N$112+($C$20+($C$25-1)*$C$21)*$N$113</f>
        <v>190.11026532013003</v>
      </c>
      <c r="K96" s="3">
        <f t="shared" si="2"/>
        <v>96</v>
      </c>
      <c r="L96" s="45" t="s">
        <v>287</v>
      </c>
      <c r="M96" s="54" t="s">
        <v>289</v>
      </c>
      <c r="N96" s="44">
        <f ca="1">INDEX(INDIRECT($H$52&amp;"!B:B"), MATCH($N$56, INDIRECT($H$52&amp;"!A:A"), 0))</f>
        <v>156.179</v>
      </c>
    </row>
    <row r="97" spans="5:14" x14ac:dyDescent="0.4">
      <c r="F97" s="32" t="s">
        <v>412</v>
      </c>
      <c r="K97" s="3">
        <f t="shared" si="2"/>
        <v>97</v>
      </c>
      <c r="L97" s="45" t="s">
        <v>288</v>
      </c>
      <c r="M97" s="54" t="s">
        <v>290</v>
      </c>
      <c r="N97" s="44">
        <f ca="1">INDEX(INDIRECT($H$52&amp;"!B:B"), MATCH($N$57, INDIRECT($H$52&amp;"!A:A"), 0))</f>
        <v>156.077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$C$71-$C66</f>
        <v>-11.095000000000027</v>
      </c>
      <c r="I98" s="30">
        <f>$C$66+H98</f>
        <v>-561.11400000000003</v>
      </c>
      <c r="K98" s="3">
        <f t="shared" si="2"/>
        <v>98</v>
      </c>
      <c r="L98" s="45" t="s">
        <v>291</v>
      </c>
      <c r="M98" s="54" t="str">
        <f>IF($C$25&gt;=3,"λj ≦ q &lt; λj+1 の wAj+1", "-")</f>
        <v>λj ≦ q &lt; λj+1 の wAj+1</v>
      </c>
      <c r="N98" s="44">
        <f ca="1">IF($C$25&gt;=3, INDEX(INDIRECT($H$52&amp;"!B:B"), MATCH($N$58, INDIRECT($H$52&amp;"!A:A"), 0)),"-")</f>
        <v>156.40700000000001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500.01603829462465</v>
      </c>
      <c r="I99" s="30">
        <f>$C$67+H99</f>
        <v>-649.95796170537528</v>
      </c>
      <c r="K99" s="3">
        <f t="shared" si="2"/>
        <v>99</v>
      </c>
      <c r="L99" s="45" t="s">
        <v>292</v>
      </c>
      <c r="M99" s="54" t="str">
        <f>IF($C$25&gt;=4,"λj ≦ q+pz &lt; λj+1 の wAj+1", "-")</f>
        <v>λj ≦ q+pz &lt; λj+1 の wAj+1</v>
      </c>
      <c r="N99" s="44">
        <f ca="1">IF($C$25&gt;=4, INDEX(INDIRECT($H$52&amp;"!B:B"), MATCH($N$59, INDIRECT($H$52&amp;"!A:A"), 0)),"-")</f>
        <v>156.29300000000001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>
        <f ca="1">$H$98*$N$113+$H$99*$N$112</f>
        <v>7.4967373522236862</v>
      </c>
      <c r="I100" s="30">
        <f ca="1">$C$66+H100</f>
        <v>-542.5222626477763</v>
      </c>
      <c r="K100" s="3">
        <f t="shared" si="2"/>
        <v>100</v>
      </c>
      <c r="L100" s="45" t="s">
        <v>293</v>
      </c>
      <c r="M100" s="54" t="str">
        <f>IF($C$25&gt;=5,"λj ≦ q+2pz &lt; λj+1 の wAj+1", "-")</f>
        <v>λj ≦ q+2pz &lt; λj+1 の wAj+1</v>
      </c>
      <c r="N100" s="44">
        <f ca="1">IF($C$25&gt;=5, INDEX(INDIRECT($H$52&amp;"!B:B"), MATCH($N$60, INDIRECT($H$52&amp;"!A:A"), 0)),"-")</f>
        <v>156.179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>
        <f ca="1">-$H$98*$N$112+$H$99*$N$113</f>
        <v>500.08292962860008</v>
      </c>
      <c r="I101" s="30">
        <f ca="1">$C$67+H101</f>
        <v>-649.89107037139979</v>
      </c>
      <c r="K101" s="3">
        <f t="shared" si="2"/>
        <v>101</v>
      </c>
      <c r="L101" s="45" t="s">
        <v>294</v>
      </c>
      <c r="M101" s="54" t="str">
        <f>IF($C$25&gt;=6,"λj ≦ q+3pz &lt; λj+1 の wAj+1", "-")</f>
        <v>λj ≦ q+3pz &lt; λj+1 の wAj+1</v>
      </c>
      <c r="N101" s="44">
        <f ca="1">IF($C$25&gt;=6, INDEX(INDIRECT($H$52&amp;"!B:B"), MATCH($N$61, INDIRECT($H$52&amp;"!A:A"), 0)),"-")</f>
        <v>156.077</v>
      </c>
    </row>
    <row r="102" spans="5:14" x14ac:dyDescent="0.4">
      <c r="F102" s="9" t="s">
        <v>404</v>
      </c>
      <c r="G102" s="13" t="s">
        <v>127</v>
      </c>
      <c r="H102" s="30">
        <f ca="1">$H$100-$H$98</f>
        <v>18.591737352223713</v>
      </c>
      <c r="K102" s="3">
        <f t="shared" si="2"/>
        <v>102</v>
      </c>
      <c r="L102" s="45" t="s">
        <v>295</v>
      </c>
      <c r="M102" s="54" t="str">
        <f>IF($C$25&gt;=7,"λj ≦ q+4pz &lt; λj+1 の wAj+1", "-")</f>
        <v>-</v>
      </c>
      <c r="N102" s="44" t="str">
        <f ca="1">IF($C$25&gt;=7, INDEX(INDIRECT($H$52&amp;"!B:B"), MATCH($N$62, INDIRECT($H$52&amp;"!A:A"), 0)),"-")</f>
        <v>-</v>
      </c>
    </row>
    <row r="103" spans="5:14" x14ac:dyDescent="0.4">
      <c r="F103" s="9" t="s">
        <v>404</v>
      </c>
      <c r="G103" s="13" t="s">
        <v>124</v>
      </c>
      <c r="H103" s="30">
        <f ca="1">$H$101-$H$99</f>
        <v>6.6891333975434009E-2</v>
      </c>
      <c r="K103" s="3">
        <f t="shared" si="2"/>
        <v>103</v>
      </c>
      <c r="L103" s="45" t="s">
        <v>296</v>
      </c>
      <c r="M103" s="54" t="str">
        <f>IF($C$25&gt;=8,"λj ≦ q+5pz &lt; λj+1 の wAj+1", "-")</f>
        <v>-</v>
      </c>
      <c r="N103" s="44" t="str">
        <f ca="1">IF($C$25&gt;=8,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297</v>
      </c>
      <c r="M104" s="54" t="s">
        <v>299</v>
      </c>
      <c r="N104" s="44">
        <f ca="1">INDEX(INDIRECT($H$52&amp;"!B:B"), MATCH($N$64, INDIRECT($H$52&amp;"!A:A"), 0))</f>
        <v>156.077</v>
      </c>
    </row>
    <row r="105" spans="5:14" x14ac:dyDescent="0.4">
      <c r="K105" s="3">
        <f t="shared" si="2"/>
        <v>105</v>
      </c>
      <c r="L105" s="45" t="s">
        <v>298</v>
      </c>
      <c r="M105" s="54" t="s">
        <v>300</v>
      </c>
      <c r="N105" s="44">
        <f ca="1">INDEX(INDIRECT($H$52&amp;"!B:B"), MATCH($N$65, INDIRECT($H$52&amp;"!A:A"), 0))</f>
        <v>155.98400000000001</v>
      </c>
    </row>
    <row r="106" spans="5:14" x14ac:dyDescent="0.4">
      <c r="K106" s="3">
        <f t="shared" si="2"/>
        <v>106</v>
      </c>
      <c r="L106" s="45" t="s">
        <v>311</v>
      </c>
      <c r="M106" s="54" t="s">
        <v>224</v>
      </c>
      <c r="N106" s="2">
        <f ca="1">$C$3+$H$70/2</f>
        <v>9001.201500000001</v>
      </c>
    </row>
    <row r="107" spans="5:14" x14ac:dyDescent="0.4">
      <c r="K107" s="3">
        <f t="shared" si="2"/>
        <v>107</v>
      </c>
      <c r="L107" s="45" t="s">
        <v>312</v>
      </c>
      <c r="M107" s="54" t="s">
        <v>225</v>
      </c>
      <c r="N107" s="2">
        <f ca="1">$C$3+$H$71/2</f>
        <v>9000.9963000000007</v>
      </c>
    </row>
    <row r="108" spans="5:14" x14ac:dyDescent="0.4">
      <c r="K108" s="3">
        <f t="shared" ref="K108:K115" si="3">ROW(K108)</f>
        <v>108</v>
      </c>
      <c r="L108" s="45" t="s">
        <v>315</v>
      </c>
      <c r="M108" s="54" t="s">
        <v>196</v>
      </c>
      <c r="N108" s="2">
        <f ca="1">SQRT($N$107^2-$N$42^2)</f>
        <v>8995.6564181061131</v>
      </c>
    </row>
    <row r="109" spans="5:14" x14ac:dyDescent="0.4">
      <c r="K109" s="3">
        <f t="shared" si="3"/>
        <v>109</v>
      </c>
      <c r="L109" s="45" t="s">
        <v>316</v>
      </c>
      <c r="M109" s="54" t="s">
        <v>196</v>
      </c>
      <c r="N109" s="2">
        <f ca="1">SQRT($N$106^2-$C$4^2)</f>
        <v>8992.3094054643298</v>
      </c>
    </row>
    <row r="110" spans="5:14" x14ac:dyDescent="0.4">
      <c r="K110" s="3">
        <f t="shared" si="3"/>
        <v>110</v>
      </c>
      <c r="L110" s="45" t="s">
        <v>184</v>
      </c>
      <c r="M110" s="54" t="s">
        <v>184</v>
      </c>
      <c r="N110" s="2">
        <f ca="1">IF($N$108&gt;$N$109, ($N$108-$N$109)/$C$20, 0)</f>
        <v>3.7189029353147718E-2</v>
      </c>
    </row>
    <row r="111" spans="5:14" x14ac:dyDescent="0.4">
      <c r="K111" s="3">
        <f t="shared" si="3"/>
        <v>111</v>
      </c>
      <c r="L111" s="45" t="s">
        <v>185</v>
      </c>
      <c r="M111" s="54" t="s">
        <v>152</v>
      </c>
      <c r="N111" s="2">
        <f ca="1">ATAN($N$110)</f>
        <v>3.7171899126953054E-2</v>
      </c>
    </row>
    <row r="112" spans="5:14" x14ac:dyDescent="0.4">
      <c r="K112" s="3">
        <f t="shared" si="3"/>
        <v>112</v>
      </c>
      <c r="L112" s="45" t="s">
        <v>393</v>
      </c>
      <c r="M112" s="54" t="s">
        <v>393</v>
      </c>
      <c r="N112" s="2">
        <f ca="1">SIN(RADIANS($H$73))</f>
        <v>3.7166950783010577E-2</v>
      </c>
    </row>
    <row r="113" spans="11:14" x14ac:dyDescent="0.4">
      <c r="K113" s="3">
        <f t="shared" si="3"/>
        <v>113</v>
      </c>
      <c r="L113" s="45" t="s">
        <v>392</v>
      </c>
      <c r="M113" s="54" t="s">
        <v>392</v>
      </c>
      <c r="N113" s="2">
        <f ca="1">COS(RADIANS($H$73))</f>
        <v>0.9993090701927474</v>
      </c>
    </row>
    <row r="114" spans="11:14" x14ac:dyDescent="0.4">
      <c r="K114" s="3">
        <f t="shared" si="3"/>
        <v>114</v>
      </c>
      <c r="L114" s="45" t="s">
        <v>313</v>
      </c>
      <c r="M114" s="54" t="s">
        <v>145</v>
      </c>
      <c r="N114" s="2">
        <f ca="1">$C$3-$H$71/2</f>
        <v>8844.4037000000008</v>
      </c>
    </row>
    <row r="115" spans="11:14" x14ac:dyDescent="0.4">
      <c r="K115" s="3">
        <f t="shared" si="3"/>
        <v>115</v>
      </c>
      <c r="L115" s="45" t="s">
        <v>314</v>
      </c>
      <c r="M115" s="54" t="s">
        <v>146</v>
      </c>
      <c r="N115" s="2">
        <f ca="1">$C$3-$H$72/2</f>
        <v>8844.6194000000014</v>
      </c>
    </row>
    <row r="116" spans="11:14" x14ac:dyDescent="0.4">
      <c r="K116" s="3">
        <f t="shared" si="2"/>
        <v>116</v>
      </c>
      <c r="L116" s="45" t="s">
        <v>317</v>
      </c>
      <c r="M116" s="54" t="s">
        <v>197</v>
      </c>
      <c r="N116" s="2">
        <f ca="1">SQRT($N$115^2-$N$49^2)</f>
        <v>8842.1260074066122</v>
      </c>
    </row>
    <row r="117" spans="11:14" x14ac:dyDescent="0.4">
      <c r="K117" s="3">
        <f t="shared" si="2"/>
        <v>117</v>
      </c>
      <c r="L117" s="45" t="s">
        <v>318</v>
      </c>
      <c r="M117" s="54" t="s">
        <v>197</v>
      </c>
      <c r="N117" s="2">
        <f ca="1">SQRT($N$114^2-$N$42^2)</f>
        <v>8838.9692164060452</v>
      </c>
    </row>
    <row r="118" spans="11:14" x14ac:dyDescent="0.4">
      <c r="K118" s="3">
        <f t="shared" si="2"/>
        <v>118</v>
      </c>
      <c r="L118" s="45" t="s">
        <v>186</v>
      </c>
      <c r="N118" s="2">
        <f ca="1">($N116-$N117)/($N$42-$N$49)</f>
        <v>3.1567910005669546E-2</v>
      </c>
    </row>
    <row r="119" spans="11:14" x14ac:dyDescent="0.4">
      <c r="K119" s="3">
        <f t="shared" si="2"/>
        <v>119</v>
      </c>
      <c r="L119" s="45" t="s">
        <v>187</v>
      </c>
      <c r="M119" s="54" t="s">
        <v>153</v>
      </c>
      <c r="N119" s="2">
        <f ca="1">ATAN($N$118)</f>
        <v>3.1557430117010586E-2</v>
      </c>
    </row>
    <row r="120" spans="11:14" x14ac:dyDescent="0.4">
      <c r="K120" s="3">
        <f>ROW(K120)</f>
        <v>120</v>
      </c>
      <c r="L120" s="45" t="s">
        <v>189</v>
      </c>
      <c r="M120" s="54" t="s">
        <v>157</v>
      </c>
      <c r="N120" s="2">
        <f>IF(MOD($C$25, 2)=0, $C$23, $C$24)</f>
        <v>102</v>
      </c>
    </row>
    <row r="121" spans="11:14" x14ac:dyDescent="0.4">
      <c r="K121" s="3">
        <f t="shared" si="2"/>
        <v>121</v>
      </c>
      <c r="L121" s="45" t="s">
        <v>188</v>
      </c>
      <c r="M121" s="54" t="s">
        <v>156</v>
      </c>
      <c r="N121" s="2">
        <f>IF(MOD($C$25, 2)=0, $C$24, $C$23)</f>
        <v>85</v>
      </c>
    </row>
    <row r="122" spans="11:14" x14ac:dyDescent="0.4">
      <c r="K122" s="3">
        <f t="shared" si="2"/>
        <v>122</v>
      </c>
      <c r="L122" s="45" t="s">
        <v>320</v>
      </c>
      <c r="M122" s="54" t="s">
        <v>199</v>
      </c>
      <c r="N122" s="2">
        <f ca="1">$H$70/2-$H$60-$N$120/2</f>
        <v>21.495936780292737</v>
      </c>
    </row>
    <row r="123" spans="11:14" x14ac:dyDescent="0.4">
      <c r="K123" s="3">
        <f t="shared" si="2"/>
        <v>123</v>
      </c>
      <c r="L123" s="45" t="s">
        <v>321</v>
      </c>
      <c r="M123" s="54" t="s">
        <v>200</v>
      </c>
      <c r="N123" s="2">
        <f ca="1">$H$70/2-$H$61-$N$121/2</f>
        <v>29.502662230977563</v>
      </c>
    </row>
    <row r="124" spans="11:14" x14ac:dyDescent="0.4">
      <c r="K124" s="3">
        <f t="shared" si="2"/>
        <v>124</v>
      </c>
      <c r="L124" s="45" t="s">
        <v>325</v>
      </c>
      <c r="M124" s="54" t="str">
        <f>IF($C$25&gt;=3,"λj ≦ q &lt; λj+1 の wBj", "-")</f>
        <v>λj ≦ q &lt; λj+1 の wBj</v>
      </c>
      <c r="N124" s="44">
        <f ca="1">IF($C$25&gt;=3, INDEX(INDIRECT($H$52&amp;"!C:C"), MATCH($N$50, INDIRECT($H$52&amp;"!A:A"), 0)),"-")</f>
        <v>154.501</v>
      </c>
    </row>
    <row r="125" spans="11:14" x14ac:dyDescent="0.4">
      <c r="K125" s="3">
        <f t="shared" si="2"/>
        <v>125</v>
      </c>
      <c r="L125" s="45" t="s">
        <v>326</v>
      </c>
      <c r="M125" s="54" t="str">
        <f>IF($C$25&gt;=4,"λj ≦ q+pz &lt; λj+1 の wBj", "-")</f>
        <v>λj ≦ q+pz &lt; λj+1 の wBj</v>
      </c>
      <c r="N125" s="44">
        <f ca="1">IF($C$25&gt;=4, INDEX(INDIRECT($H$52&amp;"!C:C"), MATCH($N$51, INDIRECT($H$52&amp;"!A:A"), 0)),"-")</f>
        <v>154.38900000000001</v>
      </c>
    </row>
    <row r="126" spans="11:14" x14ac:dyDescent="0.4">
      <c r="K126" s="3">
        <f t="shared" si="2"/>
        <v>126</v>
      </c>
      <c r="L126" s="45" t="s">
        <v>327</v>
      </c>
      <c r="M126" s="54" t="str">
        <f>IF($C$25&gt;=5,"λj ≦ q+2pz &lt; λj+1 の wBj", "-")</f>
        <v>λj ≦ q+2pz &lt; λj+1 の wBj</v>
      </c>
      <c r="N126" s="44">
        <f ca="1">IF($C$25&gt;=5, INDEX(INDIRECT($H$52&amp;"!C:C"), MATCH($N$52, INDIRECT($H$52&amp;"!A:A"), 0)),"-")</f>
        <v>154.27600000000001</v>
      </c>
    </row>
    <row r="127" spans="11:14" x14ac:dyDescent="0.4">
      <c r="K127" s="3">
        <f t="shared" si="2"/>
        <v>127</v>
      </c>
      <c r="L127" s="45" t="s">
        <v>328</v>
      </c>
      <c r="M127" s="54" t="str">
        <f>IF($C$25&gt;=6,"λj ≦ q+3pz &lt; λj+1 の wBj", "-")</f>
        <v>λj ≦ q+3pz &lt; λj+1 の wBj</v>
      </c>
      <c r="N127" s="44">
        <f ca="1">IF($C$25&gt;=6, INDEX(INDIRECT($H$52&amp;"!C:C"), MATCH($N$53, INDIRECT($H$52&amp;"!A:A"), 0)),"-")</f>
        <v>154.16399999999999</v>
      </c>
    </row>
    <row r="128" spans="11:14" x14ac:dyDescent="0.4">
      <c r="K128" s="3">
        <f t="shared" si="2"/>
        <v>128</v>
      </c>
      <c r="L128" s="45" t="s">
        <v>329</v>
      </c>
      <c r="M128" s="54" t="str">
        <f>IF($C$25&gt;=7,"λj ≦ q+4pz &lt; λj+1 の wBj", "-")</f>
        <v>-</v>
      </c>
      <c r="N128" s="44" t="str">
        <f ca="1">IF($C$25&gt;=7, INDEX(INDIRECT($H$52&amp;"!C:C"), MATCH($N$54, INDIRECT($H$52&amp;"!A:A"), 0)),"-")</f>
        <v>-</v>
      </c>
    </row>
    <row r="129" spans="11:14" x14ac:dyDescent="0.4">
      <c r="K129" s="3">
        <f t="shared" si="2"/>
        <v>129</v>
      </c>
      <c r="L129" s="45" t="s">
        <v>330</v>
      </c>
      <c r="M129" s="54" t="str">
        <f>IF($C$25&gt;=8,"λj ≦ q+5pz &lt; λj+1 の wBj", "-")</f>
        <v>-</v>
      </c>
      <c r="N129" s="44" t="str">
        <f ca="1">IF($C$25&gt;=8,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331</v>
      </c>
      <c r="M130" s="54" t="s">
        <v>341</v>
      </c>
      <c r="N130" s="44">
        <f ca="1">INDEX(INDIRECT($H$52&amp;"!C:C"), MATCH($N$56, INDIRECT($H$52&amp;"!A:A"), 0))</f>
        <v>154.16399999999999</v>
      </c>
    </row>
    <row r="131" spans="11:14" x14ac:dyDescent="0.4">
      <c r="K131" s="3">
        <f t="shared" si="2"/>
        <v>131</v>
      </c>
      <c r="L131" s="45" t="s">
        <v>332</v>
      </c>
      <c r="M131" s="54" t="s">
        <v>342</v>
      </c>
      <c r="N131" s="44">
        <f ca="1">INDEX(INDIRECT($H$52&amp;"!C:C"), MATCH($N$57, INDIRECT($H$52&amp;"!A:A"), 0))</f>
        <v>154.06299999999999</v>
      </c>
    </row>
    <row r="132" spans="11:14" x14ac:dyDescent="0.4">
      <c r="K132" s="3">
        <f t="shared" si="2"/>
        <v>132</v>
      </c>
      <c r="L132" s="45" t="s">
        <v>333</v>
      </c>
      <c r="M132" s="54" t="str">
        <f>IF($C$25&gt;=3,"λj ≦ q &lt; λj+1 の wBj+1", "-")</f>
        <v>λj ≦ q &lt; λj+1 の wBj+1</v>
      </c>
      <c r="N132" s="44">
        <f ca="1">IF($C$25&gt;=3, INDEX(INDIRECT($H$52&amp;"!C:C"), MATCH($N$58, INDIRECT($H$52&amp;"!A:A"), 0)),"-")</f>
        <v>154.38900000000001</v>
      </c>
    </row>
    <row r="133" spans="11:14" x14ac:dyDescent="0.4">
      <c r="K133" s="3">
        <f t="shared" si="2"/>
        <v>133</v>
      </c>
      <c r="L133" s="45" t="s">
        <v>334</v>
      </c>
      <c r="M133" s="54" t="str">
        <f>IF($C$25&gt;=4,"λj ≦ q+pz &lt; λj+1 の wBj+1", "-")</f>
        <v>λj ≦ q+pz &lt; λj+1 の wBj+1</v>
      </c>
      <c r="N133" s="44">
        <f ca="1">IF($C$25&gt;=4, INDEX(INDIRECT($H$52&amp;"!C:C"), MATCH($N$59, INDIRECT($H$52&amp;"!A:A"), 0)),"-")</f>
        <v>154.27600000000001</v>
      </c>
    </row>
    <row r="134" spans="11:14" x14ac:dyDescent="0.4">
      <c r="K134" s="3">
        <f t="shared" si="2"/>
        <v>134</v>
      </c>
      <c r="L134" s="45" t="s">
        <v>335</v>
      </c>
      <c r="M134" s="54" t="str">
        <f>IF($C$25&gt;=5,"λj ≦ q+2pz &lt; λj+1 の wBj+1", "-")</f>
        <v>λj ≦ q+2pz &lt; λj+1 の wBj+1</v>
      </c>
      <c r="N134" s="44">
        <f ca="1">IF($C$25&gt;=5, INDEX(INDIRECT($H$52&amp;"!C:C"), MATCH($N$60, INDIRECT($H$52&amp;"!A:A"), 0)),"-")</f>
        <v>154.16399999999999</v>
      </c>
    </row>
    <row r="135" spans="11:14" x14ac:dyDescent="0.4">
      <c r="K135" s="3">
        <f t="shared" si="2"/>
        <v>135</v>
      </c>
      <c r="L135" s="45" t="s">
        <v>336</v>
      </c>
      <c r="M135" s="54" t="str">
        <f>IF($C$25&gt;=6,"λj ≦ q+3pz &lt; λj+1 の wBj+1", "-")</f>
        <v>λj ≦ q+3pz &lt; λj+1 の wBj+1</v>
      </c>
      <c r="N135" s="44">
        <f ca="1">IF($C$25&gt;=6, INDEX(INDIRECT($H$52&amp;"!C:C"), MATCH($N$61, INDIRECT($H$52&amp;"!A:A"), 0)),"-")</f>
        <v>154.06299999999999</v>
      </c>
    </row>
    <row r="136" spans="11:14" x14ac:dyDescent="0.4">
      <c r="K136" s="3">
        <f t="shared" si="2"/>
        <v>136</v>
      </c>
      <c r="L136" s="45" t="s">
        <v>337</v>
      </c>
      <c r="M136" s="54" t="str">
        <f>IF($C$25&gt;=7,"λj ≦ q+4pz &lt; λj+1 の wBj+1", "-")</f>
        <v>-</v>
      </c>
      <c r="N136" s="44" t="str">
        <f ca="1">IF($C$25&gt;=7, INDEX(INDIRECT($H$52&amp;"!C:C"), MATCH($N$62, INDIRECT($H$52&amp;"!A:A"), 0)),"-")</f>
        <v>-</v>
      </c>
    </row>
    <row r="137" spans="11:14" x14ac:dyDescent="0.4">
      <c r="K137" s="3">
        <f t="shared" si="2"/>
        <v>137</v>
      </c>
      <c r="L137" s="45" t="s">
        <v>338</v>
      </c>
      <c r="M137" s="54" t="str">
        <f>IF($C$25&gt;=8,"λj ≦ q+5pz &lt; λj+1 の wBj+1", "-")</f>
        <v>-</v>
      </c>
      <c r="N137" s="44" t="str">
        <f ca="1">IF($C$25&gt;=8,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339</v>
      </c>
      <c r="M138" s="54" t="s">
        <v>343</v>
      </c>
      <c r="N138" s="2">
        <f ca="1">INDEX(INDIRECT($H$52&amp;"!C:C"), MATCH($N$64, INDIRECT($H$52&amp;"!A:A"), 0))</f>
        <v>154.06299999999999</v>
      </c>
    </row>
    <row r="139" spans="11:14" x14ac:dyDescent="0.4">
      <c r="K139" s="3">
        <f t="shared" si="2"/>
        <v>139</v>
      </c>
      <c r="L139" s="45" t="s">
        <v>340</v>
      </c>
      <c r="M139" s="54" t="s">
        <v>344</v>
      </c>
      <c r="N139" s="2">
        <f ca="1">INDEX(INDIRECT($H$52&amp;"!C:C"), MATCH($N$65, INDIRECT($H$52&amp;"!A:A"), 0))</f>
        <v>153.97200000000001</v>
      </c>
    </row>
    <row r="140" spans="11:14" x14ac:dyDescent="0.4">
      <c r="K140" s="3">
        <f t="shared" si="2"/>
        <v>140</v>
      </c>
      <c r="L140" s="45" t="s">
        <v>361</v>
      </c>
      <c r="M140" s="55" t="str">
        <f>IF($C$25&gt;=4,"2列目AC内径（水平・めっき含・概算）","-")</f>
        <v>2列目AC内径（水平・めっき含・概算）</v>
      </c>
      <c r="N140" s="44">
        <f ca="1">IF($C$25&gt;=4,($N$67*$N$99+$N$75*$N$91)/($N$59-$N$51)+$C$31*2,"-")</f>
        <v>156.50139999999999</v>
      </c>
    </row>
    <row r="141" spans="11:14" x14ac:dyDescent="0.4">
      <c r="K141" s="3">
        <f t="shared" si="2"/>
        <v>141</v>
      </c>
      <c r="L141" s="45" t="s">
        <v>362</v>
      </c>
      <c r="M141" s="55" t="str">
        <f>IF($C$25&gt;=5,"3列目AC内径（水平・めっき含・概算）","-")</f>
        <v>3列目AC内径（水平・めっき含・概算）</v>
      </c>
      <c r="N141" s="44">
        <f ca="1">IF($C$25&gt;=5,($N$68*$N$100+$N$76*$N$92)/($N$60-$N$52)+$C$31*2,"-")</f>
        <v>156.4102</v>
      </c>
    </row>
    <row r="142" spans="11:14" x14ac:dyDescent="0.4">
      <c r="K142" s="3">
        <f t="shared" si="2"/>
        <v>142</v>
      </c>
      <c r="L142" s="45" t="s">
        <v>363</v>
      </c>
      <c r="M142" s="55" t="str">
        <f>IF($C$25&gt;=6,"4列目AC内径（水平・めっき含・概算）","-")</f>
        <v>4列目AC内径（水平・めっき含・概算）</v>
      </c>
      <c r="N142" s="44">
        <f ca="1">IF($C$25&gt;=6,($N$69*$N$101+$N$77*$N$93)/($N$61-$N$53)+$C$31*2,"-")</f>
        <v>156.31899999999999</v>
      </c>
    </row>
    <row r="143" spans="11:14" x14ac:dyDescent="0.4">
      <c r="K143" s="3">
        <f t="shared" si="2"/>
        <v>143</v>
      </c>
      <c r="L143" s="45" t="s">
        <v>364</v>
      </c>
      <c r="M143" s="55" t="str">
        <f>IF($C$25&gt;=7,"5列目AC内径（水平・めっき含・概算）","-")</f>
        <v>-</v>
      </c>
      <c r="N143" s="44" t="str">
        <f>IF($C$25&gt;=7,($N$70*$N$102+$N$78*$N$94)/($N$62-$N$54)+$C$31*2,"-")</f>
        <v>-</v>
      </c>
    </row>
    <row r="144" spans="11:14" x14ac:dyDescent="0.4">
      <c r="K144" s="3">
        <f t="shared" si="2"/>
        <v>144</v>
      </c>
      <c r="L144" s="45" t="s">
        <v>365</v>
      </c>
      <c r="M144" s="55" t="str">
        <f>IF($C$25&gt;=8,"6列目AC内径（水平・めっき含・概算）","-")</f>
        <v>-</v>
      </c>
      <c r="N144" s="44" t="str">
        <f>IF($C$25&gt;=8,($N$71*$N$103+$N$79*$N$95)/($N$63-$N$55)+$C$31*2,"-")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366</v>
      </c>
      <c r="M145" s="55" t="s">
        <v>351</v>
      </c>
      <c r="N145" s="2">
        <f ca="1">($N$72*$N$104+$N$80*$N$96)/($N$64-$N$56)+$C$31*2</f>
        <v>156.23739999999998</v>
      </c>
    </row>
    <row r="146" spans="11:14" x14ac:dyDescent="0.4">
      <c r="K146" s="3">
        <f t="shared" si="2"/>
        <v>146</v>
      </c>
      <c r="L146" s="45" t="s">
        <v>307</v>
      </c>
      <c r="M146" s="55" t="s">
        <v>353</v>
      </c>
      <c r="N146" s="2">
        <f ca="1">INDEX(INDIRECT($H$52&amp;"!C:C"), MATCH(0, INDIRECT($H$52&amp;"!A:A"), 0))+$C$31*2</f>
        <v>154.97899999999998</v>
      </c>
    </row>
    <row r="147" spans="11:14" x14ac:dyDescent="0.4">
      <c r="K147" s="3">
        <f t="shared" si="2"/>
        <v>147</v>
      </c>
      <c r="L147" s="45" t="s">
        <v>350</v>
      </c>
      <c r="M147" s="55" t="str">
        <f>IF($C$25&gt;=3,"1列目 BD内径（めっき含・概算）","-")</f>
        <v>1列目 BD内径（めっき含・概算）</v>
      </c>
      <c r="N147" s="44">
        <f ca="1">IF($C$25&gt;=3,($N$66*$N$132+$N$74*$N$124)/($N$58-$N$50)+$C$31*2,"-")</f>
        <v>154.57380000000001</v>
      </c>
    </row>
    <row r="148" spans="11:14" x14ac:dyDescent="0.4">
      <c r="K148" s="3">
        <f t="shared" si="2"/>
        <v>148</v>
      </c>
      <c r="L148" s="45" t="s">
        <v>355</v>
      </c>
      <c r="M148" s="55" t="str">
        <f>IF($C$25&gt;=4,"2列目 BD内径（めっき含・概算）","-")</f>
        <v>2列目 BD内径（めっき含・概算）</v>
      </c>
      <c r="N148" s="44">
        <f ca="1">IF($C$25&gt;=4,($N$67*$N$133+$N$75*$N$125)/($N$59-$N$51)+$C$31*2,"-")</f>
        <v>154.4838</v>
      </c>
    </row>
    <row r="149" spans="11:14" x14ac:dyDescent="0.4">
      <c r="K149" s="3">
        <f t="shared" si="2"/>
        <v>149</v>
      </c>
      <c r="L149" s="45" t="s">
        <v>356</v>
      </c>
      <c r="M149" s="55" t="str">
        <f>IF($C$25&gt;=5,"3列目 BD内径（めっき含・概算）","-")</f>
        <v>3列目 BD内径（めっき含・概算）</v>
      </c>
      <c r="N149" s="44">
        <f ca="1">IF($C$25&gt;=5,($N$68*$N$134+$N$76*$N$126)/($N$60-$N$52)+$C$31*2,"-")</f>
        <v>154.39359999999999</v>
      </c>
    </row>
    <row r="150" spans="11:14" x14ac:dyDescent="0.4">
      <c r="K150" s="3">
        <f t="shared" si="2"/>
        <v>150</v>
      </c>
      <c r="L150" s="45" t="s">
        <v>357</v>
      </c>
      <c r="M150" s="55" t="str">
        <f>IF($C$25&gt;=6,"4列目 BD内径（めっき含・概算）","-")</f>
        <v>4列目 BD内径（めっき含・概算）</v>
      </c>
      <c r="N150" s="44">
        <f ca="1">IF($C$25&gt;=6,($N$69*$N$135+$N$77*$N$127)/($N$61-$N$53)+$C$31*2,"-")</f>
        <v>154.30399999999997</v>
      </c>
    </row>
    <row r="151" spans="11:14" x14ac:dyDescent="0.4">
      <c r="K151" s="3">
        <f t="shared" si="2"/>
        <v>151</v>
      </c>
      <c r="L151" s="45" t="s">
        <v>358</v>
      </c>
      <c r="M151" s="55" t="str">
        <f>IF($C$25&gt;=7,"5列目 BD内径（めっき含・概算）","-")</f>
        <v>-</v>
      </c>
      <c r="N151" s="44" t="str">
        <f>IF($C$25&gt;=7,($N$70*$N$136+$N$78*$N$128)/($N$62-$N$54)+$C$31*2,"-")</f>
        <v>-</v>
      </c>
    </row>
    <row r="152" spans="11:14" x14ac:dyDescent="0.4">
      <c r="K152" s="3">
        <f t="shared" si="2"/>
        <v>152</v>
      </c>
      <c r="L152" s="45" t="s">
        <v>359</v>
      </c>
      <c r="M152" s="55" t="str">
        <f>IF($C$25&gt;=8,"6列目 BD内径（めっき含・概算）","-")</f>
        <v>-</v>
      </c>
      <c r="N152" s="44" t="str">
        <f>IF($C$25&gt;=8,($N$71*$N$137+$N$79*$N$129)/($N$63-$N$55)+$C$31*2,"-")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360</v>
      </c>
      <c r="M153" s="55" t="s">
        <v>354</v>
      </c>
      <c r="N153" s="2">
        <f ca="1">($N$72*$N$138+$N$80*$N$130)/($N$64-$N$56)+$C$31*2</f>
        <v>154.22319999999999</v>
      </c>
    </row>
    <row r="154" spans="11:14" x14ac:dyDescent="0.4">
      <c r="K154" s="3">
        <f t="shared" si="2"/>
        <v>154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  <c r="L157" s="45" t="s">
        <v>190</v>
      </c>
      <c r="N157" s="2">
        <f>C6^2+(2*N9)^2</f>
        <v>384450.50566139817</v>
      </c>
    </row>
    <row r="158" spans="11:14" x14ac:dyDescent="0.4">
      <c r="K158" s="3">
        <f t="shared" si="2"/>
        <v>158</v>
      </c>
      <c r="L158" s="45" t="s">
        <v>191</v>
      </c>
      <c r="M158" s="54" t="s">
        <v>30</v>
      </c>
      <c r="N158" s="2">
        <f>SQRT(N157)</f>
        <v>620.04072903430961</v>
      </c>
    </row>
    <row r="159" spans="11:14" x14ac:dyDescent="0.4">
      <c r="K159" s="3">
        <f t="shared" si="2"/>
        <v>159</v>
      </c>
      <c r="L159" s="45" t="s">
        <v>65</v>
      </c>
      <c r="M159" s="54" t="s">
        <v>31</v>
      </c>
      <c r="N159" s="2">
        <f>2*N9/N158</f>
        <v>0.99993431232433228</v>
      </c>
    </row>
    <row r="160" spans="11:14" x14ac:dyDescent="0.4">
      <c r="K160" s="3">
        <f t="shared" si="2"/>
        <v>160</v>
      </c>
      <c r="L160" s="45" t="s">
        <v>66</v>
      </c>
      <c r="M160" s="54" t="s">
        <v>32</v>
      </c>
      <c r="N160" s="2">
        <f>C6/N158</f>
        <v>1.1461720484501746E-2</v>
      </c>
    </row>
    <row r="161" spans="11:14" x14ac:dyDescent="0.4">
      <c r="K161" s="3">
        <f t="shared" si="2"/>
        <v>161</v>
      </c>
      <c r="L161" s="45" t="s">
        <v>192</v>
      </c>
      <c r="N161" s="2">
        <f>SQRT(N8^2-(N9-N12)^2)</f>
        <v>8727.6739192066525</v>
      </c>
    </row>
    <row r="162" spans="11:14" x14ac:dyDescent="0.4">
      <c r="K162" s="3">
        <f t="shared" si="2"/>
        <v>162</v>
      </c>
      <c r="L162" s="45" t="s">
        <v>193</v>
      </c>
      <c r="N162" s="2">
        <f>SQRT(N8^2-(N9+N12)^2)</f>
        <v>8720.5671856823628</v>
      </c>
    </row>
    <row r="163" spans="11:14" x14ac:dyDescent="0.4">
      <c r="K163" s="3">
        <f t="shared" si="2"/>
        <v>163</v>
      </c>
      <c r="L163" s="45" t="s">
        <v>194</v>
      </c>
      <c r="N163" s="2">
        <f>N12*N9</f>
        <v>31000</v>
      </c>
    </row>
    <row r="164" spans="11:14" x14ac:dyDescent="0.4">
      <c r="K164" s="3">
        <f t="shared" si="2"/>
        <v>164</v>
      </c>
      <c r="L164" s="45" t="s">
        <v>195</v>
      </c>
      <c r="N164" s="2">
        <f>SQRT(N8^2-N157/4)</f>
        <v>8724.693657291622</v>
      </c>
    </row>
    <row r="165" spans="11:14" x14ac:dyDescent="0.4">
      <c r="K165" s="3">
        <f t="shared" si="2"/>
        <v>165</v>
      </c>
      <c r="L165" s="45" t="s">
        <v>76</v>
      </c>
      <c r="N165" s="2">
        <f>N164*N159</f>
        <v>8724.1205524443612</v>
      </c>
    </row>
    <row r="166" spans="11:14" x14ac:dyDescent="0.4">
      <c r="K166" s="3">
        <f t="shared" si="2"/>
        <v>166</v>
      </c>
      <c r="L166" s="45" t="s">
        <v>77</v>
      </c>
      <c r="M166" s="54" t="s">
        <v>28</v>
      </c>
      <c r="N166" s="2">
        <f>N164*N160</f>
        <v>100.00000001278184</v>
      </c>
    </row>
    <row r="167" spans="11:14" x14ac:dyDescent="0.4">
      <c r="K167" s="3">
        <f t="shared" ref="K167" si="4">ROW(K167)</f>
        <v>167</v>
      </c>
      <c r="L167" s="45" t="s">
        <v>43</v>
      </c>
      <c r="M167" s="54" t="s">
        <v>27</v>
      </c>
      <c r="N167" s="2">
        <f>C6/2+N7-N165</f>
        <v>4.12719521204599</v>
      </c>
    </row>
    <row r="182" spans="12:14" x14ac:dyDescent="0.4">
      <c r="L182" s="54"/>
      <c r="M182" s="55"/>
      <c r="N182" s="1"/>
    </row>
  </sheetData>
  <phoneticPr fontId="1"/>
  <conditionalFormatting sqref="C3">
    <cfRule type="expression" dxfId="79" priority="124">
      <formula>$C$3&gt;2*N163</formula>
    </cfRule>
  </conditionalFormatting>
  <conditionalFormatting sqref="C4">
    <cfRule type="expression" dxfId="78" priority="44">
      <formula>C4&lt;0</formula>
    </cfRule>
  </conditionalFormatting>
  <conditionalFormatting sqref="C6">
    <cfRule type="expression" dxfId="77" priority="20">
      <formula>$C$6&lt;0</formula>
    </cfRule>
  </conditionalFormatting>
  <conditionalFormatting sqref="C9">
    <cfRule type="expression" dxfId="76" priority="48">
      <formula>$C$9&lt;=0</formula>
    </cfRule>
  </conditionalFormatting>
  <conditionalFormatting sqref="C10:C11">
    <cfRule type="expression" dxfId="75" priority="21">
      <formula>$C$10&lt;0</formula>
    </cfRule>
  </conditionalFormatting>
  <conditionalFormatting sqref="C15">
    <cfRule type="expression" dxfId="74" priority="99">
      <formula>OR(C15&lt;=0, C15&gt;Q2)</formula>
    </cfRule>
  </conditionalFormatting>
  <conditionalFormatting sqref="C35">
    <cfRule type="expression" dxfId="73" priority="43">
      <formula>C35&lt;0</formula>
    </cfRule>
  </conditionalFormatting>
  <conditionalFormatting sqref="C36">
    <cfRule type="expression" dxfId="72" priority="58">
      <formula>OR($C$36&lt;0, $C$36&gt;=$C$9)</formula>
    </cfRule>
  </conditionalFormatting>
  <conditionalFormatting sqref="C37">
    <cfRule type="expression" dxfId="71" priority="17">
      <formula>OR($C$37&lt;0, $C$37&gt;=$C$10)</formula>
    </cfRule>
  </conditionalFormatting>
  <conditionalFormatting sqref="C38">
    <cfRule type="expression" dxfId="70" priority="121">
      <formula>OR(C38&lt;0, C38&gt;=C9)</formula>
    </cfRule>
  </conditionalFormatting>
  <conditionalFormatting sqref="C41">
    <cfRule type="expression" dxfId="69" priority="128">
      <formula>OR(C41&lt;0, C41&gt;=C4)</formula>
    </cfRule>
  </conditionalFormatting>
  <conditionalFormatting sqref="C44">
    <cfRule type="expression" dxfId="68" priority="129">
      <formula>OR(C44&lt;0, C44&gt;=C4)</formula>
    </cfRule>
  </conditionalFormatting>
  <conditionalFormatting sqref="C61">
    <cfRule type="expression" dxfId="67" priority="52">
      <formula>AND(C61&lt;&gt;330, C61&lt;&gt;270, C61&lt;&gt;250)</formula>
    </cfRule>
  </conditionalFormatting>
  <conditionalFormatting sqref="C62">
    <cfRule type="expression" dxfId="66" priority="51">
      <formula>C62&lt;&gt;40</formula>
    </cfRule>
  </conditionalFormatting>
  <conditionalFormatting sqref="C65">
    <cfRule type="expression" dxfId="65" priority="28">
      <formula>OR(C65&gt;0, ABS(ABS(C65)-740)&gt;=1)</formula>
    </cfRule>
  </conditionalFormatting>
  <conditionalFormatting sqref="C66">
    <cfRule type="expression" dxfId="64" priority="41">
      <formula>OR(C66&gt;0, ABS(ABS(C66)-550)&gt;=1)</formula>
    </cfRule>
  </conditionalFormatting>
  <conditionalFormatting sqref="C67">
    <cfRule type="expression" dxfId="63" priority="34">
      <formula>OR(C67&gt;0, ABS(ABS(C67)-1150)&gt;=1)</formula>
    </cfRule>
  </conditionalFormatting>
  <conditionalFormatting sqref="C68">
    <cfRule type="expression" dxfId="62" priority="40">
      <formula>OR(ABS(C68)&gt;=0.2)</formula>
    </cfRule>
  </conditionalFormatting>
  <conditionalFormatting sqref="H48">
    <cfRule type="expression" dxfId="61" priority="24">
      <formula>OR($H$48&lt;=1, INT($H$48)&lt;&gt;$H$48)</formula>
    </cfRule>
  </conditionalFormatting>
  <conditionalFormatting sqref="H52">
    <cfRule type="expression" dxfId="60" priority="16">
      <formula>ISERROR(INDIRECT($H$52&amp;"!$G$45"))</formula>
    </cfRule>
  </conditionalFormatting>
  <conditionalFormatting sqref="C25">
    <cfRule type="expression" dxfId="59" priority="237">
      <formula>OR(C25-QUOTIENT(C25,1)&lt;&gt;0, C25&lt;0, C25&gt;$C$69)</formula>
    </cfRule>
  </conditionalFormatting>
  <conditionalFormatting sqref="H50">
    <cfRule type="expression" dxfId="58" priority="12">
      <formula>OR($H$50&lt;1, INT($H$50)&lt;&gt;$H$50)</formula>
    </cfRule>
  </conditionalFormatting>
  <conditionalFormatting sqref="H51">
    <cfRule type="expression" dxfId="57" priority="11">
      <formula>OR($H$51&lt;0, INT($H$51)&lt;&gt;$H$51)</formula>
    </cfRule>
  </conditionalFormatting>
  <conditionalFormatting sqref="C23">
    <cfRule type="expression" dxfId="56" priority="255">
      <formula>OR($C$23&lt;=0, MOD($C$23,$C$22)&lt;&gt;0, $C$23&gt;=#REF!)</formula>
    </cfRule>
  </conditionalFormatting>
  <conditionalFormatting sqref="C26">
    <cfRule type="expression" dxfId="55" priority="263">
      <formula>OR($C$26&lt;=0, $C$26&gt;=MIN($C$23, $C$24))</formula>
    </cfRule>
  </conditionalFormatting>
  <conditionalFormatting sqref="N140:N145">
    <cfRule type="expression" dxfId="54" priority="10">
      <formula>$H$51&lt;0</formula>
    </cfRule>
  </conditionalFormatting>
  <conditionalFormatting sqref="N146:N153">
    <cfRule type="expression" dxfId="53" priority="9">
      <formula>$H$51&lt;0</formula>
    </cfRule>
  </conditionalFormatting>
  <conditionalFormatting sqref="C16">
    <cfRule type="expression" dxfId="52" priority="275">
      <formula>OR(C16&lt;=0, C16+C15&gt;Q2)</formula>
    </cfRule>
  </conditionalFormatting>
  <conditionalFormatting sqref="G1:G1048576">
    <cfRule type="expression" dxfId="51" priority="4">
      <formula>G1="X"</formula>
    </cfRule>
    <cfRule type="expression" dxfId="50" priority="5">
      <formula>G1="Y"</formula>
    </cfRule>
    <cfRule type="expression" dxfId="49" priority="6">
      <formula>G1="Z"</formula>
    </cfRule>
    <cfRule type="expression" dxfId="48" priority="7">
      <formula>G1="B"</formula>
    </cfRule>
  </conditionalFormatting>
  <conditionalFormatting sqref="H81:H96">
    <cfRule type="expression" dxfId="47" priority="3">
      <formula>$H$51&lt;0</formula>
    </cfRule>
  </conditionalFormatting>
  <conditionalFormatting sqref="C17">
    <cfRule type="expression" dxfId="46" priority="279">
      <formula>OR($C$17&lt;=0, $C$17&gt;=($C$9-#REF!)/2, $C$17&gt;=($C$36-#REF!)/2)</formula>
    </cfRule>
  </conditionalFormatting>
  <conditionalFormatting sqref="H77">
    <cfRule type="expression" dxfId="45" priority="280">
      <formula>$H$77&lt;=$C$27/2+$C$28</formula>
    </cfRule>
  </conditionalFormatting>
  <conditionalFormatting sqref="C27">
    <cfRule type="expression" dxfId="44" priority="2">
      <formula>OR($C$27&lt;=0, $C$27&gt;$C$26)</formula>
    </cfRule>
  </conditionalFormatting>
  <conditionalFormatting sqref="H49">
    <cfRule type="expression" dxfId="43" priority="1">
      <formula>OR($H$49&lt;0, INT($H$49)&lt;&gt;$H$49)</formula>
    </cfRule>
  </conditionalFormatting>
  <conditionalFormatting sqref="C13">
    <cfRule type="expression" dxfId="42" priority="285">
      <formula>OR($C$13&gt;=$C$9, $C$13&gt;=$C$42)</formula>
    </cfRule>
  </conditionalFormatting>
  <conditionalFormatting sqref="C14">
    <cfRule type="expression" dxfId="41" priority="286">
      <formula>OR($C$14&gt;=$C$10, $C$14&gt;=$C$42)</formula>
    </cfRule>
  </conditionalFormatting>
  <dataValidations count="1">
    <dataValidation imeMode="disabled" allowBlank="1" showInputMessage="1" showErrorMessage="1" sqref="C60:C69 H79 N140:N153 C49:C52 C55:C58 H54:H72 H81:H96 C3:C32 G1:G1048576" xr:uid="{5A8FA8E9-E7FC-48D2-B40E-E90D3C7D1F03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3167-CAAA-4B28-B957-65579BC0D224}">
  <dimension ref="A1:R170"/>
  <sheetViews>
    <sheetView workbookViewId="0">
      <selection activeCell="E19" sqref="E19"/>
    </sheetView>
  </sheetViews>
  <sheetFormatPr defaultRowHeight="14.25" x14ac:dyDescent="0.4"/>
  <cols>
    <col min="1" max="1" width="3.75" style="3" bestFit="1" customWidth="1"/>
    <col min="2" max="2" width="23.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9.75" style="3" bestFit="1" customWidth="1"/>
    <col min="9" max="9" width="8.375" style="3" bestFit="1" customWidth="1"/>
    <col min="10" max="10" width="1.625" style="1" customWidth="1"/>
    <col min="11" max="11" width="4.125" style="3" bestFit="1" customWidth="1"/>
    <col min="12" max="12" width="19.625" style="45" customWidth="1"/>
    <col min="13" max="13" width="24.75" style="54" bestFit="1" customWidth="1"/>
    <col min="14" max="14" width="10.375" style="2" bestFit="1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158</v>
      </c>
      <c r="F1" s="4" t="s">
        <v>116</v>
      </c>
      <c r="G1" s="6"/>
      <c r="P1" s="4" t="s">
        <v>117</v>
      </c>
      <c r="Q1" s="3"/>
      <c r="R1" s="3"/>
    </row>
    <row r="2" spans="1:18" ht="15" thickBot="1" x14ac:dyDescent="0.45">
      <c r="B2" s="7"/>
      <c r="C2" s="8" t="s">
        <v>15</v>
      </c>
      <c r="F2" s="4" t="s">
        <v>111</v>
      </c>
      <c r="G2" s="6"/>
      <c r="H2" s="45" t="s">
        <v>218</v>
      </c>
      <c r="I2" s="3" t="s">
        <v>99</v>
      </c>
      <c r="K2" s="3">
        <f>ROW(K2)</f>
        <v>2</v>
      </c>
      <c r="L2" s="45" t="s">
        <v>373</v>
      </c>
      <c r="M2" s="54" t="s">
        <v>81</v>
      </c>
      <c r="N2" s="2">
        <f>RADIANS($H$7)</f>
        <v>0</v>
      </c>
      <c r="P2" s="9" t="s">
        <v>59</v>
      </c>
      <c r="Q2" s="10">
        <f>C4+N154</f>
        <v>400</v>
      </c>
      <c r="R2" s="10">
        <f>C65+Q2</f>
        <v>-749.97399999999993</v>
      </c>
    </row>
    <row r="3" spans="1:18" ht="15" thickTop="1" x14ac:dyDescent="0.4">
      <c r="A3" s="3" t="s">
        <v>159</v>
      </c>
      <c r="B3" s="11" t="s">
        <v>6</v>
      </c>
      <c r="C3" s="12">
        <v>5932.95</v>
      </c>
      <c r="E3" s="3" t="s">
        <v>230</v>
      </c>
      <c r="F3" s="9" t="s">
        <v>378</v>
      </c>
      <c r="G3" s="13" t="s">
        <v>124</v>
      </c>
      <c r="H3" s="30">
        <f>$C$4+$N$13*$N$5</f>
        <v>400</v>
      </c>
      <c r="I3" s="30">
        <f>$C$65+H3</f>
        <v>-749.97399999999993</v>
      </c>
      <c r="K3" s="3">
        <f t="shared" ref="K3:K66" si="0">ROW(K3)</f>
        <v>3</v>
      </c>
      <c r="L3" s="45" t="s">
        <v>374</v>
      </c>
      <c r="M3" s="54" t="s">
        <v>82</v>
      </c>
      <c r="N3" s="2">
        <f>ASIN($N$14)</f>
        <v>0</v>
      </c>
      <c r="P3" s="9" t="s">
        <v>60</v>
      </c>
      <c r="Q3" s="10">
        <f>C4+C5-Q2</f>
        <v>400</v>
      </c>
      <c r="R3" s="10">
        <f>C65+Q3</f>
        <v>-749.97399999999993</v>
      </c>
    </row>
    <row r="4" spans="1:18" x14ac:dyDescent="0.4">
      <c r="A4" s="3" t="s">
        <v>160</v>
      </c>
      <c r="B4" s="14" t="s">
        <v>8</v>
      </c>
      <c r="C4" s="15">
        <v>400</v>
      </c>
      <c r="E4" s="3" t="s">
        <v>231</v>
      </c>
      <c r="F4" s="9" t="s">
        <v>379</v>
      </c>
      <c r="G4" s="13" t="s">
        <v>124</v>
      </c>
      <c r="H4" s="30">
        <f>$C$4+$C$5-$H$3</f>
        <v>400</v>
      </c>
      <c r="I4" s="30">
        <f>$C$65+H4</f>
        <v>-749.97399999999993</v>
      </c>
      <c r="K4" s="3">
        <f t="shared" si="0"/>
        <v>4</v>
      </c>
      <c r="L4" s="45" t="s">
        <v>375</v>
      </c>
      <c r="M4" s="54" t="s">
        <v>232</v>
      </c>
      <c r="N4" s="2">
        <f>DEGREES($N$3)</f>
        <v>0</v>
      </c>
      <c r="P4" s="9" t="s">
        <v>61</v>
      </c>
      <c r="Q4" s="10">
        <f>Q2-C59</f>
        <v>70</v>
      </c>
    </row>
    <row r="5" spans="1:18" x14ac:dyDescent="0.4">
      <c r="A5" s="3" t="s">
        <v>161</v>
      </c>
      <c r="B5" s="14" t="s">
        <v>9</v>
      </c>
      <c r="C5" s="15">
        <v>400</v>
      </c>
      <c r="D5" s="2"/>
      <c r="F5" s="9" t="s">
        <v>380</v>
      </c>
      <c r="G5" s="13" t="s">
        <v>124</v>
      </c>
      <c r="H5" s="30">
        <f>$H$3-$C$59</f>
        <v>70</v>
      </c>
      <c r="K5" s="3">
        <f t="shared" si="0"/>
        <v>5</v>
      </c>
      <c r="L5" s="45" t="s">
        <v>83</v>
      </c>
      <c r="N5" s="2">
        <f>SIN($N$2)</f>
        <v>0</v>
      </c>
      <c r="P5" s="9" t="s">
        <v>62</v>
      </c>
      <c r="Q5" s="10">
        <f>Q3-C59</f>
        <v>70</v>
      </c>
    </row>
    <row r="6" spans="1:18" x14ac:dyDescent="0.4">
      <c r="B6" s="14" t="s">
        <v>14</v>
      </c>
      <c r="C6" s="19">
        <v>0</v>
      </c>
      <c r="D6" s="16"/>
      <c r="F6" s="9" t="s">
        <v>381</v>
      </c>
      <c r="G6" s="13" t="s">
        <v>124</v>
      </c>
      <c r="H6" s="50">
        <f>$H$4-$C$59</f>
        <v>70</v>
      </c>
      <c r="K6" s="3">
        <f t="shared" si="0"/>
        <v>6</v>
      </c>
      <c r="L6" s="45" t="s">
        <v>85</v>
      </c>
      <c r="N6" s="2">
        <f>COS($N$2)</f>
        <v>1</v>
      </c>
      <c r="P6" s="17" t="s">
        <v>29</v>
      </c>
      <c r="Q6" s="18">
        <f>N149-N150</f>
        <v>0</v>
      </c>
    </row>
    <row r="7" spans="1:18" x14ac:dyDescent="0.4">
      <c r="B7" s="21"/>
      <c r="C7" s="22"/>
      <c r="E7" s="3" t="s">
        <v>80</v>
      </c>
      <c r="F7" s="17" t="s">
        <v>376</v>
      </c>
      <c r="G7" s="20" t="s">
        <v>125</v>
      </c>
      <c r="H7" s="30">
        <f>ROUND($N$4,3)</f>
        <v>0</v>
      </c>
      <c r="I7" s="30">
        <f>-$C$66+$H$7</f>
        <v>-7.2999999999999995E-2</v>
      </c>
      <c r="K7" s="3">
        <f t="shared" si="0"/>
        <v>7</v>
      </c>
      <c r="L7" s="45" t="s">
        <v>162</v>
      </c>
      <c r="N7" s="2">
        <f>SQRT($N$8^2-$N$9^2)</f>
        <v>5748.1969262108623</v>
      </c>
      <c r="P7" s="17" t="s">
        <v>74</v>
      </c>
      <c r="Q7" s="18">
        <f>C63+C10/2</f>
        <v>-663.6</v>
      </c>
    </row>
    <row r="8" spans="1:18" x14ac:dyDescent="0.4">
      <c r="B8" s="25" t="s">
        <v>7</v>
      </c>
      <c r="C8" s="26"/>
      <c r="E8" s="3" t="s">
        <v>80</v>
      </c>
      <c r="F8" s="57" t="s">
        <v>377</v>
      </c>
      <c r="G8" s="58" t="s">
        <v>125</v>
      </c>
      <c r="H8" s="56">
        <f>ROUND($N$4,0)</f>
        <v>0</v>
      </c>
      <c r="I8" s="56">
        <f>-$C$66+$H$8</f>
        <v>-7.2999999999999995E-2</v>
      </c>
      <c r="K8" s="3">
        <f t="shared" si="0"/>
        <v>8</v>
      </c>
      <c r="L8" s="45" t="s">
        <v>163</v>
      </c>
      <c r="M8" s="54" t="s">
        <v>19</v>
      </c>
      <c r="N8" s="2">
        <f>$N$10-$C$61</f>
        <v>5756.55</v>
      </c>
      <c r="P8" s="9" t="s">
        <v>63</v>
      </c>
      <c r="Q8" s="10">
        <f>-C62+(N16+N17)/2+C6/2-N153</f>
        <v>-30.248552825517436</v>
      </c>
      <c r="R8" s="10">
        <f t="shared" ref="R8:R14" si="1">$C$64+Q8</f>
        <v>-580.26755282551744</v>
      </c>
    </row>
    <row r="9" spans="1:18" x14ac:dyDescent="0.4">
      <c r="B9" s="14" t="s">
        <v>75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13</v>
      </c>
      <c r="M9" s="54" t="s">
        <v>78</v>
      </c>
      <c r="N9" s="2">
        <f>$C$59-$C$60/2</f>
        <v>310</v>
      </c>
      <c r="P9" s="9" t="s">
        <v>17</v>
      </c>
      <c r="Q9" s="10">
        <f>-C62+N15+C6/2-N153</f>
        <v>-30.246301152824344</v>
      </c>
      <c r="R9" s="10">
        <f t="shared" si="1"/>
        <v>-580.26530115282435</v>
      </c>
    </row>
    <row r="10" spans="1:18" x14ac:dyDescent="0.4">
      <c r="B10" s="14" t="s">
        <v>12</v>
      </c>
      <c r="C10" s="15">
        <v>152.80000000000001</v>
      </c>
      <c r="F10" s="25" t="s">
        <v>129</v>
      </c>
      <c r="G10" s="27"/>
      <c r="H10" s="28"/>
      <c r="K10" s="3">
        <f t="shared" si="0"/>
        <v>10</v>
      </c>
      <c r="L10" s="45" t="s">
        <v>164</v>
      </c>
      <c r="M10" s="54" t="s">
        <v>10</v>
      </c>
      <c r="N10" s="2">
        <f>$C$3-$C$9/2</f>
        <v>5856.55</v>
      </c>
      <c r="P10" s="9" t="s">
        <v>64</v>
      </c>
      <c r="Q10" s="10">
        <f>C62-(N19+N20)/2-C6/2+N153</f>
        <v>30.248552825517436</v>
      </c>
      <c r="R10" s="10">
        <f t="shared" si="1"/>
        <v>-519.77044717448257</v>
      </c>
    </row>
    <row r="11" spans="1:18" x14ac:dyDescent="0.4">
      <c r="B11" s="21"/>
      <c r="C11" s="22"/>
      <c r="F11" s="9" t="s">
        <v>119</v>
      </c>
      <c r="G11" s="13" t="s">
        <v>126</v>
      </c>
      <c r="H11" s="30">
        <f>$C$63+C10/2</f>
        <v>-663.6</v>
      </c>
      <c r="K11" s="3">
        <f t="shared" si="0"/>
        <v>11</v>
      </c>
      <c r="L11" s="45" t="s">
        <v>165</v>
      </c>
      <c r="M11" s="54" t="s">
        <v>18</v>
      </c>
      <c r="N11" s="2">
        <f>$C$3+$C$9/2</f>
        <v>6009.3499999999995</v>
      </c>
      <c r="P11" s="9" t="s">
        <v>20</v>
      </c>
      <c r="Q11" s="10">
        <f>C62-N18-C6/2+N153</f>
        <v>30.246301152824344</v>
      </c>
      <c r="R11" s="10">
        <f t="shared" si="1"/>
        <v>-519.77269884717566</v>
      </c>
    </row>
    <row r="12" spans="1:18" x14ac:dyDescent="0.4">
      <c r="B12" s="25" t="s">
        <v>112</v>
      </c>
      <c r="C12" s="28"/>
      <c r="F12" s="9" t="s">
        <v>120</v>
      </c>
      <c r="G12" s="13" t="s">
        <v>127</v>
      </c>
      <c r="H12" s="30">
        <f>$N$21-$N$13*$N$6</f>
        <v>-30.248552825517436</v>
      </c>
      <c r="I12" s="30">
        <f>$C$64+H12</f>
        <v>-580.26755282551744</v>
      </c>
      <c r="K12" s="3">
        <f t="shared" si="0"/>
        <v>12</v>
      </c>
      <c r="L12" s="45" t="s">
        <v>166</v>
      </c>
      <c r="M12" s="54" t="s">
        <v>382</v>
      </c>
      <c r="N12" s="2">
        <f>($C$5-$C$4)/2</f>
        <v>0</v>
      </c>
      <c r="P12" s="9" t="s">
        <v>72</v>
      </c>
      <c r="Q12" s="10" t="e">
        <f>C62-(N19+N20)/2-C6/2+N153-#REF!/2-C35+C36/2</f>
        <v>#REF!</v>
      </c>
      <c r="R12" s="10" t="e">
        <f t="shared" si="1"/>
        <v>#REF!</v>
      </c>
    </row>
    <row r="13" spans="1:18" x14ac:dyDescent="0.4">
      <c r="B13" s="14" t="s">
        <v>42</v>
      </c>
      <c r="C13" s="15">
        <v>147.80000000000001</v>
      </c>
      <c r="F13" s="9" t="s">
        <v>122</v>
      </c>
      <c r="G13" s="13" t="s">
        <v>127</v>
      </c>
      <c r="H13" s="30">
        <f>$N$13*$N$6-$N$22</f>
        <v>30.248552825517436</v>
      </c>
      <c r="I13" s="30">
        <f>$C$64+H13</f>
        <v>-519.77044717448257</v>
      </c>
      <c r="K13" s="3">
        <f t="shared" si="0"/>
        <v>13</v>
      </c>
      <c r="L13" s="45" t="s">
        <v>79</v>
      </c>
      <c r="M13" s="54" t="s">
        <v>95</v>
      </c>
      <c r="N13" s="2">
        <f>$C$62+$N$7</f>
        <v>5949.6969262108623</v>
      </c>
      <c r="P13" s="9" t="s">
        <v>67</v>
      </c>
      <c r="Q13" s="10" t="e">
        <f>-Q12+C44</f>
        <v>#REF!</v>
      </c>
      <c r="R13" s="10" t="e">
        <f t="shared" si="1"/>
        <v>#REF!</v>
      </c>
    </row>
    <row r="14" spans="1:18" x14ac:dyDescent="0.4">
      <c r="B14" s="14" t="s">
        <v>202</v>
      </c>
      <c r="C14" s="15"/>
      <c r="F14" s="9" t="s">
        <v>121</v>
      </c>
      <c r="G14" s="13" t="s">
        <v>127</v>
      </c>
      <c r="H14" s="30">
        <f>$N$15-$N$13*$N$6</f>
        <v>-30.246301152824344</v>
      </c>
      <c r="I14" s="30">
        <f>$C$64+H14</f>
        <v>-580.26530115282435</v>
      </c>
      <c r="K14" s="3">
        <f t="shared" si="0"/>
        <v>14</v>
      </c>
      <c r="L14" s="45" t="s">
        <v>167</v>
      </c>
      <c r="M14" s="54" t="s">
        <v>84</v>
      </c>
      <c r="N14" s="2">
        <f>$N$12/$N$13</f>
        <v>0</v>
      </c>
      <c r="P14" s="9" t="s">
        <v>68</v>
      </c>
      <c r="Q14" s="10" t="e">
        <f>-C62+(N16+N17)/2+C6/2-N153+#REF!/2+C39-C40/2</f>
        <v>#REF!</v>
      </c>
      <c r="R14" s="10" t="e">
        <f t="shared" si="1"/>
        <v>#REF!</v>
      </c>
    </row>
    <row r="15" spans="1:18" x14ac:dyDescent="0.4">
      <c r="B15" s="14" t="s">
        <v>39</v>
      </c>
      <c r="C15" s="15">
        <v>24.05</v>
      </c>
      <c r="D15" s="16"/>
      <c r="F15" s="9" t="s">
        <v>123</v>
      </c>
      <c r="G15" s="13" t="s">
        <v>127</v>
      </c>
      <c r="H15" s="30">
        <f>$N$13*$N$6-$N$18</f>
        <v>30.246301152824344</v>
      </c>
      <c r="I15" s="30">
        <f>$C$64+H15</f>
        <v>-519.77269884717566</v>
      </c>
      <c r="K15" s="3">
        <f t="shared" si="0"/>
        <v>15</v>
      </c>
      <c r="L15" s="45" t="s">
        <v>168</v>
      </c>
      <c r="M15" s="54" t="s">
        <v>33</v>
      </c>
      <c r="N15" s="2">
        <f>SQRT($C$3^2-$C$4^2)</f>
        <v>5919.450625058038</v>
      </c>
      <c r="P15" s="10" t="s">
        <v>49</v>
      </c>
      <c r="Q15" s="10">
        <f>N25-N15</f>
        <v>1.8616595521061754</v>
      </c>
    </row>
    <row r="16" spans="1:18" x14ac:dyDescent="0.4">
      <c r="B16" s="14" t="s">
        <v>40</v>
      </c>
      <c r="C16" s="15">
        <v>9.0500000000000007</v>
      </c>
      <c r="D16" s="16"/>
      <c r="H16" s="5"/>
      <c r="I16" s="5"/>
      <c r="K16" s="3">
        <f t="shared" si="0"/>
        <v>16</v>
      </c>
      <c r="L16" s="45" t="s">
        <v>169</v>
      </c>
      <c r="M16" s="54" t="s">
        <v>34</v>
      </c>
      <c r="N16" s="2">
        <f>SQRT($N$11^2-$C$4^2)</f>
        <v>5996.0226335880343</v>
      </c>
      <c r="P16" s="10" t="s">
        <v>50</v>
      </c>
      <c r="Q16" s="18">
        <f>C15+C16/2</f>
        <v>28.575000000000003</v>
      </c>
    </row>
    <row r="17" spans="1:18" x14ac:dyDescent="0.4">
      <c r="B17" s="14" t="s">
        <v>41</v>
      </c>
      <c r="C17" s="15"/>
      <c r="F17" s="25" t="s">
        <v>114</v>
      </c>
      <c r="G17" s="27"/>
      <c r="H17" s="28"/>
      <c r="I17" s="5"/>
      <c r="K17" s="3">
        <f t="shared" si="0"/>
        <v>17</v>
      </c>
      <c r="L17" s="45" t="s">
        <v>170</v>
      </c>
      <c r="M17" s="54" t="s">
        <v>35</v>
      </c>
      <c r="N17" s="2">
        <f>SQRT($N$10^2-$C$4^2)</f>
        <v>5842.8741131826555</v>
      </c>
      <c r="P17" s="10" t="s">
        <v>52</v>
      </c>
      <c r="Q17" s="10">
        <f>N25-C62+C6/2-N153</f>
        <v>-28.384641600718169</v>
      </c>
      <c r="R17" s="10">
        <f>$C$64+Q17</f>
        <v>-578.40364160071817</v>
      </c>
    </row>
    <row r="18" spans="1:18" x14ac:dyDescent="0.4">
      <c r="B18" s="21"/>
      <c r="C18" s="22"/>
      <c r="D18" s="2"/>
      <c r="F18" s="9" t="s">
        <v>144</v>
      </c>
      <c r="G18" s="13" t="s">
        <v>127</v>
      </c>
      <c r="H18" s="30" t="e" cm="1">
        <f t="array" aca="1" ref="H18" ca="1">INDEX(INDIRECT($H$52&amp;"!B:B"), MATCH(LOOKUP(2,1/(INDIRECT($H$52&amp;"!A:A")&lt;&gt;""), INDIRECT($H$52&amp;"!A:A")), INDIRECT($H$52&amp;"!A:A"), 0))</f>
        <v>#VALUE!</v>
      </c>
      <c r="I18" s="51"/>
      <c r="K18" s="3">
        <f t="shared" si="0"/>
        <v>18</v>
      </c>
      <c r="L18" s="45" t="s">
        <v>171</v>
      </c>
      <c r="M18" s="54" t="s">
        <v>36</v>
      </c>
      <c r="N18" s="2">
        <f>SQRT($C$3^2-$C$5^2)</f>
        <v>5919.450625058038</v>
      </c>
      <c r="P18" s="10" t="s">
        <v>47</v>
      </c>
      <c r="Q18" s="10" t="e">
        <f>-Q12+C44</f>
        <v>#REF!</v>
      </c>
      <c r="R18" s="10" t="e">
        <f>$C$64+Q18</f>
        <v>#REF!</v>
      </c>
    </row>
    <row r="19" spans="1:18" x14ac:dyDescent="0.4">
      <c r="B19" s="25" t="s">
        <v>113</v>
      </c>
      <c r="C19" s="28"/>
      <c r="D19" s="2"/>
      <c r="F19" s="9" t="s">
        <v>96</v>
      </c>
      <c r="G19" s="13" t="s">
        <v>127</v>
      </c>
      <c r="H19" s="30">
        <f>-$C$36/2+$C$35-$C$31</f>
        <v>-0.08</v>
      </c>
      <c r="I19" s="52"/>
      <c r="K19" s="3">
        <f t="shared" si="0"/>
        <v>19</v>
      </c>
      <c r="L19" s="45" t="s">
        <v>172</v>
      </c>
      <c r="M19" s="54" t="s">
        <v>37</v>
      </c>
      <c r="N19" s="2">
        <f>SQRT($N$11^2-$C$5^2)</f>
        <v>5996.0226335880343</v>
      </c>
      <c r="P19" s="10" t="s">
        <v>46</v>
      </c>
      <c r="Q19" s="10">
        <f>N26-C17-C13/2+N155-N13</f>
        <v>-25.736400000287176</v>
      </c>
      <c r="R19" s="10">
        <f>$C$64+Q19</f>
        <v>-575.75540000028718</v>
      </c>
    </row>
    <row r="20" spans="1:18" x14ac:dyDescent="0.4">
      <c r="A20" s="3" t="s">
        <v>143</v>
      </c>
      <c r="B20" s="14" t="s">
        <v>53</v>
      </c>
      <c r="C20" s="15">
        <v>133</v>
      </c>
      <c r="D20" s="2"/>
      <c r="F20" s="9" t="s">
        <v>105</v>
      </c>
      <c r="G20" s="13" t="s">
        <v>127</v>
      </c>
      <c r="H20" s="30" t="e">
        <f ca="1">$H$13-$H$18/2-$C$35+$C$40/2</f>
        <v>#VALUE!</v>
      </c>
      <c r="I20" s="30" t="e">
        <f ca="1">$C$64+H20</f>
        <v>#VALUE!</v>
      </c>
      <c r="K20" s="3">
        <f t="shared" si="0"/>
        <v>20</v>
      </c>
      <c r="L20" s="45" t="s">
        <v>173</v>
      </c>
      <c r="M20" s="54" t="s">
        <v>38</v>
      </c>
      <c r="N20" s="2">
        <f>SQRT($N$10^2-$C$5^2)</f>
        <v>5842.8741131826555</v>
      </c>
      <c r="P20" s="10" t="s">
        <v>48</v>
      </c>
      <c r="Q20" s="10">
        <f>Q3-Q16</f>
        <v>371.42500000000001</v>
      </c>
      <c r="R20" s="10">
        <f>C65+Q20</f>
        <v>-778.54899999999998</v>
      </c>
    </row>
    <row r="21" spans="1:18" x14ac:dyDescent="0.4">
      <c r="A21" s="3" t="s">
        <v>176</v>
      </c>
      <c r="B21" s="14" t="s">
        <v>54</v>
      </c>
      <c r="C21" s="15">
        <v>20</v>
      </c>
      <c r="D21" s="2"/>
      <c r="F21" s="9" t="s">
        <v>106</v>
      </c>
      <c r="G21" s="13" t="s">
        <v>127</v>
      </c>
      <c r="H21" s="30" t="e">
        <f ca="1">-$H$20+$C$44</f>
        <v>#VALUE!</v>
      </c>
      <c r="I21" s="30" t="e">
        <f ca="1">$C$64+H21</f>
        <v>#VALUE!</v>
      </c>
      <c r="K21" s="3">
        <f t="shared" si="0"/>
        <v>21</v>
      </c>
      <c r="L21" s="45" t="s">
        <v>367</v>
      </c>
      <c r="M21" s="54" t="s">
        <v>91</v>
      </c>
      <c r="N21" s="2">
        <f>($N$16+$N$17)/2</f>
        <v>5919.4483733853449</v>
      </c>
      <c r="P21" s="10" t="s">
        <v>57</v>
      </c>
      <c r="Q21" s="29">
        <f>$C$23/$C$22+1</f>
        <v>11</v>
      </c>
    </row>
    <row r="22" spans="1:18" x14ac:dyDescent="0.4">
      <c r="A22" s="3" t="s">
        <v>177</v>
      </c>
      <c r="B22" s="14" t="s">
        <v>55</v>
      </c>
      <c r="C22" s="15">
        <v>11.6</v>
      </c>
      <c r="E22" s="3" t="s">
        <v>201</v>
      </c>
      <c r="F22" s="9" t="s">
        <v>142</v>
      </c>
      <c r="G22" s="13" t="s">
        <v>127</v>
      </c>
      <c r="H22" s="30" t="e">
        <f ca="1">INDEX(INDIRECT($H$52&amp;"!B:B"), MATCH(0, INDIRECT($H$52&amp;"!A:A"), 0))</f>
        <v>#VALUE!</v>
      </c>
      <c r="I22" s="53"/>
      <c r="K22" s="3">
        <f t="shared" si="0"/>
        <v>22</v>
      </c>
      <c r="L22" s="45" t="s">
        <v>368</v>
      </c>
      <c r="M22" s="54" t="s">
        <v>90</v>
      </c>
      <c r="N22" s="2">
        <f>($N$19+$N$20)/2</f>
        <v>5919.4483733853449</v>
      </c>
      <c r="P22" s="10" t="s">
        <v>58</v>
      </c>
      <c r="Q22" s="29">
        <f>$C$24/$C$22+1</f>
        <v>10</v>
      </c>
    </row>
    <row r="23" spans="1:18" x14ac:dyDescent="0.4">
      <c r="A23" s="3" t="s">
        <v>304</v>
      </c>
      <c r="B23" s="14" t="s">
        <v>390</v>
      </c>
      <c r="C23" s="15">
        <v>116</v>
      </c>
      <c r="F23" s="9" t="s">
        <v>86</v>
      </c>
      <c r="G23" s="13" t="s">
        <v>127</v>
      </c>
      <c r="H23" s="30">
        <f>$C$40/2-$C$39+$C$31</f>
        <v>0.08</v>
      </c>
      <c r="I23" s="52"/>
      <c r="K23" s="3">
        <f t="shared" si="0"/>
        <v>23</v>
      </c>
      <c r="L23" s="45" t="s">
        <v>174</v>
      </c>
      <c r="M23" s="54" t="s">
        <v>89</v>
      </c>
      <c r="N23" s="2">
        <f>$C$15+$C$16/2</f>
        <v>28.575000000000003</v>
      </c>
      <c r="P23" s="10" t="s">
        <v>69</v>
      </c>
      <c r="Q23" s="10" t="e">
        <f ca="1">DEGREES($N$54)</f>
        <v>#VALUE!</v>
      </c>
    </row>
    <row r="24" spans="1:18" x14ac:dyDescent="0.4">
      <c r="A24" s="3" t="s">
        <v>305</v>
      </c>
      <c r="B24" s="14" t="s">
        <v>391</v>
      </c>
      <c r="C24" s="15">
        <v>104.4</v>
      </c>
      <c r="F24" s="9" t="s">
        <v>107</v>
      </c>
      <c r="G24" s="13" t="s">
        <v>127</v>
      </c>
      <c r="H24" s="30" t="e">
        <f ca="1">-$N$13*$N$6+$N$21+$H$22/2+$C$39-$C$40/2</f>
        <v>#VALUE!</v>
      </c>
      <c r="I24" s="30" t="e">
        <f ca="1">$C$64+H24</f>
        <v>#VALUE!</v>
      </c>
      <c r="K24" s="3">
        <f t="shared" si="0"/>
        <v>24</v>
      </c>
      <c r="L24" s="45" t="s">
        <v>175</v>
      </c>
      <c r="M24" s="54" t="s">
        <v>44</v>
      </c>
      <c r="N24" s="2">
        <f>C4-Q16</f>
        <v>371.42500000000001</v>
      </c>
      <c r="P24" s="10" t="s">
        <v>70</v>
      </c>
      <c r="Q24" s="10" t="e">
        <f ca="1">Q9*$N$95+Q2*$N$62</f>
        <v>#VALUE!</v>
      </c>
    </row>
    <row r="25" spans="1:18" x14ac:dyDescent="0.4">
      <c r="A25" s="3" t="s">
        <v>147</v>
      </c>
      <c r="B25" s="14" t="s">
        <v>56</v>
      </c>
      <c r="C25" s="31">
        <v>5</v>
      </c>
      <c r="F25" s="9" t="s">
        <v>108</v>
      </c>
      <c r="G25" s="13" t="s">
        <v>124</v>
      </c>
      <c r="H25" s="30">
        <f>$H$3-$C$41</f>
        <v>400</v>
      </c>
      <c r="I25" s="30">
        <f>$C$65+H25</f>
        <v>-749.97399999999993</v>
      </c>
      <c r="K25" s="3">
        <f t="shared" si="0"/>
        <v>25</v>
      </c>
      <c r="L25" s="45" t="s">
        <v>369</v>
      </c>
      <c r="M25" s="54" t="s">
        <v>45</v>
      </c>
      <c r="N25" s="2">
        <f>SQRT($C$3^2-$N$24^2)</f>
        <v>5921.3122846101442</v>
      </c>
      <c r="P25" s="10" t="s">
        <v>71</v>
      </c>
      <c r="Q25" s="10" t="e">
        <f ca="1">-Q$9*$N$62+Q$2*$N$95</f>
        <v>#VALUE!</v>
      </c>
    </row>
    <row r="26" spans="1:18" x14ac:dyDescent="0.4">
      <c r="B26" s="14" t="s">
        <v>396</v>
      </c>
      <c r="C26" s="19">
        <v>30</v>
      </c>
      <c r="F26" s="9" t="s">
        <v>109</v>
      </c>
      <c r="G26" s="13" t="s">
        <v>124</v>
      </c>
      <c r="H26" s="30">
        <f>$H$4-$C$38</f>
        <v>400</v>
      </c>
      <c r="I26" s="30">
        <f>$C$65+H26</f>
        <v>-749.97399999999993</v>
      </c>
      <c r="K26" s="3">
        <f t="shared" si="0"/>
        <v>26</v>
      </c>
      <c r="L26" s="45" t="s">
        <v>370</v>
      </c>
      <c r="M26" s="54" t="s">
        <v>93</v>
      </c>
      <c r="N26" s="2">
        <f>SQRT($N$11^2-$N$24^2)</f>
        <v>5997.8605262105748</v>
      </c>
    </row>
    <row r="27" spans="1:18" x14ac:dyDescent="0.4">
      <c r="B27" s="14" t="s">
        <v>397</v>
      </c>
      <c r="C27" s="19">
        <v>32</v>
      </c>
      <c r="H27" s="5"/>
      <c r="I27" s="5"/>
      <c r="K27" s="3">
        <f t="shared" si="0"/>
        <v>27</v>
      </c>
      <c r="L27" s="45" t="s">
        <v>371</v>
      </c>
      <c r="M27" s="54" t="s">
        <v>94</v>
      </c>
      <c r="N27" s="2">
        <f>SQRT($N$10^2-$N$24^2)</f>
        <v>5844.76016375993</v>
      </c>
      <c r="P27" s="2"/>
    </row>
    <row r="28" spans="1:18" x14ac:dyDescent="0.4">
      <c r="B28" s="14" t="s">
        <v>219</v>
      </c>
      <c r="C28" s="19">
        <v>3</v>
      </c>
      <c r="F28" s="25" t="s">
        <v>112</v>
      </c>
      <c r="G28" s="27"/>
      <c r="H28" s="28"/>
      <c r="I28" s="28"/>
      <c r="K28" s="3">
        <f t="shared" si="0"/>
        <v>28</v>
      </c>
      <c r="L28" s="45" t="s">
        <v>409</v>
      </c>
      <c r="M28" s="54" t="s">
        <v>386</v>
      </c>
      <c r="N28" s="2">
        <f>$C$5-$C$49</f>
        <v>400</v>
      </c>
      <c r="P28" s="2"/>
    </row>
    <row r="29" spans="1:18" x14ac:dyDescent="0.4">
      <c r="B29" s="21"/>
      <c r="C29" s="22"/>
      <c r="F29" s="9" t="s">
        <v>39</v>
      </c>
      <c r="G29" s="13" t="s">
        <v>124</v>
      </c>
      <c r="H29" s="30">
        <f>$H$3-$C$15</f>
        <v>375.95</v>
      </c>
      <c r="I29" s="30">
        <f>$C$65+H29</f>
        <v>-774.02399999999989</v>
      </c>
      <c r="K29" s="3">
        <f t="shared" si="0"/>
        <v>29</v>
      </c>
      <c r="L29" s="45" t="s">
        <v>410</v>
      </c>
      <c r="M29" s="54" t="s">
        <v>387</v>
      </c>
      <c r="N29" s="2">
        <f>SQRT($C$3^2-$N$28^2)</f>
        <v>5919.450625058038</v>
      </c>
    </row>
    <row r="30" spans="1:18" x14ac:dyDescent="0.4">
      <c r="B30" s="25" t="s">
        <v>220</v>
      </c>
      <c r="C30" s="28"/>
      <c r="F30" s="9" t="s">
        <v>100</v>
      </c>
      <c r="G30" s="13" t="s">
        <v>124</v>
      </c>
      <c r="H30" s="30">
        <f>$H$29-$C$16</f>
        <v>366.9</v>
      </c>
      <c r="I30" s="30">
        <f>$C$65+H30</f>
        <v>-783.07399999999996</v>
      </c>
      <c r="K30" s="3">
        <f t="shared" si="0"/>
        <v>30</v>
      </c>
      <c r="L30" s="45" t="s">
        <v>178</v>
      </c>
      <c r="M30" s="54" t="str">
        <f>IF($C$25&gt;=3, "振分中心-内面溝1列目間距離", "-")</f>
        <v>振分中心-内面溝1列目間距離</v>
      </c>
      <c r="N30" s="44">
        <f>$C$4-$C$20</f>
        <v>267</v>
      </c>
    </row>
    <row r="31" spans="1:18" x14ac:dyDescent="0.4">
      <c r="A31" s="3" t="s">
        <v>221</v>
      </c>
      <c r="B31" s="14" t="s">
        <v>21</v>
      </c>
      <c r="C31" s="15">
        <v>0.08</v>
      </c>
      <c r="F31" s="9" t="s">
        <v>87</v>
      </c>
      <c r="G31" s="13" t="s">
        <v>124</v>
      </c>
      <c r="H31" s="30">
        <f>$H$3-$N$23</f>
        <v>371.42500000000001</v>
      </c>
      <c r="I31" s="30">
        <f>$C$65+H31</f>
        <v>-778.54899999999998</v>
      </c>
      <c r="K31" s="3">
        <f t="shared" si="0"/>
        <v>31</v>
      </c>
      <c r="L31" s="45" t="s">
        <v>233</v>
      </c>
      <c r="M31" s="54" t="str">
        <f>IF($C$25&gt;=4, "振分中心-内面溝2列目間距離", "-")</f>
        <v>振分中心-内面溝2列目間距離</v>
      </c>
      <c r="N31" s="44">
        <f>IF($C$25&gt;=4,$N$30-1*$C$21, "-")</f>
        <v>247</v>
      </c>
    </row>
    <row r="32" spans="1:18" x14ac:dyDescent="0.4">
      <c r="B32" s="14" t="s">
        <v>222</v>
      </c>
      <c r="C32" s="39"/>
      <c r="F32" s="10" t="s">
        <v>88</v>
      </c>
      <c r="G32" s="30" t="s">
        <v>127</v>
      </c>
      <c r="H32" s="30">
        <f>$N$25-$N$15</f>
        <v>1.8616595521061754</v>
      </c>
      <c r="K32" s="3">
        <f t="shared" si="0"/>
        <v>32</v>
      </c>
      <c r="L32" s="45" t="s">
        <v>234</v>
      </c>
      <c r="M32" s="54" t="str">
        <f>IF($C$25&gt;=5, "振分中心-内面溝3列目間距離", "-")</f>
        <v>振分中心-内面溝3列目間距離</v>
      </c>
      <c r="N32" s="44">
        <f>IF($C$25&gt;=5,$N$30-2*$C$21, "-")</f>
        <v>227</v>
      </c>
    </row>
    <row r="33" spans="2:16" x14ac:dyDescent="0.4">
      <c r="F33" s="10" t="s">
        <v>52</v>
      </c>
      <c r="G33" s="30" t="s">
        <v>127</v>
      </c>
      <c r="H33" s="30">
        <f>$N$25-$N$13*$N$6</f>
        <v>-28.384641600718169</v>
      </c>
      <c r="I33" s="30">
        <f>$C$64+H33</f>
        <v>-578.40364160071817</v>
      </c>
      <c r="K33" s="3">
        <f t="shared" si="0"/>
        <v>33</v>
      </c>
      <c r="L33" s="45" t="s">
        <v>235</v>
      </c>
      <c r="M33" s="54" t="str">
        <f>IF($C$25&gt;=6, "振分中心-内面溝4列目間距離", "-")</f>
        <v>-</v>
      </c>
      <c r="N33" s="44" t="str">
        <f>IF($C$25&gt;=6,$N$30-3*$C$21, "-")</f>
        <v>-</v>
      </c>
    </row>
    <row r="34" spans="2:16" x14ac:dyDescent="0.4">
      <c r="B34" s="4" t="s">
        <v>114</v>
      </c>
      <c r="C34" s="61">
        <v>0</v>
      </c>
      <c r="F34" s="10" t="s">
        <v>47</v>
      </c>
      <c r="G34" s="30" t="s">
        <v>127</v>
      </c>
      <c r="H34" s="30" t="e">
        <f ca="1">$H$21</f>
        <v>#VALUE!</v>
      </c>
      <c r="I34" s="30" t="e">
        <f ca="1">$C$64+H34</f>
        <v>#VALUE!</v>
      </c>
      <c r="K34" s="3">
        <f t="shared" si="0"/>
        <v>34</v>
      </c>
      <c r="L34" s="45" t="s">
        <v>237</v>
      </c>
      <c r="M34" s="54" t="str">
        <f>IF($C$25&gt;=7, "振分中心-内面溝5列目間距離", "-")</f>
        <v>-</v>
      </c>
      <c r="N34" s="44" t="str">
        <f>IF($C$25&gt;=7,$N$30-4*$C$21, "-")</f>
        <v>-</v>
      </c>
    </row>
    <row r="35" spans="2:16" x14ac:dyDescent="0.4">
      <c r="B35" s="14" t="s">
        <v>22</v>
      </c>
      <c r="C35" s="33"/>
      <c r="F35" s="10" t="s">
        <v>130</v>
      </c>
      <c r="G35" s="30" t="s">
        <v>127</v>
      </c>
      <c r="H35" s="30">
        <f>$N$26-$C$17-$C$13/2-$N$13</f>
        <v>-25.736400000287176</v>
      </c>
      <c r="I35" s="30">
        <f>$C$64+H35</f>
        <v>-575.75540000028718</v>
      </c>
      <c r="K35" s="3">
        <f t="shared" si="0"/>
        <v>35</v>
      </c>
      <c r="L35" s="45" t="s">
        <v>236</v>
      </c>
      <c r="M35" s="54" t="str">
        <f>IF($C$25&gt;=8, "振分中心-内面溝6列目間距離", "-")</f>
        <v>-</v>
      </c>
      <c r="N35" s="44" t="str">
        <f>IF($C$25&gt;=8,$N$30-5*$C$21, "-")</f>
        <v>-</v>
      </c>
    </row>
    <row r="36" spans="2:16" x14ac:dyDescent="0.4">
      <c r="B36" s="14" t="s">
        <v>203</v>
      </c>
      <c r="C36" s="33"/>
      <c r="F36" s="10" t="s">
        <v>131</v>
      </c>
      <c r="G36" s="30" t="s">
        <v>127</v>
      </c>
      <c r="H36" s="30">
        <f>$C$17+$C$13/2</f>
        <v>73.900000000000006</v>
      </c>
      <c r="K36" s="3">
        <f t="shared" si="0"/>
        <v>36</v>
      </c>
      <c r="L36" s="45" t="s">
        <v>182</v>
      </c>
      <c r="M36" s="54" t="s">
        <v>155</v>
      </c>
      <c r="N36" s="44">
        <f>$N$30-($C$25-2)*$C$21</f>
        <v>207</v>
      </c>
    </row>
    <row r="37" spans="2:16" x14ac:dyDescent="0.4">
      <c r="B37" s="14" t="s">
        <v>204</v>
      </c>
      <c r="C37" s="33"/>
      <c r="F37" s="10" t="s">
        <v>92</v>
      </c>
      <c r="G37" s="30" t="s">
        <v>127</v>
      </c>
      <c r="H37" s="30" t="e">
        <f ca="1">$H$24</f>
        <v>#VALUE!</v>
      </c>
      <c r="I37" s="30" t="e">
        <f ca="1">$C$64+H37</f>
        <v>#VALUE!</v>
      </c>
      <c r="K37" s="3">
        <f t="shared" si="0"/>
        <v>37</v>
      </c>
      <c r="L37" s="45" t="s">
        <v>181</v>
      </c>
      <c r="M37" s="54" t="s">
        <v>154</v>
      </c>
      <c r="N37" s="44">
        <f>$N$30-($C$25-1)*$C$21</f>
        <v>187</v>
      </c>
    </row>
    <row r="38" spans="2:16" x14ac:dyDescent="0.4">
      <c r="B38" s="14" t="s">
        <v>98</v>
      </c>
      <c r="C38" s="33"/>
      <c r="F38" s="2"/>
      <c r="G38" s="5"/>
      <c r="H38" s="5"/>
      <c r="I38" s="5"/>
      <c r="K38" s="3">
        <f t="shared" si="0"/>
        <v>38</v>
      </c>
      <c r="L38" s="45" t="s">
        <v>179</v>
      </c>
      <c r="M38" s="54" t="str">
        <f>IF($C$25&gt;=3,"λj ≦ q &lt; λj+1 の λj", "-")</f>
        <v>λj ≦ q &lt; λj+1 の λj</v>
      </c>
      <c r="N38" s="44" t="e">
        <f ca="1">IF($C$25&gt;=3,LOOKUP($C$20,INDIRECT($H$52&amp;"!$A:$A")),"-")</f>
        <v>#VALUE!</v>
      </c>
    </row>
    <row r="39" spans="2:16" x14ac:dyDescent="0.4">
      <c r="B39" s="14" t="s">
        <v>26</v>
      </c>
      <c r="C39" s="33"/>
      <c r="F39" s="32" t="s">
        <v>128</v>
      </c>
      <c r="G39" s="5"/>
      <c r="H39" s="5"/>
      <c r="I39" s="5"/>
      <c r="K39" s="3">
        <f t="shared" si="0"/>
        <v>39</v>
      </c>
      <c r="L39" s="45" t="s">
        <v>238</v>
      </c>
      <c r="M39" s="54" t="str">
        <f>IF($C$25&gt;=4,"λj ≦ q+pz &lt; λj+1 の λj", "-")</f>
        <v>λj ≦ q+pz &lt; λj+1 の λj</v>
      </c>
      <c r="N39" s="44" t="e">
        <f ca="1">IF($C$25&gt;=4,LOOKUP($C$20+$C$21, INDIRECT($H$52&amp;"!$A:$A")),"-")</f>
        <v>#VALUE!</v>
      </c>
    </row>
    <row r="40" spans="2:16" x14ac:dyDescent="0.4">
      <c r="B40" s="14" t="s">
        <v>383</v>
      </c>
      <c r="C40" s="33"/>
      <c r="F40" s="10" t="s">
        <v>102</v>
      </c>
      <c r="G40" s="30" t="s">
        <v>124</v>
      </c>
      <c r="H40" s="30">
        <f>$H$3-$C$53</f>
        <v>399</v>
      </c>
      <c r="I40" s="30">
        <f>$C$65+H40</f>
        <v>-750.97399999999993</v>
      </c>
      <c r="K40" s="3">
        <f t="shared" si="0"/>
        <v>40</v>
      </c>
      <c r="L40" s="45" t="s">
        <v>240</v>
      </c>
      <c r="M40" s="54" t="str">
        <f>IF($C$25&gt;=5,"λj ≦ q+2pz &lt; λj+1 の λj", "-")</f>
        <v>λj ≦ q+2pz &lt; λj+1 の λj</v>
      </c>
      <c r="N40" s="44" t="e">
        <f ca="1">IF($C$25&gt;=5,LOOKUP($C$20+2*$C$21, INDIRECT($H$52&amp;"!$A:$A")),"-")</f>
        <v>#VALUE!</v>
      </c>
      <c r="P40" s="2"/>
    </row>
    <row r="41" spans="2:16" x14ac:dyDescent="0.4">
      <c r="B41" s="14" t="s">
        <v>97</v>
      </c>
      <c r="C41" s="33"/>
      <c r="F41" s="10" t="s">
        <v>101</v>
      </c>
      <c r="G41" s="30" t="s">
        <v>124</v>
      </c>
      <c r="H41" s="30">
        <f>$H$3-$C$55</f>
        <v>399</v>
      </c>
      <c r="I41" s="30">
        <f>$C$65+H41</f>
        <v>-750.97399999999993</v>
      </c>
      <c r="K41" s="3">
        <f t="shared" si="0"/>
        <v>41</v>
      </c>
      <c r="L41" s="45" t="s">
        <v>242</v>
      </c>
      <c r="M41" s="54" t="str">
        <f>IF($C$25&gt;=6,"λj ≦ q+3pz &lt; λj+1 の λj", "-")</f>
        <v>-</v>
      </c>
      <c r="N41" s="44" t="str">
        <f ca="1">IF($C$25&gt;=6,LOOKUP($C$20+3*$C$21, INDIRECT($H$52&amp;"!$A:$A")),"-")</f>
        <v>-</v>
      </c>
    </row>
    <row r="42" spans="2:16" x14ac:dyDescent="0.4">
      <c r="F42" s="10" t="s">
        <v>103</v>
      </c>
      <c r="G42" s="30" t="s">
        <v>124</v>
      </c>
      <c r="H42" s="30">
        <f>$H$4-$C$47</f>
        <v>400</v>
      </c>
      <c r="I42" s="30">
        <f>$C$65+H42</f>
        <v>-749.97399999999993</v>
      </c>
      <c r="K42" s="3">
        <f t="shared" si="0"/>
        <v>42</v>
      </c>
      <c r="L42" s="45" t="s">
        <v>243</v>
      </c>
      <c r="M42" s="54" t="str">
        <f>IF($C$25&gt;=7,"λj ≦ q+4pz &lt; λj+1 の λj", "-")</f>
        <v>-</v>
      </c>
      <c r="N42" s="44" t="str">
        <f ca="1">IF($C$25&gt;=7,LOOKUP($C$20+4*$C$21, INDIRECT($H$52&amp;"!$A:$A")),"-")</f>
        <v>-</v>
      </c>
    </row>
    <row r="43" spans="2:16" x14ac:dyDescent="0.4">
      <c r="B43" s="4" t="s">
        <v>115</v>
      </c>
      <c r="C43" s="61">
        <v>0</v>
      </c>
      <c r="F43" s="10" t="s">
        <v>104</v>
      </c>
      <c r="G43" s="30" t="s">
        <v>124</v>
      </c>
      <c r="H43" s="30">
        <f>$H$4-$C$49</f>
        <v>400</v>
      </c>
      <c r="I43" s="30">
        <f>$C$65+H43</f>
        <v>-749.97399999999993</v>
      </c>
      <c r="K43" s="3">
        <f t="shared" si="0"/>
        <v>43</v>
      </c>
      <c r="L43" s="45" t="s">
        <v>244</v>
      </c>
      <c r="M43" s="54" t="str">
        <f>IF($C$25&gt;=8,"λj ≦ q+5pz &lt; λj+1 の λj", "-")</f>
        <v>-</v>
      </c>
      <c r="N43" s="44" t="str">
        <f ca="1">IF($C$25&gt;=8,LOOKUP($C$20+5*$C$21, INDIRECT($H$52&amp;"!$A:$A")),"-")</f>
        <v>-</v>
      </c>
    </row>
    <row r="44" spans="2:16" x14ac:dyDescent="0.4">
      <c r="B44" s="14" t="s">
        <v>23</v>
      </c>
      <c r="C44" s="33"/>
      <c r="F44" s="10" t="s">
        <v>372</v>
      </c>
      <c r="G44" s="30" t="s">
        <v>127</v>
      </c>
      <c r="H44" s="30"/>
      <c r="I44" s="53"/>
      <c r="K44" s="3">
        <f t="shared" si="0"/>
        <v>44</v>
      </c>
      <c r="L44" s="45" t="s">
        <v>246</v>
      </c>
      <c r="M44" s="54" t="s">
        <v>248</v>
      </c>
      <c r="N44" s="2" t="e">
        <f ca="1">LOOKUP($C$20+($C$25-2)*$C$21, INDIRECT($H$52&amp;"!$A:$A"))</f>
        <v>#VALUE!</v>
      </c>
    </row>
    <row r="45" spans="2:16" x14ac:dyDescent="0.4">
      <c r="F45" s="10" t="s">
        <v>110</v>
      </c>
      <c r="G45" s="30" t="s">
        <v>127</v>
      </c>
      <c r="H45" s="30">
        <f>$N$29-$N$18</f>
        <v>0</v>
      </c>
      <c r="I45" s="51"/>
      <c r="K45" s="3">
        <f t="shared" si="0"/>
        <v>45</v>
      </c>
      <c r="L45" s="45" t="s">
        <v>245</v>
      </c>
      <c r="M45" s="54" t="s">
        <v>247</v>
      </c>
      <c r="N45" s="2" t="e">
        <f ca="1">LOOKUP($C$20+($C$25-1)*$C$21, INDIRECT($H$52&amp;"!$A:$A"))</f>
        <v>#VALUE!</v>
      </c>
    </row>
    <row r="46" spans="2:16" x14ac:dyDescent="0.4">
      <c r="B46" s="4" t="s">
        <v>384</v>
      </c>
      <c r="C46" s="61">
        <v>0</v>
      </c>
      <c r="F46" s="24"/>
      <c r="G46" s="22"/>
      <c r="H46" s="22"/>
      <c r="I46" s="5"/>
      <c r="K46" s="3">
        <f t="shared" si="0"/>
        <v>46</v>
      </c>
      <c r="L46" s="45" t="s">
        <v>180</v>
      </c>
      <c r="M46" s="54" t="str">
        <f>IF($C$25&gt;=3,"λj ≦ q &lt; λj+1 の λj+1", "-")</f>
        <v>λj ≦ q &lt; λj+1 の λj+1</v>
      </c>
      <c r="N46" s="2" t="e" cm="1">
        <f t="array" aca="1" ref="N46" ca="1">IF($C$25&gt;=3, INDEX(INDIRECT($H$52&amp;"!$A:$A"), MATCH($N38, INDIRECT($H$52&amp;"!$A:$A"), 0) +1),"-")</f>
        <v>#VALUE!</v>
      </c>
    </row>
    <row r="47" spans="2:16" x14ac:dyDescent="0.4">
      <c r="B47" s="14" t="s">
        <v>134</v>
      </c>
      <c r="C47" s="15"/>
      <c r="F47" s="34" t="s">
        <v>113</v>
      </c>
      <c r="G47" s="28"/>
      <c r="H47" s="28"/>
      <c r="K47" s="3">
        <f t="shared" si="0"/>
        <v>47</v>
      </c>
      <c r="L47" s="45" t="s">
        <v>239</v>
      </c>
      <c r="M47" s="54" t="str">
        <f>IF($C$25&gt;=4,"λj ≦ q+pz &lt; λj+1 の λj+1", "-")</f>
        <v>λj ≦ q+pz &lt; λj+1 の λj+1</v>
      </c>
      <c r="N47" s="44" t="e" cm="1">
        <f t="array" aca="1" ref="N47" ca="1">IF($C$25&gt;=4, INDEX(INDIRECT($H$52&amp;"!$A:$A"), MATCH($N39, INDIRECT($H$52&amp;"!$A:$A"), 0) +1),"-")</f>
        <v>#VALUE!</v>
      </c>
    </row>
    <row r="48" spans="2:16" x14ac:dyDescent="0.4">
      <c r="B48" s="14" t="s">
        <v>135</v>
      </c>
      <c r="C48" s="15"/>
      <c r="E48" s="3" t="s">
        <v>255</v>
      </c>
      <c r="F48" s="35" t="s">
        <v>57</v>
      </c>
      <c r="G48" s="36" t="s">
        <v>118</v>
      </c>
      <c r="H48" s="48">
        <f>$C$23/$C$22+1</f>
        <v>11</v>
      </c>
      <c r="K48" s="3">
        <f t="shared" si="0"/>
        <v>48</v>
      </c>
      <c r="L48" s="45" t="s">
        <v>241</v>
      </c>
      <c r="M48" s="54" t="str">
        <f>IF($C$25&gt;=5,"λj ≦ q+2pz &lt; λj+1 の λj+1", "-")</f>
        <v>λj ≦ q+2pz &lt; λj+1 の λj+1</v>
      </c>
      <c r="N48" s="44" t="e" cm="1">
        <f t="array" aca="1" ref="N48" ca="1">IF($C$25&gt;=5, INDEX(INDIRECT($H$52&amp;"!$A:$A"), MATCH($N40, INDIRECT($H$52&amp;"!$A:$A"), 0) +1),"-")</f>
        <v>#VALUE!</v>
      </c>
    </row>
    <row r="49" spans="1:14" x14ac:dyDescent="0.4">
      <c r="B49" s="14" t="s">
        <v>136</v>
      </c>
      <c r="C49" s="15"/>
      <c r="E49" s="3" t="s">
        <v>256</v>
      </c>
      <c r="F49" s="10" t="s">
        <v>58</v>
      </c>
      <c r="G49" s="30" t="s">
        <v>118</v>
      </c>
      <c r="H49" s="49">
        <f>$C$24/$C$22+1</f>
        <v>10</v>
      </c>
      <c r="K49" s="3">
        <f t="shared" si="0"/>
        <v>49</v>
      </c>
      <c r="L49" s="45" t="s">
        <v>249</v>
      </c>
      <c r="M49" s="54" t="str">
        <f>IF($C$25&gt;=6,"λj ≦ q+3pz &lt; λj+1 の λj+1", "-")</f>
        <v>-</v>
      </c>
      <c r="N49" s="44" t="str" cm="1">
        <f t="array" aca="1" ref="N49" ca="1">IF($C$25&gt;=6, INDEX(INDIRECT($H$52&amp;"!$A:$A"), MATCH($N41, INDIRECT($H$52&amp;"!$A:$A"), 0) +1),"-")</f>
        <v>-</v>
      </c>
    </row>
    <row r="50" spans="1:14" x14ac:dyDescent="0.4">
      <c r="B50" s="14" t="s">
        <v>137</v>
      </c>
      <c r="C50" s="15"/>
      <c r="F50" s="10" t="s">
        <v>228</v>
      </c>
      <c r="G50" s="30" t="s">
        <v>118</v>
      </c>
      <c r="H50" s="49">
        <f>_xlfn.CEILING.MATH($C$25/2)</f>
        <v>3</v>
      </c>
      <c r="K50" s="3">
        <f t="shared" si="0"/>
        <v>50</v>
      </c>
      <c r="L50" s="45" t="s">
        <v>250</v>
      </c>
      <c r="M50" s="54" t="str">
        <f>IF($C$25&gt;=7,"λj ≦ q+4pz &lt; λj+1 の λj+1", "-")</f>
        <v>-</v>
      </c>
      <c r="N50" s="44" t="str" cm="1">
        <f t="array" aca="1" ref="N50" ca="1">IF($C$25&gt;=7, INDEX(INDIRECT($H$52&amp;"!$A:$A"), MATCH($N42, INDIRECT($H$52&amp;"!$A:$A"), 0) +1),"-")</f>
        <v>-</v>
      </c>
    </row>
    <row r="51" spans="1:14" x14ac:dyDescent="0.4">
      <c r="F51" s="10" t="s">
        <v>229</v>
      </c>
      <c r="G51" s="30" t="s">
        <v>118</v>
      </c>
      <c r="H51" s="49">
        <f>QUOTIENT($C$25,2)</f>
        <v>2</v>
      </c>
      <c r="K51" s="3">
        <f t="shared" si="0"/>
        <v>51</v>
      </c>
      <c r="L51" s="45" t="s">
        <v>251</v>
      </c>
      <c r="M51" s="54" t="str">
        <f>IF($C$25&gt;=8,"λj ≦ q+5pz &lt; λj+1 の λj+1", "-")</f>
        <v>-</v>
      </c>
      <c r="N51" s="44" t="str" cm="1">
        <f t="array" aca="1" ref="N51" ca="1">IF($C$25&gt;=8, INDEX(INDIRECT($H$52&amp;"!$A:$A"), MATCH($N43, INDIRECT($H$52&amp;"!$A:$A"), 0) +1),"-")</f>
        <v>-</v>
      </c>
    </row>
    <row r="52" spans="1:14" x14ac:dyDescent="0.4">
      <c r="B52" s="4" t="s">
        <v>385</v>
      </c>
      <c r="C52" s="61">
        <v>1</v>
      </c>
      <c r="F52" s="10" t="s">
        <v>222</v>
      </c>
      <c r="G52" s="30" t="s">
        <v>118</v>
      </c>
      <c r="H52" s="30" t="e">
        <f>IF(ISNUMBER(VALUE(LEFT($C$32, 1))), TEXT($C$32, "00000"), LEFT($C$32, 1) &amp; TEXT(MID($C$32, 2, LEN($C$32) - 1), "00000"))</f>
        <v>#VALUE!</v>
      </c>
      <c r="K52" s="3">
        <f t="shared" si="0"/>
        <v>52</v>
      </c>
      <c r="L52" s="45" t="s">
        <v>252</v>
      </c>
      <c r="M52" s="54" t="s">
        <v>254</v>
      </c>
      <c r="N52" s="44" t="e" cm="1">
        <f t="array" aca="1" ref="N52" ca="1">INDEX(INDIRECT($H$52&amp;"!$A:$A"), MATCH($N44, INDIRECT($H$52&amp;"!$A:$A"), 0) +1)</f>
        <v>#VALUE!</v>
      </c>
    </row>
    <row r="53" spans="1:14" x14ac:dyDescent="0.4">
      <c r="B53" s="14" t="s">
        <v>138</v>
      </c>
      <c r="C53" s="15">
        <v>1</v>
      </c>
      <c r="F53" s="32" t="s">
        <v>389</v>
      </c>
      <c r="K53" s="3">
        <f t="shared" si="0"/>
        <v>53</v>
      </c>
      <c r="L53" s="45" t="s">
        <v>253</v>
      </c>
      <c r="M53" s="54" t="s">
        <v>148</v>
      </c>
      <c r="N53" s="44" t="e" cm="1">
        <f t="array" aca="1" ref="N53" ca="1">INDEX(INDIRECT($H$52&amp;"!$A:$A"), MATCH($N45, INDIRECT($H$52&amp;"!$A:$A"), 0) +1)</f>
        <v>#VALUE!</v>
      </c>
    </row>
    <row r="54" spans="1:14" x14ac:dyDescent="0.4">
      <c r="B54" s="14" t="s">
        <v>139</v>
      </c>
      <c r="C54" s="15">
        <v>45</v>
      </c>
      <c r="E54" s="3" t="s">
        <v>301</v>
      </c>
      <c r="F54" s="10" t="str">
        <f>IF($C$25&gt;=3,"内面溝1列目-トップ端 湾曲中心間X距離", "-")</f>
        <v>内面溝1列目-トップ端 湾曲中心間X距離</v>
      </c>
      <c r="G54" s="13" t="s">
        <v>127</v>
      </c>
      <c r="H54" s="30">
        <f>IF($C$25&gt;=$C$67-5,$N$70-$N$15, "-")</f>
        <v>7.4884418212559467</v>
      </c>
      <c r="K54" s="3">
        <f t="shared" si="0"/>
        <v>54</v>
      </c>
      <c r="L54" s="45" t="s">
        <v>149</v>
      </c>
      <c r="M54" s="54" t="str">
        <f>IF($C$25&gt;=3,"q-λj","")</f>
        <v>q-λj</v>
      </c>
      <c r="N54" s="44" t="e">
        <f ca="1">IF($C$25&gt;=3,$C$20-$N$38, "-")</f>
        <v>#VALUE!</v>
      </c>
    </row>
    <row r="55" spans="1:14" ht="16.5" x14ac:dyDescent="0.4">
      <c r="B55" s="14" t="s">
        <v>140</v>
      </c>
      <c r="C55" s="15">
        <v>1</v>
      </c>
      <c r="E55" s="3" t="s">
        <v>302</v>
      </c>
      <c r="F55" s="10" t="str">
        <f>IF($C$25&gt;=4,"内面溝2列目-トップ端 湾曲中心間X距離", "-")</f>
        <v>内面溝2列目-トップ端 湾曲中心間X距離</v>
      </c>
      <c r="G55" s="13" t="s">
        <v>127</v>
      </c>
      <c r="H55" s="30">
        <f>IF($C$25&gt;=$C67-4,$N$71-$N$15, "-")</f>
        <v>8.3556051168316117</v>
      </c>
      <c r="K55" s="3">
        <f t="shared" si="0"/>
        <v>55</v>
      </c>
      <c r="L55" s="45" t="s">
        <v>257</v>
      </c>
      <c r="M55" s="54" t="str">
        <f>IF($C$25&gt;=4,"q+pz-λj","")</f>
        <v>q+pz-λj</v>
      </c>
      <c r="N55" s="44" t="e">
        <f ca="1">IF($C$25&gt;=4,$C$20+$C$21-$N$39, "-")</f>
        <v>#VALUE!</v>
      </c>
    </row>
    <row r="56" spans="1:14" x14ac:dyDescent="0.4">
      <c r="B56" s="14" t="s">
        <v>133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127</v>
      </c>
      <c r="H56" s="30">
        <f>IF($C$25&gt;=$C$67-3,$N$72-$N$15, "-")</f>
        <v>9.155172471428159</v>
      </c>
      <c r="K56" s="3">
        <f t="shared" si="0"/>
        <v>56</v>
      </c>
      <c r="L56" s="45" t="s">
        <v>258</v>
      </c>
      <c r="M56" s="54" t="str">
        <f>IF($C$25&gt;=5,"q+2pz-λj","")</f>
        <v>q+2pz-λj</v>
      </c>
      <c r="N56" s="44" t="e">
        <f ca="1">IF($C$25&gt;=5,$C$20+2*$C$21-$N$40, "-")</f>
        <v>#VALUE!</v>
      </c>
    </row>
    <row r="57" spans="1:14" x14ac:dyDescent="0.4">
      <c r="F57" s="10" t="str">
        <f>IF($C$25&gt;=6,"内面溝4列目-トップ端 湾曲中心間X距離", "-")</f>
        <v>-</v>
      </c>
      <c r="G57" s="13" t="s">
        <v>127</v>
      </c>
      <c r="H57" s="30" t="str">
        <f>IF($C$25&gt;=$C$67-2,$N$73-$N$15, "-")</f>
        <v>-</v>
      </c>
      <c r="K57" s="3">
        <f t="shared" si="0"/>
        <v>57</v>
      </c>
      <c r="L57" s="45" t="s">
        <v>259</v>
      </c>
      <c r="M57" s="54" t="str">
        <f>IF($C$25&gt;=6,"q+3pz-λj","")</f>
        <v/>
      </c>
      <c r="N57" s="44" t="str">
        <f>IF($C$25&gt;=6,$C$20+3*$C$21-$N$41, "-")</f>
        <v>-</v>
      </c>
    </row>
    <row r="58" spans="1:14" x14ac:dyDescent="0.4">
      <c r="B58" s="25" t="s">
        <v>132</v>
      </c>
      <c r="C58" s="28"/>
      <c r="F58" s="10" t="str">
        <f>IF($C$25&gt;=7,"内面溝5列目-トップ端 湾曲中心間X距離", "-")</f>
        <v>-</v>
      </c>
      <c r="G58" s="13" t="s">
        <v>127</v>
      </c>
      <c r="H58" s="30" t="str">
        <f>IF($C$25&gt;=$C67-1,$N$74-$N$15, "-")</f>
        <v>-</v>
      </c>
      <c r="K58" s="3">
        <f t="shared" si="0"/>
        <v>58</v>
      </c>
      <c r="L58" s="45" t="s">
        <v>260</v>
      </c>
      <c r="M58" s="54" t="str">
        <f>IF($C$25&gt;=7,"q+4pz-λj","-")</f>
        <v>-</v>
      </c>
      <c r="N58" s="44" t="str">
        <f>IF($C$25&gt;=7,$C$20+4*$C$21-$N$42, "-")</f>
        <v>-</v>
      </c>
    </row>
    <row r="59" spans="1:14" x14ac:dyDescent="0.4">
      <c r="A59" s="3" t="s">
        <v>2</v>
      </c>
      <c r="B59" s="14" t="s">
        <v>0</v>
      </c>
      <c r="C59" s="19">
        <v>330</v>
      </c>
      <c r="F59" s="10" t="str">
        <f>IF($C$25&gt;=8,"内面溝6列目-トップ端 湾曲中心間X距離", "-")</f>
        <v>-</v>
      </c>
      <c r="G59" s="13" t="s">
        <v>127</v>
      </c>
      <c r="H59" s="30" t="str">
        <f>IF($C$25&gt;=$C67,$N$75-$N$15, "-")</f>
        <v>-</v>
      </c>
      <c r="K59" s="3">
        <f t="shared" si="0"/>
        <v>59</v>
      </c>
      <c r="L59" s="45" t="s">
        <v>261</v>
      </c>
      <c r="M59" s="54" t="str">
        <f>IF($C$25&gt;=8,"q+5pz-λj","-")</f>
        <v>-</v>
      </c>
      <c r="N59" s="44" t="str">
        <f>IF($C$25&gt;=8,$C$20+5*$C$21-$N$43, "-")</f>
        <v>-</v>
      </c>
    </row>
    <row r="60" spans="1:14" x14ac:dyDescent="0.4">
      <c r="A60" s="3" t="s">
        <v>3</v>
      </c>
      <c r="B60" s="14" t="s">
        <v>1</v>
      </c>
      <c r="C60" s="19">
        <v>40</v>
      </c>
      <c r="F60" s="10" t="s">
        <v>270</v>
      </c>
      <c r="G60" s="13" t="s">
        <v>127</v>
      </c>
      <c r="H60" s="30">
        <f>$N$76-$N$15</f>
        <v>9.8871712308528004</v>
      </c>
      <c r="K60" s="3">
        <f t="shared" si="0"/>
        <v>60</v>
      </c>
      <c r="L60" s="45" t="s">
        <v>262</v>
      </c>
      <c r="M60" s="54" t="s">
        <v>262</v>
      </c>
      <c r="N60" s="44" t="e">
        <f ca="1">$C$20+($C$25-2)*$C$21-$N$44</f>
        <v>#VALUE!</v>
      </c>
    </row>
    <row r="61" spans="1:14" x14ac:dyDescent="0.4">
      <c r="A61" s="3" t="s">
        <v>4</v>
      </c>
      <c r="B61" s="14" t="s">
        <v>5</v>
      </c>
      <c r="C61" s="19">
        <v>100</v>
      </c>
      <c r="E61" s="3" t="s">
        <v>303</v>
      </c>
      <c r="F61" s="10" t="s">
        <v>269</v>
      </c>
      <c r="G61" s="13" t="s">
        <v>127</v>
      </c>
      <c r="H61" s="30">
        <f>$N$77-$N$15</f>
        <v>10.551626417082844</v>
      </c>
      <c r="K61" s="3">
        <f t="shared" si="0"/>
        <v>61</v>
      </c>
      <c r="L61" s="45" t="s">
        <v>151</v>
      </c>
      <c r="M61" s="54" t="s">
        <v>151</v>
      </c>
      <c r="N61" s="44" t="e">
        <f ca="1">$C$20+($C$25-1)*$C$21-$N$45</f>
        <v>#VALUE!</v>
      </c>
    </row>
    <row r="62" spans="1:14" x14ac:dyDescent="0.4">
      <c r="A62" s="3" t="s">
        <v>11</v>
      </c>
      <c r="B62" s="14" t="s">
        <v>16</v>
      </c>
      <c r="C62" s="37">
        <v>201.5</v>
      </c>
      <c r="E62" s="3" t="s">
        <v>346</v>
      </c>
      <c r="F62" s="9" t="str">
        <f>IF($C$25&gt;=3,"（傾き前）1列目Z座標","-")</f>
        <v>（傾き前）1列目Z座標</v>
      </c>
      <c r="G62" s="13" t="s">
        <v>124</v>
      </c>
      <c r="H62" s="60">
        <f>IF($C$25&gt;=3,$H$3-$C$20,"-")</f>
        <v>267</v>
      </c>
      <c r="I62" s="30">
        <f>IF($C$25&gt;=3,$C$65+H62,"-")</f>
        <v>-882.97399999999993</v>
      </c>
      <c r="K62" s="3">
        <f t="shared" si="0"/>
        <v>62</v>
      </c>
      <c r="L62" s="45" t="s">
        <v>150</v>
      </c>
      <c r="M62" s="54" t="str">
        <f>IF($C$25&gt;=3, "λj+1-q", "-")</f>
        <v>λj+1-q</v>
      </c>
      <c r="N62" s="44" t="e">
        <f ca="1">IF($C$25&gt;=3,$N$46-$C$20, "-")</f>
        <v>#VALUE!</v>
      </c>
    </row>
    <row r="63" spans="1:14" x14ac:dyDescent="0.4">
      <c r="B63" s="14" t="s">
        <v>73</v>
      </c>
      <c r="C63" s="37">
        <v>-740</v>
      </c>
      <c r="E63" s="3" t="s">
        <v>345</v>
      </c>
      <c r="F63" s="9" t="str">
        <f>IF($C$25&gt;=4,"（傾き前）2列目Z座標","-")</f>
        <v>（傾き前）2列目Z座標</v>
      </c>
      <c r="G63" s="13" t="s">
        <v>124</v>
      </c>
      <c r="H63" s="60">
        <f>IF($C$25&gt;=4,$H$3-$C$20-$C$21,"-")</f>
        <v>247</v>
      </c>
      <c r="I63" s="30">
        <f>IF($C$25&gt;=4,$C$65+H63,"-")</f>
        <v>-902.97399999999993</v>
      </c>
      <c r="K63" s="3">
        <f t="shared" si="0"/>
        <v>63</v>
      </c>
      <c r="L63" s="45" t="s">
        <v>263</v>
      </c>
      <c r="M63" s="54" t="str">
        <f>IF($C$25&gt;=4, "λj+1-q-pz", "-")</f>
        <v>λj+1-q-pz</v>
      </c>
      <c r="N63" s="44" t="e">
        <f ca="1">IF($C$25&gt;=4,$N$47-$C$20-$C$21, "-")</f>
        <v>#VALUE!</v>
      </c>
    </row>
    <row r="64" spans="1:14" x14ac:dyDescent="0.4">
      <c r="B64" s="14" t="s">
        <v>24</v>
      </c>
      <c r="C64" s="37">
        <v>-550.01900000000001</v>
      </c>
      <c r="F64" s="9" t="str">
        <f>IF($C$25&gt;=5,"（傾き前）3列目Z座標","-")</f>
        <v>（傾き前）3列目Z座標</v>
      </c>
      <c r="G64" s="13" t="s">
        <v>124</v>
      </c>
      <c r="H64" s="60">
        <f>IF($C$25&gt;=5,$H$3-$C$20-2*$C$21,"-")</f>
        <v>227</v>
      </c>
      <c r="I64" s="30">
        <f>IF($C$25&gt;=5,$C$65+H64,"-")</f>
        <v>-922.97399999999993</v>
      </c>
      <c r="K64" s="3">
        <f t="shared" si="0"/>
        <v>64</v>
      </c>
      <c r="L64" s="45" t="s">
        <v>264</v>
      </c>
      <c r="M64" s="54" t="str">
        <f>IF($C$25&gt;=5, "λj+1-q-2pz", "-")</f>
        <v>λj+1-q-2pz</v>
      </c>
      <c r="N64" s="44" t="e">
        <f ca="1">IF($C$25&gt;=5,$N$48-$C$20-2*$C$21, "-")</f>
        <v>#VALUE!</v>
      </c>
    </row>
    <row r="65" spans="2:14" x14ac:dyDescent="0.4">
      <c r="B65" s="14" t="s">
        <v>25</v>
      </c>
      <c r="C65" s="37">
        <v>-1149.9739999999999</v>
      </c>
      <c r="F65" s="9" t="str">
        <f>IF($C$25&gt;=6,"（傾き前）4列目Z座標","-")</f>
        <v>-</v>
      </c>
      <c r="G65" s="13" t="s">
        <v>124</v>
      </c>
      <c r="H65" s="60" t="str">
        <f>IF($C$25&gt;=6,$H$3-$C$20-3*$C$21,"-")</f>
        <v>-</v>
      </c>
      <c r="I65" s="30" t="str">
        <f>IF($C$25&gt;=6,$C$65+H65,"-")</f>
        <v>-</v>
      </c>
      <c r="K65" s="3">
        <f t="shared" si="0"/>
        <v>65</v>
      </c>
      <c r="L65" s="45" t="s">
        <v>265</v>
      </c>
      <c r="M65" s="54" t="str">
        <f>IF($C$25&gt;=6, "λj+1-q-3pz", "-")</f>
        <v>-</v>
      </c>
      <c r="N65" s="44" t="str">
        <f>IF($C$25&gt;=6,$N$49-$C$20-3*$C$21, "-")</f>
        <v>-</v>
      </c>
    </row>
    <row r="66" spans="2:14" x14ac:dyDescent="0.4">
      <c r="B66" s="14" t="s">
        <v>51</v>
      </c>
      <c r="C66" s="37">
        <v>7.2999999999999995E-2</v>
      </c>
      <c r="F66" s="9" t="str">
        <f>IF($C$25&gt;=7,"（傾き前）5列目Z座標","-")</f>
        <v>-</v>
      </c>
      <c r="G66" s="13" t="s">
        <v>124</v>
      </c>
      <c r="H66" s="60" t="str">
        <f>IF($C$25&gt;=7,$H$3-$C$20-4*$C$21,"-")</f>
        <v>-</v>
      </c>
      <c r="I66" s="30" t="str">
        <f>IF($C$25&gt;=7,$C$65+H66,"-")</f>
        <v>-</v>
      </c>
      <c r="K66" s="3">
        <f t="shared" si="0"/>
        <v>66</v>
      </c>
      <c r="L66" s="45" t="s">
        <v>266</v>
      </c>
      <c r="M66" s="54" t="str">
        <f>IF($C$25&gt;=7, "λj+1-q-4pz", "-")</f>
        <v>-</v>
      </c>
      <c r="N66" s="44" t="str">
        <f>IF($C$25&gt;=7,$N$50-$C$20-4*$C$21, "-")</f>
        <v>-</v>
      </c>
    </row>
    <row r="67" spans="2:14" x14ac:dyDescent="0.4">
      <c r="B67" s="14" t="s">
        <v>141</v>
      </c>
      <c r="C67" s="38">
        <v>8</v>
      </c>
      <c r="F67" s="9" t="str">
        <f>IF($C$25&gt;=8,"（傾き前）6列目Z座標","-")</f>
        <v>-</v>
      </c>
      <c r="G67" s="13" t="s">
        <v>124</v>
      </c>
      <c r="H67" s="60" t="str">
        <f>IF($C$25&gt;=8,$H$3-$C$20-5*$C$21,"-")</f>
        <v>-</v>
      </c>
      <c r="I67" s="30" t="str">
        <f>IF($C$25&gt;=8,$C$65+H67,"-")</f>
        <v>-</v>
      </c>
      <c r="J67" s="3"/>
      <c r="K67" s="3">
        <f t="shared" ref="K67:K155" si="2">ROW(K67)</f>
        <v>67</v>
      </c>
      <c r="L67" s="45" t="s">
        <v>267</v>
      </c>
      <c r="M67" s="54" t="str">
        <f>IF($C$25&gt;=8, "λj+1-q-5pz", "-")</f>
        <v>-</v>
      </c>
      <c r="N67" s="44" t="str">
        <f>IF($C$25&gt;=8,$N$51-$C$20-5*$C$21, "-")</f>
        <v>-</v>
      </c>
    </row>
    <row r="68" spans="2:14" x14ac:dyDescent="0.4">
      <c r="F68" s="9" t="s">
        <v>347</v>
      </c>
      <c r="G68" s="13" t="s">
        <v>124</v>
      </c>
      <c r="H68" s="60">
        <f>$H$3-$C$20-($C$25-2)*$C$21</f>
        <v>207</v>
      </c>
      <c r="I68" s="30">
        <f>$C$65+H68</f>
        <v>-942.97399999999993</v>
      </c>
      <c r="K68" s="3">
        <f t="shared" si="2"/>
        <v>68</v>
      </c>
      <c r="L68" s="45" t="s">
        <v>268</v>
      </c>
      <c r="M68" s="54" t="s">
        <v>268</v>
      </c>
      <c r="N68" s="2" t="e">
        <f ca="1">$N$52-$C$20-($C$25-2)*$C$21</f>
        <v>#VALUE!</v>
      </c>
    </row>
    <row r="69" spans="2:14" x14ac:dyDescent="0.4">
      <c r="E69" s="3" t="s">
        <v>349</v>
      </c>
      <c r="F69" s="9" t="s">
        <v>348</v>
      </c>
      <c r="G69" s="13" t="s">
        <v>124</v>
      </c>
      <c r="H69" s="60">
        <f>$H$3-$C$20-($C$25-1)*$C$21</f>
        <v>187</v>
      </c>
      <c r="I69" s="30">
        <f>$C$65+H69</f>
        <v>-962.97399999999993</v>
      </c>
      <c r="K69" s="3">
        <f t="shared" si="2"/>
        <v>69</v>
      </c>
      <c r="L69" s="45" t="s">
        <v>183</v>
      </c>
      <c r="M69" s="54" t="s">
        <v>183</v>
      </c>
      <c r="N69" s="2" t="e">
        <f ca="1">$N$53-$C$20-($C$25-1)*$C$21</f>
        <v>#VALUE!</v>
      </c>
    </row>
    <row r="70" spans="2:14" x14ac:dyDescent="0.4">
      <c r="E70" s="3" t="s">
        <v>306</v>
      </c>
      <c r="F70" s="10" t="s">
        <v>309</v>
      </c>
      <c r="G70" s="13" t="s">
        <v>127</v>
      </c>
      <c r="H70" s="30" t="e">
        <f ca="1">$H$22+$C$31*2</f>
        <v>#VALUE!</v>
      </c>
      <c r="K70" s="3">
        <f t="shared" si="2"/>
        <v>70</v>
      </c>
      <c r="L70" s="45" t="s">
        <v>271</v>
      </c>
      <c r="M70" s="54" t="str">
        <f>IF($C$25&gt;=3,"1列目湾曲中心X","-")</f>
        <v>1列目湾曲中心X</v>
      </c>
      <c r="N70" s="46">
        <f>IF($C$25&gt;=3,SQRT($C$3^2-$N$30^2),"-")</f>
        <v>5926.9390668792939</v>
      </c>
    </row>
    <row r="71" spans="2:14" x14ac:dyDescent="0.4">
      <c r="E71" s="3" t="s">
        <v>308</v>
      </c>
      <c r="F71" s="10" t="str">
        <f>IF($C$25&gt;=3,"1列目 AC内径（水平・めっき含・概算）","-")</f>
        <v>1列目 AC内径（水平・めっき含・概算）</v>
      </c>
      <c r="G71" s="13" t="s">
        <v>127</v>
      </c>
      <c r="H71" s="30" t="e">
        <f ca="1">IF($C$25&gt;=3,($N$54*$N$86+$N$62*$N$78)/($N$46-$N$38)+$C$31*2,"-")</f>
        <v>#VALUE!</v>
      </c>
      <c r="K71" s="3">
        <f t="shared" si="2"/>
        <v>71</v>
      </c>
      <c r="L71" s="45" t="s">
        <v>272</v>
      </c>
      <c r="M71" s="54" t="str">
        <f>IF($C$25&gt;=4,"2列目湾曲中心X","-")</f>
        <v>2列目湾曲中心X</v>
      </c>
      <c r="N71" s="46">
        <f>IF($C$25&gt;=4,SQRT($C$3^2-$N$31^2),"-")</f>
        <v>5927.8062301748696</v>
      </c>
    </row>
    <row r="72" spans="2:14" x14ac:dyDescent="0.4">
      <c r="F72" s="10" t="s">
        <v>310</v>
      </c>
      <c r="G72" s="13" t="s">
        <v>127</v>
      </c>
      <c r="H72" s="30" t="e">
        <f ca="1">($N$61*$N$93+$N$69*$N$85)/($N$53-$N$45)+$C$31*2</f>
        <v>#VALUE!</v>
      </c>
      <c r="K72" s="3">
        <f t="shared" si="2"/>
        <v>72</v>
      </c>
      <c r="L72" s="45" t="s">
        <v>273</v>
      </c>
      <c r="M72" s="54" t="str">
        <f>IF($C$25&gt;=5,"3列目湾曲中心X","-")</f>
        <v>3列目湾曲中心X</v>
      </c>
      <c r="N72" s="46">
        <f>IF($C$25&gt;=5,SQRT($C$3^2-$N$32^2),"-")</f>
        <v>5928.6057975294661</v>
      </c>
    </row>
    <row r="73" spans="2:14" x14ac:dyDescent="0.4">
      <c r="E73" s="3" t="s">
        <v>323</v>
      </c>
      <c r="F73" s="10" t="s">
        <v>226</v>
      </c>
      <c r="G73" s="30" t="s">
        <v>125</v>
      </c>
      <c r="H73" s="30" t="e">
        <f ca="1">ROUND(DEGREES($N$99),3)</f>
        <v>#VALUE!</v>
      </c>
      <c r="I73" s="5"/>
      <c r="K73" s="3">
        <f t="shared" si="2"/>
        <v>73</v>
      </c>
      <c r="L73" s="45" t="s">
        <v>274</v>
      </c>
      <c r="M73" s="54" t="str">
        <f>IF($C$25&gt;=6,"4列目湾曲中心X","-")</f>
        <v>-</v>
      </c>
      <c r="N73" s="46" t="str">
        <f>IF($C$25&gt;=6,SQRT($C$3^2-$N$33^2),"-")</f>
        <v>-</v>
      </c>
    </row>
    <row r="74" spans="2:14" x14ac:dyDescent="0.4">
      <c r="E74" s="3" t="s">
        <v>323</v>
      </c>
      <c r="F74" s="10" t="s">
        <v>227</v>
      </c>
      <c r="G74" s="30" t="s">
        <v>125</v>
      </c>
      <c r="H74" s="30" t="e">
        <f ca="1">$H$7+$H$73</f>
        <v>#VALUE!</v>
      </c>
      <c r="I74" s="30" t="e">
        <f ca="1">-$C$66+$H$74</f>
        <v>#VALUE!</v>
      </c>
      <c r="K74" s="3">
        <f t="shared" si="2"/>
        <v>74</v>
      </c>
      <c r="L74" s="45" t="s">
        <v>275</v>
      </c>
      <c r="M74" s="54" t="str">
        <f>IF($C$25&gt;=7,"5列目湾曲中心X","-")</f>
        <v>-</v>
      </c>
      <c r="N74" s="46" t="str">
        <f>IF($C$25&gt;=7,SQRT($C$3^2-$N$34^2),"-")</f>
        <v>-</v>
      </c>
    </row>
    <row r="75" spans="2:14" x14ac:dyDescent="0.4">
      <c r="E75" s="3" t="s">
        <v>324</v>
      </c>
      <c r="F75" s="59" t="s">
        <v>322</v>
      </c>
      <c r="G75" s="56" t="s">
        <v>125</v>
      </c>
      <c r="H75" s="56" t="e">
        <f ca="1">DEGREES($N$107)</f>
        <v>#VALUE!</v>
      </c>
      <c r="K75" s="3">
        <f t="shared" si="2"/>
        <v>75</v>
      </c>
      <c r="L75" s="45" t="s">
        <v>276</v>
      </c>
      <c r="M75" s="54" t="str">
        <f>IF($C$25&gt;=8,"6列目湾曲中心X","-")</f>
        <v>-</v>
      </c>
      <c r="N75" s="46" t="str">
        <f>IF($C$25&gt;=8,SQRT($C$3^2-$N$35^2),"-")</f>
        <v>-</v>
      </c>
    </row>
    <row r="76" spans="2:14" x14ac:dyDescent="0.4">
      <c r="E76" s="3" t="s">
        <v>324</v>
      </c>
      <c r="F76" s="59" t="s">
        <v>319</v>
      </c>
      <c r="G76" s="56" t="s">
        <v>125</v>
      </c>
      <c r="H76" s="56" t="e">
        <f ca="1">$H$7+$H$75</f>
        <v>#VALUE!</v>
      </c>
      <c r="I76" s="56" t="e">
        <f ca="1">-$C$66+$H$76</f>
        <v>#VALUE!</v>
      </c>
      <c r="K76" s="3">
        <f t="shared" si="2"/>
        <v>76</v>
      </c>
      <c r="L76" s="45" t="s">
        <v>277</v>
      </c>
      <c r="M76" s="54" t="s">
        <v>279</v>
      </c>
      <c r="N76" s="47">
        <f>SQRT($C$3^2-$N$36^2)</f>
        <v>5929.3377962888908</v>
      </c>
    </row>
    <row r="77" spans="2:14" x14ac:dyDescent="0.4">
      <c r="F77" s="10" t="s">
        <v>198</v>
      </c>
      <c r="G77" s="30" t="s">
        <v>127</v>
      </c>
      <c r="H77" s="30" t="e">
        <f ca="1">MIN($N$110, $N$111)</f>
        <v>#VALUE!</v>
      </c>
      <c r="K77" s="3">
        <f t="shared" si="2"/>
        <v>77</v>
      </c>
      <c r="L77" s="45" t="s">
        <v>278</v>
      </c>
      <c r="M77" s="54" t="s">
        <v>280</v>
      </c>
      <c r="N77" s="47">
        <f>SQRT($C$3^2-$N$37^2)</f>
        <v>5930.0022514751208</v>
      </c>
    </row>
    <row r="78" spans="2:14" x14ac:dyDescent="0.4">
      <c r="E78" s="3" t="s">
        <v>350</v>
      </c>
      <c r="F78" s="10" t="s">
        <v>411</v>
      </c>
      <c r="G78" s="13" t="s">
        <v>126</v>
      </c>
      <c r="H78" s="30" t="e">
        <f ca="1">($N$54*$N$120+$N$62*$N$112)/($N$46-$N$38)+$C$31*2</f>
        <v>#VALUE!</v>
      </c>
      <c r="K78" s="3">
        <f t="shared" si="2"/>
        <v>78</v>
      </c>
      <c r="L78" s="45" t="s">
        <v>281</v>
      </c>
      <c r="M78" s="54" t="str">
        <f>IF($C$25&gt;=3,"λj ≦ q &lt; λj+1 の wAj", "-")</f>
        <v>λj ≦ q &lt; λj+1 の wAj</v>
      </c>
      <c r="N78" s="44" t="e">
        <f ca="1">IF($C$25&gt;=3, INDEX(INDIRECT($H$52&amp;"!B:B"), MATCH($N$38, INDIRECT($H$52&amp;"!A:A"), 0)),"-")</f>
        <v>#VALUE!</v>
      </c>
    </row>
    <row r="79" spans="2:14" x14ac:dyDescent="0.4">
      <c r="F79" s="10" t="s">
        <v>352</v>
      </c>
      <c r="G79" s="13" t="s">
        <v>126</v>
      </c>
      <c r="H79" s="30" t="e">
        <f ca="1">($N$61*$N$127+$N$69*$N$119)/($N$53-$N$45)+$C$31*2</f>
        <v>#VALUE!</v>
      </c>
      <c r="K79" s="3">
        <f t="shared" si="2"/>
        <v>79</v>
      </c>
      <c r="L79" s="45" t="s">
        <v>282</v>
      </c>
      <c r="M79" s="54" t="str">
        <f>IF($C$25&gt;=4,"λj ≦ q+pz &lt; λj+1 の wAj", "-")</f>
        <v>λj ≦ q+pz &lt; λj+1 の wAj</v>
      </c>
      <c r="N79" s="44" t="e">
        <f ca="1">IF($C$25&gt;=4, INDEX(INDIRECT($H$52&amp;"!B:B"), MATCH($N$39, INDIRECT($H$52&amp;"!A:A"), 0)),"-")</f>
        <v>#VALUE!</v>
      </c>
    </row>
    <row r="80" spans="2:14" x14ac:dyDescent="0.4">
      <c r="F80" s="32" t="s">
        <v>388</v>
      </c>
      <c r="K80" s="3">
        <f t="shared" si="2"/>
        <v>80</v>
      </c>
      <c r="L80" s="45" t="s">
        <v>283</v>
      </c>
      <c r="M80" s="54" t="str">
        <f>IF($C$25&gt;=5,"λj ≦ q+2pz &lt; λj+1 の wAj", "-")</f>
        <v>λj ≦ q+2pz &lt; λj+1 の wAj</v>
      </c>
      <c r="N80" s="44" t="e">
        <f ca="1">IF($C$25&gt;=5, INDEX(INDIRECT($H$52&amp;"!B:B"), MATCH($N$40, INDIRECT($H$52&amp;"!A:A"), 0)),"-")</f>
        <v>#VALUE!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127</v>
      </c>
      <c r="H81" s="30" t="e">
        <f ca="1">IF($C$25&gt;=$C$67-5,$H$54*$N$101-$C$20*$N$100, "-")</f>
        <v>#VALUE!</v>
      </c>
      <c r="K81" s="3">
        <f t="shared" si="2"/>
        <v>81</v>
      </c>
      <c r="L81" s="45" t="s">
        <v>284</v>
      </c>
      <c r="M81" s="54" t="str">
        <f>IF($C$25&gt;=6,"λj ≦ q+3pz &lt; λj+1 の wAj", "-")</f>
        <v>-</v>
      </c>
      <c r="N81" s="44" t="str">
        <f ca="1">IF($C$25&gt;=6, INDEX(INDIRECT($H$52&amp;"!B:B"), MATCH($N$41, INDIRECT($H$52&amp;"!A:A"), 0)),"-")</f>
        <v>-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127</v>
      </c>
      <c r="H82" s="30" t="e">
        <f ca="1">IF($C$25&gt;=$C$67-4,$H$55*$N$101-($C$20+$C21)*$N$100, "-")</f>
        <v>#VALUE!</v>
      </c>
      <c r="K82" s="3">
        <f t="shared" si="2"/>
        <v>82</v>
      </c>
      <c r="L82" s="45" t="s">
        <v>285</v>
      </c>
      <c r="M82" s="54" t="str">
        <f>IF($C$25&gt;=7,"λj ≦ q+4pz &lt; λj+1 の wAj", "-")</f>
        <v>-</v>
      </c>
      <c r="N82" s="44" t="str">
        <f ca="1">IF($C$25&gt;=7, INDEX(INDIRECT($H$52&amp;"!B:B"), MATCH($N$42, INDIRECT($H$52&amp;"!A:A"), 0)),"-")</f>
        <v>-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127</v>
      </c>
      <c r="H83" s="30" t="e">
        <f ca="1">IF($C$25&gt;=$C$67-3,$H$56*$N$101-($C$20+2*$C$21)*$N$100, "-")</f>
        <v>#VALUE!</v>
      </c>
      <c r="K83" s="3">
        <f t="shared" si="2"/>
        <v>83</v>
      </c>
      <c r="L83" s="45" t="s">
        <v>286</v>
      </c>
      <c r="M83" s="54" t="str">
        <f>IF($C$25&gt;=8,"λj ≦ q+5pz &lt; λj+1 の wAj", "-")</f>
        <v>-</v>
      </c>
      <c r="N83" s="44" t="str">
        <f ca="1">IF($C$25&gt;=8, INDEX(INDIRECT($H$52&amp;"!B:B"), MATCH($N$43, INDIRECT($H$52&amp;"!A:A"), 0)),"-")</f>
        <v>-</v>
      </c>
    </row>
    <row r="84" spans="6:14" x14ac:dyDescent="0.4">
      <c r="F84" s="10" t="str">
        <f>IF($C$25&gt;=6,"内面溝4列目-トップ端 湾曲中心間X距離", "-")</f>
        <v>-</v>
      </c>
      <c r="G84" s="13" t="s">
        <v>127</v>
      </c>
      <c r="H84" s="30" t="str">
        <f>IF($C$25&gt;=$C$67-2,$H$57*$N$101-($C$20+3*$C$21)*$N$100, "-")</f>
        <v>-</v>
      </c>
      <c r="K84" s="3">
        <f t="shared" si="2"/>
        <v>84</v>
      </c>
      <c r="L84" s="45" t="s">
        <v>287</v>
      </c>
      <c r="M84" s="54" t="s">
        <v>289</v>
      </c>
      <c r="N84" s="44" t="e">
        <f ca="1">INDEX(INDIRECT($H$52&amp;"!B:B"), MATCH($N$44, INDIRECT($H$52&amp;"!A:A"), 0))</f>
        <v>#VALUE!</v>
      </c>
    </row>
    <row r="85" spans="6:14" x14ac:dyDescent="0.4">
      <c r="F85" s="10" t="str">
        <f>IF($C$25&gt;=7,"内面溝5列目-トップ端 湾曲中心間X距離", "-")</f>
        <v>-</v>
      </c>
      <c r="G85" s="13" t="s">
        <v>127</v>
      </c>
      <c r="H85" s="30" t="str">
        <f>IF($C$25&gt;=$C$67-1,$H$58*$N$101-($C$20+4*$C$21)*$N$100, "-")</f>
        <v>-</v>
      </c>
      <c r="K85" s="3">
        <f t="shared" si="2"/>
        <v>85</v>
      </c>
      <c r="L85" s="45" t="s">
        <v>288</v>
      </c>
      <c r="M85" s="54" t="s">
        <v>290</v>
      </c>
      <c r="N85" s="44" t="e">
        <f ca="1">INDEX(INDIRECT($H$52&amp;"!B:B"), MATCH($N$45, INDIRECT($H$52&amp;"!A:A"), 0))</f>
        <v>#VALUE!</v>
      </c>
    </row>
    <row r="86" spans="6:14" x14ac:dyDescent="0.4">
      <c r="F86" s="10" t="str">
        <f>IF($C$25&gt;=8,"内面溝6列目-トップ端 湾曲中心間X距離", "-")</f>
        <v>-</v>
      </c>
      <c r="G86" s="13" t="s">
        <v>127</v>
      </c>
      <c r="H86" s="30" t="str">
        <f>IF($C$25&gt;=$C$67,$H$59*$N$101-($C$20+5*$C$21)*$N$100, "-")</f>
        <v>-</v>
      </c>
      <c r="K86" s="3">
        <f t="shared" si="2"/>
        <v>86</v>
      </c>
      <c r="L86" s="45" t="s">
        <v>291</v>
      </c>
      <c r="M86" s="54" t="str">
        <f>IF($C$25&gt;=3,"λj ≦ q &lt; λj+1 の wAj+1", "-")</f>
        <v>λj ≦ q &lt; λj+1 の wAj+1</v>
      </c>
      <c r="N86" s="44" t="e">
        <f ca="1">IF($C$25&gt;=3, INDEX(INDIRECT($H$52&amp;"!B:B"), MATCH($N$46, INDIRECT($H$52&amp;"!A:A"), 0)),"-")</f>
        <v>#VALUE!</v>
      </c>
    </row>
    <row r="87" spans="6:14" x14ac:dyDescent="0.4">
      <c r="F87" s="10" t="s">
        <v>270</v>
      </c>
      <c r="G87" s="13" t="s">
        <v>127</v>
      </c>
      <c r="H87" s="30" t="e">
        <f ca="1">$H$60*$N$101-($C$20+($C$25-2)*$C$21)*$N$100</f>
        <v>#VALUE!</v>
      </c>
      <c r="K87" s="3">
        <f t="shared" si="2"/>
        <v>87</v>
      </c>
      <c r="L87" s="45" t="s">
        <v>292</v>
      </c>
      <c r="M87" s="54" t="str">
        <f>IF($C$25&gt;=4,"λj ≦ q+pz &lt; λj+1 の wAj+1", "-")</f>
        <v>λj ≦ q+pz &lt; λj+1 の wAj+1</v>
      </c>
      <c r="N87" s="44" t="e">
        <f ca="1">IF($C$25&gt;=4, INDEX(INDIRECT($H$52&amp;"!B:B"), MATCH($N$47, INDIRECT($H$52&amp;"!A:A"), 0)),"-")</f>
        <v>#VALUE!</v>
      </c>
    </row>
    <row r="88" spans="6:14" x14ac:dyDescent="0.4">
      <c r="F88" s="10" t="s">
        <v>269</v>
      </c>
      <c r="G88" s="13" t="s">
        <v>127</v>
      </c>
      <c r="H88" s="30" t="e">
        <f ca="1">$H$61*$N$101-($C$20+($C$25-1)*$C$21)*$N$100</f>
        <v>#VALUE!</v>
      </c>
      <c r="K88" s="3">
        <f t="shared" si="2"/>
        <v>88</v>
      </c>
      <c r="L88" s="45" t="s">
        <v>293</v>
      </c>
      <c r="M88" s="54" t="str">
        <f>IF($C$25&gt;=5,"λj ≦ q+2pz &lt; λj+1 の wAj+1", "-")</f>
        <v>λj ≦ q+2pz &lt; λj+1 の wAj+1</v>
      </c>
      <c r="N88" s="44" t="e">
        <f ca="1">IF($C$25&gt;=5, INDEX(INDIRECT($H$52&amp;"!B:B"), MATCH($N$48, INDIRECT($H$52&amp;"!A:A"), 0)),"-")</f>
        <v>#VALUE!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124</v>
      </c>
      <c r="H89" s="30" t="e">
        <f ca="1">IF($C$25&gt;=$C$67-5,$H$54*$N$100+$C$20*$N$101, "-")</f>
        <v>#VALUE!</v>
      </c>
      <c r="K89" s="3">
        <f t="shared" si="2"/>
        <v>89</v>
      </c>
      <c r="L89" s="45" t="s">
        <v>294</v>
      </c>
      <c r="M89" s="54" t="str">
        <f>IF($C$25&gt;=6,"λj ≦ q+3pz &lt; λj+1 の wAj+1", "-")</f>
        <v>-</v>
      </c>
      <c r="N89" s="44" t="str">
        <f ca="1">IF($C$25&gt;=6, INDEX(INDIRECT($H$52&amp;"!B:B"), MATCH($N$49, INDIRECT($H$52&amp;"!A:A"), 0)),"-")</f>
        <v>-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124</v>
      </c>
      <c r="H90" s="30" t="e">
        <f ca="1">IF($C$25&gt;=$C$67-4,$H$55*$N$100+($C$20+$C$21)*$N$101, "-")</f>
        <v>#VALUE!</v>
      </c>
      <c r="K90" s="3">
        <f t="shared" si="2"/>
        <v>90</v>
      </c>
      <c r="L90" s="45" t="s">
        <v>295</v>
      </c>
      <c r="M90" s="54" t="str">
        <f>IF($C$25&gt;=7,"λj ≦ q+4pz &lt; λj+1 の wAj+1", "-")</f>
        <v>-</v>
      </c>
      <c r="N90" s="44" t="str">
        <f ca="1">IF($C$25&gt;=7, INDEX(INDIRECT($H$52&amp;"!B:B"), MATCH($N$50, INDIRECT($H$52&amp;"!A:A"), 0)),"-")</f>
        <v>-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124</v>
      </c>
      <c r="H91" s="30" t="e">
        <f ca="1">IF($C$25&gt;=$C$67-3,$H$56*$N$100+($C$20+2*$C$21)*$N$101, "-")</f>
        <v>#VALUE!</v>
      </c>
      <c r="K91" s="3">
        <f t="shared" si="2"/>
        <v>91</v>
      </c>
      <c r="L91" s="45" t="s">
        <v>296</v>
      </c>
      <c r="M91" s="54" t="str">
        <f>IF($C$25&gt;=8,"λj ≦ q+5pz &lt; λj+1 の wAj+1", "-")</f>
        <v>-</v>
      </c>
      <c r="N91" s="44" t="str">
        <f ca="1">IF($C$25&gt;=8, INDEX(INDIRECT($H$52&amp;"!B:B"), MATCH($N$51, INDIRECT($H$52&amp;"!A:A"), 0)),"-")</f>
        <v>-</v>
      </c>
    </row>
    <row r="92" spans="6:14" x14ac:dyDescent="0.4">
      <c r="F92" s="10" t="str">
        <f>IF($C$25&gt;=6,"内面溝4列目-トップ端 湾曲中心間Z距離", "-")</f>
        <v>-</v>
      </c>
      <c r="G92" s="13" t="s">
        <v>124</v>
      </c>
      <c r="H92" s="30" t="str">
        <f>IF($C$25&gt;=$C$67-2,$H$57*$N$100+($C$20+3*$C$21)*$N$101, "-")</f>
        <v>-</v>
      </c>
      <c r="K92" s="3">
        <f t="shared" si="2"/>
        <v>92</v>
      </c>
      <c r="L92" s="45" t="s">
        <v>297</v>
      </c>
      <c r="M92" s="54" t="s">
        <v>299</v>
      </c>
      <c r="N92" s="44" t="e">
        <f ca="1">INDEX(INDIRECT($H$52&amp;"!B:B"), MATCH($N$52, INDIRECT($H$52&amp;"!A:A"), 0))</f>
        <v>#VALUE!</v>
      </c>
    </row>
    <row r="93" spans="6:14" x14ac:dyDescent="0.4">
      <c r="F93" s="10" t="str">
        <f>IF($C$25&gt;=7,"内面溝5列目-トップ端 湾曲中心間Z距離", "-")</f>
        <v>-</v>
      </c>
      <c r="G93" s="13" t="s">
        <v>124</v>
      </c>
      <c r="H93" s="30" t="str">
        <f>IF($C$25&gt;=$C$67-1,$H$58*$N$100+($C$20+4*$C$21)*$N$101, "-")</f>
        <v>-</v>
      </c>
      <c r="K93" s="3">
        <f t="shared" si="2"/>
        <v>93</v>
      </c>
      <c r="L93" s="45" t="s">
        <v>298</v>
      </c>
      <c r="M93" s="54" t="s">
        <v>300</v>
      </c>
      <c r="N93" s="44" t="e">
        <f ca="1">INDEX(INDIRECT($H$52&amp;"!B:B"), MATCH($N$53, INDIRECT($H$52&amp;"!A:A"), 0))</f>
        <v>#VALUE!</v>
      </c>
    </row>
    <row r="94" spans="6:14" x14ac:dyDescent="0.4">
      <c r="F94" s="10" t="str">
        <f>IF($C$25&gt;=8,"内面溝6列目-トップ端 湾曲中心間Z距離", "-")</f>
        <v>-</v>
      </c>
      <c r="G94" s="13" t="s">
        <v>124</v>
      </c>
      <c r="H94" s="30" t="str">
        <f>IF($C$25&gt;=$C$67-0,$H$59*$N$100+($C$20+5*$C$21)*$N$101, "-")</f>
        <v>-</v>
      </c>
      <c r="K94" s="3">
        <f t="shared" si="2"/>
        <v>94</v>
      </c>
      <c r="L94" s="45" t="s">
        <v>311</v>
      </c>
      <c r="M94" s="54" t="s">
        <v>224</v>
      </c>
      <c r="N94" s="2" t="e">
        <f ca="1">$C$3+$H$70/2</f>
        <v>#VALUE!</v>
      </c>
    </row>
    <row r="95" spans="6:14" x14ac:dyDescent="0.4">
      <c r="F95" s="10" t="s">
        <v>394</v>
      </c>
      <c r="G95" s="13" t="s">
        <v>124</v>
      </c>
      <c r="H95" s="30" t="e">
        <f ca="1">$H$60*$N$100+($C$20+($C$25-2)*$C$21)*$N$101</f>
        <v>#VALUE!</v>
      </c>
      <c r="K95" s="3">
        <f t="shared" si="2"/>
        <v>95</v>
      </c>
      <c r="L95" s="45" t="s">
        <v>312</v>
      </c>
      <c r="M95" s="54" t="s">
        <v>225</v>
      </c>
      <c r="N95" s="2" t="e">
        <f ca="1">$C$3+$H$71/2</f>
        <v>#VALUE!</v>
      </c>
    </row>
    <row r="96" spans="6:14" x14ac:dyDescent="0.4">
      <c r="F96" s="10" t="s">
        <v>395</v>
      </c>
      <c r="G96" s="13" t="s">
        <v>124</v>
      </c>
      <c r="H96" s="30" t="e">
        <f ca="1">$H$61*$N$100+($C$20+($C$25-1)*$C$21)*$N$101</f>
        <v>#VALUE!</v>
      </c>
      <c r="K96" s="3">
        <f t="shared" si="2"/>
        <v>96</v>
      </c>
      <c r="L96" s="45" t="s">
        <v>315</v>
      </c>
      <c r="M96" s="54" t="s">
        <v>196</v>
      </c>
      <c r="N96" s="2" t="e">
        <f ca="1">SQRT($N$95^2-$N$30^2)</f>
        <v>#VALUE!</v>
      </c>
    </row>
    <row r="97" spans="5:14" x14ac:dyDescent="0.4">
      <c r="K97" s="3">
        <f t="shared" si="2"/>
        <v>97</v>
      </c>
      <c r="L97" s="45" t="s">
        <v>316</v>
      </c>
      <c r="M97" s="54" t="s">
        <v>196</v>
      </c>
      <c r="N97" s="2" t="e">
        <f ca="1">SQRT($N$94^2-$C$4^2)</f>
        <v>#VALUE!</v>
      </c>
    </row>
    <row r="98" spans="5:14" x14ac:dyDescent="0.4">
      <c r="E98" s="3" t="s">
        <v>400</v>
      </c>
      <c r="F98" s="9" t="s">
        <v>405</v>
      </c>
      <c r="G98" s="13" t="s">
        <v>127</v>
      </c>
      <c r="H98" s="30">
        <f>$C$69-$C64</f>
        <v>550.01900000000001</v>
      </c>
      <c r="I98" s="30">
        <f>$C$64+H98</f>
        <v>0</v>
      </c>
      <c r="K98" s="3">
        <f t="shared" si="2"/>
        <v>98</v>
      </c>
      <c r="L98" s="45" t="s">
        <v>184</v>
      </c>
      <c r="M98" s="54" t="s">
        <v>184</v>
      </c>
      <c r="N98" s="2" t="e">
        <f ca="1">IF($N$96&gt;$N$97, ($N$96-$N$97)/$C$20, 0)</f>
        <v>#VALUE!</v>
      </c>
    </row>
    <row r="99" spans="5:14" x14ac:dyDescent="0.4">
      <c r="E99" s="3" t="s">
        <v>401</v>
      </c>
      <c r="F99" s="9" t="s">
        <v>406</v>
      </c>
      <c r="G99" s="13" t="s">
        <v>124</v>
      </c>
      <c r="H99" s="30">
        <f>$H$3</f>
        <v>400</v>
      </c>
      <c r="I99" s="30">
        <f>$C$65+H99</f>
        <v>-749.97399999999993</v>
      </c>
      <c r="K99" s="3">
        <f t="shared" si="2"/>
        <v>99</v>
      </c>
      <c r="L99" s="45" t="s">
        <v>185</v>
      </c>
      <c r="M99" s="54" t="s">
        <v>152</v>
      </c>
      <c r="N99" s="2" t="e">
        <f ca="1">ATAN($N$98)</f>
        <v>#VALUE!</v>
      </c>
    </row>
    <row r="100" spans="5:14" x14ac:dyDescent="0.4">
      <c r="E100" s="3" t="s">
        <v>402</v>
      </c>
      <c r="F100" s="9" t="s">
        <v>407</v>
      </c>
      <c r="G100" s="13" t="s">
        <v>127</v>
      </c>
      <c r="H100" s="30" t="e">
        <f ca="1">$H$98*$N$101+$H$99*$N$100</f>
        <v>#VALUE!</v>
      </c>
      <c r="I100" s="30" t="e">
        <f ca="1">$C$64+H100</f>
        <v>#VALUE!</v>
      </c>
      <c r="K100" s="3">
        <f t="shared" si="2"/>
        <v>100</v>
      </c>
      <c r="L100" s="45" t="s">
        <v>393</v>
      </c>
      <c r="M100" s="54" t="s">
        <v>393</v>
      </c>
      <c r="N100" s="2" t="e">
        <f ca="1">SIN(RADIANS($H$73))</f>
        <v>#VALUE!</v>
      </c>
    </row>
    <row r="101" spans="5:14" x14ac:dyDescent="0.4">
      <c r="E101" s="3" t="s">
        <v>403</v>
      </c>
      <c r="F101" s="9" t="s">
        <v>408</v>
      </c>
      <c r="G101" s="13" t="s">
        <v>124</v>
      </c>
      <c r="H101" s="30" t="e">
        <f ca="1">-$H$98*$N$100+$H$99*$N$101</f>
        <v>#VALUE!</v>
      </c>
      <c r="I101" s="30" t="e">
        <f ca="1">$C$65+H101</f>
        <v>#VALUE!</v>
      </c>
      <c r="K101" s="3">
        <f t="shared" si="2"/>
        <v>101</v>
      </c>
      <c r="L101" s="45" t="s">
        <v>392</v>
      </c>
      <c r="M101" s="54" t="s">
        <v>392</v>
      </c>
      <c r="N101" s="2" t="e">
        <f ca="1">COS(RADIANS($H$73))</f>
        <v>#VALUE!</v>
      </c>
    </row>
    <row r="102" spans="5:14" x14ac:dyDescent="0.4">
      <c r="F102" s="9" t="s">
        <v>404</v>
      </c>
      <c r="G102" s="13" t="s">
        <v>127</v>
      </c>
      <c r="H102" s="30" t="e">
        <f ca="1">$H$100-$H$98</f>
        <v>#VALUE!</v>
      </c>
      <c r="K102" s="3">
        <f t="shared" si="2"/>
        <v>102</v>
      </c>
      <c r="L102" s="45" t="s">
        <v>313</v>
      </c>
      <c r="M102" s="54" t="s">
        <v>145</v>
      </c>
      <c r="N102" s="2" t="e">
        <f ca="1">$C$3-$H$71/2</f>
        <v>#VALUE!</v>
      </c>
    </row>
    <row r="103" spans="5:14" x14ac:dyDescent="0.4">
      <c r="F103" s="9" t="s">
        <v>404</v>
      </c>
      <c r="G103" s="13" t="s">
        <v>124</v>
      </c>
      <c r="H103" s="30" t="e">
        <f ca="1">$H$101-$H$99</f>
        <v>#VALUE!</v>
      </c>
      <c r="K103" s="3">
        <f t="shared" si="2"/>
        <v>103</v>
      </c>
      <c r="L103" s="45" t="s">
        <v>314</v>
      </c>
      <c r="M103" s="54" t="s">
        <v>146</v>
      </c>
      <c r="N103" s="2" t="e">
        <f ca="1">$C$3-$H$72/2</f>
        <v>#VALUE!</v>
      </c>
    </row>
    <row r="104" spans="5:14" x14ac:dyDescent="0.4">
      <c r="K104" s="3">
        <f t="shared" si="2"/>
        <v>104</v>
      </c>
      <c r="L104" s="45" t="s">
        <v>317</v>
      </c>
      <c r="M104" s="54" t="s">
        <v>197</v>
      </c>
      <c r="N104" s="2" t="e">
        <f ca="1">SQRT($N$103^2-$N$37^2)</f>
        <v>#VALUE!</v>
      </c>
    </row>
    <row r="105" spans="5:14" x14ac:dyDescent="0.4">
      <c r="K105" s="3">
        <f t="shared" si="2"/>
        <v>105</v>
      </c>
      <c r="L105" s="45" t="s">
        <v>318</v>
      </c>
      <c r="M105" s="54" t="s">
        <v>197</v>
      </c>
      <c r="N105" s="2" t="e">
        <f ca="1">SQRT($N$102^2-$N$30^2)</f>
        <v>#VALUE!</v>
      </c>
    </row>
    <row r="106" spans="5:14" x14ac:dyDescent="0.4">
      <c r="K106" s="3">
        <f t="shared" si="2"/>
        <v>106</v>
      </c>
      <c r="L106" s="45" t="s">
        <v>186</v>
      </c>
      <c r="N106" s="2" t="e">
        <f ca="1">($N104-$N105)/($N$30-$N$37)</f>
        <v>#VALUE!</v>
      </c>
    </row>
    <row r="107" spans="5:14" x14ac:dyDescent="0.4">
      <c r="K107" s="3">
        <f t="shared" si="2"/>
        <v>107</v>
      </c>
      <c r="L107" s="45" t="s">
        <v>187</v>
      </c>
      <c r="M107" s="54" t="s">
        <v>153</v>
      </c>
      <c r="N107" s="2" t="e">
        <f ca="1">ATAN($N$106)</f>
        <v>#VALUE!</v>
      </c>
    </row>
    <row r="108" spans="5:14" x14ac:dyDescent="0.4">
      <c r="K108" s="3">
        <f>ROW(K108)</f>
        <v>108</v>
      </c>
      <c r="L108" s="45" t="s">
        <v>189</v>
      </c>
      <c r="M108" s="54" t="s">
        <v>157</v>
      </c>
      <c r="N108" s="2">
        <f>IF(MOD($C$25, 2)=0, $C$23, $C$24)</f>
        <v>104.4</v>
      </c>
    </row>
    <row r="109" spans="5:14" x14ac:dyDescent="0.4">
      <c r="K109" s="3">
        <f t="shared" si="2"/>
        <v>109</v>
      </c>
      <c r="L109" s="45" t="s">
        <v>188</v>
      </c>
      <c r="M109" s="54" t="s">
        <v>156</v>
      </c>
      <c r="N109" s="2">
        <f>IF(MOD($C$25, 2)=0, $C$24, $C$23)</f>
        <v>116</v>
      </c>
    </row>
    <row r="110" spans="5:14" x14ac:dyDescent="0.4">
      <c r="K110" s="3">
        <f t="shared" si="2"/>
        <v>110</v>
      </c>
      <c r="L110" s="45" t="s">
        <v>320</v>
      </c>
      <c r="M110" s="54" t="s">
        <v>199</v>
      </c>
      <c r="N110" s="2" t="e">
        <f ca="1">$H$70/2-$H$60-$N$108/2</f>
        <v>#VALUE!</v>
      </c>
    </row>
    <row r="111" spans="5:14" x14ac:dyDescent="0.4">
      <c r="K111" s="3">
        <f t="shared" si="2"/>
        <v>111</v>
      </c>
      <c r="L111" s="45" t="s">
        <v>321</v>
      </c>
      <c r="M111" s="54" t="s">
        <v>200</v>
      </c>
      <c r="N111" s="2" t="e">
        <f ca="1">$H$70/2-$H$61-$N$109/2</f>
        <v>#VALUE!</v>
      </c>
    </row>
    <row r="112" spans="5:14" x14ac:dyDescent="0.4">
      <c r="K112" s="3">
        <f t="shared" si="2"/>
        <v>112</v>
      </c>
      <c r="L112" s="45" t="s">
        <v>325</v>
      </c>
      <c r="M112" s="54" t="str">
        <f>IF($C$25&gt;=3,"λj ≦ q &lt; λj+1 の wBj", "-")</f>
        <v>λj ≦ q &lt; λj+1 の wBj</v>
      </c>
      <c r="N112" s="44" t="e">
        <f ca="1">IF($C$25&gt;=3, INDEX(INDIRECT($H$52&amp;"!C:C"), MATCH($N$38, INDIRECT($H$52&amp;"!A:A"), 0)),"-")</f>
        <v>#VALUE!</v>
      </c>
    </row>
    <row r="113" spans="11:14" x14ac:dyDescent="0.4">
      <c r="K113" s="3">
        <f t="shared" si="2"/>
        <v>113</v>
      </c>
      <c r="L113" s="45" t="s">
        <v>326</v>
      </c>
      <c r="M113" s="54" t="str">
        <f>IF($C$25&gt;=4,"λj ≦ q+pz &lt; λj+1 の wBj", "-")</f>
        <v>λj ≦ q+pz &lt; λj+1 の wBj</v>
      </c>
      <c r="N113" s="44" t="e">
        <f ca="1">IF($C$25&gt;=4, INDEX(INDIRECT($H$52&amp;"!C:C"), MATCH($N$39, INDIRECT($H$52&amp;"!A:A"), 0)),"-")</f>
        <v>#VALUE!</v>
      </c>
    </row>
    <row r="114" spans="11:14" x14ac:dyDescent="0.4">
      <c r="K114" s="3">
        <f t="shared" si="2"/>
        <v>114</v>
      </c>
      <c r="L114" s="45" t="s">
        <v>327</v>
      </c>
      <c r="M114" s="54" t="str">
        <f>IF($C$25&gt;=5,"λj ≦ q+2pz &lt; λj+1 の wBj", "-")</f>
        <v>λj ≦ q+2pz &lt; λj+1 の wBj</v>
      </c>
      <c r="N114" s="44" t="e">
        <f ca="1">IF($C$25&gt;=5, INDEX(INDIRECT($H$52&amp;"!C:C"), MATCH($N$40, INDIRECT($H$52&amp;"!A:A"), 0)),"-")</f>
        <v>#VALUE!</v>
      </c>
    </row>
    <row r="115" spans="11:14" x14ac:dyDescent="0.4">
      <c r="K115" s="3">
        <f t="shared" si="2"/>
        <v>115</v>
      </c>
      <c r="L115" s="45" t="s">
        <v>328</v>
      </c>
      <c r="M115" s="54" t="str">
        <f>IF($C$25&gt;=6,"λj ≦ q+3pz &lt; λj+1 の wBj", "-")</f>
        <v>-</v>
      </c>
      <c r="N115" s="44" t="str">
        <f ca="1">IF($C$25&gt;=6, INDEX(INDIRECT($H$52&amp;"!C:C"), MATCH($N$41, INDIRECT($H$52&amp;"!A:A"), 0)),"-")</f>
        <v>-</v>
      </c>
    </row>
    <row r="116" spans="11:14" x14ac:dyDescent="0.4">
      <c r="K116" s="3">
        <f t="shared" si="2"/>
        <v>116</v>
      </c>
      <c r="L116" s="45" t="s">
        <v>329</v>
      </c>
      <c r="M116" s="54" t="str">
        <f>IF($C$25&gt;=7,"λj ≦ q+4pz &lt; λj+1 の wBj", "-")</f>
        <v>-</v>
      </c>
      <c r="N116" s="44" t="str">
        <f ca="1">IF($C$25&gt;=7, INDEX(INDIRECT($H$52&amp;"!C:C"), MATCH($N$42, INDIRECT($H$52&amp;"!A:A"), 0)),"-")</f>
        <v>-</v>
      </c>
    </row>
    <row r="117" spans="11:14" x14ac:dyDescent="0.4">
      <c r="K117" s="3">
        <f t="shared" si="2"/>
        <v>117</v>
      </c>
      <c r="L117" s="45" t="s">
        <v>330</v>
      </c>
      <c r="M117" s="54" t="str">
        <f>IF($C$25&gt;=8,"λj ≦ q+5pz &lt; λj+1 の wBj", "-")</f>
        <v>-</v>
      </c>
      <c r="N117" s="44" t="str">
        <f ca="1">IF($C$25&gt;=8, INDEX(INDIRECT($H$52&amp;"!C:C"), MATCH($N$43, INDIRECT($H$52&amp;"!A:A"), 0)),"-")</f>
        <v>-</v>
      </c>
    </row>
    <row r="118" spans="11:14" x14ac:dyDescent="0.4">
      <c r="K118" s="3">
        <f t="shared" si="2"/>
        <v>118</v>
      </c>
      <c r="L118" s="45" t="s">
        <v>331</v>
      </c>
      <c r="M118" s="54" t="s">
        <v>341</v>
      </c>
      <c r="N118" s="44" t="e">
        <f ca="1">INDEX(INDIRECT($H$52&amp;"!C:C"), MATCH($N$44, INDIRECT($H$52&amp;"!A:A"), 0))</f>
        <v>#VALUE!</v>
      </c>
    </row>
    <row r="119" spans="11:14" x14ac:dyDescent="0.4">
      <c r="K119" s="3">
        <f t="shared" si="2"/>
        <v>119</v>
      </c>
      <c r="L119" s="45" t="s">
        <v>332</v>
      </c>
      <c r="M119" s="54" t="s">
        <v>342</v>
      </c>
      <c r="N119" s="44" t="e">
        <f ca="1">INDEX(INDIRECT($H$52&amp;"!C:C"), MATCH($N$45, INDIRECT($H$52&amp;"!A:A"), 0))</f>
        <v>#VALUE!</v>
      </c>
    </row>
    <row r="120" spans="11:14" x14ac:dyDescent="0.4">
      <c r="K120" s="3">
        <f t="shared" si="2"/>
        <v>120</v>
      </c>
      <c r="L120" s="45" t="s">
        <v>333</v>
      </c>
      <c r="M120" s="54" t="str">
        <f>IF($C$25&gt;=3,"λj ≦ q &lt; λj+1 の wBj+1", "-")</f>
        <v>λj ≦ q &lt; λj+1 の wBj+1</v>
      </c>
      <c r="N120" s="44" t="e">
        <f ca="1">IF($C$25&gt;=3, INDEX(INDIRECT($H$52&amp;"!C:C"), MATCH($N$46, INDIRECT($H$52&amp;"!A:A"), 0)),"-")</f>
        <v>#VALUE!</v>
      </c>
    </row>
    <row r="121" spans="11:14" x14ac:dyDescent="0.4">
      <c r="K121" s="3">
        <f t="shared" si="2"/>
        <v>121</v>
      </c>
      <c r="L121" s="45" t="s">
        <v>334</v>
      </c>
      <c r="M121" s="54" t="str">
        <f>IF($C$25&gt;=4,"λj ≦ q+pz &lt; λj+1 の wBj+1", "-")</f>
        <v>λj ≦ q+pz &lt; λj+1 の wBj+1</v>
      </c>
      <c r="N121" s="44" t="e">
        <f ca="1">IF($C$25&gt;=4, INDEX(INDIRECT($H$52&amp;"!C:C"), MATCH($N$47, INDIRECT($H$52&amp;"!A:A"), 0)),"-")</f>
        <v>#VALUE!</v>
      </c>
    </row>
    <row r="122" spans="11:14" x14ac:dyDescent="0.4">
      <c r="K122" s="3">
        <f t="shared" si="2"/>
        <v>122</v>
      </c>
      <c r="L122" s="45" t="s">
        <v>335</v>
      </c>
      <c r="M122" s="54" t="str">
        <f>IF($C$25&gt;=5,"λj ≦ q+2pz &lt; λj+1 の wBj+1", "-")</f>
        <v>λj ≦ q+2pz &lt; λj+1 の wBj+1</v>
      </c>
      <c r="N122" s="44" t="e">
        <f ca="1">IF($C$25&gt;=5, INDEX(INDIRECT($H$52&amp;"!C:C"), MATCH($N$48, INDIRECT($H$52&amp;"!A:A"), 0)),"-")</f>
        <v>#VALUE!</v>
      </c>
    </row>
    <row r="123" spans="11:14" x14ac:dyDescent="0.4">
      <c r="K123" s="3">
        <f t="shared" si="2"/>
        <v>123</v>
      </c>
      <c r="L123" s="45" t="s">
        <v>336</v>
      </c>
      <c r="M123" s="54" t="str">
        <f>IF($C$25&gt;=6,"λj ≦ q+3pz &lt; λj+1 の wBj+1", "-")</f>
        <v>-</v>
      </c>
      <c r="N123" s="44" t="str">
        <f ca="1">IF($C$25&gt;=6, INDEX(INDIRECT($H$52&amp;"!C:C"), MATCH($N$49, INDIRECT($H$52&amp;"!A:A"), 0)),"-")</f>
        <v>-</v>
      </c>
    </row>
    <row r="124" spans="11:14" x14ac:dyDescent="0.4">
      <c r="K124" s="3">
        <f t="shared" si="2"/>
        <v>124</v>
      </c>
      <c r="L124" s="45" t="s">
        <v>337</v>
      </c>
      <c r="M124" s="54" t="str">
        <f>IF($C$25&gt;=7,"λj ≦ q+4pz &lt; λj+1 の wBj+1", "-")</f>
        <v>-</v>
      </c>
      <c r="N124" s="44" t="str">
        <f ca="1">IF($C$25&gt;=7, INDEX(INDIRECT($H$52&amp;"!C:C"), MATCH($N$50, INDIRECT($H$52&amp;"!A:A"), 0)),"-")</f>
        <v>-</v>
      </c>
    </row>
    <row r="125" spans="11:14" x14ac:dyDescent="0.4">
      <c r="K125" s="3">
        <f t="shared" si="2"/>
        <v>125</v>
      </c>
      <c r="L125" s="45" t="s">
        <v>338</v>
      </c>
      <c r="M125" s="54" t="str">
        <f>IF($C$25&gt;=8,"λj ≦ q+5pz &lt; λj+1 の wBj+1", "-")</f>
        <v>-</v>
      </c>
      <c r="N125" s="44" t="str">
        <f ca="1">IF($C$25&gt;=8, INDEX(INDIRECT($H$52&amp;"!C:C"), MATCH($N$51, INDIRECT($H$52&amp;"!A:A"), 0)),"-")</f>
        <v>-</v>
      </c>
    </row>
    <row r="126" spans="11:14" x14ac:dyDescent="0.4">
      <c r="K126" s="3">
        <f t="shared" si="2"/>
        <v>126</v>
      </c>
      <c r="L126" s="45" t="s">
        <v>339</v>
      </c>
      <c r="M126" s="54" t="s">
        <v>343</v>
      </c>
      <c r="N126" s="2" t="e">
        <f ca="1">INDEX(INDIRECT($H$52&amp;"!C:C"), MATCH($N$52, INDIRECT($H$52&amp;"!A:A"), 0))</f>
        <v>#VALUE!</v>
      </c>
    </row>
    <row r="127" spans="11:14" x14ac:dyDescent="0.4">
      <c r="K127" s="3">
        <f t="shared" si="2"/>
        <v>127</v>
      </c>
      <c r="L127" s="45" t="s">
        <v>340</v>
      </c>
      <c r="M127" s="54" t="s">
        <v>344</v>
      </c>
      <c r="N127" s="2" t="e">
        <f ca="1">INDEX(INDIRECT($H$52&amp;"!C:C"), MATCH($N$53, INDIRECT($H$52&amp;"!A:A"), 0))</f>
        <v>#VALUE!</v>
      </c>
    </row>
    <row r="128" spans="11:14" x14ac:dyDescent="0.4">
      <c r="K128" s="3">
        <f t="shared" si="2"/>
        <v>128</v>
      </c>
      <c r="L128" s="45" t="s">
        <v>361</v>
      </c>
      <c r="M128" s="55" t="str">
        <f>IF($C$25&gt;=4,"2列目AC内径（水平・めっき含・概算）","-")</f>
        <v>2列目AC内径（水平・めっき含・概算）</v>
      </c>
      <c r="N128" s="44" t="e">
        <f ca="1">IF($C$25&gt;=4,($N$55*$N$87+$N$63*$N$79)/($N$47-$N$39)+$C$31*2,"-")</f>
        <v>#VALUE!</v>
      </c>
    </row>
    <row r="129" spans="11:14" x14ac:dyDescent="0.4">
      <c r="K129" s="3">
        <f t="shared" si="2"/>
        <v>129</v>
      </c>
      <c r="L129" s="45" t="s">
        <v>362</v>
      </c>
      <c r="M129" s="55" t="str">
        <f>IF($C$25&gt;=5,"3列目AC内径（水平・めっき含・概算）","-")</f>
        <v>3列目AC内径（水平・めっき含・概算）</v>
      </c>
      <c r="N129" s="44" t="e">
        <f ca="1">IF($C$25&gt;=5,($N$56*$N$88+$N$64*$N$80)/($N$48-$N$40)+$C$31*2,"-")</f>
        <v>#VALUE!</v>
      </c>
    </row>
    <row r="130" spans="11:14" x14ac:dyDescent="0.4">
      <c r="K130" s="3">
        <f t="shared" si="2"/>
        <v>130</v>
      </c>
      <c r="L130" s="45" t="s">
        <v>363</v>
      </c>
      <c r="M130" s="55" t="str">
        <f>IF($C$25&gt;=6,"4列目AC内径（水平・めっき含・概算）","-")</f>
        <v>-</v>
      </c>
      <c r="N130" s="44" t="str">
        <f>IF($C$25&gt;=6,($N$57*$N$89+$N$65*$N$81)/($N$49-$N$41)+$C$31*2,"-")</f>
        <v>-</v>
      </c>
    </row>
    <row r="131" spans="11:14" x14ac:dyDescent="0.4">
      <c r="K131" s="3">
        <f t="shared" si="2"/>
        <v>131</v>
      </c>
      <c r="L131" s="45" t="s">
        <v>364</v>
      </c>
      <c r="M131" s="55" t="str">
        <f>IF($C$25&gt;=7,"5列目AC内径（水平・めっき含・概算）","-")</f>
        <v>-</v>
      </c>
      <c r="N131" s="44" t="str">
        <f>IF($C$25&gt;=7,($N$58*$N$90+$N$66*$N$82)/($N$50-$N$42)+$C$31*2,"-")</f>
        <v>-</v>
      </c>
    </row>
    <row r="132" spans="11:14" x14ac:dyDescent="0.4">
      <c r="K132" s="3">
        <f t="shared" si="2"/>
        <v>132</v>
      </c>
      <c r="L132" s="45" t="s">
        <v>365</v>
      </c>
      <c r="M132" s="55" t="str">
        <f>IF($C$25&gt;=8,"6列目AC内径（水平・めっき含・概算）","-")</f>
        <v>-</v>
      </c>
      <c r="N132" s="44" t="str">
        <f>IF($C$25&gt;=8,($N$59*$N$91+$N$67*$N$83)/($N$51-$N$43)+$C$31*2,"-")</f>
        <v>-</v>
      </c>
    </row>
    <row r="133" spans="11:14" x14ac:dyDescent="0.4">
      <c r="K133" s="3">
        <f t="shared" si="2"/>
        <v>133</v>
      </c>
      <c r="L133" s="45" t="s">
        <v>366</v>
      </c>
      <c r="M133" s="55" t="s">
        <v>351</v>
      </c>
      <c r="N133" s="2" t="e">
        <f ca="1">($N$60*$N$92+$N$68*$N$84)/($N$52-$N$44)+$C$31*2</f>
        <v>#VALUE!</v>
      </c>
    </row>
    <row r="134" spans="11:14" x14ac:dyDescent="0.4">
      <c r="K134" s="3">
        <f t="shared" si="2"/>
        <v>134</v>
      </c>
      <c r="L134" s="45" t="s">
        <v>307</v>
      </c>
      <c r="M134" s="55" t="s">
        <v>353</v>
      </c>
      <c r="N134" s="2" t="e">
        <f ca="1">INDEX(INDIRECT($H$52&amp;"!C:C"), MATCH(0, INDIRECT($H$52&amp;"!A:A"), 0))+$C$31*2</f>
        <v>#VALUE!</v>
      </c>
    </row>
    <row r="135" spans="11:14" x14ac:dyDescent="0.4">
      <c r="K135" s="3">
        <f t="shared" si="2"/>
        <v>135</v>
      </c>
      <c r="L135" s="45" t="s">
        <v>350</v>
      </c>
      <c r="M135" s="55" t="str">
        <f>IF($C$25&gt;=3,"1列目 BD内径（めっき含・概算）","-")</f>
        <v>1列目 BD内径（めっき含・概算）</v>
      </c>
      <c r="N135" s="44" t="e">
        <f ca="1">IF($C$25&gt;=3,($N$54*$N$120+$N$62*$N$112)/($N$46-$N$38)+$C$31*2,"-")</f>
        <v>#VALUE!</v>
      </c>
    </row>
    <row r="136" spans="11:14" x14ac:dyDescent="0.4">
      <c r="K136" s="3">
        <f t="shared" si="2"/>
        <v>136</v>
      </c>
      <c r="L136" s="45" t="s">
        <v>355</v>
      </c>
      <c r="M136" s="55" t="str">
        <f>IF($C$25&gt;=4,"2列目 BD内径（めっき含・概算）","-")</f>
        <v>2列目 BD内径（めっき含・概算）</v>
      </c>
      <c r="N136" s="44" t="e">
        <f ca="1">IF($C$25&gt;=4,($N$55*$N$121+$N$63*$N$113)/($N$47-$N$39)+$C$31*2,"-")</f>
        <v>#VALUE!</v>
      </c>
    </row>
    <row r="137" spans="11:14" x14ac:dyDescent="0.4">
      <c r="K137" s="3">
        <f t="shared" si="2"/>
        <v>137</v>
      </c>
      <c r="L137" s="45" t="s">
        <v>356</v>
      </c>
      <c r="M137" s="55" t="str">
        <f>IF($C$25&gt;=5,"3列目 BD内径（めっき含・概算）","-")</f>
        <v>3列目 BD内径（めっき含・概算）</v>
      </c>
      <c r="N137" s="44" t="e">
        <f ca="1">IF($C$25&gt;=5,($N$56*$N$122+$N$64*$N$114)/($N$48-$N$40)+$C$31*2,"-")</f>
        <v>#VALUE!</v>
      </c>
    </row>
    <row r="138" spans="11:14" x14ac:dyDescent="0.4">
      <c r="K138" s="3">
        <f t="shared" si="2"/>
        <v>138</v>
      </c>
      <c r="L138" s="45" t="s">
        <v>357</v>
      </c>
      <c r="M138" s="55" t="str">
        <f>IF($C$25&gt;=6,"4列目 BD内径（めっき含・概算）","-")</f>
        <v>-</v>
      </c>
      <c r="N138" s="44" t="str">
        <f>IF($C$25&gt;=6,($N$57*$N$123+$N$65*$N$115)/($N$49-$N$41)+$C$31*2,"-")</f>
        <v>-</v>
      </c>
    </row>
    <row r="139" spans="11:14" x14ac:dyDescent="0.4">
      <c r="K139" s="3">
        <f t="shared" si="2"/>
        <v>139</v>
      </c>
      <c r="L139" s="45" t="s">
        <v>358</v>
      </c>
      <c r="M139" s="55" t="str">
        <f>IF($C$25&gt;=7,"5列目 BD内径（めっき含・概算）","-")</f>
        <v>-</v>
      </c>
      <c r="N139" s="44" t="str">
        <f>IF($C$25&gt;=7,($N$58*$N$124+$N$66*$N$116)/($N$50-$N$42)+$C$31*2,"-")</f>
        <v>-</v>
      </c>
    </row>
    <row r="140" spans="11:14" x14ac:dyDescent="0.4">
      <c r="K140" s="3">
        <f t="shared" si="2"/>
        <v>140</v>
      </c>
      <c r="L140" s="45" t="s">
        <v>359</v>
      </c>
      <c r="M140" s="55" t="str">
        <f>IF($C$25&gt;=8,"6列目 BD内径（めっき含・概算）","-")</f>
        <v>-</v>
      </c>
      <c r="N140" s="44" t="str">
        <f>IF($C$25&gt;=8,($N$59*$N$125+$N$67*$N$117)/($N$51-$N$43)+$C$31*2,"-")</f>
        <v>-</v>
      </c>
    </row>
    <row r="141" spans="11:14" x14ac:dyDescent="0.4">
      <c r="K141" s="3">
        <f t="shared" si="2"/>
        <v>141</v>
      </c>
      <c r="L141" s="45" t="s">
        <v>360</v>
      </c>
      <c r="M141" s="55" t="s">
        <v>354</v>
      </c>
      <c r="N141" s="2" t="e">
        <f ca="1">($N$60*$N$126+$N$68*$N$118)/($N$52-$N$44)+$C$31*2</f>
        <v>#VALUE!</v>
      </c>
    </row>
    <row r="142" spans="11:14" x14ac:dyDescent="0.4">
      <c r="K142" s="3">
        <f t="shared" si="2"/>
        <v>142</v>
      </c>
    </row>
    <row r="143" spans="11:14" x14ac:dyDescent="0.4">
      <c r="K143" s="3">
        <f t="shared" si="2"/>
        <v>143</v>
      </c>
    </row>
    <row r="144" spans="11:14" x14ac:dyDescent="0.4">
      <c r="K144" s="3">
        <f t="shared" si="2"/>
        <v>144</v>
      </c>
    </row>
    <row r="145" spans="11:14" x14ac:dyDescent="0.4">
      <c r="K145" s="3">
        <f t="shared" si="2"/>
        <v>145</v>
      </c>
      <c r="L145" s="45" t="s">
        <v>190</v>
      </c>
      <c r="N145" s="2">
        <f>C6^2+(2*N9)^2</f>
        <v>384400</v>
      </c>
    </row>
    <row r="146" spans="11:14" x14ac:dyDescent="0.4">
      <c r="K146" s="3">
        <f t="shared" si="2"/>
        <v>146</v>
      </c>
      <c r="L146" s="45" t="s">
        <v>191</v>
      </c>
      <c r="M146" s="54" t="s">
        <v>30</v>
      </c>
      <c r="N146" s="2">
        <f>SQRT(N145)</f>
        <v>620</v>
      </c>
    </row>
    <row r="147" spans="11:14" x14ac:dyDescent="0.4">
      <c r="K147" s="3">
        <f t="shared" si="2"/>
        <v>147</v>
      </c>
      <c r="L147" s="45" t="s">
        <v>65</v>
      </c>
      <c r="M147" s="54" t="s">
        <v>31</v>
      </c>
      <c r="N147" s="2">
        <f>2*N9/N146</f>
        <v>1</v>
      </c>
    </row>
    <row r="148" spans="11:14" x14ac:dyDescent="0.4">
      <c r="K148" s="3">
        <f t="shared" si="2"/>
        <v>148</v>
      </c>
      <c r="L148" s="45" t="s">
        <v>66</v>
      </c>
      <c r="M148" s="54" t="s">
        <v>32</v>
      </c>
      <c r="N148" s="2">
        <f>C6/N146</f>
        <v>0</v>
      </c>
    </row>
    <row r="149" spans="11:14" x14ac:dyDescent="0.4">
      <c r="K149" s="3">
        <f t="shared" si="2"/>
        <v>149</v>
      </c>
      <c r="L149" s="45" t="s">
        <v>192</v>
      </c>
      <c r="N149" s="2">
        <f>SQRT(N8^2-(N9-N12)^2)</f>
        <v>5748.1969262108623</v>
      </c>
    </row>
    <row r="150" spans="11:14" x14ac:dyDescent="0.4">
      <c r="K150" s="3">
        <f t="shared" si="2"/>
        <v>150</v>
      </c>
      <c r="L150" s="45" t="s">
        <v>193</v>
      </c>
      <c r="N150" s="2">
        <f>SQRT(N8^2-(N9+N12)^2)</f>
        <v>5748.1969262108623</v>
      </c>
    </row>
    <row r="151" spans="11:14" x14ac:dyDescent="0.4">
      <c r="K151" s="3">
        <f t="shared" si="2"/>
        <v>151</v>
      </c>
      <c r="L151" s="45" t="s">
        <v>194</v>
      </c>
      <c r="N151" s="2">
        <f>N12*N9</f>
        <v>0</v>
      </c>
    </row>
    <row r="152" spans="11:14" x14ac:dyDescent="0.4">
      <c r="K152" s="3">
        <f t="shared" si="2"/>
        <v>152</v>
      </c>
      <c r="L152" s="45" t="s">
        <v>195</v>
      </c>
      <c r="N152" s="2">
        <f>SQRT(N8^2-N145/4)</f>
        <v>5748.1969262108623</v>
      </c>
    </row>
    <row r="153" spans="11:14" x14ac:dyDescent="0.4">
      <c r="K153" s="3">
        <f t="shared" si="2"/>
        <v>153</v>
      </c>
      <c r="L153" s="45" t="s">
        <v>76</v>
      </c>
      <c r="N153" s="2">
        <f>N152*N147</f>
        <v>5748.1969262108623</v>
      </c>
    </row>
    <row r="154" spans="11:14" x14ac:dyDescent="0.4">
      <c r="K154" s="3">
        <f t="shared" si="2"/>
        <v>154</v>
      </c>
      <c r="L154" s="45" t="s">
        <v>77</v>
      </c>
      <c r="M154" s="54" t="s">
        <v>28</v>
      </c>
      <c r="N154" s="2">
        <f>N152*N148</f>
        <v>0</v>
      </c>
    </row>
    <row r="155" spans="11:14" x14ac:dyDescent="0.4">
      <c r="K155" s="3">
        <f t="shared" si="2"/>
        <v>155</v>
      </c>
      <c r="L155" s="45" t="s">
        <v>43</v>
      </c>
      <c r="M155" s="54" t="s">
        <v>27</v>
      </c>
      <c r="N155" s="2">
        <f>C6/2+N7-N153</f>
        <v>0</v>
      </c>
    </row>
    <row r="170" spans="12:14" x14ac:dyDescent="0.4">
      <c r="L170" s="54"/>
      <c r="M170" s="55"/>
      <c r="N170" s="1"/>
    </row>
  </sheetData>
  <phoneticPr fontId="1"/>
  <conditionalFormatting sqref="C3">
    <cfRule type="expression" dxfId="40" priority="29">
      <formula>$C$3&gt;2*N151</formula>
    </cfRule>
  </conditionalFormatting>
  <conditionalFormatting sqref="C4">
    <cfRule type="expression" dxfId="39" priority="22">
      <formula>C4&lt;0</formula>
    </cfRule>
  </conditionalFormatting>
  <conditionalFormatting sqref="C6">
    <cfRule type="expression" dxfId="38" priority="14">
      <formula>$C$6&lt;0</formula>
    </cfRule>
  </conditionalFormatting>
  <conditionalFormatting sqref="C9">
    <cfRule type="expression" dxfId="37" priority="23">
      <formula>$C$9&lt;=0</formula>
    </cfRule>
  </conditionalFormatting>
  <conditionalFormatting sqref="C10:C11">
    <cfRule type="expression" dxfId="36" priority="15">
      <formula>$C$10&lt;0</formula>
    </cfRule>
  </conditionalFormatting>
  <conditionalFormatting sqref="C15">
    <cfRule type="expression" dxfId="35" priority="27">
      <formula>OR(C15&lt;=0, C15&gt;Q2)</formula>
    </cfRule>
  </conditionalFormatting>
  <conditionalFormatting sqref="C35">
    <cfRule type="expression" dxfId="34" priority="21">
      <formula>C35&lt;0</formula>
    </cfRule>
  </conditionalFormatting>
  <conditionalFormatting sqref="C36">
    <cfRule type="expression" dxfId="33" priority="26">
      <formula>OR($C$36&lt;0, $C$36&gt;=$C$9)</formula>
    </cfRule>
  </conditionalFormatting>
  <conditionalFormatting sqref="C37">
    <cfRule type="expression" dxfId="32" priority="13">
      <formula>OR($C$37&lt;0, $C$37&gt;=$C$10)</formula>
    </cfRule>
  </conditionalFormatting>
  <conditionalFormatting sqref="C38">
    <cfRule type="expression" dxfId="31" priority="28">
      <formula>OR(C38&lt;0, C38&gt;=C9)</formula>
    </cfRule>
  </conditionalFormatting>
  <conditionalFormatting sqref="C39">
    <cfRule type="expression" dxfId="30" priority="30">
      <formula>OR(C39&lt;0, C39&gt;=C4)</formula>
    </cfRule>
  </conditionalFormatting>
  <conditionalFormatting sqref="C42">
    <cfRule type="expression" dxfId="29" priority="31">
      <formula>OR(C42&lt;0, C42&gt;=C4)</formula>
    </cfRule>
  </conditionalFormatting>
  <conditionalFormatting sqref="C59">
    <cfRule type="expression" dxfId="28" priority="25">
      <formula>AND(C59&lt;&gt;330, C59&lt;&gt;270, C59&lt;&gt;250)</formula>
    </cfRule>
  </conditionalFormatting>
  <conditionalFormatting sqref="C60">
    <cfRule type="expression" dxfId="27" priority="24">
      <formula>C60&lt;&gt;40</formula>
    </cfRule>
  </conditionalFormatting>
  <conditionalFormatting sqref="C63">
    <cfRule type="expression" dxfId="26" priority="17">
      <formula>OR(C63&gt;0, ABS(ABS(C63)-740)&gt;=1)</formula>
    </cfRule>
  </conditionalFormatting>
  <conditionalFormatting sqref="C64">
    <cfRule type="expression" dxfId="25" priority="20">
      <formula>OR(C64&gt;0, ABS(ABS(C64)-550)&gt;=1)</formula>
    </cfRule>
  </conditionalFormatting>
  <conditionalFormatting sqref="C65">
    <cfRule type="expression" dxfId="24" priority="18">
      <formula>OR(C65&gt;0, ABS(ABS(C65)-1150)&gt;=1)</formula>
    </cfRule>
  </conditionalFormatting>
  <conditionalFormatting sqref="C66">
    <cfRule type="expression" dxfId="23" priority="19">
      <formula>OR(ABS(C66)&gt;=0.2)</formula>
    </cfRule>
  </conditionalFormatting>
  <conditionalFormatting sqref="H48">
    <cfRule type="expression" dxfId="22" priority="16">
      <formula>OR($H$48&lt;=1, INT($H$48)&lt;&gt;$H$48)</formula>
    </cfRule>
  </conditionalFormatting>
  <conditionalFormatting sqref="H52">
    <cfRule type="expression" dxfId="21" priority="12">
      <formula>ISERROR(INDIRECT($H$52&amp;"!$G$45"))</formula>
    </cfRule>
  </conditionalFormatting>
  <conditionalFormatting sqref="C25">
    <cfRule type="expression" dxfId="20" priority="32">
      <formula>OR(C25-QUOTIENT(C25,1)&lt;&gt;0, C25&lt;0, C25&gt;$C$67)</formula>
    </cfRule>
  </conditionalFormatting>
  <conditionalFormatting sqref="H50">
    <cfRule type="expression" dxfId="19" priority="11">
      <formula>OR($H$50&lt;1, INT($H$50)&lt;&gt;$H$50)</formula>
    </cfRule>
  </conditionalFormatting>
  <conditionalFormatting sqref="H51">
    <cfRule type="expression" dxfId="18" priority="10">
      <formula>OR($H$51&lt;0, INT($H$51)&lt;&gt;$H$51)</formula>
    </cfRule>
  </conditionalFormatting>
  <conditionalFormatting sqref="C23">
    <cfRule type="expression" dxfId="17" priority="33">
      <formula>OR($C$23&lt;=0, MOD($C$23,$C$22)&lt;&gt;0, $C$23&gt;=#REF!)</formula>
    </cfRule>
  </conditionalFormatting>
  <conditionalFormatting sqref="C26">
    <cfRule type="expression" dxfId="16" priority="34">
      <formula>OR($C$26&lt;=0, $C$26&gt;=MIN($C$23, $C$24))</formula>
    </cfRule>
  </conditionalFormatting>
  <conditionalFormatting sqref="N128:N133">
    <cfRule type="expression" dxfId="15" priority="9">
      <formula>$H$51&lt;0</formula>
    </cfRule>
  </conditionalFormatting>
  <conditionalFormatting sqref="N134:N141">
    <cfRule type="expression" dxfId="14" priority="8">
      <formula>$H$51&lt;0</formula>
    </cfRule>
  </conditionalFormatting>
  <conditionalFormatting sqref="C16">
    <cfRule type="expression" dxfId="13" priority="35">
      <formula>OR(C16&lt;=0, C16+C15&gt;Q2)</formula>
    </cfRule>
  </conditionalFormatting>
  <conditionalFormatting sqref="G1:G1048576">
    <cfRule type="expression" dxfId="12" priority="4">
      <formula>G1="X"</formula>
    </cfRule>
    <cfRule type="expression" dxfId="11" priority="5">
      <formula>G1="Y"</formula>
    </cfRule>
    <cfRule type="expression" dxfId="10" priority="6">
      <formula>G1="Z"</formula>
    </cfRule>
    <cfRule type="expression" dxfId="9" priority="7">
      <formula>G1="B"</formula>
    </cfRule>
  </conditionalFormatting>
  <conditionalFormatting sqref="H81:H96">
    <cfRule type="expression" dxfId="8" priority="3">
      <formula>$H$51&lt;0</formula>
    </cfRule>
  </conditionalFormatting>
  <conditionalFormatting sqref="C13">
    <cfRule type="expression" dxfId="7" priority="36">
      <formula>OR($C$13&gt;=$C$9, $C$13&gt;=$C$40)</formula>
    </cfRule>
  </conditionalFormatting>
  <conditionalFormatting sqref="C14">
    <cfRule type="expression" dxfId="6" priority="37">
      <formula>OR($C$14&gt;=$C$10, $C$14&gt;=$C$40)</formula>
    </cfRule>
  </conditionalFormatting>
  <conditionalFormatting sqref="C17">
    <cfRule type="expression" dxfId="5" priority="38">
      <formula>OR($C$17&lt;=0, $C$17&gt;=($C$9-#REF!)/2, $C$17&gt;=($C$36-#REF!)/2)</formula>
    </cfRule>
  </conditionalFormatting>
  <conditionalFormatting sqref="H77">
    <cfRule type="expression" dxfId="4" priority="39">
      <formula>$H$77&lt;=$C$27/2+$C$28</formula>
    </cfRule>
  </conditionalFormatting>
  <conditionalFormatting sqref="C27">
    <cfRule type="expression" dxfId="3" priority="2">
      <formula>OR($C$27&lt;=0, $C$27&gt;$C$26)</formula>
    </cfRule>
  </conditionalFormatting>
  <conditionalFormatting sqref="H49">
    <cfRule type="expression" dxfId="2" priority="1">
      <formula>OR($H$49&lt;0, INT($H$49)&lt;&gt;$H$49)</formula>
    </cfRule>
  </conditionalFormatting>
  <dataValidations count="1">
    <dataValidation imeMode="disabled" allowBlank="1" showInputMessage="1" showErrorMessage="1" sqref="C58:C67 H79 N128:N141 C47:C50 C53:C56 H54:H72 H81:H96 C3:C32 G1:G1048576" xr:uid="{6FF1CBA6-3527-4C83-B52C-7ADBA1A2B23E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L53" sqref="L53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205</v>
      </c>
      <c r="B1" s="41" t="s">
        <v>206</v>
      </c>
      <c r="C1" s="41" t="s">
        <v>207</v>
      </c>
      <c r="D1" s="40" t="s">
        <v>208</v>
      </c>
      <c r="E1" s="42" t="s">
        <v>209</v>
      </c>
      <c r="F1" s="42" t="s">
        <v>210</v>
      </c>
      <c r="G1" s="42" t="s">
        <v>211</v>
      </c>
      <c r="H1" s="40" t="s">
        <v>212</v>
      </c>
      <c r="I1" s="40" t="s">
        <v>213</v>
      </c>
      <c r="J1" s="40" t="s">
        <v>214</v>
      </c>
      <c r="K1" s="40" t="s">
        <v>215</v>
      </c>
      <c r="L1" s="40" t="s">
        <v>216</v>
      </c>
      <c r="M1" s="40" t="s">
        <v>216</v>
      </c>
      <c r="N1" s="40" t="s">
        <v>217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118</v>
      </c>
      <c r="F2" s="42" t="s">
        <v>118</v>
      </c>
      <c r="G2" s="42" t="s">
        <v>118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" priority="2">
      <formula>$A2&lt;&gt;""</formula>
    </cfRule>
  </conditionalFormatting>
  <conditionalFormatting sqref="I2:N42">
    <cfRule type="expression" dxfId="0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position_1916</vt:lpstr>
      <vt:lpstr>position_2414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2024-02-01T04:02:50Z</dcterms:modified>
</cp:coreProperties>
</file>