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Database\"/>
    </mc:Choice>
  </mc:AlternateContent>
  <xr:revisionPtr revIDLastSave="0" documentId="13_ncr:1_{B799E142-355F-44DE-82B3-B2C5F8BB547A}" xr6:coauthVersionLast="47" xr6:coauthVersionMax="47" xr10:uidLastSave="{00000000-0000-0000-0000-000000000000}"/>
  <bookViews>
    <workbookView xWindow="28680" yWindow="-120" windowWidth="37710" windowHeight="21840" tabRatio="638" activeTab="2" xr2:uid="{331D296A-DE97-4357-9338-22F5C8F49D08}"/>
  </bookViews>
  <sheets>
    <sheet name="position_1916" sheetId="17" r:id="rId1"/>
    <sheet name="position_2414" sheetId="20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5" i="20" l="1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N140" i="20"/>
  <c r="M140" i="20"/>
  <c r="K140" i="20"/>
  <c r="N139" i="20"/>
  <c r="M139" i="20"/>
  <c r="K139" i="20"/>
  <c r="M138" i="20"/>
  <c r="K138" i="20"/>
  <c r="M137" i="20"/>
  <c r="K137" i="20"/>
  <c r="M136" i="20"/>
  <c r="K136" i="20"/>
  <c r="M135" i="20"/>
  <c r="K135" i="20"/>
  <c r="K134" i="20"/>
  <c r="K133" i="20"/>
  <c r="N132" i="20"/>
  <c r="M132" i="20"/>
  <c r="K132" i="20"/>
  <c r="N131" i="20"/>
  <c r="M131" i="20"/>
  <c r="K131" i="20"/>
  <c r="M130" i="20"/>
  <c r="K130" i="20"/>
  <c r="M129" i="20"/>
  <c r="K129" i="20"/>
  <c r="M128" i="20"/>
  <c r="K128" i="20"/>
  <c r="K127" i="20"/>
  <c r="K126" i="20"/>
  <c r="N125" i="20"/>
  <c r="M125" i="20"/>
  <c r="K125" i="20"/>
  <c r="N124" i="20"/>
  <c r="M124" i="20"/>
  <c r="K124" i="20"/>
  <c r="M123" i="20"/>
  <c r="K123" i="20"/>
  <c r="M122" i="20"/>
  <c r="K122" i="20"/>
  <c r="M121" i="20"/>
  <c r="K121" i="20"/>
  <c r="M120" i="20"/>
  <c r="K120" i="20"/>
  <c r="K119" i="20"/>
  <c r="K118" i="20"/>
  <c r="N117" i="20"/>
  <c r="M117" i="20"/>
  <c r="K117" i="20"/>
  <c r="N116" i="20"/>
  <c r="M116" i="20"/>
  <c r="K116" i="20"/>
  <c r="M115" i="20"/>
  <c r="K115" i="20"/>
  <c r="M114" i="20"/>
  <c r="K114" i="20"/>
  <c r="M113" i="20"/>
  <c r="K113" i="20"/>
  <c r="M112" i="20"/>
  <c r="K112" i="20"/>
  <c r="K111" i="20"/>
  <c r="K110" i="20"/>
  <c r="N109" i="20"/>
  <c r="K109" i="20"/>
  <c r="N108" i="20"/>
  <c r="K108" i="20"/>
  <c r="K107" i="20"/>
  <c r="K106" i="20"/>
  <c r="K105" i="20"/>
  <c r="K104" i="20"/>
  <c r="K103" i="20"/>
  <c r="K102" i="20"/>
  <c r="K101" i="20"/>
  <c r="K100" i="20"/>
  <c r="K99" i="20"/>
  <c r="K98" i="20"/>
  <c r="H98" i="20"/>
  <c r="I98" i="20" s="1"/>
  <c r="K97" i="20"/>
  <c r="K96" i="20"/>
  <c r="K95" i="20"/>
  <c r="K94" i="20"/>
  <c r="H94" i="20"/>
  <c r="F94" i="20"/>
  <c r="K93" i="20"/>
  <c r="H93" i="20"/>
  <c r="F93" i="20"/>
  <c r="K92" i="20"/>
  <c r="F92" i="20"/>
  <c r="N91" i="20"/>
  <c r="M91" i="20"/>
  <c r="K91" i="20"/>
  <c r="F91" i="20"/>
  <c r="N90" i="20"/>
  <c r="M90" i="20"/>
  <c r="K90" i="20"/>
  <c r="F90" i="20"/>
  <c r="M89" i="20"/>
  <c r="K89" i="20"/>
  <c r="F89" i="20"/>
  <c r="M88" i="20"/>
  <c r="K88" i="20"/>
  <c r="M87" i="20"/>
  <c r="K87" i="20"/>
  <c r="M86" i="20"/>
  <c r="K86" i="20"/>
  <c r="H86" i="20"/>
  <c r="F86" i="20"/>
  <c r="K85" i="20"/>
  <c r="H85" i="20"/>
  <c r="F85" i="20"/>
  <c r="K84" i="20"/>
  <c r="F84" i="20"/>
  <c r="N83" i="20"/>
  <c r="M83" i="20"/>
  <c r="K83" i="20"/>
  <c r="F83" i="20"/>
  <c r="N82" i="20"/>
  <c r="M82" i="20"/>
  <c r="K82" i="20"/>
  <c r="F82" i="20"/>
  <c r="M81" i="20"/>
  <c r="K81" i="20"/>
  <c r="F81" i="20"/>
  <c r="M80" i="20"/>
  <c r="K80" i="20"/>
  <c r="M79" i="20"/>
  <c r="K79" i="20"/>
  <c r="M78" i="20"/>
  <c r="K78" i="20"/>
  <c r="K77" i="20"/>
  <c r="K76" i="20"/>
  <c r="N75" i="20"/>
  <c r="M75" i="20"/>
  <c r="K75" i="20"/>
  <c r="N74" i="20"/>
  <c r="M74" i="20"/>
  <c r="K74" i="20"/>
  <c r="M73" i="20"/>
  <c r="K73" i="20"/>
  <c r="M72" i="20"/>
  <c r="K72" i="20"/>
  <c r="M71" i="20"/>
  <c r="K71" i="20"/>
  <c r="F71" i="20"/>
  <c r="M70" i="20"/>
  <c r="K70" i="20"/>
  <c r="K69" i="20"/>
  <c r="K68" i="20"/>
  <c r="N67" i="20"/>
  <c r="M67" i="20"/>
  <c r="K67" i="20"/>
  <c r="I67" i="20"/>
  <c r="H67" i="20"/>
  <c r="F67" i="20"/>
  <c r="N66" i="20"/>
  <c r="M66" i="20"/>
  <c r="K66" i="20"/>
  <c r="I66" i="20"/>
  <c r="H66" i="20"/>
  <c r="F66" i="20"/>
  <c r="M65" i="20"/>
  <c r="K65" i="20"/>
  <c r="F65" i="20"/>
  <c r="M64" i="20"/>
  <c r="K64" i="20"/>
  <c r="F64" i="20"/>
  <c r="M63" i="20"/>
  <c r="K63" i="20"/>
  <c r="F63" i="20"/>
  <c r="M62" i="20"/>
  <c r="K62" i="20"/>
  <c r="F62" i="20"/>
  <c r="K61" i="20"/>
  <c r="K60" i="20"/>
  <c r="N59" i="20"/>
  <c r="M59" i="20"/>
  <c r="K59" i="20"/>
  <c r="H59" i="20"/>
  <c r="F59" i="20"/>
  <c r="N58" i="20"/>
  <c r="M58" i="20"/>
  <c r="K58" i="20"/>
  <c r="H58" i="20"/>
  <c r="F58" i="20"/>
  <c r="M57" i="20"/>
  <c r="K57" i="20"/>
  <c r="F57" i="20"/>
  <c r="M56" i="20"/>
  <c r="K56" i="20"/>
  <c r="F56" i="20"/>
  <c r="M55" i="20"/>
  <c r="K55" i="20"/>
  <c r="F55" i="20"/>
  <c r="M54" i="20"/>
  <c r="K54" i="20"/>
  <c r="F54" i="20"/>
  <c r="K53" i="20"/>
  <c r="K52" i="20"/>
  <c r="H52" i="20"/>
  <c r="N51" i="20" a="1"/>
  <c r="N51" i="20" s="1"/>
  <c r="M51" i="20"/>
  <c r="K51" i="20"/>
  <c r="H51" i="20"/>
  <c r="N50" i="20" a="1"/>
  <c r="N50" i="20" s="1"/>
  <c r="M50" i="20"/>
  <c r="K50" i="20"/>
  <c r="H50" i="20"/>
  <c r="M49" i="20"/>
  <c r="K49" i="20"/>
  <c r="H49" i="20"/>
  <c r="M48" i="20"/>
  <c r="K48" i="20"/>
  <c r="H48" i="20"/>
  <c r="M47" i="20"/>
  <c r="K47" i="20"/>
  <c r="M46" i="20"/>
  <c r="K46" i="20"/>
  <c r="K45" i="20"/>
  <c r="K44" i="20"/>
  <c r="N43" i="20"/>
  <c r="M43" i="20"/>
  <c r="K43" i="20"/>
  <c r="N42" i="20"/>
  <c r="M42" i="20"/>
  <c r="K42" i="20"/>
  <c r="M41" i="20"/>
  <c r="K41" i="20"/>
  <c r="M40" i="20"/>
  <c r="K40" i="20"/>
  <c r="M39" i="20"/>
  <c r="K39" i="20"/>
  <c r="M38" i="20"/>
  <c r="K38" i="20"/>
  <c r="K37" i="20"/>
  <c r="K36" i="20"/>
  <c r="H36" i="20"/>
  <c r="N35" i="20"/>
  <c r="M35" i="20"/>
  <c r="K35" i="20"/>
  <c r="N34" i="20"/>
  <c r="M34" i="20"/>
  <c r="K34" i="20"/>
  <c r="M33" i="20"/>
  <c r="K33" i="20"/>
  <c r="M32" i="20"/>
  <c r="K32" i="20"/>
  <c r="M31" i="20"/>
  <c r="K31" i="20"/>
  <c r="N30" i="20"/>
  <c r="N37" i="20" s="1"/>
  <c r="N77" i="20" s="1"/>
  <c r="M30" i="20"/>
  <c r="K30" i="20"/>
  <c r="K29" i="20"/>
  <c r="N28" i="20"/>
  <c r="N29" i="20" s="1"/>
  <c r="H45" i="20" s="1"/>
  <c r="K28" i="20"/>
  <c r="K27" i="20"/>
  <c r="K26" i="20"/>
  <c r="K25" i="20"/>
  <c r="N24" i="20"/>
  <c r="N25" i="20" s="1"/>
  <c r="K24" i="20"/>
  <c r="N23" i="20"/>
  <c r="K23" i="20"/>
  <c r="H23" i="20"/>
  <c r="Q22" i="20"/>
  <c r="K22" i="20"/>
  <c r="Q21" i="20"/>
  <c r="K21" i="20"/>
  <c r="K20" i="20"/>
  <c r="K19" i="20"/>
  <c r="H19" i="20"/>
  <c r="N18" i="20"/>
  <c r="K18" i="20"/>
  <c r="K17" i="20"/>
  <c r="Q16" i="20"/>
  <c r="K16" i="20"/>
  <c r="N15" i="20"/>
  <c r="K15" i="20"/>
  <c r="K14" i="20"/>
  <c r="K13" i="20"/>
  <c r="N12" i="20"/>
  <c r="K12" i="20"/>
  <c r="N11" i="20"/>
  <c r="K11" i="20"/>
  <c r="H11" i="20"/>
  <c r="N10" i="20"/>
  <c r="N20" i="20" s="1"/>
  <c r="K10" i="20"/>
  <c r="N9" i="20"/>
  <c r="K9" i="20"/>
  <c r="K8" i="20"/>
  <c r="Q7" i="20"/>
  <c r="K7" i="20"/>
  <c r="K6" i="20"/>
  <c r="K5" i="20"/>
  <c r="K4" i="20"/>
  <c r="K3" i="20"/>
  <c r="K2" i="20"/>
  <c r="H98" i="17"/>
  <c r="I98" i="17"/>
  <c r="H50" i="17"/>
  <c r="H94" i="17"/>
  <c r="H93" i="17"/>
  <c r="F94" i="17"/>
  <c r="F93" i="17"/>
  <c r="F92" i="17"/>
  <c r="F91" i="17"/>
  <c r="F90" i="17"/>
  <c r="F89" i="17"/>
  <c r="K100" i="17"/>
  <c r="K101" i="17"/>
  <c r="K102" i="17"/>
  <c r="K103" i="17"/>
  <c r="K98" i="17"/>
  <c r="K99" i="17"/>
  <c r="F86" i="17"/>
  <c r="F85" i="17"/>
  <c r="F84" i="17"/>
  <c r="F83" i="17"/>
  <c r="F82" i="17"/>
  <c r="F81" i="17"/>
  <c r="N12" i="17"/>
  <c r="K4" i="17"/>
  <c r="N23" i="17"/>
  <c r="N28" i="17"/>
  <c r="N29" i="17" s="1"/>
  <c r="K142" i="17"/>
  <c r="K143" i="17"/>
  <c r="M140" i="17"/>
  <c r="M139" i="17"/>
  <c r="M138" i="17"/>
  <c r="M137" i="17"/>
  <c r="M136" i="17"/>
  <c r="M135" i="17"/>
  <c r="K136" i="17"/>
  <c r="K135" i="17"/>
  <c r="K134" i="17"/>
  <c r="M132" i="17"/>
  <c r="M131" i="17"/>
  <c r="M130" i="17"/>
  <c r="M129" i="17"/>
  <c r="M128" i="17"/>
  <c r="K133" i="17"/>
  <c r="K132" i="17"/>
  <c r="K131" i="17"/>
  <c r="K130" i="17"/>
  <c r="K129" i="17"/>
  <c r="K128" i="17"/>
  <c r="K139" i="17"/>
  <c r="K138" i="17"/>
  <c r="K137" i="17"/>
  <c r="H67" i="17"/>
  <c r="I67" i="17" s="1"/>
  <c r="F67" i="17"/>
  <c r="H66" i="17"/>
  <c r="I66" i="17" s="1"/>
  <c r="F66" i="17"/>
  <c r="F65" i="17"/>
  <c r="F64" i="17"/>
  <c r="F63" i="17"/>
  <c r="F62" i="17"/>
  <c r="M125" i="17"/>
  <c r="M124" i="17"/>
  <c r="M123" i="17"/>
  <c r="M122" i="17"/>
  <c r="M121" i="17"/>
  <c r="M120" i="17"/>
  <c r="M117" i="17"/>
  <c r="M116" i="17"/>
  <c r="M115" i="17"/>
  <c r="M114" i="17"/>
  <c r="M113" i="17"/>
  <c r="M112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N26" i="20" l="1"/>
  <c r="N19" i="20"/>
  <c r="N8" i="20"/>
  <c r="N22" i="20"/>
  <c r="N16" i="20"/>
  <c r="H61" i="20"/>
  <c r="H32" i="20"/>
  <c r="Q15" i="20"/>
  <c r="N36" i="20"/>
  <c r="N76" i="20" s="1"/>
  <c r="H60" i="20" s="1"/>
  <c r="N145" i="20"/>
  <c r="N146" i="20" s="1"/>
  <c r="N148" i="20" s="1"/>
  <c r="N7" i="20"/>
  <c r="N17" i="20"/>
  <c r="N27" i="20"/>
  <c r="N151" i="20"/>
  <c r="N32" i="20"/>
  <c r="N72" i="20" s="1"/>
  <c r="H56" i="20" s="1"/>
  <c r="N33" i="20"/>
  <c r="N73" i="20" s="1"/>
  <c r="H57" i="20" s="1"/>
  <c r="N70" i="20"/>
  <c r="H54" i="20" s="1"/>
  <c r="N31" i="20"/>
  <c r="N71" i="20" s="1"/>
  <c r="H55" i="20" s="1"/>
  <c r="F71" i="17"/>
  <c r="H19" i="17"/>
  <c r="K140" i="17"/>
  <c r="K141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M91" i="17"/>
  <c r="M90" i="17"/>
  <c r="M89" i="17"/>
  <c r="M88" i="17"/>
  <c r="M87" i="17"/>
  <c r="M86" i="17"/>
  <c r="M83" i="17"/>
  <c r="M82" i="17"/>
  <c r="M81" i="17"/>
  <c r="M80" i="17"/>
  <c r="M79" i="17"/>
  <c r="M78" i="17"/>
  <c r="M75" i="17"/>
  <c r="M74" i="17"/>
  <c r="M73" i="17"/>
  <c r="M72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104" i="17"/>
  <c r="K105" i="17"/>
  <c r="K106" i="17"/>
  <c r="K107" i="17"/>
  <c r="K109" i="17"/>
  <c r="K108" i="17"/>
  <c r="K110" i="17"/>
  <c r="K111" i="17"/>
  <c r="K2" i="17"/>
  <c r="M71" i="17"/>
  <c r="M70" i="17"/>
  <c r="F54" i="17"/>
  <c r="F55" i="17"/>
  <c r="F56" i="17"/>
  <c r="F57" i="17"/>
  <c r="F59" i="17"/>
  <c r="F58" i="17"/>
  <c r="M67" i="17"/>
  <c r="M66" i="17"/>
  <c r="M65" i="17"/>
  <c r="M64" i="17"/>
  <c r="M63" i="17"/>
  <c r="M62" i="17"/>
  <c r="M59" i="17"/>
  <c r="M58" i="17"/>
  <c r="M57" i="17"/>
  <c r="M56" i="17"/>
  <c r="M55" i="17"/>
  <c r="M54" i="17"/>
  <c r="H52" i="17"/>
  <c r="M51" i="17"/>
  <c r="M50" i="17"/>
  <c r="M49" i="17"/>
  <c r="M48" i="17"/>
  <c r="M43" i="17"/>
  <c r="M42" i="17"/>
  <c r="M41" i="17"/>
  <c r="M40" i="17"/>
  <c r="M47" i="17"/>
  <c r="M39" i="17"/>
  <c r="M46" i="17"/>
  <c r="M38" i="17"/>
  <c r="N30" i="17"/>
  <c r="N70" i="17" s="1"/>
  <c r="N34" i="17"/>
  <c r="N74" i="17" s="1"/>
  <c r="H58" i="17" s="1"/>
  <c r="N35" i="17"/>
  <c r="N75" i="17" s="1"/>
  <c r="H59" i="17" s="1"/>
  <c r="M30" i="17"/>
  <c r="M31" i="17"/>
  <c r="M32" i="17"/>
  <c r="M33" i="17"/>
  <c r="M34" i="17"/>
  <c r="M35" i="17"/>
  <c r="H51" i="17"/>
  <c r="N43" i="17"/>
  <c r="N42" i="17"/>
  <c r="N116" i="17" s="1"/>
  <c r="N82" i="17"/>
  <c r="N51" i="17" a="1"/>
  <c r="N50" i="17" a="1"/>
  <c r="N83" i="17"/>
  <c r="N117" i="17"/>
  <c r="N45" i="20"/>
  <c r="N44" i="20"/>
  <c r="N40" i="20"/>
  <c r="N134" i="20"/>
  <c r="N48" i="20" a="1"/>
  <c r="N38" i="20"/>
  <c r="N52" i="20" a="1"/>
  <c r="N46" i="20" a="1"/>
  <c r="H18" i="20" a="1"/>
  <c r="N41" i="20"/>
  <c r="N78" i="20"/>
  <c r="N80" i="20"/>
  <c r="N39" i="20"/>
  <c r="N114" i="20"/>
  <c r="N49" i="20" a="1"/>
  <c r="N81" i="20"/>
  <c r="H22" i="20"/>
  <c r="N53" i="20" a="1"/>
  <c r="N44" i="17"/>
  <c r="N112" i="20"/>
  <c r="N115" i="20"/>
  <c r="N47" i="20" a="1"/>
  <c r="N79" i="20"/>
  <c r="N113" i="20"/>
  <c r="N150" i="20" l="1"/>
  <c r="N149" i="20"/>
  <c r="Q6" i="20" s="1"/>
  <c r="N47" i="20"/>
  <c r="N53" i="20"/>
  <c r="H70" i="20"/>
  <c r="N49" i="20"/>
  <c r="N55" i="20"/>
  <c r="N57" i="20"/>
  <c r="H18" i="20"/>
  <c r="N46" i="20"/>
  <c r="N52" i="20"/>
  <c r="N54" i="20"/>
  <c r="N48" i="20"/>
  <c r="N56" i="20"/>
  <c r="N60" i="20"/>
  <c r="N61" i="20"/>
  <c r="N13" i="20"/>
  <c r="N147" i="20"/>
  <c r="N21" i="20"/>
  <c r="N152" i="20"/>
  <c r="N59" i="17"/>
  <c r="N58" i="17"/>
  <c r="N60" i="17"/>
  <c r="N50" i="17"/>
  <c r="N51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90" i="17"/>
  <c r="N91" i="17"/>
  <c r="N125" i="17"/>
  <c r="N124" i="17"/>
  <c r="N121" i="20"/>
  <c r="N87" i="20"/>
  <c r="N89" i="20"/>
  <c r="N123" i="20"/>
  <c r="N120" i="20"/>
  <c r="N86" i="20"/>
  <c r="N88" i="20"/>
  <c r="N122" i="20"/>
  <c r="N118" i="20"/>
  <c r="N84" i="20"/>
  <c r="N85" i="20"/>
  <c r="N119" i="20"/>
  <c r="N52" i="17" a="1"/>
  <c r="N38" i="17"/>
  <c r="H22" i="17"/>
  <c r="N84" i="17"/>
  <c r="N46" i="17" a="1"/>
  <c r="N78" i="17"/>
  <c r="N40" i="17"/>
  <c r="N48" i="17" s="1" a="1"/>
  <c r="N45" i="17"/>
  <c r="H18" i="17" a="1"/>
  <c r="N39" i="17"/>
  <c r="N41" i="17"/>
  <c r="N134" i="17"/>
  <c r="N118" i="17"/>
  <c r="N53" i="17" a="1"/>
  <c r="N47" i="17" a="1"/>
  <c r="N113" i="17"/>
  <c r="N79" i="17"/>
  <c r="N81" i="17"/>
  <c r="N115" i="17"/>
  <c r="N154" i="20" l="1"/>
  <c r="Q2" i="20" s="1"/>
  <c r="N153" i="20"/>
  <c r="N64" i="20"/>
  <c r="N137" i="20" s="1"/>
  <c r="Q23" i="20"/>
  <c r="N68" i="20"/>
  <c r="N62" i="20"/>
  <c r="H78" i="20" s="1"/>
  <c r="N14" i="20"/>
  <c r="N3" i="20" s="1"/>
  <c r="N4" i="20" s="1"/>
  <c r="H35" i="20"/>
  <c r="I35" i="20" s="1"/>
  <c r="N65" i="20"/>
  <c r="N138" i="20" s="1"/>
  <c r="N111" i="20"/>
  <c r="N94" i="20"/>
  <c r="N97" i="20" s="1"/>
  <c r="N110" i="20"/>
  <c r="N69" i="20"/>
  <c r="N63" i="20"/>
  <c r="N128" i="20" s="1"/>
  <c r="N47" i="17"/>
  <c r="N63" i="17" s="1"/>
  <c r="H18" i="17"/>
  <c r="N55" i="17"/>
  <c r="N57" i="17"/>
  <c r="N61" i="17"/>
  <c r="N48" i="17"/>
  <c r="N64" i="17" s="1"/>
  <c r="N54" i="17"/>
  <c r="H70" i="17"/>
  <c r="N94" i="17" s="1"/>
  <c r="N97" i="17" s="1"/>
  <c r="N56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53" i="17"/>
  <c r="N69" i="17" s="1"/>
  <c r="N67" i="17"/>
  <c r="N132" i="17" s="1"/>
  <c r="N46" i="17"/>
  <c r="N62" i="17" s="1"/>
  <c r="N52" i="17"/>
  <c r="N68" i="17" s="1"/>
  <c r="N66" i="17"/>
  <c r="N139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08" i="17"/>
  <c r="N109" i="17"/>
  <c r="N93" i="20"/>
  <c r="N127" i="20"/>
  <c r="N92" i="20"/>
  <c r="N126" i="20"/>
  <c r="N114" i="17"/>
  <c r="N120" i="17"/>
  <c r="N112" i="17"/>
  <c r="N122" i="17"/>
  <c r="N93" i="17"/>
  <c r="N80" i="17"/>
  <c r="N88" i="17"/>
  <c r="N119" i="17"/>
  <c r="N85" i="17"/>
  <c r="N49" i="17" a="1"/>
  <c r="N86" i="17"/>
  <c r="N127" i="17"/>
  <c r="N87" i="17"/>
  <c r="N121" i="17"/>
  <c r="N136" i="20" l="1"/>
  <c r="H71" i="20"/>
  <c r="N102" i="20" s="1"/>
  <c r="N105" i="20" s="1"/>
  <c r="H77" i="20"/>
  <c r="N135" i="20"/>
  <c r="N141" i="20"/>
  <c r="N133" i="20"/>
  <c r="H79" i="20"/>
  <c r="H72" i="20"/>
  <c r="N103" i="20" s="1"/>
  <c r="N104" i="20" s="1"/>
  <c r="N95" i="20"/>
  <c r="N96" i="20" s="1"/>
  <c r="N98" i="20" s="1"/>
  <c r="N99" i="20" s="1"/>
  <c r="H73" i="20" s="1"/>
  <c r="H8" i="20"/>
  <c r="I8" i="20" s="1"/>
  <c r="H7" i="20"/>
  <c r="Q9" i="20"/>
  <c r="Q11" i="20"/>
  <c r="R11" i="20" s="1"/>
  <c r="Q12" i="20"/>
  <c r="Q17" i="20"/>
  <c r="R17" i="20" s="1"/>
  <c r="Q10" i="20"/>
  <c r="R10" i="20" s="1"/>
  <c r="Q8" i="20"/>
  <c r="R8" i="20" s="1"/>
  <c r="Q14" i="20"/>
  <c r="R14" i="20" s="1"/>
  <c r="N155" i="20"/>
  <c r="Q19" i="20" s="1"/>
  <c r="R19" i="20" s="1"/>
  <c r="Q4" i="20"/>
  <c r="Q3" i="20"/>
  <c r="R2" i="20"/>
  <c r="N129" i="20"/>
  <c r="N130" i="20"/>
  <c r="H78" i="17"/>
  <c r="H79" i="17"/>
  <c r="N49" i="17"/>
  <c r="N136" i="17"/>
  <c r="N137" i="17"/>
  <c r="N140" i="17"/>
  <c r="N131" i="17"/>
  <c r="H54" i="17"/>
  <c r="N19" i="17"/>
  <c r="N20" i="17"/>
  <c r="N135" i="17"/>
  <c r="N129" i="17"/>
  <c r="N128" i="17"/>
  <c r="H71" i="17"/>
  <c r="N102" i="17" s="1"/>
  <c r="H72" i="17"/>
  <c r="N103" i="17" s="1"/>
  <c r="N16" i="17"/>
  <c r="N17" i="17"/>
  <c r="N8" i="17"/>
  <c r="N7" i="17" s="1"/>
  <c r="N13" i="17" s="1"/>
  <c r="N123" i="17"/>
  <c r="N126" i="17"/>
  <c r="N89" i="17"/>
  <c r="N92" i="17"/>
  <c r="Q20" i="20" l="1"/>
  <c r="R20" i="20" s="1"/>
  <c r="Q5" i="20"/>
  <c r="R3" i="20"/>
  <c r="Q18" i="20"/>
  <c r="R18" i="20" s="1"/>
  <c r="R12" i="20"/>
  <c r="Q13" i="20"/>
  <c r="R13" i="20" s="1"/>
  <c r="Q25" i="20"/>
  <c r="R9" i="20"/>
  <c r="Q24" i="20"/>
  <c r="H74" i="20"/>
  <c r="I74" i="20" s="1"/>
  <c r="N2" i="20"/>
  <c r="I7" i="20"/>
  <c r="N100" i="20"/>
  <c r="N101" i="20"/>
  <c r="N106" i="20"/>
  <c r="N107" i="20" s="1"/>
  <c r="H75" i="20" s="1"/>
  <c r="H76" i="20" s="1"/>
  <c r="I76" i="20" s="1"/>
  <c r="N65" i="17"/>
  <c r="N138" i="17" s="1"/>
  <c r="N105" i="17"/>
  <c r="N133" i="17"/>
  <c r="N141" i="17"/>
  <c r="N22" i="17"/>
  <c r="N95" i="17"/>
  <c r="N96" i="17" s="1"/>
  <c r="N98" i="17" s="1"/>
  <c r="N21" i="17"/>
  <c r="H49" i="17"/>
  <c r="H48" i="17"/>
  <c r="Q22" i="17"/>
  <c r="Q21" i="17"/>
  <c r="H11" i="17"/>
  <c r="C39" i="17"/>
  <c r="H23" i="17" s="1"/>
  <c r="Q7" i="17"/>
  <c r="Q16" i="17"/>
  <c r="N24" i="17" s="1"/>
  <c r="H88" i="20" l="1"/>
  <c r="H81" i="20"/>
  <c r="H83" i="20"/>
  <c r="H87" i="20"/>
  <c r="H84" i="20"/>
  <c r="H82" i="20"/>
  <c r="H96" i="20"/>
  <c r="H89" i="20"/>
  <c r="H91" i="20"/>
  <c r="H95" i="20"/>
  <c r="H92" i="20"/>
  <c r="H90" i="20"/>
  <c r="N5" i="20"/>
  <c r="H3" i="20" s="1"/>
  <c r="N6" i="20"/>
  <c r="N130" i="17"/>
  <c r="N99" i="17"/>
  <c r="N25" i="17"/>
  <c r="Q15" i="17" s="1"/>
  <c r="N26" i="17"/>
  <c r="N27" i="17"/>
  <c r="N149" i="17"/>
  <c r="N150" i="17"/>
  <c r="N145" i="17"/>
  <c r="N151" i="17"/>
  <c r="H12" i="20" l="1"/>
  <c r="I12" i="20" s="1"/>
  <c r="H33" i="20"/>
  <c r="I33" i="20" s="1"/>
  <c r="H14" i="20"/>
  <c r="I14" i="20" s="1"/>
  <c r="H15" i="20"/>
  <c r="I15" i="20" s="1"/>
  <c r="H13" i="20"/>
  <c r="H24" i="20"/>
  <c r="H69" i="20"/>
  <c r="I69" i="20" s="1"/>
  <c r="H31" i="20"/>
  <c r="I31" i="20" s="1"/>
  <c r="I3" i="20"/>
  <c r="H29" i="20"/>
  <c r="H63" i="20"/>
  <c r="I63" i="20" s="1"/>
  <c r="H40" i="20"/>
  <c r="I40" i="20" s="1"/>
  <c r="H4" i="20"/>
  <c r="H41" i="20"/>
  <c r="I41" i="20" s="1"/>
  <c r="H65" i="20"/>
  <c r="I65" i="20" s="1"/>
  <c r="H25" i="20"/>
  <c r="I25" i="20" s="1"/>
  <c r="H62" i="20"/>
  <c r="I62" i="20" s="1"/>
  <c r="H99" i="20"/>
  <c r="H64" i="20"/>
  <c r="I64" i="20" s="1"/>
  <c r="H68" i="20"/>
  <c r="I68" i="20" s="1"/>
  <c r="H5" i="20"/>
  <c r="H73" i="17"/>
  <c r="N101" i="17" s="1"/>
  <c r="H32" i="17"/>
  <c r="Q6" i="17"/>
  <c r="Q23" i="17"/>
  <c r="H36" i="17"/>
  <c r="N152" i="17"/>
  <c r="N146" i="17"/>
  <c r="I99" i="20" l="1"/>
  <c r="H100" i="20"/>
  <c r="H101" i="20"/>
  <c r="H20" i="20"/>
  <c r="I13" i="20"/>
  <c r="H43" i="20"/>
  <c r="I43" i="20" s="1"/>
  <c r="H6" i="20"/>
  <c r="H42" i="20"/>
  <c r="I42" i="20" s="1"/>
  <c r="H26" i="20"/>
  <c r="I26" i="20" s="1"/>
  <c r="I4" i="20"/>
  <c r="I29" i="20"/>
  <c r="H30" i="20"/>
  <c r="I30" i="20" s="1"/>
  <c r="H37" i="20"/>
  <c r="I37" i="20" s="1"/>
  <c r="I24" i="20"/>
  <c r="N100" i="17"/>
  <c r="H86" i="17"/>
  <c r="H85" i="17"/>
  <c r="H35" i="17"/>
  <c r="I35" i="17" s="1"/>
  <c r="N14" i="17"/>
  <c r="N148" i="17"/>
  <c r="N154" i="17" s="1"/>
  <c r="N147" i="17"/>
  <c r="N153" i="17" s="1"/>
  <c r="I100" i="20" l="1"/>
  <c r="H102" i="20"/>
  <c r="I20" i="20"/>
  <c r="H21" i="20"/>
  <c r="H103" i="20"/>
  <c r="I101" i="20"/>
  <c r="H89" i="17"/>
  <c r="H81" i="17"/>
  <c r="N3" i="17"/>
  <c r="N4" i="17" s="1"/>
  <c r="H8" i="17" s="1"/>
  <c r="I8" i="17" s="1"/>
  <c r="Q17" i="17"/>
  <c r="N155" i="17"/>
  <c r="Q2" i="17"/>
  <c r="Q9" i="17"/>
  <c r="Q11" i="17"/>
  <c r="R11" i="17" s="1"/>
  <c r="Q10" i="17"/>
  <c r="Q8" i="17"/>
  <c r="H34" i="20" l="1"/>
  <c r="I34" i="20" s="1"/>
  <c r="I21" i="20"/>
  <c r="H7" i="17"/>
  <c r="I7" i="17" s="1"/>
  <c r="Q19" i="17"/>
  <c r="R19" i="17" s="1"/>
  <c r="R9" i="17"/>
  <c r="R8" i="17"/>
  <c r="R17" i="17"/>
  <c r="Q3" i="17"/>
  <c r="R2" i="17"/>
  <c r="R10" i="17"/>
  <c r="Q4" i="17"/>
  <c r="N2" i="17" l="1"/>
  <c r="Q20" i="17"/>
  <c r="R20" i="17" s="1"/>
  <c r="R3" i="17"/>
  <c r="Q5" i="17"/>
  <c r="N5" i="17" l="1"/>
  <c r="H3" i="17" s="1"/>
  <c r="H99" i="17" s="1"/>
  <c r="N6" i="17"/>
  <c r="H14" i="17" s="1"/>
  <c r="Q12" i="17"/>
  <c r="R12" i="17" s="1"/>
  <c r="Q14" i="17"/>
  <c r="R14" i="17" s="1"/>
  <c r="H101" i="17" l="1"/>
  <c r="H100" i="17"/>
  <c r="I99" i="17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101" i="17" l="1"/>
  <c r="H103" i="17"/>
  <c r="H102" i="17"/>
  <c r="I100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36" i="17"/>
  <c r="N76" i="17" s="1"/>
  <c r="N31" i="17"/>
  <c r="N71" i="17" s="1"/>
  <c r="N37" i="17"/>
  <c r="N32" i="17"/>
  <c r="N72" i="17" s="1"/>
  <c r="N33" i="17"/>
  <c r="N73" i="17" s="1"/>
  <c r="H74" i="17" l="1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77" i="17"/>
  <c r="N104" i="17"/>
  <c r="N106" i="17" s="1"/>
  <c r="N107" i="17" s="1"/>
  <c r="H84" i="17" l="1"/>
  <c r="H82" i="17"/>
  <c r="N110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11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<sst xmlns="http://schemas.openxmlformats.org/spreadsheetml/2006/main" count="1028" uniqueCount="412">
  <si>
    <t>ジグの長さの半分</t>
    <rPh sb="3" eb="4">
      <t>ナガ</t>
    </rPh>
    <rPh sb="6" eb="8">
      <t>ハンブン</t>
    </rPh>
    <phoneticPr fontId="1"/>
  </si>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</sst>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9" formatCode="0.0_ "/>
    <numFmt numFmtId="180" formatCode="0_ "/>
    <numFmt numFmtId="181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80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9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9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1" fontId="2" fillId="0" borderId="0" xfId="0" applyNumberFormat="1" applyFont="1" applyAlignment="1">
      <alignment horizontal="right" vertical="center"/>
    </xf>
    <xf numFmtId="181" fontId="2" fillId="0" borderId="0" xfId="0" applyNumberFormat="1" applyFo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1" fontId="2" fillId="2" borderId="6" xfId="0" applyNumberFormat="1" applyFont="1" applyFill="1" applyBorder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70"/>
  <sheetViews>
    <sheetView workbookViewId="0">
      <selection activeCell="L55" sqref="L55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1.1205013797803596E-2</v>
      </c>
      <c r="P2" s="9" t="s">
        <v>59</v>
      </c>
      <c r="Q2" s="10">
        <f>C4+N154</f>
        <v>500.00000001278181</v>
      </c>
      <c r="R2" s="10">
        <f>C65+Q2</f>
        <v>-649.97399998721812</v>
      </c>
    </row>
    <row r="3" spans="1:18" ht="15" thickTop="1" x14ac:dyDescent="0.4">
      <c r="A3" s="3" t="s">
        <v>159</v>
      </c>
      <c r="B3" s="11" t="s">
        <v>6</v>
      </c>
      <c r="C3" s="12">
        <v>8922.7000000000007</v>
      </c>
      <c r="E3" s="3" t="s">
        <v>230</v>
      </c>
      <c r="F3" s="9" t="s">
        <v>378</v>
      </c>
      <c r="G3" s="13" t="s">
        <v>124</v>
      </c>
      <c r="H3" s="30">
        <f>$C$4+$N$13*$N$5</f>
        <v>500.01603829462465</v>
      </c>
      <c r="I3" s="30">
        <f>$C$65+H3</f>
        <v>-649.95796170537528</v>
      </c>
      <c r="K3" s="3">
        <f t="shared" ref="K3:K63" si="0">ROW(K3)</f>
        <v>3</v>
      </c>
      <c r="L3" s="45" t="s">
        <v>374</v>
      </c>
      <c r="M3" s="54" t="s">
        <v>82</v>
      </c>
      <c r="N3" s="2">
        <f>ASIN($N$14)</f>
        <v>1.1203216917671469E-2</v>
      </c>
      <c r="P3" s="9" t="s">
        <v>60</v>
      </c>
      <c r="Q3" s="10">
        <f>C4+C5-Q2</f>
        <v>499.99999998721819</v>
      </c>
      <c r="R3" s="10">
        <f>C65+Q3</f>
        <v>-649.97400001278174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499.98396170537535</v>
      </c>
      <c r="I4" s="30">
        <f>$C$65+H4</f>
        <v>-649.99003829462458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0.64189704635213818</v>
      </c>
      <c r="P4" s="9" t="s">
        <v>61</v>
      </c>
      <c r="Q4" s="10">
        <f>Q2-C59</f>
        <v>170.00000001278181</v>
      </c>
    </row>
    <row r="5" spans="1:18" x14ac:dyDescent="0.4">
      <c r="A5" s="3" t="s">
        <v>161</v>
      </c>
      <c r="B5" s="14" t="s">
        <v>9</v>
      </c>
      <c r="C5" s="15">
        <v>600</v>
      </c>
      <c r="D5" s="2"/>
      <c r="F5" s="9" t="s">
        <v>380</v>
      </c>
      <c r="G5" s="13" t="s">
        <v>124</v>
      </c>
      <c r="H5" s="30">
        <f>$H$3-$C$59</f>
        <v>170.01603829462465</v>
      </c>
      <c r="K5" s="3">
        <f t="shared" si="0"/>
        <v>5</v>
      </c>
      <c r="L5" s="45" t="s">
        <v>83</v>
      </c>
      <c r="N5" s="2">
        <f>SIN($N$2)</f>
        <v>1.120477933000264E-2</v>
      </c>
      <c r="P5" s="9" t="s">
        <v>62</v>
      </c>
      <c r="Q5" s="10">
        <f>Q3-C59</f>
        <v>169.99999998721819</v>
      </c>
    </row>
    <row r="6" spans="1:18" x14ac:dyDescent="0.4">
      <c r="B6" s="14" t="s">
        <v>14</v>
      </c>
      <c r="C6" s="19">
        <v>7.1067335251979431</v>
      </c>
      <c r="D6" s="16"/>
      <c r="F6" s="9" t="s">
        <v>381</v>
      </c>
      <c r="G6" s="13" t="s">
        <v>124</v>
      </c>
      <c r="H6" s="50">
        <f>$H$4-$C$59</f>
        <v>169.98396170537535</v>
      </c>
      <c r="K6" s="3">
        <f t="shared" si="0"/>
        <v>6</v>
      </c>
      <c r="L6" s="45" t="s">
        <v>85</v>
      </c>
      <c r="N6" s="2">
        <f>COS($N$2)</f>
        <v>0.99993722448970057</v>
      </c>
      <c r="P6" s="17" t="s">
        <v>29</v>
      </c>
      <c r="Q6" s="18">
        <f>N149-N150</f>
        <v>7.1067335242896661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0.64200000000000002</v>
      </c>
      <c r="I7" s="30">
        <f>-$C$66+$H$7</f>
        <v>0.56900000000000006</v>
      </c>
      <c r="K7" s="3">
        <f t="shared" si="0"/>
        <v>7</v>
      </c>
      <c r="L7" s="45" t="s">
        <v>162</v>
      </c>
      <c r="N7" s="2">
        <f>SQRT($N$8^2-$N$9^2)</f>
        <v>8724.6943808938086</v>
      </c>
      <c r="P7" s="17" t="s">
        <v>74</v>
      </c>
      <c r="Q7" s="18">
        <f>C63+C10/2</f>
        <v>-648.5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1</v>
      </c>
      <c r="I8" s="56">
        <f>-$C$66+$H$8</f>
        <v>0.92700000000000005</v>
      </c>
      <c r="K8" s="3">
        <f t="shared" si="0"/>
        <v>8</v>
      </c>
      <c r="L8" s="45" t="s">
        <v>163</v>
      </c>
      <c r="M8" s="54" t="s">
        <v>19</v>
      </c>
      <c r="N8" s="2">
        <f>$N$10-$C$61</f>
        <v>8730.2000000000007</v>
      </c>
      <c r="P8" s="9" t="s">
        <v>63</v>
      </c>
      <c r="Q8" s="10">
        <f>-C62+(N16+N17)/2+C6/2-N153</f>
        <v>-8.3385574269177596</v>
      </c>
      <c r="R8" s="10">
        <f t="shared" ref="R8:R14" si="1">$C$64+Q8</f>
        <v>-558.35755742691777</v>
      </c>
    </row>
    <row r="9" spans="1:18" x14ac:dyDescent="0.4">
      <c r="B9" s="14" t="s">
        <v>75</v>
      </c>
      <c r="C9" s="15">
        <v>185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-8.337590837638345</v>
      </c>
      <c r="R9" s="10">
        <f t="shared" si="1"/>
        <v>-558.35659083763835</v>
      </c>
    </row>
    <row r="10" spans="1:18" x14ac:dyDescent="0.4">
      <c r="B10" s="14" t="s">
        <v>12</v>
      </c>
      <c r="C10" s="15">
        <v>183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8830.2000000000007</v>
      </c>
      <c r="P10" s="9" t="s">
        <v>64</v>
      </c>
      <c r="Q10" s="10">
        <f>C62-(N19+N20)/2-C6/2+N153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-648.5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9015.2000000000007</v>
      </c>
      <c r="P11" s="9" t="s">
        <v>20</v>
      </c>
      <c r="Q11" s="10">
        <f>C62-N18-C6/2+N153</f>
        <v>19.56330812012493</v>
      </c>
      <c r="R11" s="10">
        <f t="shared" si="1"/>
        <v>-530.45569187987508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-11.905406231671805</v>
      </c>
      <c r="I12" s="30">
        <f>$C$64+H12</f>
        <v>-561.92440623167181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100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172.9</v>
      </c>
      <c r="F13" s="9" t="s">
        <v>122</v>
      </c>
      <c r="G13" s="13" t="s">
        <v>127</v>
      </c>
      <c r="H13" s="30">
        <f>$N$13*$N$6-$N$22</f>
        <v>23.132339989597313</v>
      </c>
      <c r="I13" s="30">
        <f>$C$64+H13</f>
        <v>-526.88666001040269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8926.1943808938086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>
        <v>172.9</v>
      </c>
      <c r="F14" s="9" t="s">
        <v>121</v>
      </c>
      <c r="G14" s="13" t="s">
        <v>127</v>
      </c>
      <c r="H14" s="30">
        <f>$N$15-$N$13*$N$6</f>
        <v>-11.90443964239239</v>
      </c>
      <c r="I14" s="30">
        <f>$C$64+H14</f>
        <v>-561.9234396423924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1.1202982562652493E-2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12.05</v>
      </c>
      <c r="D15" s="16"/>
      <c r="F15" s="9" t="s">
        <v>123</v>
      </c>
      <c r="G15" s="13" t="s">
        <v>127</v>
      </c>
      <c r="H15" s="30">
        <f>$N$13*$N$6-$N$18</f>
        <v>23.130156924878975</v>
      </c>
      <c r="I15" s="30">
        <f>$C$64+H15</f>
        <v>-526.88884307512103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8913.7295948441242</v>
      </c>
      <c r="P15" s="10" t="s">
        <v>49</v>
      </c>
      <c r="Q15" s="10">
        <f>N25-N15</f>
        <v>0.70683627001562854</v>
      </c>
    </row>
    <row r="16" spans="1:18" x14ac:dyDescent="0.4">
      <c r="B16" s="14" t="s">
        <v>40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9006.321726431941</v>
      </c>
      <c r="P16" s="10" t="s">
        <v>50</v>
      </c>
      <c r="Q16" s="18">
        <f>C15+C16/2</f>
        <v>16.075000000000003</v>
      </c>
    </row>
    <row r="17" spans="1:18" x14ac:dyDescent="0.4">
      <c r="B17" s="14" t="s">
        <v>41</v>
      </c>
      <c r="C17" s="15">
        <v>6.1360000000000001</v>
      </c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8821.1355300777468</v>
      </c>
      <c r="P17" s="10" t="s">
        <v>52</v>
      </c>
      <c r="Q17" s="10">
        <f>N25-C62+C6/2-N153</f>
        <v>-7.6307545676227164</v>
      </c>
      <c r="R17" s="10">
        <f>$C$64+Q17</f>
        <v>-557.64975456762272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8902.5038775616376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-76.724999999999994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8995.2115617143772</v>
      </c>
      <c r="P19" s="10" t="s">
        <v>46</v>
      </c>
      <c r="Q19" s="10">
        <f>N26-C17-C13/2+N155-N13</f>
        <v>-7.6318892500185029</v>
      </c>
      <c r="R19" s="10">
        <f>$C$64+Q19</f>
        <v>-557.65088925001851</v>
      </c>
    </row>
    <row r="20" spans="1:18" x14ac:dyDescent="0.4">
      <c r="A20" s="3" t="s">
        <v>143</v>
      </c>
      <c r="B20" s="14" t="s">
        <v>53</v>
      </c>
      <c r="C20" s="15">
        <v>90</v>
      </c>
      <c r="D20" s="2"/>
      <c r="F20" s="9" t="s">
        <v>105</v>
      </c>
      <c r="G20" s="13" t="s">
        <v>127</v>
      </c>
      <c r="H20" s="30">
        <f ca="1">$H$13-$H$18/2-$C$35+$C$40/2</f>
        <v>22.287339989597314</v>
      </c>
      <c r="I20" s="30">
        <f ca="1">$C$64+H20</f>
        <v>-527.73166001040272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8809.7918272794614</v>
      </c>
      <c r="P20" s="10" t="s">
        <v>48</v>
      </c>
      <c r="Q20" s="10">
        <f>Q3-Q16</f>
        <v>483.9249999872182</v>
      </c>
      <c r="R20" s="10">
        <f>C65+Q20</f>
        <v>-666.04900001278179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>
        <f ca="1">-$H$20+$C$44</f>
        <v>-11.287339989597314</v>
      </c>
      <c r="I21" s="30">
        <f ca="1">$C$64+H21</f>
        <v>-561.30633998959729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8913.7286282548448</v>
      </c>
      <c r="P21" s="10" t="s">
        <v>57</v>
      </c>
      <c r="Q21" s="29">
        <f>$C$23/$C$22+1</f>
        <v>7</v>
      </c>
    </row>
    <row r="22" spans="1:18" x14ac:dyDescent="0.4">
      <c r="A22" s="3" t="s">
        <v>177</v>
      </c>
      <c r="B22" s="14" t="s">
        <v>55</v>
      </c>
      <c r="C22" s="15">
        <v>17</v>
      </c>
      <c r="E22" s="3" t="s">
        <v>201</v>
      </c>
      <c r="F22" s="9" t="s">
        <v>142</v>
      </c>
      <c r="G22" s="13" t="s">
        <v>127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8902.5016944969193</v>
      </c>
      <c r="P22" s="10" t="s">
        <v>58</v>
      </c>
      <c r="Q22" s="29">
        <f>$C$24/$C$22+1</f>
        <v>6</v>
      </c>
    </row>
    <row r="23" spans="1:18" x14ac:dyDescent="0.4">
      <c r="A23" s="3" t="s">
        <v>304</v>
      </c>
      <c r="B23" s="14" t="s">
        <v>390</v>
      </c>
      <c r="C23" s="15">
        <v>102</v>
      </c>
      <c r="F23" s="9" t="s">
        <v>86</v>
      </c>
      <c r="G23" s="13" t="s">
        <v>127</v>
      </c>
      <c r="H23" s="30">
        <f>$C$40/2-$C$39+$C$31</f>
        <v>77.799999999999983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16.075000000000003</v>
      </c>
      <c r="P23" s="10" t="s">
        <v>69</v>
      </c>
      <c r="Q23" s="10">
        <f ca="1">DEGREES($N$54)</f>
        <v>859.43669269623479</v>
      </c>
    </row>
    <row r="24" spans="1:18" x14ac:dyDescent="0.4">
      <c r="A24" s="3" t="s">
        <v>305</v>
      </c>
      <c r="B24" s="14" t="s">
        <v>391</v>
      </c>
      <c r="C24" s="15">
        <v>85</v>
      </c>
      <c r="F24" s="9" t="s">
        <v>107</v>
      </c>
      <c r="G24" s="13" t="s">
        <v>127</v>
      </c>
      <c r="H24" s="30">
        <f ca="1">-$N$13*$N$6+$N$21+$H$22/2+$C$39-$C$40/2</f>
        <v>-11.203906231671795</v>
      </c>
      <c r="I24" s="30">
        <f ca="1">$C$64+H24</f>
        <v>-561.2229062316718</v>
      </c>
      <c r="K24" s="3">
        <f t="shared" si="0"/>
        <v>24</v>
      </c>
      <c r="L24" s="45" t="s">
        <v>175</v>
      </c>
      <c r="M24" s="54" t="s">
        <v>44</v>
      </c>
      <c r="N24" s="2">
        <f>C4-Q16</f>
        <v>383.92500000000001</v>
      </c>
      <c r="P24" s="10" t="s">
        <v>70</v>
      </c>
      <c r="Q24" s="10">
        <f ca="1">Q9*$N$95+Q2*$N$62</f>
        <v>-70046.624280368822</v>
      </c>
    </row>
    <row r="25" spans="1:18" x14ac:dyDescent="0.4">
      <c r="A25" s="3" t="s">
        <v>147</v>
      </c>
      <c r="B25" s="14" t="s">
        <v>56</v>
      </c>
      <c r="C25" s="31">
        <v>6</v>
      </c>
      <c r="F25" s="9" t="s">
        <v>108</v>
      </c>
      <c r="G25" s="13" t="s">
        <v>124</v>
      </c>
      <c r="H25" s="30">
        <f>$H$3-$C$41</f>
        <v>468.01603829462465</v>
      </c>
      <c r="I25" s="30">
        <f>$C$65+H25</f>
        <v>-681.95796170537528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8914.4364311141399</v>
      </c>
      <c r="P25" s="10" t="s">
        <v>71</v>
      </c>
      <c r="Q25" s="10">
        <f ca="1">-Q$9*$N$62+Q$2*$N$95</f>
        <v>4500581.5260234261</v>
      </c>
    </row>
    <row r="26" spans="1:18" x14ac:dyDescent="0.4">
      <c r="B26" s="14" t="s">
        <v>396</v>
      </c>
      <c r="C26" s="19">
        <v>40</v>
      </c>
      <c r="F26" s="9" t="s">
        <v>109</v>
      </c>
      <c r="G26" s="13" t="s">
        <v>124</v>
      </c>
      <c r="H26" s="30">
        <f>$H$4-$C$38</f>
        <v>474.98396170537535</v>
      </c>
      <c r="I26" s="30">
        <f>$C$65+H26</f>
        <v>-674.99003829462458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9007.0212964317452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8821.8497852987166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590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487.96603829462464</v>
      </c>
      <c r="I29" s="30">
        <f>$C$65+H29</f>
        <v>-662.00796170537524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8903.1722037709678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479.91603829462463</v>
      </c>
      <c r="I30" s="30">
        <f>$C$65+H30</f>
        <v>-670.05796170537531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310</v>
      </c>
    </row>
    <row r="31" spans="1:18" x14ac:dyDescent="0.4">
      <c r="A31" s="3" t="s">
        <v>221</v>
      </c>
      <c r="B31" s="14" t="s">
        <v>21</v>
      </c>
      <c r="C31" s="15">
        <v>7.0000000000000007E-2</v>
      </c>
      <c r="F31" s="9" t="s">
        <v>87</v>
      </c>
      <c r="G31" s="13" t="s">
        <v>124</v>
      </c>
      <c r="H31" s="30">
        <f>$H$3-$N$23</f>
        <v>483.94103829462466</v>
      </c>
      <c r="I31" s="30">
        <f>$C$65+H31</f>
        <v>-666.03296170537533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290</v>
      </c>
    </row>
    <row r="32" spans="1:18" x14ac:dyDescent="0.4">
      <c r="B32" s="14" t="s">
        <v>222</v>
      </c>
      <c r="C32" s="39" t="s">
        <v>223</v>
      </c>
      <c r="F32" s="10" t="s">
        <v>88</v>
      </c>
      <c r="G32" s="30" t="s">
        <v>127</v>
      </c>
      <c r="H32" s="30">
        <f>$N$25-$N$15</f>
        <v>0.70683627001562854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270</v>
      </c>
    </row>
    <row r="33" spans="2:16" x14ac:dyDescent="0.4">
      <c r="F33" s="10" t="s">
        <v>52</v>
      </c>
      <c r="G33" s="30" t="s">
        <v>127</v>
      </c>
      <c r="H33" s="30">
        <f>$N$25-$N$13*$N$6</f>
        <v>-11.197603372376761</v>
      </c>
      <c r="I33" s="30">
        <f>$C$64+H33</f>
        <v>-561.21660337237677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振分中心-内面溝4列目間距離</v>
      </c>
      <c r="N33" s="44">
        <f>IF($C$25&gt;=6,$N$30-3*$C$21, "-")</f>
        <v>250</v>
      </c>
    </row>
    <row r="34" spans="2:16" x14ac:dyDescent="0.4">
      <c r="B34" s="4" t="s">
        <v>114</v>
      </c>
      <c r="F34" s="10" t="s">
        <v>47</v>
      </c>
      <c r="G34" s="30" t="s">
        <v>127</v>
      </c>
      <c r="H34" s="30">
        <f ca="1">$H$21</f>
        <v>-11.287339989597314</v>
      </c>
      <c r="I34" s="30">
        <f ca="1">$C$64+H34</f>
        <v>-561.30633998959729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>
        <v>13.82</v>
      </c>
      <c r="F35" s="10" t="s">
        <v>130</v>
      </c>
      <c r="G35" s="30" t="s">
        <v>127</v>
      </c>
      <c r="H35" s="30">
        <f>$N$26-$C$17-$C$13/2-$N$13</f>
        <v>-11.759084462064493</v>
      </c>
      <c r="I35" s="30">
        <f>$C$64+H35</f>
        <v>-561.7780844620645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>
        <v>180.95</v>
      </c>
      <c r="F36" s="10" t="s">
        <v>131</v>
      </c>
      <c r="G36" s="30" t="s">
        <v>127</v>
      </c>
      <c r="H36" s="30">
        <f>$C$17+$C$13/2</f>
        <v>92.585999999999999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230</v>
      </c>
    </row>
    <row r="37" spans="2:16" x14ac:dyDescent="0.4">
      <c r="B37" s="14" t="s">
        <v>204</v>
      </c>
      <c r="C37" s="33">
        <v>180.95</v>
      </c>
      <c r="F37" s="10" t="s">
        <v>92</v>
      </c>
      <c r="G37" s="30" t="s">
        <v>127</v>
      </c>
      <c r="H37" s="30">
        <f ca="1">$H$24</f>
        <v>-11.203906231671795</v>
      </c>
      <c r="I37" s="30">
        <f ca="1">$C$64+H37</f>
        <v>-561.2229062316718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210</v>
      </c>
    </row>
    <row r="38" spans="2:16" x14ac:dyDescent="0.4">
      <c r="B38" s="14" t="s">
        <v>98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>
        <f ca="1">IF($C$25&gt;=3,LOOKUP($C$20,INDIRECT($H$52&amp;"!$A:$A")),"-")</f>
        <v>75</v>
      </c>
    </row>
    <row r="39" spans="2:16" x14ac:dyDescent="0.4">
      <c r="B39" s="14" t="s">
        <v>26</v>
      </c>
      <c r="C39" s="33">
        <f>12.745</f>
        <v>12.744999999999999</v>
      </c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>
        <f ca="1">IF($C$25&gt;=4,LOOKUP($C$20+$C$21, INDIRECT($H$52&amp;"!$A:$A")),"-")</f>
        <v>100</v>
      </c>
    </row>
    <row r="40" spans="2:16" x14ac:dyDescent="0.4">
      <c r="B40" s="14" t="s">
        <v>383</v>
      </c>
      <c r="C40" s="33">
        <v>180.95</v>
      </c>
      <c r="F40" s="10" t="s">
        <v>102</v>
      </c>
      <c r="G40" s="30" t="s">
        <v>124</v>
      </c>
      <c r="H40" s="30">
        <f>$H$3-$C$53</f>
        <v>499.01603829462465</v>
      </c>
      <c r="I40" s="30">
        <f>$C$65+H40</f>
        <v>-650.95796170537528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>
        <f ca="1">IF($C$25&gt;=5,LOOKUP($C$20+2*$C$21, INDIRECT($H$52&amp;"!$A:$A")),"-")</f>
        <v>125</v>
      </c>
      <c r="P40" s="2"/>
    </row>
    <row r="41" spans="2:16" x14ac:dyDescent="0.4">
      <c r="B41" s="14" t="s">
        <v>97</v>
      </c>
      <c r="C41" s="33">
        <v>32</v>
      </c>
      <c r="F41" s="10" t="s">
        <v>101</v>
      </c>
      <c r="G41" s="30" t="s">
        <v>124</v>
      </c>
      <c r="H41" s="30">
        <f>$H$3-$C$55</f>
        <v>499.51603829462465</v>
      </c>
      <c r="I41" s="30">
        <f>$C$65+H41</f>
        <v>-650.45796170537528</v>
      </c>
      <c r="K41" s="3">
        <f t="shared" si="0"/>
        <v>41</v>
      </c>
      <c r="L41" s="45" t="s">
        <v>242</v>
      </c>
      <c r="M41" s="54" t="str">
        <f>IF($C$25&gt;=6,"λj ≦ q+3pz &lt; λj+1 の λj", "-")</f>
        <v>λj ≦ q+3pz &lt; λj+1 の λj</v>
      </c>
      <c r="N41" s="44">
        <f ca="1">IF($C$25&gt;=6,LOOKUP($C$20+3*$C$21, INDIRECT($H$52&amp;"!$A:$A")),"-")</f>
        <v>150</v>
      </c>
    </row>
    <row r="42" spans="2:16" x14ac:dyDescent="0.4">
      <c r="F42" s="10" t="s">
        <v>103</v>
      </c>
      <c r="G42" s="30" t="s">
        <v>124</v>
      </c>
      <c r="H42" s="30">
        <f>$H$4-$C$47</f>
        <v>495.98396170537535</v>
      </c>
      <c r="I42" s="30">
        <f>$C$65+H42</f>
        <v>-653.99003829462458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F43" s="10" t="s">
        <v>104</v>
      </c>
      <c r="G43" s="30" t="s">
        <v>124</v>
      </c>
      <c r="H43" s="30">
        <f>$H$4-$C$49</f>
        <v>489.98396170537535</v>
      </c>
      <c r="I43" s="30">
        <f>$C$65+H43</f>
        <v>-659.99003829462458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>
        <v>11</v>
      </c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>
        <f ca="1">LOOKUP($C$20+($C$25-2)*$C$21, INDIRECT($H$52&amp;"!$A:$A"))</f>
        <v>150</v>
      </c>
    </row>
    <row r="45" spans="2:16" x14ac:dyDescent="0.4">
      <c r="F45" s="10" t="s">
        <v>110</v>
      </c>
      <c r="G45" s="30" t="s">
        <v>127</v>
      </c>
      <c r="H45" s="30">
        <f>$N$29-$N$18</f>
        <v>0.66832620933018916</v>
      </c>
      <c r="I45" s="51"/>
      <c r="K45" s="3">
        <f t="shared" si="0"/>
        <v>45</v>
      </c>
      <c r="L45" s="45" t="s">
        <v>245</v>
      </c>
      <c r="M45" s="54" t="s">
        <v>247</v>
      </c>
      <c r="N45" s="2">
        <f ca="1">LOOKUP($C$20+($C$25-1)*$C$21, INDIRECT($H$52&amp;"!$A:$A"))</f>
        <v>175</v>
      </c>
    </row>
    <row r="46" spans="2:16" x14ac:dyDescent="0.4">
      <c r="B46" s="4" t="s">
        <v>384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cm="1">
        <f t="array" aca="1" ref="N46" ca="1">IF($C$25&gt;=3, INDEX(INDIRECT($H$52&amp;"!$A:$A"), MATCH($N38, INDIRECT($H$52&amp;"!$A:$A"), 0) +1),"-")</f>
        <v>100</v>
      </c>
    </row>
    <row r="47" spans="2:16" x14ac:dyDescent="0.4">
      <c r="B47" s="14" t="s">
        <v>134</v>
      </c>
      <c r="C47" s="15">
        <v>4</v>
      </c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cm="1">
        <f t="array" aca="1" ref="N47" ca="1">IF($C$25&gt;=4, INDEX(INDIRECT($H$52&amp;"!$A:$A"), MATCH($N39, INDIRECT($H$52&amp;"!$A:$A"), 0) +1),"-")</f>
        <v>125</v>
      </c>
    </row>
    <row r="48" spans="2:16" x14ac:dyDescent="0.4">
      <c r="B48" s="14" t="s">
        <v>135</v>
      </c>
      <c r="C48" s="15">
        <v>15</v>
      </c>
      <c r="E48" s="3" t="s">
        <v>255</v>
      </c>
      <c r="F48" s="35" t="s">
        <v>57</v>
      </c>
      <c r="G48" s="36" t="s">
        <v>118</v>
      </c>
      <c r="H48" s="48">
        <f>$C$23/$C$22+1</f>
        <v>7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cm="1">
        <f t="array" aca="1" ref="N48" ca="1">IF($C$25&gt;=5, INDEX(INDIRECT($H$52&amp;"!$A:$A"), MATCH($N40, INDIRECT($H$52&amp;"!$A:$A"), 0) +1),"-")</f>
        <v>150</v>
      </c>
    </row>
    <row r="49" spans="1:14" x14ac:dyDescent="0.4">
      <c r="B49" s="14" t="s">
        <v>136</v>
      </c>
      <c r="C49" s="15">
        <v>10</v>
      </c>
      <c r="E49" s="3" t="s">
        <v>256</v>
      </c>
      <c r="F49" s="10" t="s">
        <v>58</v>
      </c>
      <c r="G49" s="30" t="s">
        <v>118</v>
      </c>
      <c r="H49" s="49">
        <f>$C$24/$C$22+1</f>
        <v>6</v>
      </c>
      <c r="K49" s="3">
        <f t="shared" si="0"/>
        <v>49</v>
      </c>
      <c r="L49" s="45" t="s">
        <v>249</v>
      </c>
      <c r="M49" s="54" t="str">
        <f>IF($C$25&gt;=6,"λj ≦ q+3pz &lt; λj+1 の λj+1", "-")</f>
        <v>λj ≦ q+3pz &lt; λj+1 の λj+1</v>
      </c>
      <c r="N49" s="44" cm="1">
        <f t="array" aca="1" ref="N49" ca="1">IF($C$25&gt;=6, INDEX(INDIRECT($H$52&amp;"!$A:$A"), MATCH($N41, INDIRECT($H$52&amp;"!$A:$A"), 0) +1),"-")</f>
        <v>175</v>
      </c>
    </row>
    <row r="50" spans="1:14" x14ac:dyDescent="0.4">
      <c r="B50" s="14" t="s">
        <v>137</v>
      </c>
      <c r="C50" s="15">
        <v>15</v>
      </c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3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F52" s="10" t="s">
        <v>222</v>
      </c>
      <c r="G52" s="30" t="s">
        <v>118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252</v>
      </c>
      <c r="M52" s="54" t="s">
        <v>254</v>
      </c>
      <c r="N52" s="44" cm="1">
        <f t="array" aca="1" ref="N52" ca="1">INDEX(INDIRECT($H$52&amp;"!$A:$A"), MATCH($N44, INDIRECT($H$52&amp;"!$A:$A"), 0) +1)</f>
        <v>175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cm="1">
        <f t="array" aca="1" ref="N53" ca="1">INDEX(INDIRECT($H$52&amp;"!$A:$A"), MATCH($N45, INDIRECT($H$52&amp;"!$A:$A"), 0) +1)</f>
        <v>200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3.5836378510248323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>
        <f ca="1">IF($C$25&gt;=3,$C$20-$N$38, "-")</f>
        <v>15</v>
      </c>
    </row>
    <row r="55" spans="1:14" ht="16.5" x14ac:dyDescent="0.4">
      <c r="B55" s="14" t="s">
        <v>140</v>
      </c>
      <c r="C55" s="15">
        <v>0.5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4.2564608749580657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>
        <f ca="1">IF($C$25&gt;=4,$C$20+$C$21-$N$39, "-")</f>
        <v>10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4.8843832356542407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>
        <f ca="1">IF($C$25&gt;=5,$C$20+2*$C$21-$N$40, "-")</f>
        <v>5</v>
      </c>
    </row>
    <row r="57" spans="1:14" x14ac:dyDescent="0.4">
      <c r="F57" s="10" t="str">
        <f>IF($C$25&gt;=6,"内面溝4列目-トップ端 湾曲中心間X距離", "-")</f>
        <v>内面溝4列目-トップ端 湾曲中心間X距離</v>
      </c>
      <c r="G57" s="13" t="s">
        <v>127</v>
      </c>
      <c r="H57" s="30">
        <f>IF($C$25&gt;=$C$67-2,$N$73-$N$15, "-")</f>
        <v>5.4674144162945595</v>
      </c>
      <c r="K57" s="3">
        <f t="shared" si="0"/>
        <v>57</v>
      </c>
      <c r="L57" s="45" t="s">
        <v>259</v>
      </c>
      <c r="M57" s="54" t="str">
        <f>IF($C$25&gt;=6,"q+3pz-λj","")</f>
        <v>q+3pz-λj</v>
      </c>
      <c r="N57" s="44">
        <f ca="1">IF($C$25&gt;=6,$C$20+3*$C$21-$N$41, "-")</f>
        <v>0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6.0055632197072555</v>
      </c>
      <c r="K60" s="3">
        <f t="shared" si="0"/>
        <v>60</v>
      </c>
      <c r="L60" s="45" t="s">
        <v>262</v>
      </c>
      <c r="M60" s="54" t="s">
        <v>262</v>
      </c>
      <c r="N60" s="44">
        <f ca="1">$C$20+($C$25-2)*$C$21-$N$44</f>
        <v>20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6.4988377690224297</v>
      </c>
      <c r="K61" s="3">
        <f t="shared" si="0"/>
        <v>61</v>
      </c>
      <c r="L61" s="45" t="s">
        <v>151</v>
      </c>
      <c r="M61" s="54" t="s">
        <v>151</v>
      </c>
      <c r="N61" s="44">
        <f ca="1">$C$20+($C$25-1)*$C$21-$N$45</f>
        <v>15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410.01603829462465</v>
      </c>
      <c r="I62" s="30">
        <f>IF($C$25&gt;=3,$C$65+H62,"-")</f>
        <v>-739.95796170537528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>
        <f ca="1">IF($C$25&gt;=3,$N$46-$C$20, "-")</f>
        <v>10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390.01603829462465</v>
      </c>
      <c r="I63" s="30">
        <f>IF($C$25&gt;=4,$C$65+H63,"-")</f>
        <v>-759.95796170537528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>
        <f ca="1">IF($C$25&gt;=4,$N$47-$C$20-$C$21, "-")</f>
        <v>15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370.01603829462465</v>
      </c>
      <c r="I64" s="30">
        <f>IF($C$25&gt;=5,$C$65+H64,"-")</f>
        <v>-779.95796170537528</v>
      </c>
      <c r="K64" s="3">
        <f t="shared" ref="K64:K154" si="2">ROW(K64)</f>
        <v>64</v>
      </c>
      <c r="L64" s="45" t="s">
        <v>264</v>
      </c>
      <c r="M64" s="54" t="str">
        <f>IF($C$25&gt;=5, "λj+1-q-2pz", "-")</f>
        <v>λj+1-q-2pz</v>
      </c>
      <c r="N64" s="44">
        <f ca="1">IF($C$25&gt;=5,$N$48-$C$20-2*$C$21, "-")</f>
        <v>20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（傾き前）4列目Z座標</v>
      </c>
      <c r="G65" s="13" t="s">
        <v>124</v>
      </c>
      <c r="H65" s="60">
        <f>IF($C$25&gt;=6,$H$3-$C$20-3*$C$21,"-")</f>
        <v>350.01603829462465</v>
      </c>
      <c r="I65" s="30">
        <f>IF($C$25&gt;=6,$C$65+H65,"-")</f>
        <v>-799.95796170537528</v>
      </c>
      <c r="K65" s="3">
        <f t="shared" si="2"/>
        <v>65</v>
      </c>
      <c r="L65" s="45" t="s">
        <v>265</v>
      </c>
      <c r="M65" s="54" t="str">
        <f>IF($C$25&gt;=6, "λj+1-q-3pz", "-")</f>
        <v>λj+1-q-3pz</v>
      </c>
      <c r="N65" s="44">
        <f ca="1">IF($C$25&gt;=6,$N$49-$C$20-3*$C$21, "-")</f>
        <v>25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2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si="2"/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330.01603829462465</v>
      </c>
      <c r="I68" s="30">
        <f>$C$65+H68</f>
        <v>-819.95796170537528</v>
      </c>
      <c r="K68" s="3">
        <f t="shared" si="2"/>
        <v>68</v>
      </c>
      <c r="L68" s="45" t="s">
        <v>268</v>
      </c>
      <c r="M68" s="54" t="s">
        <v>268</v>
      </c>
      <c r="N68" s="2">
        <f ca="1">$N$52-$C$20-($C$25-2)*$C$21</f>
        <v>5</v>
      </c>
    </row>
    <row r="69" spans="2:14" x14ac:dyDescent="0.4">
      <c r="B69" s="1" t="s">
        <v>398</v>
      </c>
      <c r="C69" s="5">
        <v>-561.11400000000003</v>
      </c>
      <c r="E69" s="3" t="s">
        <v>349</v>
      </c>
      <c r="F69" s="9" t="s">
        <v>348</v>
      </c>
      <c r="G69" s="13" t="s">
        <v>124</v>
      </c>
      <c r="H69" s="60">
        <f>$H$3-$C$20-($C$25-1)*$C$21</f>
        <v>310.01603829462465</v>
      </c>
      <c r="I69" s="30">
        <f>$C$65+H69</f>
        <v>-839.95796170537528</v>
      </c>
      <c r="K69" s="3">
        <f t="shared" si="2"/>
        <v>69</v>
      </c>
      <c r="L69" s="45" t="s">
        <v>183</v>
      </c>
      <c r="M69" s="54" t="s">
        <v>183</v>
      </c>
      <c r="N69" s="2">
        <f ca="1">$N$53-$C$20-($C$25-1)*$C$21</f>
        <v>10</v>
      </c>
    </row>
    <row r="70" spans="2:14" x14ac:dyDescent="0.4">
      <c r="B70" s="1" t="s">
        <v>399</v>
      </c>
      <c r="C70" s="5">
        <v>-648.33199999999999</v>
      </c>
      <c r="E70" s="3" t="s">
        <v>306</v>
      </c>
      <c r="F70" s="10" t="s">
        <v>309</v>
      </c>
      <c r="G70" s="13" t="s">
        <v>127</v>
      </c>
      <c r="H70" s="30">
        <f ca="1">$H$22+$C$31*2</f>
        <v>157.00299999999999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8917.3132326951491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>
        <f ca="1">IF($C$25&gt;=3,($N$54*$N$86+$N$62*$N$78)/($N$46-$N$38)+$C$31*2,"-")</f>
        <v>156.59259999999998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8917.9860557190823</v>
      </c>
    </row>
    <row r="72" spans="2:14" x14ac:dyDescent="0.4">
      <c r="F72" s="10" t="s">
        <v>310</v>
      </c>
      <c r="G72" s="13" t="s">
        <v>127</v>
      </c>
      <c r="H72" s="30">
        <f ca="1">($N$61*$N$93+$N$69*$N$85)/($N$53-$N$45)+$C$31*2</f>
        <v>156.16120000000001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8918.6139780797785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>
        <f ca="1">ROUND(DEGREES($N$99),3)</f>
        <v>2.13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4列目湾曲中心X</v>
      </c>
      <c r="N73" s="46">
        <f>IF($C$25&gt;=6,SQRT($C$3^2-$N$33^2),"-")</f>
        <v>8919.1970092604188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>
        <f ca="1">$H$7+$H$73</f>
        <v>2.7719999999999998</v>
      </c>
      <c r="I74" s="30">
        <f ca="1">-$C$66+$H$74</f>
        <v>2.6989999999999998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>
        <f ca="1">DEGREES($N$107)</f>
        <v>1.8081075579837422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>
        <f ca="1">$H$7+$H$75</f>
        <v>2.4501075579837424</v>
      </c>
      <c r="I76" s="56">
        <f ca="1">-$C$66+$H$76</f>
        <v>2.3771075579837424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8919.7351580638315</v>
      </c>
    </row>
    <row r="77" spans="2:14" x14ac:dyDescent="0.4">
      <c r="F77" s="10" t="s">
        <v>198</v>
      </c>
      <c r="G77" s="30" t="s">
        <v>127</v>
      </c>
      <c r="H77" s="30">
        <f ca="1">MIN($N$110, $N$111)</f>
        <v>21.495936780292737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8920.2284326131467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>
        <f ca="1">($N$54*$N$120+$N$62*$N$112)/($N$46-$N$38)+$C$31*2</f>
        <v>154.57380000000001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>
        <f ca="1">IF($C$25&gt;=3, INDEX(INDIRECT($H$52&amp;"!B:B"), MATCH($N$38, INDIRECT($H$52&amp;"!A:A"), 0)),"-")</f>
        <v>156.52099999999999</v>
      </c>
    </row>
    <row r="79" spans="2:14" x14ac:dyDescent="0.4">
      <c r="F79" s="10" t="s">
        <v>352</v>
      </c>
      <c r="G79" s="13" t="s">
        <v>126</v>
      </c>
      <c r="H79" s="30">
        <f ca="1">($N$61*$N$127+$N$69*$N$119)/($N$53-$N$45)+$C$31*2</f>
        <v>154.14839999999998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>
        <f ca="1">IF($C$25&gt;=4, INDEX(INDIRECT($H$52&amp;"!B:B"), MATCH($N$39, INDIRECT($H$52&amp;"!A:A"), 0)),"-")</f>
        <v>156.40700000000001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>
        <f ca="1">IF($C$25&gt;=5, INDEX(INDIRECT($H$52&amp;"!B:B"), MATCH($N$40, INDIRECT($H$52&amp;"!A:A"), 0)),"-")</f>
        <v>156.29300000000001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>
        <f ca="1">IF($C$25&gt;=$C$67-5,$H$54*$N$101-$C$20*$N$100, "-")</f>
        <v>0.23613623834420849</v>
      </c>
      <c r="K81" s="3">
        <f t="shared" si="2"/>
        <v>81</v>
      </c>
      <c r="L81" s="45" t="s">
        <v>284</v>
      </c>
      <c r="M81" s="54" t="str">
        <f>IF($C$25&gt;=6,"λj ≦ q+3pz &lt; λj+1 の wAj", "-")</f>
        <v>λj ≦ q+3pz &lt; λj+1 の wAj</v>
      </c>
      <c r="N81" s="44">
        <f ca="1">IF($C$25&gt;=6, INDEX(INDIRECT($H$52&amp;"!B:B"), MATCH($N$41, INDIRECT($H$52&amp;"!A:A"), 0)),"-")</f>
        <v>156.179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>
        <f ca="1">IF($C$25&gt;=$C$67-4,$H$55*$N$101-($C$20+$C21)*$N$100, "-")</f>
        <v>0.16515537313498907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>
        <f ca="1">IF($C$25&gt;=$C$67-3,$H$56*$N$101-($C$20+2*$C$21)*$N$100, "-")</f>
        <v>4.930486789530697E-2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127</v>
      </c>
      <c r="H84" s="30">
        <f ca="1">IF($C$25&gt;=$C$67-2,$H$57*$N$101-($C$20+3*$C$21)*$N$100, "-")</f>
        <v>-0.11140580074584783</v>
      </c>
      <c r="K84" s="3">
        <f t="shared" si="2"/>
        <v>84</v>
      </c>
      <c r="L84" s="45" t="s">
        <v>287</v>
      </c>
      <c r="M84" s="54" t="s">
        <v>289</v>
      </c>
      <c r="N84" s="44">
        <f ca="1">INDEX(INDIRECT($H$52&amp;"!B:B"), MATCH($N$44, INDIRECT($H$52&amp;"!A:A"), 0))</f>
        <v>156.179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>
        <f ca="1">INDEX(INDIRECT($H$52&amp;"!B:B"), MATCH($N$45, INDIRECT($H$52&amp;"!A:A"), 0))</f>
        <v>156.077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>
        <f ca="1">IF($C$25&gt;=3, INDEX(INDIRECT($H$52&amp;"!B:B"), MATCH($N$46, INDIRECT($H$52&amp;"!A:A"), 0)),"-")</f>
        <v>156.40700000000001</v>
      </c>
    </row>
    <row r="87" spans="6:14" x14ac:dyDescent="0.4">
      <c r="F87" s="10" t="s">
        <v>270</v>
      </c>
      <c r="G87" s="13" t="s">
        <v>127</v>
      </c>
      <c r="H87" s="30">
        <f ca="1">$H$60*$N$101-($C$20+($C$25-2)*$C$21)*$N$100</f>
        <v>-0.31696783604237844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>
        <f ca="1">IF($C$25&gt;=4, INDEX(INDIRECT($H$52&amp;"!B:B"), MATCH($N$47, INDIRECT($H$52&amp;"!A:A"), 0)),"-")</f>
        <v>156.29300000000001</v>
      </c>
    </row>
    <row r="88" spans="6:14" x14ac:dyDescent="0.4">
      <c r="F88" s="10" t="s">
        <v>269</v>
      </c>
      <c r="G88" s="13" t="s">
        <v>127</v>
      </c>
      <c r="H88" s="30">
        <f ca="1">$H$61*$N$101-($C$20+($C$25-1)*$C$21)*$N$100</f>
        <v>-0.56737312047669697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>
        <f ca="1">IF($C$25&gt;=5, INDEX(INDIRECT($H$52&amp;"!B:B"), MATCH($N$48, INDIRECT($H$52&amp;"!A:A"), 0)),"-")</f>
        <v>156.179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>
        <f ca="1">IF($C$25&gt;=$C$67-5,$H$54*$N$100+$C$20*$N$101, "-")</f>
        <v>90.071009208980442</v>
      </c>
      <c r="K89" s="3">
        <f t="shared" si="2"/>
        <v>89</v>
      </c>
      <c r="L89" s="45" t="s">
        <v>294</v>
      </c>
      <c r="M89" s="54" t="str">
        <f>IF($C$25&gt;=6,"λj ≦ q+3pz &lt; λj+1 の wAj+1", "-")</f>
        <v>λj ≦ q+3pz &lt; λj+1 の wAj+1</v>
      </c>
      <c r="N89" s="44">
        <f ca="1">IF($C$25&gt;=6, INDEX(INDIRECT($H$52&amp;"!B:B"), MATCH($N$49, INDIRECT($H$52&amp;"!A:A"), 0)),"-")</f>
        <v>156.077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>
        <f ca="1">IF($C$25&gt;=$C$67-4,$H$55*$N$100+($C$20+$C$21)*$N$101, "-")</f>
        <v>110.08219739305159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>
        <f ca="1">IF($C$25&gt;=$C$67-3,$H$56*$N$100+($C$20+2*$C$21)*$N$101, "-")</f>
        <v>130.09171675638208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124</v>
      </c>
      <c r="H92" s="30">
        <f ca="1">IF($C$25&gt;=$C$67-2,$H$57*$N$100+($C$20+3*$C$21)*$N$101, "-")</f>
        <v>150.09956765143286</v>
      </c>
      <c r="K92" s="3">
        <f t="shared" si="2"/>
        <v>92</v>
      </c>
      <c r="L92" s="45" t="s">
        <v>297</v>
      </c>
      <c r="M92" s="54" t="s">
        <v>299</v>
      </c>
      <c r="N92" s="44">
        <f ca="1">INDEX(INDIRECT($H$52&amp;"!B:B"), MATCH($N$52, INDIRECT($H$52&amp;"!A:A"), 0))</f>
        <v>156.077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>
        <f ca="1">INDEX(INDIRECT($H$52&amp;"!B:B"), MATCH($N$53, INDIRECT($H$52&amp;"!A:A"), 0))</f>
        <v>155.98400000000001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>
        <f ca="1">$C$3+$H$70/2</f>
        <v>9001.201500000001</v>
      </c>
    </row>
    <row r="95" spans="6:14" x14ac:dyDescent="0.4">
      <c r="F95" s="10" t="s">
        <v>394</v>
      </c>
      <c r="G95" s="13" t="s">
        <v>124</v>
      </c>
      <c r="H95" s="30">
        <f ca="1">$H$60*$N$100+($C$20+($C$25-2)*$C$21)*$N$101</f>
        <v>170.10575040537816</v>
      </c>
      <c r="K95" s="3">
        <f t="shared" si="2"/>
        <v>95</v>
      </c>
      <c r="L95" s="45" t="s">
        <v>312</v>
      </c>
      <c r="M95" s="54" t="s">
        <v>225</v>
      </c>
      <c r="N95" s="2">
        <f ca="1">$C$3+$H$71/2</f>
        <v>9000.9963000000007</v>
      </c>
    </row>
    <row r="96" spans="6:14" x14ac:dyDescent="0.4">
      <c r="F96" s="10" t="s">
        <v>395</v>
      </c>
      <c r="G96" s="13" t="s">
        <v>124</v>
      </c>
      <c r="H96" s="30">
        <f ca="1">$H$61*$N$100+($C$20+($C$25-1)*$C$21)*$N$101</f>
        <v>190.11026532013003</v>
      </c>
      <c r="K96" s="3">
        <f t="shared" ref="K96:K103" si="3">ROW(K96)</f>
        <v>96</v>
      </c>
      <c r="L96" s="45" t="s">
        <v>315</v>
      </c>
      <c r="M96" s="54" t="s">
        <v>196</v>
      </c>
      <c r="N96" s="2">
        <f ca="1">SQRT($N$95^2-$N$30^2)</f>
        <v>8995.6564181061131</v>
      </c>
    </row>
    <row r="97" spans="5:14" x14ac:dyDescent="0.4">
      <c r="K97" s="3">
        <f t="shared" si="3"/>
        <v>97</v>
      </c>
      <c r="L97" s="45" t="s">
        <v>316</v>
      </c>
      <c r="M97" s="54" t="s">
        <v>196</v>
      </c>
      <c r="N97" s="2">
        <f ca="1">SQRT($N$94^2-$C$4^2)</f>
        <v>8992.3094054643298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-11.095000000000027</v>
      </c>
      <c r="I98" s="30">
        <f>$C$64+H98</f>
        <v>-561.11400000000003</v>
      </c>
      <c r="K98" s="3">
        <f t="shared" si="3"/>
        <v>98</v>
      </c>
      <c r="L98" s="45" t="s">
        <v>184</v>
      </c>
      <c r="M98" s="54" t="s">
        <v>184</v>
      </c>
      <c r="N98" s="2">
        <f ca="1">IF($N$96&gt;$N$97, ($N$96-$N$97)/$C$20, 0)</f>
        <v>3.7189029353147718E-2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500.01603829462465</v>
      </c>
      <c r="I99" s="30">
        <f>$C$65+H99</f>
        <v>-649.95796170537528</v>
      </c>
      <c r="K99" s="3">
        <f t="shared" si="3"/>
        <v>99</v>
      </c>
      <c r="L99" s="45" t="s">
        <v>185</v>
      </c>
      <c r="M99" s="54" t="s">
        <v>152</v>
      </c>
      <c r="N99" s="2">
        <f ca="1">ATAN($N$98)</f>
        <v>3.7171899126953054E-2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>
        <f ca="1">$H$98*$N$101+$H$99*$N$100</f>
        <v>7.4967373522236862</v>
      </c>
      <c r="I100" s="30">
        <f ca="1">$C$64+H100</f>
        <v>-542.5222626477763</v>
      </c>
      <c r="K100" s="3">
        <f t="shared" si="3"/>
        <v>100</v>
      </c>
      <c r="L100" s="45" t="s">
        <v>393</v>
      </c>
      <c r="M100" s="54" t="s">
        <v>393</v>
      </c>
      <c r="N100" s="2">
        <f ca="1">SIN(RADIANS($H$73))</f>
        <v>3.7166950783010577E-2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>
        <f ca="1">-$H$98*$N$100+$H$99*$N$101</f>
        <v>500.08292962860008</v>
      </c>
      <c r="I101" s="30">
        <f ca="1">$C$65+H101</f>
        <v>-649.89107037139979</v>
      </c>
      <c r="K101" s="3">
        <f t="shared" si="3"/>
        <v>101</v>
      </c>
      <c r="L101" s="45" t="s">
        <v>392</v>
      </c>
      <c r="M101" s="54" t="s">
        <v>392</v>
      </c>
      <c r="N101" s="2">
        <f ca="1">COS(RADIANS($H$73))</f>
        <v>0.9993090701927474</v>
      </c>
    </row>
    <row r="102" spans="5:14" x14ac:dyDescent="0.4">
      <c r="F102" s="9" t="s">
        <v>404</v>
      </c>
      <c r="G102" s="13" t="s">
        <v>127</v>
      </c>
      <c r="H102" s="30">
        <f ca="1">$H$100-$H$98</f>
        <v>18.591737352223713</v>
      </c>
      <c r="K102" s="3">
        <f t="shared" si="3"/>
        <v>102</v>
      </c>
      <c r="L102" s="45" t="s">
        <v>313</v>
      </c>
      <c r="M102" s="54" t="s">
        <v>145</v>
      </c>
      <c r="N102" s="2">
        <f ca="1">$C$3-$H$71/2</f>
        <v>8844.4037000000008</v>
      </c>
    </row>
    <row r="103" spans="5:14" x14ac:dyDescent="0.4">
      <c r="F103" s="9" t="s">
        <v>404</v>
      </c>
      <c r="G103" s="13" t="s">
        <v>124</v>
      </c>
      <c r="H103" s="30">
        <f ca="1">$H$101-$H$99</f>
        <v>6.6891333975434009E-2</v>
      </c>
      <c r="K103" s="3">
        <f t="shared" si="3"/>
        <v>103</v>
      </c>
      <c r="L103" s="45" t="s">
        <v>314</v>
      </c>
      <c r="M103" s="54" t="s">
        <v>146</v>
      </c>
      <c r="N103" s="2">
        <f ca="1">$C$3-$H$72/2</f>
        <v>8844.6194000000014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>
        <f ca="1">SQRT($N$103^2-$N$37^2)</f>
        <v>8842.1260074066122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>
        <f ca="1">SQRT($N$102^2-$N$30^2)</f>
        <v>8838.9692164060452</v>
      </c>
    </row>
    <row r="106" spans="5:14" x14ac:dyDescent="0.4">
      <c r="K106" s="3">
        <f t="shared" si="2"/>
        <v>106</v>
      </c>
      <c r="L106" s="45" t="s">
        <v>186</v>
      </c>
      <c r="N106" s="2">
        <f ca="1">($N104-$N105)/($N$30-$N$37)</f>
        <v>3.1567910005669546E-2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>
        <f ca="1">ATAN($N$106)</f>
        <v>3.1557430117010586E-2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102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85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>
        <f ca="1">$H$70/2-$H$60-$N$108/2</f>
        <v>21.495936780292737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>
        <f ca="1">$H$70/2-$H$61-$N$109/2</f>
        <v>29.502662230977563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>
        <f ca="1">IF($C$25&gt;=3, INDEX(INDIRECT($H$52&amp;"!C:C"), MATCH($N$38, INDIRECT($H$52&amp;"!A:A"), 0)),"-")</f>
        <v>154.501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>
        <f ca="1">IF($C$25&gt;=4, INDEX(INDIRECT($H$52&amp;"!C:C"), MATCH($N$39, INDIRECT($H$52&amp;"!A:A"), 0)),"-")</f>
        <v>154.38900000000001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>
        <f ca="1">IF($C$25&gt;=5, INDEX(INDIRECT($H$52&amp;"!C:C"), MATCH($N$40, INDIRECT($H$52&amp;"!A:A"), 0)),"-")</f>
        <v>154.27600000000001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λj ≦ q+3pz &lt; λj+1 の wBj</v>
      </c>
      <c r="N115" s="44">
        <f ca="1">IF($C$25&gt;=6, INDEX(INDIRECT($H$52&amp;"!C:C"), MATCH($N$41, INDIRECT($H$52&amp;"!A:A"), 0)),"-")</f>
        <v>154.16399999999999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>
        <f ca="1">INDEX(INDIRECT($H$52&amp;"!C:C"), MATCH($N$44, INDIRECT($H$52&amp;"!A:A"), 0))</f>
        <v>154.16399999999999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>
        <f ca="1">INDEX(INDIRECT($H$52&amp;"!C:C"), MATCH($N$45, INDIRECT($H$52&amp;"!A:A"), 0))</f>
        <v>154.06299999999999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>
        <f ca="1">IF($C$25&gt;=3, INDEX(INDIRECT($H$52&amp;"!C:C"), MATCH($N$46, INDIRECT($H$52&amp;"!A:A"), 0)),"-")</f>
        <v>154.38900000000001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>
        <f ca="1">IF($C$25&gt;=4, INDEX(INDIRECT($H$52&amp;"!C:C"), MATCH($N$47, INDIRECT($H$52&amp;"!A:A"), 0)),"-")</f>
        <v>154.27600000000001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>
        <f ca="1">IF($C$25&gt;=5, INDEX(INDIRECT($H$52&amp;"!C:C"), MATCH($N$48, INDIRECT($H$52&amp;"!A:A"), 0)),"-")</f>
        <v>154.16399999999999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λj ≦ q+3pz &lt; λj+1 の wBj+1</v>
      </c>
      <c r="N123" s="44">
        <f ca="1">IF($C$25&gt;=6, INDEX(INDIRECT($H$52&amp;"!C:C"), MATCH($N$49, INDIRECT($H$52&amp;"!A:A"), 0)),"-")</f>
        <v>154.06299999999999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>
        <f ca="1">INDEX(INDIRECT($H$52&amp;"!C:C"), MATCH($N$52, INDIRECT($H$52&amp;"!A:A"), 0))</f>
        <v>154.06299999999999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>
        <f ca="1">INDEX(INDIRECT($H$52&amp;"!C:C"), MATCH($N$53, INDIRECT($H$52&amp;"!A:A"), 0))</f>
        <v>153.97200000000001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>
        <f ca="1">IF($C$25&gt;=4,($N$55*$N$87+$N$63*$N$79)/($N$47-$N$39)+$C$31*2,"-")</f>
        <v>156.50139999999999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>
        <f ca="1">IF($C$25&gt;=5,($N$56*$N$88+$N$64*$N$80)/($N$48-$N$40)+$C$31*2,"-")</f>
        <v>156.4102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4列目AC内径（水平・めっき含・概算）</v>
      </c>
      <c r="N130" s="44">
        <f ca="1">IF($C$25&gt;=6,($N$57*$N$89+$N$65*$N$81)/($N$49-$N$41)+$C$31*2,"-")</f>
        <v>156.31899999999999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>
        <f ca="1">($N$60*$N$92+$N$68*$N$84)/($N$52-$N$44)+$C$31*2</f>
        <v>156.23739999999998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>
        <f ca="1">INDEX(INDIRECT($H$52&amp;"!C:C"), MATCH(0, INDIRECT($H$52&amp;"!A:A"), 0))+$C$31*2</f>
        <v>154.97899999999998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>
        <f ca="1">IF($C$25&gt;=3,($N$54*$N$120+$N$62*$N$112)/($N$46-$N$38)+$C$31*2,"-")</f>
        <v>154.57380000000001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>
        <f ca="1">IF($C$25&gt;=4,($N$55*$N$121+$N$63*$N$113)/($N$47-$N$39)+$C$31*2,"-")</f>
        <v>154.4838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>
        <f ca="1">IF($C$25&gt;=5,($N$56*$N$122+$N$64*$N$114)/($N$48-$N$40)+$C$31*2,"-")</f>
        <v>154.39359999999999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4列目 BD内径（めっき含・概算）</v>
      </c>
      <c r="N138" s="44">
        <f ca="1">IF($C$25&gt;=6,($N$57*$N$123+$N$65*$N$115)/($N$49-$N$41)+$C$31*2,"-")</f>
        <v>154.30399999999997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>
        <f ca="1">($N$60*$N$126+$N$68*$N$118)/($N$52-$N$44)+$C$31*2</f>
        <v>154.22319999999999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384450.50566139817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620.04072903430961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0.99993431232433228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1.1461720484501746E-2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8727.6739192066525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8720.5671856823628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31000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8724.693657291622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8724.1205524443612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100.00000001278184</v>
      </c>
    </row>
    <row r="155" spans="11:14" x14ac:dyDescent="0.4">
      <c r="K155" s="3">
        <f t="shared" ref="K155" si="4">ROW(K155)</f>
        <v>155</v>
      </c>
      <c r="L155" s="45" t="s">
        <v>43</v>
      </c>
      <c r="M155" s="54" t="s">
        <v>27</v>
      </c>
      <c r="N155" s="2">
        <f>C6/2+N7-N153</f>
        <v>4.12719521204599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79" priority="124">
      <formula>$C$3&gt;2*N151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39">
    <cfRule type="expression" dxfId="69" priority="128">
      <formula>OR(C39&lt;0, C39&gt;=C4)</formula>
    </cfRule>
  </conditionalFormatting>
  <conditionalFormatting sqref="C42">
    <cfRule type="expression" dxfId="68" priority="129">
      <formula>OR(C42&lt;0, C42&gt;=C4)</formula>
    </cfRule>
  </conditionalFormatting>
  <conditionalFormatting sqref="C59">
    <cfRule type="expression" dxfId="67" priority="52">
      <formula>AND(C59&lt;&gt;330, C59&lt;&gt;270, C59&lt;&gt;250)</formula>
    </cfRule>
  </conditionalFormatting>
  <conditionalFormatting sqref="C60">
    <cfRule type="expression" dxfId="66" priority="51">
      <formula>C60&lt;&gt;40</formula>
    </cfRule>
  </conditionalFormatting>
  <conditionalFormatting sqref="C63">
    <cfRule type="expression" dxfId="65" priority="28">
      <formula>OR(C63&gt;0, ABS(ABS(C63)-740)&gt;=1)</formula>
    </cfRule>
  </conditionalFormatting>
  <conditionalFormatting sqref="C64">
    <cfRule type="expression" dxfId="64" priority="41">
      <formula>OR(C64&gt;0, ABS(ABS(C64)-550)&gt;=1)</formula>
    </cfRule>
  </conditionalFormatting>
  <conditionalFormatting sqref="C65">
    <cfRule type="expression" dxfId="63" priority="34">
      <formula>OR(C65&gt;0, ABS(ABS(C65)-1150)&gt;=1)</formula>
    </cfRule>
  </conditionalFormatting>
  <conditionalFormatting sqref="C66">
    <cfRule type="expression" dxfId="62" priority="40">
      <formula>OR(ABS(C66)&gt;=0.2)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C25&gt;$C$67)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28:N133">
    <cfRule type="expression" dxfId="54" priority="10">
      <formula>$H$51&lt;0</formula>
    </cfRule>
  </conditionalFormatting>
  <conditionalFormatting sqref="N134:N141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3">
    <cfRule type="expression" dxfId="46" priority="277">
      <formula>OR($C$13&gt;=$C$9, $C$13&gt;=$C$40)</formula>
    </cfRule>
  </conditionalFormatting>
  <conditionalFormatting sqref="C14">
    <cfRule type="expression" dxfId="45" priority="278">
      <formula>OR($C$14&gt;=$C$10, $C$14&gt;=$C$40)</formula>
    </cfRule>
  </conditionalFormatting>
  <conditionalFormatting sqref="C17">
    <cfRule type="expression" dxfId="44" priority="279">
      <formula>OR($C$17&lt;=0, $C$17&gt;=($C$9-#REF!)/2, $C$17&gt;=($C$36-#REF!)/2)</formula>
    </cfRule>
  </conditionalFormatting>
  <conditionalFormatting sqref="H77">
    <cfRule type="expression" dxfId="43" priority="280">
      <formula>$H$77&lt;=$C$27/2+$C$28</formula>
    </cfRule>
  </conditionalFormatting>
  <conditionalFormatting sqref="C27">
    <cfRule type="expression" dxfId="42" priority="2">
      <formula>OR($C$27&lt;=0, $C$27&gt;$C$26)</formula>
    </cfRule>
  </conditionalFormatting>
  <conditionalFormatting sqref="H49">
    <cfRule type="expression" dxfId="41" priority="1">
      <formula>OR($H$49&lt;0, INT($H$49)&lt;&gt;$H$49)</formula>
    </cfRule>
  </conditionalFormatting>
  <dataValidations disablePrompts="1" count="1">
    <dataValidation imeMode="disabled" allowBlank="1" showInputMessage="1" showErrorMessage="1" sqref="C58:C67 H79 N128:N141 C47:C50 C53:C56 H54:H72 H81:H96 C3:C32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167-CAAA-4B28-B957-65579BC0D224}">
  <dimension ref="A1:R170"/>
  <sheetViews>
    <sheetView workbookViewId="0">
      <selection activeCell="E19" sqref="E1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0</v>
      </c>
      <c r="P2" s="9" t="s">
        <v>59</v>
      </c>
      <c r="Q2" s="10">
        <f>C4+N154</f>
        <v>400</v>
      </c>
      <c r="R2" s="10">
        <f>C65+Q2</f>
        <v>-749.97399999999993</v>
      </c>
    </row>
    <row r="3" spans="1:18" ht="15" thickTop="1" x14ac:dyDescent="0.4">
      <c r="A3" s="3" t="s">
        <v>159</v>
      </c>
      <c r="B3" s="11" t="s">
        <v>6</v>
      </c>
      <c r="C3" s="12">
        <v>5932.95</v>
      </c>
      <c r="E3" s="3" t="s">
        <v>230</v>
      </c>
      <c r="F3" s="9" t="s">
        <v>378</v>
      </c>
      <c r="G3" s="13" t="s">
        <v>124</v>
      </c>
      <c r="H3" s="30">
        <f>$C$4+$N$13*$N$5</f>
        <v>400</v>
      </c>
      <c r="I3" s="30">
        <f>$C$65+H3</f>
        <v>-749.97399999999993</v>
      </c>
      <c r="K3" s="3">
        <f t="shared" ref="K3:K66" si="0">ROW(K3)</f>
        <v>3</v>
      </c>
      <c r="L3" s="45" t="s">
        <v>374</v>
      </c>
      <c r="M3" s="54" t="s">
        <v>82</v>
      </c>
      <c r="N3" s="2">
        <f>ASIN($N$14)</f>
        <v>0</v>
      </c>
      <c r="P3" s="9" t="s">
        <v>60</v>
      </c>
      <c r="Q3" s="10">
        <f>C4+C5-Q2</f>
        <v>400</v>
      </c>
      <c r="R3" s="10">
        <f>C65+Q3</f>
        <v>-749.97399999999993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400</v>
      </c>
      <c r="I4" s="30">
        <f>$C$65+H4</f>
        <v>-749.97399999999993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</v>
      </c>
      <c r="P4" s="9" t="s">
        <v>61</v>
      </c>
      <c r="Q4" s="10">
        <f>Q2-C59</f>
        <v>70</v>
      </c>
    </row>
    <row r="5" spans="1:18" x14ac:dyDescent="0.4">
      <c r="A5" s="3" t="s">
        <v>161</v>
      </c>
      <c r="B5" s="14" t="s">
        <v>9</v>
      </c>
      <c r="C5" s="15">
        <v>400</v>
      </c>
      <c r="D5" s="2"/>
      <c r="F5" s="9" t="s">
        <v>380</v>
      </c>
      <c r="G5" s="13" t="s">
        <v>124</v>
      </c>
      <c r="H5" s="30">
        <f>$H$3-$C$59</f>
        <v>70</v>
      </c>
      <c r="K5" s="3">
        <f t="shared" si="0"/>
        <v>5</v>
      </c>
      <c r="L5" s="45" t="s">
        <v>83</v>
      </c>
      <c r="N5" s="2">
        <f>SIN($N$2)</f>
        <v>0</v>
      </c>
      <c r="P5" s="9" t="s">
        <v>62</v>
      </c>
      <c r="Q5" s="10">
        <f>Q3-C59</f>
        <v>70</v>
      </c>
    </row>
    <row r="6" spans="1:18" x14ac:dyDescent="0.4">
      <c r="B6" s="14" t="s">
        <v>14</v>
      </c>
      <c r="C6" s="19">
        <v>0</v>
      </c>
      <c r="D6" s="16"/>
      <c r="F6" s="9" t="s">
        <v>381</v>
      </c>
      <c r="G6" s="13" t="s">
        <v>124</v>
      </c>
      <c r="H6" s="50">
        <f>$H$4-$C$59</f>
        <v>70</v>
      </c>
      <c r="K6" s="3">
        <f t="shared" si="0"/>
        <v>6</v>
      </c>
      <c r="L6" s="45" t="s">
        <v>85</v>
      </c>
      <c r="N6" s="2">
        <f>COS($N$2)</f>
        <v>1</v>
      </c>
      <c r="P6" s="17" t="s">
        <v>29</v>
      </c>
      <c r="Q6" s="18">
        <f>N149-N150</f>
        <v>0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</v>
      </c>
      <c r="I7" s="30">
        <f>-$C$66+$H$7</f>
        <v>-7.2999999999999995E-2</v>
      </c>
      <c r="K7" s="3">
        <f t="shared" si="0"/>
        <v>7</v>
      </c>
      <c r="L7" s="45" t="s">
        <v>162</v>
      </c>
      <c r="N7" s="2">
        <f>SQRT($N$8^2-$N$9^2)</f>
        <v>5748.1969262108623</v>
      </c>
      <c r="P7" s="17" t="s">
        <v>74</v>
      </c>
      <c r="Q7" s="18">
        <f>C63+C10/2</f>
        <v>-663.6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0</v>
      </c>
      <c r="I8" s="56">
        <f>-$C$66+$H$8</f>
        <v>-7.2999999999999995E-2</v>
      </c>
      <c r="K8" s="3">
        <f t="shared" si="0"/>
        <v>8</v>
      </c>
      <c r="L8" s="45" t="s">
        <v>163</v>
      </c>
      <c r="M8" s="54" t="s">
        <v>19</v>
      </c>
      <c r="N8" s="2">
        <f>$N$10-$C$61</f>
        <v>5756.55</v>
      </c>
      <c r="P8" s="9" t="s">
        <v>63</v>
      </c>
      <c r="Q8" s="10">
        <f>-C62+(N16+N17)/2+C6/2-N153</f>
        <v>-30.248552825517436</v>
      </c>
      <c r="R8" s="10">
        <f t="shared" ref="R8:R14" si="1">$C$64+Q8</f>
        <v>-580.26755282551744</v>
      </c>
    </row>
    <row r="9" spans="1:18" x14ac:dyDescent="0.4">
      <c r="B9" s="14" t="s">
        <v>75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-30.246301152824344</v>
      </c>
      <c r="R9" s="10">
        <f t="shared" si="1"/>
        <v>-580.26530115282435</v>
      </c>
    </row>
    <row r="10" spans="1:18" x14ac:dyDescent="0.4">
      <c r="B10" s="14" t="s">
        <v>12</v>
      </c>
      <c r="C10" s="15">
        <v>152.80000000000001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5856.55</v>
      </c>
      <c r="P10" s="9" t="s">
        <v>64</v>
      </c>
      <c r="Q10" s="10">
        <f>C62-(N19+N20)/2-C6/2+N153</f>
        <v>30.248552825517436</v>
      </c>
      <c r="R10" s="10">
        <f t="shared" si="1"/>
        <v>-519.77044717448257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-663.6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6009.3499999999995</v>
      </c>
      <c r="P11" s="9" t="s">
        <v>20</v>
      </c>
      <c r="Q11" s="10">
        <f>C62-N18-C6/2+N153</f>
        <v>30.246301152824344</v>
      </c>
      <c r="R11" s="10">
        <f t="shared" si="1"/>
        <v>-519.77269884717566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-30.248552825517436</v>
      </c>
      <c r="I12" s="30">
        <f>$C$64+H12</f>
        <v>-580.26755282551744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147.80000000000001</v>
      </c>
      <c r="F13" s="9" t="s">
        <v>122</v>
      </c>
      <c r="G13" s="13" t="s">
        <v>127</v>
      </c>
      <c r="H13" s="30">
        <f>$N$13*$N$6-$N$22</f>
        <v>30.248552825517436</v>
      </c>
      <c r="I13" s="30">
        <f>$C$64+H13</f>
        <v>-519.77044717448257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5949.6969262108623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/>
      <c r="F14" s="9" t="s">
        <v>121</v>
      </c>
      <c r="G14" s="13" t="s">
        <v>127</v>
      </c>
      <c r="H14" s="30">
        <f>$N$15-$N$13*$N$6</f>
        <v>-30.246301152824344</v>
      </c>
      <c r="I14" s="30">
        <f>$C$64+H14</f>
        <v>-580.26530115282435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0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24.05</v>
      </c>
      <c r="D15" s="16"/>
      <c r="F15" s="9" t="s">
        <v>123</v>
      </c>
      <c r="G15" s="13" t="s">
        <v>127</v>
      </c>
      <c r="H15" s="30">
        <f>$N$13*$N$6-$N$18</f>
        <v>30.246301152824344</v>
      </c>
      <c r="I15" s="30">
        <f>$C$64+H15</f>
        <v>-519.77269884717566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5919.450625058038</v>
      </c>
      <c r="P15" s="10" t="s">
        <v>49</v>
      </c>
      <c r="Q15" s="10">
        <f>N25-N15</f>
        <v>1.8616595521061754</v>
      </c>
    </row>
    <row r="16" spans="1:18" x14ac:dyDescent="0.4">
      <c r="B16" s="14" t="s">
        <v>40</v>
      </c>
      <c r="C16" s="15">
        <v>9.0500000000000007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5996.0226335880343</v>
      </c>
      <c r="P16" s="10" t="s">
        <v>50</v>
      </c>
      <c r="Q16" s="18">
        <f>C15+C16/2</f>
        <v>28.575000000000003</v>
      </c>
    </row>
    <row r="17" spans="1:18" x14ac:dyDescent="0.4">
      <c r="B17" s="14" t="s">
        <v>41</v>
      </c>
      <c r="C17" s="15"/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5842.8741131826555</v>
      </c>
      <c r="P17" s="10" t="s">
        <v>52</v>
      </c>
      <c r="Q17" s="10">
        <f>N25-C62+C6/2-N153</f>
        <v>-28.384641600718169</v>
      </c>
      <c r="R17" s="10">
        <f>$C$64+Q17</f>
        <v>-578.40364160071817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t="e" cm="1">
        <f t="array" aca="1" ref="H18" ca="1">INDEX(INDIRECT($H$52&amp;"!B:B"), MATCH(LOOKUP(2,1/(INDIRECT($H$52&amp;"!A:A")&lt;&gt;""), INDIRECT($H$52&amp;"!A:A")), INDIRECT($H$52&amp;"!A:A"), 0))</f>
        <v>#VALUE!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5919.450625058038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-0.08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5996.0226335880343</v>
      </c>
      <c r="P19" s="10" t="s">
        <v>46</v>
      </c>
      <c r="Q19" s="10">
        <f>N26-C17-C13/2+N155-N13</f>
        <v>-25.736400000287176</v>
      </c>
      <c r="R19" s="10">
        <f>$C$64+Q19</f>
        <v>-575.75540000028718</v>
      </c>
    </row>
    <row r="20" spans="1:18" x14ac:dyDescent="0.4">
      <c r="A20" s="3" t="s">
        <v>143</v>
      </c>
      <c r="B20" s="14" t="s">
        <v>53</v>
      </c>
      <c r="C20" s="15">
        <v>133</v>
      </c>
      <c r="D20" s="2"/>
      <c r="F20" s="9" t="s">
        <v>105</v>
      </c>
      <c r="G20" s="13" t="s">
        <v>127</v>
      </c>
      <c r="H20" s="30" t="e">
        <f ca="1">$H$13-$H$18/2-$C$35+$C$40/2</f>
        <v>#VALUE!</v>
      </c>
      <c r="I20" s="30" t="e">
        <f ca="1">$C$64+H20</f>
        <v>#VALUE!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5842.8741131826555</v>
      </c>
      <c r="P20" s="10" t="s">
        <v>48</v>
      </c>
      <c r="Q20" s="10">
        <f>Q3-Q16</f>
        <v>371.42500000000001</v>
      </c>
      <c r="R20" s="10">
        <f>C65+Q20</f>
        <v>-778.54899999999998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 t="e">
        <f ca="1">-$H$20+$C$44</f>
        <v>#VALUE!</v>
      </c>
      <c r="I21" s="30" t="e">
        <f ca="1">$C$64+H21</f>
        <v>#VALUE!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5919.4483733853449</v>
      </c>
      <c r="P21" s="10" t="s">
        <v>57</v>
      </c>
      <c r="Q21" s="29">
        <f>$C$23/$C$22+1</f>
        <v>11</v>
      </c>
    </row>
    <row r="22" spans="1:18" x14ac:dyDescent="0.4">
      <c r="A22" s="3" t="s">
        <v>177</v>
      </c>
      <c r="B22" s="14" t="s">
        <v>55</v>
      </c>
      <c r="C22" s="15">
        <v>11.6</v>
      </c>
      <c r="E22" s="3" t="s">
        <v>201</v>
      </c>
      <c r="F22" s="9" t="s">
        <v>142</v>
      </c>
      <c r="G22" s="13" t="s">
        <v>127</v>
      </c>
      <c r="H22" s="30" t="e">
        <f ca="1">INDEX(INDIRECT($H$52&amp;"!B:B"), MATCH(0, INDIRECT($H$52&amp;"!A:A"), 0))</f>
        <v>#VALUE!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5919.4483733853449</v>
      </c>
      <c r="P22" s="10" t="s">
        <v>58</v>
      </c>
      <c r="Q22" s="29">
        <f>$C$24/$C$22+1</f>
        <v>10</v>
      </c>
    </row>
    <row r="23" spans="1:18" x14ac:dyDescent="0.4">
      <c r="A23" s="3" t="s">
        <v>304</v>
      </c>
      <c r="B23" s="14" t="s">
        <v>390</v>
      </c>
      <c r="C23" s="15">
        <v>116</v>
      </c>
      <c r="F23" s="9" t="s">
        <v>86</v>
      </c>
      <c r="G23" s="13" t="s">
        <v>127</v>
      </c>
      <c r="H23" s="30">
        <f>$C$40/2-$C$39+$C$31</f>
        <v>0.08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28.575000000000003</v>
      </c>
      <c r="P23" s="10" t="s">
        <v>69</v>
      </c>
      <c r="Q23" s="10" t="e">
        <f ca="1">DEGREES($N$54)</f>
        <v>#VALUE!</v>
      </c>
    </row>
    <row r="24" spans="1:18" x14ac:dyDescent="0.4">
      <c r="A24" s="3" t="s">
        <v>305</v>
      </c>
      <c r="B24" s="14" t="s">
        <v>391</v>
      </c>
      <c r="C24" s="15">
        <v>104.4</v>
      </c>
      <c r="F24" s="9" t="s">
        <v>107</v>
      </c>
      <c r="G24" s="13" t="s">
        <v>127</v>
      </c>
      <c r="H24" s="30" t="e">
        <f ca="1">-$N$13*$N$6+$N$21+$H$22/2+$C$39-$C$40/2</f>
        <v>#VALUE!</v>
      </c>
      <c r="I24" s="30" t="e">
        <f ca="1">$C$64+H24</f>
        <v>#VALUE!</v>
      </c>
      <c r="K24" s="3">
        <f t="shared" si="0"/>
        <v>24</v>
      </c>
      <c r="L24" s="45" t="s">
        <v>175</v>
      </c>
      <c r="M24" s="54" t="s">
        <v>44</v>
      </c>
      <c r="N24" s="2">
        <f>C4-Q16</f>
        <v>371.42500000000001</v>
      </c>
      <c r="P24" s="10" t="s">
        <v>70</v>
      </c>
      <c r="Q24" s="10" t="e">
        <f ca="1">Q9*$N$95+Q2*$N$62</f>
        <v>#VALUE!</v>
      </c>
    </row>
    <row r="25" spans="1:18" x14ac:dyDescent="0.4">
      <c r="A25" s="3" t="s">
        <v>147</v>
      </c>
      <c r="B25" s="14" t="s">
        <v>56</v>
      </c>
      <c r="C25" s="31">
        <v>5</v>
      </c>
      <c r="F25" s="9" t="s">
        <v>108</v>
      </c>
      <c r="G25" s="13" t="s">
        <v>124</v>
      </c>
      <c r="H25" s="30">
        <f>$H$3-$C$41</f>
        <v>400</v>
      </c>
      <c r="I25" s="30">
        <f>$C$65+H25</f>
        <v>-749.97399999999993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5921.3122846101442</v>
      </c>
      <c r="P25" s="10" t="s">
        <v>71</v>
      </c>
      <c r="Q25" s="10" t="e">
        <f ca="1">-Q$9*$N$62+Q$2*$N$95</f>
        <v>#VALUE!</v>
      </c>
    </row>
    <row r="26" spans="1:18" x14ac:dyDescent="0.4">
      <c r="B26" s="14" t="s">
        <v>396</v>
      </c>
      <c r="C26" s="19">
        <v>30</v>
      </c>
      <c r="F26" s="9" t="s">
        <v>109</v>
      </c>
      <c r="G26" s="13" t="s">
        <v>124</v>
      </c>
      <c r="H26" s="30">
        <f>$H$4-$C$38</f>
        <v>400</v>
      </c>
      <c r="I26" s="30">
        <f>$C$65+H26</f>
        <v>-749.97399999999993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5997.8605262105748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5844.76016375993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400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375.95</v>
      </c>
      <c r="I29" s="30">
        <f>$C$65+H29</f>
        <v>-774.02399999999989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5919.450625058038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366.9</v>
      </c>
      <c r="I30" s="30">
        <f>$C$65+H30</f>
        <v>-783.07399999999996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267</v>
      </c>
    </row>
    <row r="31" spans="1:18" x14ac:dyDescent="0.4">
      <c r="A31" s="3" t="s">
        <v>221</v>
      </c>
      <c r="B31" s="14" t="s">
        <v>21</v>
      </c>
      <c r="C31" s="15">
        <v>0.08</v>
      </c>
      <c r="F31" s="9" t="s">
        <v>87</v>
      </c>
      <c r="G31" s="13" t="s">
        <v>124</v>
      </c>
      <c r="H31" s="30">
        <f>$H$3-$N$23</f>
        <v>371.42500000000001</v>
      </c>
      <c r="I31" s="30">
        <f>$C$65+H31</f>
        <v>-778.54899999999998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247</v>
      </c>
    </row>
    <row r="32" spans="1:18" x14ac:dyDescent="0.4">
      <c r="B32" s="14" t="s">
        <v>222</v>
      </c>
      <c r="C32" s="39"/>
      <c r="F32" s="10" t="s">
        <v>88</v>
      </c>
      <c r="G32" s="30" t="s">
        <v>127</v>
      </c>
      <c r="H32" s="30">
        <f>$N$25-$N$15</f>
        <v>1.8616595521061754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227</v>
      </c>
    </row>
    <row r="33" spans="2:16" x14ac:dyDescent="0.4">
      <c r="F33" s="10" t="s">
        <v>52</v>
      </c>
      <c r="G33" s="30" t="s">
        <v>127</v>
      </c>
      <c r="H33" s="30">
        <f>$N$25-$N$13*$N$6</f>
        <v>-28.384641600718169</v>
      </c>
      <c r="I33" s="30">
        <f>$C$64+H33</f>
        <v>-578.40364160071817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-</v>
      </c>
      <c r="N33" s="44" t="str">
        <f>IF($C$25&gt;=6,$N$30-3*$C$21, "-")</f>
        <v>-</v>
      </c>
    </row>
    <row r="34" spans="2:16" x14ac:dyDescent="0.4">
      <c r="B34" s="4" t="s">
        <v>114</v>
      </c>
      <c r="C34" s="61">
        <v>0</v>
      </c>
      <c r="F34" s="10" t="s">
        <v>47</v>
      </c>
      <c r="G34" s="30" t="s">
        <v>127</v>
      </c>
      <c r="H34" s="30" t="e">
        <f ca="1">$H$21</f>
        <v>#VALUE!</v>
      </c>
      <c r="I34" s="30" t="e">
        <f ca="1">$C$64+H34</f>
        <v>#VALUE!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/>
      <c r="F35" s="10" t="s">
        <v>130</v>
      </c>
      <c r="G35" s="30" t="s">
        <v>127</v>
      </c>
      <c r="H35" s="30">
        <f>$N$26-$C$17-$C$13/2-$N$13</f>
        <v>-25.736400000287176</v>
      </c>
      <c r="I35" s="30">
        <f>$C$64+H35</f>
        <v>-575.75540000028718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/>
      <c r="F36" s="10" t="s">
        <v>131</v>
      </c>
      <c r="G36" s="30" t="s">
        <v>127</v>
      </c>
      <c r="H36" s="30">
        <f>$C$17+$C$13/2</f>
        <v>73.900000000000006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207</v>
      </c>
    </row>
    <row r="37" spans="2:16" x14ac:dyDescent="0.4">
      <c r="B37" s="14" t="s">
        <v>204</v>
      </c>
      <c r="C37" s="33"/>
      <c r="F37" s="10" t="s">
        <v>92</v>
      </c>
      <c r="G37" s="30" t="s">
        <v>127</v>
      </c>
      <c r="H37" s="30" t="e">
        <f ca="1">$H$24</f>
        <v>#VALUE!</v>
      </c>
      <c r="I37" s="30" t="e">
        <f ca="1">$C$64+H37</f>
        <v>#VALUE!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187</v>
      </c>
    </row>
    <row r="38" spans="2:16" x14ac:dyDescent="0.4">
      <c r="B38" s="14" t="s">
        <v>98</v>
      </c>
      <c r="C38" s="33"/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 t="e">
        <f ca="1">IF($C$25&gt;=3,LOOKUP($C$20,INDIRECT($H$52&amp;"!$A:$A")),"-")</f>
        <v>#VALUE!</v>
      </c>
    </row>
    <row r="39" spans="2:16" x14ac:dyDescent="0.4">
      <c r="B39" s="14" t="s">
        <v>26</v>
      </c>
      <c r="C39" s="33"/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 t="e">
        <f ca="1">IF($C$25&gt;=4,LOOKUP($C$20+$C$21, INDIRECT($H$52&amp;"!$A:$A")),"-")</f>
        <v>#VALUE!</v>
      </c>
    </row>
    <row r="40" spans="2:16" x14ac:dyDescent="0.4">
      <c r="B40" s="14" t="s">
        <v>383</v>
      </c>
      <c r="C40" s="33"/>
      <c r="F40" s="10" t="s">
        <v>102</v>
      </c>
      <c r="G40" s="30" t="s">
        <v>124</v>
      </c>
      <c r="H40" s="30">
        <f>$H$3-$C$53</f>
        <v>399</v>
      </c>
      <c r="I40" s="30">
        <f>$C$65+H40</f>
        <v>-750.97399999999993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 t="e">
        <f ca="1">IF($C$25&gt;=5,LOOKUP($C$20+2*$C$21, INDIRECT($H$52&amp;"!$A:$A")),"-")</f>
        <v>#VALUE!</v>
      </c>
      <c r="P40" s="2"/>
    </row>
    <row r="41" spans="2:16" x14ac:dyDescent="0.4">
      <c r="B41" s="14" t="s">
        <v>97</v>
      </c>
      <c r="C41" s="33"/>
      <c r="F41" s="10" t="s">
        <v>101</v>
      </c>
      <c r="G41" s="30" t="s">
        <v>124</v>
      </c>
      <c r="H41" s="30">
        <f>$H$3-$C$55</f>
        <v>399</v>
      </c>
      <c r="I41" s="30">
        <f>$C$65+H41</f>
        <v>-750.97399999999993</v>
      </c>
      <c r="K41" s="3">
        <f t="shared" si="0"/>
        <v>41</v>
      </c>
      <c r="L41" s="45" t="s">
        <v>242</v>
      </c>
      <c r="M41" s="54" t="str">
        <f>IF($C$25&gt;=6,"λj ≦ q+3pz &lt; λj+1 の λj", "-")</f>
        <v>-</v>
      </c>
      <c r="N41" s="44" t="str">
        <f ca="1">IF($C$25&gt;=6,LOOKUP($C$20+3*$C$21, INDIRECT($H$52&amp;"!$A:$A")),"-")</f>
        <v>-</v>
      </c>
    </row>
    <row r="42" spans="2:16" x14ac:dyDescent="0.4">
      <c r="F42" s="10" t="s">
        <v>103</v>
      </c>
      <c r="G42" s="30" t="s">
        <v>124</v>
      </c>
      <c r="H42" s="30">
        <f>$H$4-$C$47</f>
        <v>400</v>
      </c>
      <c r="I42" s="30">
        <f>$C$65+H42</f>
        <v>-749.97399999999993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C43" s="61">
        <v>0</v>
      </c>
      <c r="F43" s="10" t="s">
        <v>104</v>
      </c>
      <c r="G43" s="30" t="s">
        <v>124</v>
      </c>
      <c r="H43" s="30">
        <f>$H$4-$C$49</f>
        <v>400</v>
      </c>
      <c r="I43" s="30">
        <f>$C$65+H43</f>
        <v>-749.97399999999993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/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 t="e">
        <f ca="1">LOOKUP($C$20+($C$25-2)*$C$21, INDIRECT($H$52&amp;"!$A:$A"))</f>
        <v>#VALUE!</v>
      </c>
    </row>
    <row r="45" spans="2:16" x14ac:dyDescent="0.4">
      <c r="F45" s="10" t="s">
        <v>110</v>
      </c>
      <c r="G45" s="30" t="s">
        <v>127</v>
      </c>
      <c r="H45" s="30">
        <f>$N$29-$N$18</f>
        <v>0</v>
      </c>
      <c r="I45" s="51"/>
      <c r="K45" s="3">
        <f t="shared" si="0"/>
        <v>45</v>
      </c>
      <c r="L45" s="45" t="s">
        <v>245</v>
      </c>
      <c r="M45" s="54" t="s">
        <v>247</v>
      </c>
      <c r="N45" s="2" t="e">
        <f ca="1">LOOKUP($C$20+($C$25-1)*$C$21, INDIRECT($H$52&amp;"!$A:$A"))</f>
        <v>#VALUE!</v>
      </c>
    </row>
    <row r="46" spans="2:16" x14ac:dyDescent="0.4">
      <c r="B46" s="4" t="s">
        <v>384</v>
      </c>
      <c r="C46" s="61">
        <v>0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t="e" cm="1">
        <f t="array" aca="1" ref="N46" ca="1">IF($C$25&gt;=3, INDEX(INDIRECT($H$52&amp;"!$A:$A"), MATCH($N38, INDIRECT($H$52&amp;"!$A:$A"), 0) +1),"-")</f>
        <v>#VALUE!</v>
      </c>
    </row>
    <row r="47" spans="2:16" x14ac:dyDescent="0.4">
      <c r="B47" s="14" t="s">
        <v>134</v>
      </c>
      <c r="C47" s="15"/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t="e" cm="1">
        <f t="array" aca="1" ref="N47" ca="1">IF($C$25&gt;=4, INDEX(INDIRECT($H$52&amp;"!$A:$A"), MATCH($N39, INDIRECT($H$52&amp;"!$A:$A"), 0) +1),"-")</f>
        <v>#VALUE!</v>
      </c>
    </row>
    <row r="48" spans="2:16" x14ac:dyDescent="0.4">
      <c r="B48" s="14" t="s">
        <v>135</v>
      </c>
      <c r="C48" s="15"/>
      <c r="E48" s="3" t="s">
        <v>255</v>
      </c>
      <c r="F48" s="35" t="s">
        <v>57</v>
      </c>
      <c r="G48" s="36" t="s">
        <v>118</v>
      </c>
      <c r="H48" s="48">
        <f>$C$23/$C$22+1</f>
        <v>11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t="e" cm="1">
        <f t="array" aca="1" ref="N48" ca="1">IF($C$25&gt;=5, INDEX(INDIRECT($H$52&amp;"!$A:$A"), MATCH($N40, INDIRECT($H$52&amp;"!$A:$A"), 0) +1),"-")</f>
        <v>#VALUE!</v>
      </c>
    </row>
    <row r="49" spans="1:14" x14ac:dyDescent="0.4">
      <c r="B49" s="14" t="s">
        <v>136</v>
      </c>
      <c r="C49" s="15"/>
      <c r="E49" s="3" t="s">
        <v>256</v>
      </c>
      <c r="F49" s="10" t="s">
        <v>58</v>
      </c>
      <c r="G49" s="30" t="s">
        <v>118</v>
      </c>
      <c r="H49" s="49">
        <f>$C$24/$C$22+1</f>
        <v>10</v>
      </c>
      <c r="K49" s="3">
        <f t="shared" si="0"/>
        <v>49</v>
      </c>
      <c r="L49" s="45" t="s">
        <v>249</v>
      </c>
      <c r="M49" s="54" t="str">
        <f>IF($C$25&gt;=6,"λj ≦ q+3pz &lt; λj+1 の λj+1", "-")</f>
        <v>-</v>
      </c>
      <c r="N49" s="44" t="str" cm="1">
        <f t="array" aca="1" ref="N49" ca="1">IF($C$25&gt;=6, INDEX(INDIRECT($H$52&amp;"!$A:$A"), MATCH($N41, INDIRECT($H$52&amp;"!$A:$A"), 0) +1),"-")</f>
        <v>-</v>
      </c>
    </row>
    <row r="50" spans="1:14" x14ac:dyDescent="0.4">
      <c r="B50" s="14" t="s">
        <v>137</v>
      </c>
      <c r="C50" s="15"/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2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C52" s="61">
        <v>1</v>
      </c>
      <c r="F52" s="10" t="s">
        <v>222</v>
      </c>
      <c r="G52" s="30" t="s">
        <v>118</v>
      </c>
      <c r="H52" s="30" t="e">
        <f>IF(ISNUMBER(VALUE(LEFT($C$32, 1))), TEXT($C$32, "00000"), LEFT($C$32, 1) &amp; TEXT(MID($C$32, 2, LEN($C$32) - 1), "00000"))</f>
        <v>#VALUE!</v>
      </c>
      <c r="K52" s="3">
        <f t="shared" si="0"/>
        <v>52</v>
      </c>
      <c r="L52" s="45" t="s">
        <v>252</v>
      </c>
      <c r="M52" s="54" t="s">
        <v>254</v>
      </c>
      <c r="N52" s="44" t="e" cm="1">
        <f t="array" aca="1" ref="N52" ca="1">INDEX(INDIRECT($H$52&amp;"!$A:$A"), MATCH($N44, INDIRECT($H$52&amp;"!$A:$A"), 0) +1)</f>
        <v>#VALUE!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t="e" cm="1">
        <f t="array" aca="1" ref="N53" ca="1">INDEX(INDIRECT($H$52&amp;"!$A:$A"), MATCH($N45, INDIRECT($H$52&amp;"!$A:$A"), 0) +1)</f>
        <v>#VALUE!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7.4884418212559467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 t="e">
        <f ca="1">IF($C$25&gt;=3,$C$20-$N$38, "-")</f>
        <v>#VALUE!</v>
      </c>
    </row>
    <row r="55" spans="1:14" ht="16.5" x14ac:dyDescent="0.4">
      <c r="B55" s="14" t="s">
        <v>140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8.3556051168316117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 t="e">
        <f ca="1">IF($C$25&gt;=4,$C$20+$C$21-$N$39, "-")</f>
        <v>#VALUE!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9.155172471428159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 t="e">
        <f ca="1">IF($C$25&gt;=5,$C$20+2*$C$21-$N$40, "-")</f>
        <v>#VALUE!</v>
      </c>
    </row>
    <row r="57" spans="1:14" x14ac:dyDescent="0.4">
      <c r="F57" s="10" t="str">
        <f>IF($C$25&gt;=6,"内面溝4列目-トップ端 湾曲中心間X距離", "-")</f>
        <v>-</v>
      </c>
      <c r="G57" s="13" t="s">
        <v>127</v>
      </c>
      <c r="H57" s="30" t="str">
        <f>IF($C$25&gt;=$C$67-2,$N$73-$N$15, "-")</f>
        <v>-</v>
      </c>
      <c r="K57" s="3">
        <f t="shared" si="0"/>
        <v>57</v>
      </c>
      <c r="L57" s="45" t="s">
        <v>259</v>
      </c>
      <c r="M57" s="54" t="str">
        <f>IF($C$25&gt;=6,"q+3pz-λj","")</f>
        <v/>
      </c>
      <c r="N57" s="44" t="str">
        <f>IF($C$25&gt;=6,$C$20+3*$C$21-$N$41, "-")</f>
        <v>-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9.8871712308528004</v>
      </c>
      <c r="K60" s="3">
        <f t="shared" si="0"/>
        <v>60</v>
      </c>
      <c r="L60" s="45" t="s">
        <v>262</v>
      </c>
      <c r="M60" s="54" t="s">
        <v>262</v>
      </c>
      <c r="N60" s="44" t="e">
        <f ca="1">$C$20+($C$25-2)*$C$21-$N$44</f>
        <v>#VALUE!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10.551626417082844</v>
      </c>
      <c r="K61" s="3">
        <f t="shared" si="0"/>
        <v>61</v>
      </c>
      <c r="L61" s="45" t="s">
        <v>151</v>
      </c>
      <c r="M61" s="54" t="s">
        <v>151</v>
      </c>
      <c r="N61" s="44" t="e">
        <f ca="1">$C$20+($C$25-1)*$C$21-$N$45</f>
        <v>#VALUE!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267</v>
      </c>
      <c r="I62" s="30">
        <f>IF($C$25&gt;=3,$C$65+H62,"-")</f>
        <v>-882.97399999999993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 t="e">
        <f ca="1">IF($C$25&gt;=3,$N$46-$C$20, "-")</f>
        <v>#VALUE!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247</v>
      </c>
      <c r="I63" s="30">
        <f>IF($C$25&gt;=4,$C$65+H63,"-")</f>
        <v>-902.97399999999993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 t="e">
        <f ca="1">IF($C$25&gt;=4,$N$47-$C$20-$C$21, "-")</f>
        <v>#VALUE!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227</v>
      </c>
      <c r="I64" s="30">
        <f>IF($C$25&gt;=5,$C$65+H64,"-")</f>
        <v>-922.97399999999993</v>
      </c>
      <c r="K64" s="3">
        <f t="shared" si="0"/>
        <v>64</v>
      </c>
      <c r="L64" s="45" t="s">
        <v>264</v>
      </c>
      <c r="M64" s="54" t="str">
        <f>IF($C$25&gt;=5, "λj+1-q-2pz", "-")</f>
        <v>λj+1-q-2pz</v>
      </c>
      <c r="N64" s="44" t="e">
        <f ca="1">IF($C$25&gt;=5,$N$48-$C$20-2*$C$21, "-")</f>
        <v>#VALUE!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-</v>
      </c>
      <c r="G65" s="13" t="s">
        <v>124</v>
      </c>
      <c r="H65" s="60" t="str">
        <f>IF($C$25&gt;=6,$H$3-$C$20-3*$C$21,"-")</f>
        <v>-</v>
      </c>
      <c r="I65" s="30" t="str">
        <f>IF($C$25&gt;=6,$C$65+H65,"-")</f>
        <v>-</v>
      </c>
      <c r="K65" s="3">
        <f t="shared" si="0"/>
        <v>65</v>
      </c>
      <c r="L65" s="45" t="s">
        <v>265</v>
      </c>
      <c r="M65" s="54" t="str">
        <f>IF($C$25&gt;=6, "λj+1-q-3pz", "-")</f>
        <v>-</v>
      </c>
      <c r="N65" s="44" t="str">
        <f>IF($C$25&gt;=6,$N$49-$C$20-3*$C$21, "-")</f>
        <v>-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0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ref="K67:K157" si="2">ROW(K67)</f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207</v>
      </c>
      <c r="I68" s="30">
        <f>$C$65+H68</f>
        <v>-942.97399999999993</v>
      </c>
      <c r="K68" s="3">
        <f t="shared" si="2"/>
        <v>68</v>
      </c>
      <c r="L68" s="45" t="s">
        <v>268</v>
      </c>
      <c r="M68" s="54" t="s">
        <v>268</v>
      </c>
      <c r="N68" s="2" t="e">
        <f ca="1">$N$52-$C$20-($C$25-2)*$C$21</f>
        <v>#VALUE!</v>
      </c>
    </row>
    <row r="69" spans="2:14" x14ac:dyDescent="0.4">
      <c r="E69" s="3" t="s">
        <v>349</v>
      </c>
      <c r="F69" s="9" t="s">
        <v>348</v>
      </c>
      <c r="G69" s="13" t="s">
        <v>124</v>
      </c>
      <c r="H69" s="60">
        <f>$H$3-$C$20-($C$25-1)*$C$21</f>
        <v>187</v>
      </c>
      <c r="I69" s="30">
        <f>$C$65+H69</f>
        <v>-962.97399999999993</v>
      </c>
      <c r="K69" s="3">
        <f t="shared" si="2"/>
        <v>69</v>
      </c>
      <c r="L69" s="45" t="s">
        <v>183</v>
      </c>
      <c r="M69" s="54" t="s">
        <v>183</v>
      </c>
      <c r="N69" s="2" t="e">
        <f ca="1">$N$53-$C$20-($C$25-1)*$C$21</f>
        <v>#VALUE!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 t="e">
        <f ca="1">$H$22+$C$31*2</f>
        <v>#VALUE!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5926.9390668792939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 t="e">
        <f ca="1">IF($C$25&gt;=3,($N$54*$N$86+$N$62*$N$78)/($N$46-$N$38)+$C$31*2,"-")</f>
        <v>#VALUE!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5927.8062301748696</v>
      </c>
    </row>
    <row r="72" spans="2:14" x14ac:dyDescent="0.4">
      <c r="F72" s="10" t="s">
        <v>310</v>
      </c>
      <c r="G72" s="13" t="s">
        <v>127</v>
      </c>
      <c r="H72" s="30" t="e">
        <f ca="1">($N$61*$N$93+$N$69*$N$85)/($N$53-$N$45)+$C$31*2</f>
        <v>#VALUE!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5928.6057975294661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 t="e">
        <f ca="1">ROUND(DEGREES($N$99),3)</f>
        <v>#VALUE!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-</v>
      </c>
      <c r="N73" s="46" t="str">
        <f>IF($C$25&gt;=6,SQRT($C$3^2-$N$33^2),"-")</f>
        <v>-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 t="e">
        <f ca="1">$H$7+$H$73</f>
        <v>#VALUE!</v>
      </c>
      <c r="I74" s="30" t="e">
        <f ca="1">-$C$66+$H$74</f>
        <v>#VALUE!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 t="e">
        <f ca="1">DEGREES($N$107)</f>
        <v>#VALUE!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 t="e">
        <f ca="1">$H$7+$H$75</f>
        <v>#VALUE!</v>
      </c>
      <c r="I76" s="56" t="e">
        <f ca="1">-$C$66+$H$76</f>
        <v>#VALUE!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5929.3377962888908</v>
      </c>
    </row>
    <row r="77" spans="2:14" x14ac:dyDescent="0.4">
      <c r="F77" s="10" t="s">
        <v>198</v>
      </c>
      <c r="G77" s="30" t="s">
        <v>127</v>
      </c>
      <c r="H77" s="30" t="e">
        <f ca="1">MIN($N$110, $N$111)</f>
        <v>#VALUE!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5930.0022514751208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 t="e">
        <f ca="1">($N$54*$N$120+$N$62*$N$112)/($N$46-$N$38)+$C$31*2</f>
        <v>#VALUE!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 t="e">
        <f ca="1">IF($C$25&gt;=3, INDEX(INDIRECT($H$52&amp;"!B:B"), MATCH($N$38, INDIRECT($H$52&amp;"!A:A"), 0)),"-")</f>
        <v>#VALUE!</v>
      </c>
    </row>
    <row r="79" spans="2:14" x14ac:dyDescent="0.4">
      <c r="F79" s="10" t="s">
        <v>352</v>
      </c>
      <c r="G79" s="13" t="s">
        <v>126</v>
      </c>
      <c r="H79" s="30" t="e">
        <f ca="1">($N$61*$N$127+$N$69*$N$119)/($N$53-$N$45)+$C$31*2</f>
        <v>#VALUE!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 t="e">
        <f ca="1">IF($C$25&gt;=4, INDEX(INDIRECT($H$52&amp;"!B:B"), MATCH($N$39, INDIRECT($H$52&amp;"!A:A"), 0)),"-")</f>
        <v>#VALUE!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 t="e">
        <f ca="1">IF($C$25&gt;=5, INDEX(INDIRECT($H$52&amp;"!B:B"), MATCH($N$40, INDIRECT($H$52&amp;"!A:A"), 0)),"-")</f>
        <v>#VALUE!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 t="e">
        <f ca="1">IF($C$25&gt;=$C$67-5,$H$54*$N$101-$C$20*$N$100, "-")</f>
        <v>#VALUE!</v>
      </c>
      <c r="K81" s="3">
        <f t="shared" si="2"/>
        <v>81</v>
      </c>
      <c r="L81" s="45" t="s">
        <v>284</v>
      </c>
      <c r="M81" s="54" t="str">
        <f>IF($C$25&gt;=6,"λj ≦ q+3pz &lt; λj+1 の wAj", "-")</f>
        <v>-</v>
      </c>
      <c r="N81" s="44" t="str">
        <f ca="1">IF($C$25&gt;=6, INDEX(INDIRECT($H$52&amp;"!B:B"), MATCH($N$41, INDIRECT($H$52&amp;"!A:A"), 0)),"-")</f>
        <v>-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 t="e">
        <f ca="1">IF($C$25&gt;=$C$67-4,$H$55*$N$101-($C$20+$C21)*$N$100, "-")</f>
        <v>#VALUE!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 t="e">
        <f ca="1">IF($C$25&gt;=$C$67-3,$H$56*$N$101-($C$20+2*$C$21)*$N$100, "-")</f>
        <v>#VALUE!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-</v>
      </c>
      <c r="G84" s="13" t="s">
        <v>127</v>
      </c>
      <c r="H84" s="30" t="str">
        <f>IF($C$25&gt;=$C$67-2,$H$57*$N$101-($C$20+3*$C$21)*$N$100, "-")</f>
        <v>-</v>
      </c>
      <c r="K84" s="3">
        <f t="shared" si="2"/>
        <v>84</v>
      </c>
      <c r="L84" s="45" t="s">
        <v>287</v>
      </c>
      <c r="M84" s="54" t="s">
        <v>289</v>
      </c>
      <c r="N84" s="44" t="e">
        <f ca="1">INDEX(INDIRECT($H$52&amp;"!B:B"), MATCH($N$44, INDIRECT($H$52&amp;"!A:A"), 0))</f>
        <v>#VALUE!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 t="e">
        <f ca="1">INDEX(INDIRECT($H$52&amp;"!B:B"), MATCH($N$45, INDIRECT($H$52&amp;"!A:A"), 0))</f>
        <v>#VALUE!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 t="e">
        <f ca="1">IF($C$25&gt;=3, INDEX(INDIRECT($H$52&amp;"!B:B"), MATCH($N$46, INDIRECT($H$52&amp;"!A:A"), 0)),"-")</f>
        <v>#VALUE!</v>
      </c>
    </row>
    <row r="87" spans="6:14" x14ac:dyDescent="0.4">
      <c r="F87" s="10" t="s">
        <v>270</v>
      </c>
      <c r="G87" s="13" t="s">
        <v>127</v>
      </c>
      <c r="H87" s="30" t="e">
        <f ca="1">$H$60*$N$101-($C$20+($C$25-2)*$C$21)*$N$100</f>
        <v>#VALUE!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 t="e">
        <f ca="1">IF($C$25&gt;=4, INDEX(INDIRECT($H$52&amp;"!B:B"), MATCH($N$47, INDIRECT($H$52&amp;"!A:A"), 0)),"-")</f>
        <v>#VALUE!</v>
      </c>
    </row>
    <row r="88" spans="6:14" x14ac:dyDescent="0.4">
      <c r="F88" s="10" t="s">
        <v>269</v>
      </c>
      <c r="G88" s="13" t="s">
        <v>127</v>
      </c>
      <c r="H88" s="30" t="e">
        <f ca="1">$H$61*$N$101-($C$20+($C$25-1)*$C$21)*$N$100</f>
        <v>#VALUE!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 t="e">
        <f ca="1">IF($C$25&gt;=5, INDEX(INDIRECT($H$52&amp;"!B:B"), MATCH($N$48, INDIRECT($H$52&amp;"!A:A"), 0)),"-")</f>
        <v>#VALUE!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 t="e">
        <f ca="1">IF($C$25&gt;=$C$67-5,$H$54*$N$100+$C$20*$N$101, "-")</f>
        <v>#VALUE!</v>
      </c>
      <c r="K89" s="3">
        <f t="shared" si="2"/>
        <v>89</v>
      </c>
      <c r="L89" s="45" t="s">
        <v>294</v>
      </c>
      <c r="M89" s="54" t="str">
        <f>IF($C$25&gt;=6,"λj ≦ q+3pz &lt; λj+1 の wAj+1", "-")</f>
        <v>-</v>
      </c>
      <c r="N89" s="44" t="str">
        <f ca="1">IF($C$25&gt;=6, INDEX(INDIRECT($H$52&amp;"!B:B"), MATCH($N$49, INDIRECT($H$52&amp;"!A:A"), 0)),"-")</f>
        <v>-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 t="e">
        <f ca="1">IF($C$25&gt;=$C$67-4,$H$55*$N$100+($C$20+$C$21)*$N$101, "-")</f>
        <v>#VALUE!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 t="e">
        <f ca="1">IF($C$25&gt;=$C$67-3,$H$56*$N$100+($C$20+2*$C$21)*$N$101, "-")</f>
        <v>#VALUE!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-</v>
      </c>
      <c r="G92" s="13" t="s">
        <v>124</v>
      </c>
      <c r="H92" s="30" t="str">
        <f>IF($C$25&gt;=$C$67-2,$H$57*$N$100+($C$20+3*$C$21)*$N$101, "-")</f>
        <v>-</v>
      </c>
      <c r="K92" s="3">
        <f t="shared" si="2"/>
        <v>92</v>
      </c>
      <c r="L92" s="45" t="s">
        <v>297</v>
      </c>
      <c r="M92" s="54" t="s">
        <v>299</v>
      </c>
      <c r="N92" s="44" t="e">
        <f ca="1">INDEX(INDIRECT($H$52&amp;"!B:B"), MATCH($N$52, INDIRECT($H$52&amp;"!A:A"), 0))</f>
        <v>#VALUE!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 t="e">
        <f ca="1">INDEX(INDIRECT($H$52&amp;"!B:B"), MATCH($N$53, INDIRECT($H$52&amp;"!A:A"), 0))</f>
        <v>#VALUE!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 t="e">
        <f ca="1">$C$3+$H$70/2</f>
        <v>#VALUE!</v>
      </c>
    </row>
    <row r="95" spans="6:14" x14ac:dyDescent="0.4">
      <c r="F95" s="10" t="s">
        <v>394</v>
      </c>
      <c r="G95" s="13" t="s">
        <v>124</v>
      </c>
      <c r="H95" s="30" t="e">
        <f ca="1">$H$60*$N$100+($C$20+($C$25-2)*$C$21)*$N$101</f>
        <v>#VALUE!</v>
      </c>
      <c r="K95" s="3">
        <f t="shared" si="2"/>
        <v>95</v>
      </c>
      <c r="L95" s="45" t="s">
        <v>312</v>
      </c>
      <c r="M95" s="54" t="s">
        <v>225</v>
      </c>
      <c r="N95" s="2" t="e">
        <f ca="1">$C$3+$H$71/2</f>
        <v>#VALUE!</v>
      </c>
    </row>
    <row r="96" spans="6:14" x14ac:dyDescent="0.4">
      <c r="F96" s="10" t="s">
        <v>395</v>
      </c>
      <c r="G96" s="13" t="s">
        <v>124</v>
      </c>
      <c r="H96" s="30" t="e">
        <f ca="1">$H$61*$N$100+($C$20+($C$25-1)*$C$21)*$N$101</f>
        <v>#VALUE!</v>
      </c>
      <c r="K96" s="3">
        <f t="shared" si="2"/>
        <v>96</v>
      </c>
      <c r="L96" s="45" t="s">
        <v>315</v>
      </c>
      <c r="M96" s="54" t="s">
        <v>196</v>
      </c>
      <c r="N96" s="2" t="e">
        <f ca="1">SQRT($N$95^2-$N$30^2)</f>
        <v>#VALUE!</v>
      </c>
    </row>
    <row r="97" spans="5:14" x14ac:dyDescent="0.4">
      <c r="K97" s="3">
        <f t="shared" si="2"/>
        <v>97</v>
      </c>
      <c r="L97" s="45" t="s">
        <v>316</v>
      </c>
      <c r="M97" s="54" t="s">
        <v>196</v>
      </c>
      <c r="N97" s="2" t="e">
        <f ca="1">SQRT($N$94^2-$C$4^2)</f>
        <v>#VALUE!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550.01900000000001</v>
      </c>
      <c r="I98" s="30">
        <f>$C$64+H98</f>
        <v>0</v>
      </c>
      <c r="K98" s="3">
        <f t="shared" si="2"/>
        <v>98</v>
      </c>
      <c r="L98" s="45" t="s">
        <v>184</v>
      </c>
      <c r="M98" s="54" t="s">
        <v>184</v>
      </c>
      <c r="N98" s="2" t="e">
        <f ca="1">IF($N$96&gt;$N$97, ($N$96-$N$97)/$C$20, 0)</f>
        <v>#VALUE!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400</v>
      </c>
      <c r="I99" s="30">
        <f>$C$65+H99</f>
        <v>-749.97399999999993</v>
      </c>
      <c r="K99" s="3">
        <f t="shared" si="2"/>
        <v>99</v>
      </c>
      <c r="L99" s="45" t="s">
        <v>185</v>
      </c>
      <c r="M99" s="54" t="s">
        <v>152</v>
      </c>
      <c r="N99" s="2" t="e">
        <f ca="1">ATAN($N$98)</f>
        <v>#VALUE!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 t="e">
        <f ca="1">$H$98*$N$101+$H$99*$N$100</f>
        <v>#VALUE!</v>
      </c>
      <c r="I100" s="30" t="e">
        <f ca="1">$C$64+H100</f>
        <v>#VALUE!</v>
      </c>
      <c r="K100" s="3">
        <f t="shared" si="2"/>
        <v>100</v>
      </c>
      <c r="L100" s="45" t="s">
        <v>393</v>
      </c>
      <c r="M100" s="54" t="s">
        <v>393</v>
      </c>
      <c r="N100" s="2" t="e">
        <f ca="1">SIN(RADIANS($H$73))</f>
        <v>#VALUE!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 t="e">
        <f ca="1">-$H$98*$N$100+$H$99*$N$101</f>
        <v>#VALUE!</v>
      </c>
      <c r="I101" s="30" t="e">
        <f ca="1">$C$65+H101</f>
        <v>#VALUE!</v>
      </c>
      <c r="K101" s="3">
        <f t="shared" si="2"/>
        <v>101</v>
      </c>
      <c r="L101" s="45" t="s">
        <v>392</v>
      </c>
      <c r="M101" s="54" t="s">
        <v>392</v>
      </c>
      <c r="N101" s="2" t="e">
        <f ca="1">COS(RADIANS($H$73))</f>
        <v>#VALUE!</v>
      </c>
    </row>
    <row r="102" spans="5:14" x14ac:dyDescent="0.4">
      <c r="F102" s="9" t="s">
        <v>404</v>
      </c>
      <c r="G102" s="13" t="s">
        <v>127</v>
      </c>
      <c r="H102" s="30" t="e">
        <f ca="1">$H$100-$H$98</f>
        <v>#VALUE!</v>
      </c>
      <c r="K102" s="3">
        <f t="shared" si="2"/>
        <v>102</v>
      </c>
      <c r="L102" s="45" t="s">
        <v>313</v>
      </c>
      <c r="M102" s="54" t="s">
        <v>145</v>
      </c>
      <c r="N102" s="2" t="e">
        <f ca="1">$C$3-$H$71/2</f>
        <v>#VALUE!</v>
      </c>
    </row>
    <row r="103" spans="5:14" x14ac:dyDescent="0.4">
      <c r="F103" s="9" t="s">
        <v>404</v>
      </c>
      <c r="G103" s="13" t="s">
        <v>124</v>
      </c>
      <c r="H103" s="30" t="e">
        <f ca="1">$H$101-$H$99</f>
        <v>#VALUE!</v>
      </c>
      <c r="K103" s="3">
        <f t="shared" si="2"/>
        <v>103</v>
      </c>
      <c r="L103" s="45" t="s">
        <v>314</v>
      </c>
      <c r="M103" s="54" t="s">
        <v>146</v>
      </c>
      <c r="N103" s="2" t="e">
        <f ca="1">$C$3-$H$72/2</f>
        <v>#VALUE!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 t="e">
        <f ca="1">SQRT($N$103^2-$N$37^2)</f>
        <v>#VALUE!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 t="e">
        <f ca="1">SQRT($N$102^2-$N$30^2)</f>
        <v>#VALUE!</v>
      </c>
    </row>
    <row r="106" spans="5:14" x14ac:dyDescent="0.4">
      <c r="K106" s="3">
        <f t="shared" si="2"/>
        <v>106</v>
      </c>
      <c r="L106" s="45" t="s">
        <v>186</v>
      </c>
      <c r="N106" s="2" t="e">
        <f ca="1">($N104-$N105)/($N$30-$N$37)</f>
        <v>#VALUE!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 t="e">
        <f ca="1">ATAN($N$106)</f>
        <v>#VALUE!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104.4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116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 t="e">
        <f ca="1">$H$70/2-$H$60-$N$108/2</f>
        <v>#VALUE!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 t="e">
        <f ca="1">$H$70/2-$H$61-$N$109/2</f>
        <v>#VALUE!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 t="e">
        <f ca="1">IF($C$25&gt;=3, INDEX(INDIRECT($H$52&amp;"!C:C"), MATCH($N$38, INDIRECT($H$52&amp;"!A:A"), 0)),"-")</f>
        <v>#VALUE!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 t="e">
        <f ca="1">IF($C$25&gt;=4, INDEX(INDIRECT($H$52&amp;"!C:C"), MATCH($N$39, INDIRECT($H$52&amp;"!A:A"), 0)),"-")</f>
        <v>#VALUE!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 t="e">
        <f ca="1">IF($C$25&gt;=5, INDEX(INDIRECT($H$52&amp;"!C:C"), MATCH($N$40, INDIRECT($H$52&amp;"!A:A"), 0)),"-")</f>
        <v>#VALUE!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-</v>
      </c>
      <c r="N115" s="44" t="str">
        <f ca="1">IF($C$25&gt;=6, INDEX(INDIRECT($H$52&amp;"!C:C"), MATCH($N$41, INDIRECT($H$52&amp;"!A:A"), 0)),"-")</f>
        <v>-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 t="e">
        <f ca="1">INDEX(INDIRECT($H$52&amp;"!C:C"), MATCH($N$44, INDIRECT($H$52&amp;"!A:A"), 0))</f>
        <v>#VALUE!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 t="e">
        <f ca="1">INDEX(INDIRECT($H$52&amp;"!C:C"), MATCH($N$45, INDIRECT($H$52&amp;"!A:A"), 0))</f>
        <v>#VALUE!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 t="e">
        <f ca="1">IF($C$25&gt;=3, INDEX(INDIRECT($H$52&amp;"!C:C"), MATCH($N$46, INDIRECT($H$52&amp;"!A:A"), 0)),"-")</f>
        <v>#VALUE!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 t="e">
        <f ca="1">IF($C$25&gt;=4, INDEX(INDIRECT($H$52&amp;"!C:C"), MATCH($N$47, INDIRECT($H$52&amp;"!A:A"), 0)),"-")</f>
        <v>#VALUE!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 t="e">
        <f ca="1">IF($C$25&gt;=5, INDEX(INDIRECT($H$52&amp;"!C:C"), MATCH($N$48, INDIRECT($H$52&amp;"!A:A"), 0)),"-")</f>
        <v>#VALUE!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-</v>
      </c>
      <c r="N123" s="44" t="str">
        <f ca="1">IF($C$25&gt;=6, INDEX(INDIRECT($H$52&amp;"!C:C"), MATCH($N$49, INDIRECT($H$52&amp;"!A:A"), 0)),"-")</f>
        <v>-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 t="e">
        <f ca="1">INDEX(INDIRECT($H$52&amp;"!C:C"), MATCH($N$52, INDIRECT($H$52&amp;"!A:A"), 0))</f>
        <v>#VALUE!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 t="e">
        <f ca="1">INDEX(INDIRECT($H$52&amp;"!C:C"), MATCH($N$53, INDIRECT($H$52&amp;"!A:A"), 0))</f>
        <v>#VALUE!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 t="e">
        <f ca="1">IF($C$25&gt;=4,($N$55*$N$87+$N$63*$N$79)/($N$47-$N$39)+$C$31*2,"-")</f>
        <v>#VALUE!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 t="e">
        <f ca="1">IF($C$25&gt;=5,($N$56*$N$88+$N$64*$N$80)/($N$48-$N$40)+$C$31*2,"-")</f>
        <v>#VALUE!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-</v>
      </c>
      <c r="N130" s="44" t="str">
        <f>IF($C$25&gt;=6,($N$57*$N$89+$N$65*$N$81)/($N$49-$N$41)+$C$31*2,"-")</f>
        <v>-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 t="e">
        <f ca="1">($N$60*$N$92+$N$68*$N$84)/($N$52-$N$44)+$C$31*2</f>
        <v>#VALUE!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 t="e">
        <f ca="1">INDEX(INDIRECT($H$52&amp;"!C:C"), MATCH(0, INDIRECT($H$52&amp;"!A:A"), 0))+$C$31*2</f>
        <v>#VALUE!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 t="e">
        <f ca="1">IF($C$25&gt;=3,($N$54*$N$120+$N$62*$N$112)/($N$46-$N$38)+$C$31*2,"-")</f>
        <v>#VALUE!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 t="e">
        <f ca="1">IF($C$25&gt;=4,($N$55*$N$121+$N$63*$N$113)/($N$47-$N$39)+$C$31*2,"-")</f>
        <v>#VALUE!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 t="e">
        <f ca="1">IF($C$25&gt;=5,($N$56*$N$122+$N$64*$N$114)/($N$48-$N$40)+$C$31*2,"-")</f>
        <v>#VALUE!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-</v>
      </c>
      <c r="N138" s="44" t="str">
        <f>IF($C$25&gt;=6,($N$57*$N$123+$N$65*$N$115)/($N$49-$N$41)+$C$31*2,"-")</f>
        <v>-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 t="e">
        <f ca="1">($N$60*$N$126+$N$68*$N$118)/($N$52-$N$44)+$C$31*2</f>
        <v>#VALUE!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384400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1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0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5748.1969262108623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5748.1969262108623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5748.1969262108623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5748.1969262108623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0</v>
      </c>
    </row>
    <row r="155" spans="11:14" x14ac:dyDescent="0.4">
      <c r="K155" s="3">
        <f t="shared" si="2"/>
        <v>155</v>
      </c>
      <c r="L155" s="45" t="s">
        <v>43</v>
      </c>
      <c r="M155" s="54" t="s">
        <v>27</v>
      </c>
      <c r="N155" s="2">
        <f>C6/2+N7-N153</f>
        <v>0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38" priority="29">
      <formula>$C$3&gt;2*N151</formula>
    </cfRule>
  </conditionalFormatting>
  <conditionalFormatting sqref="C4">
    <cfRule type="expression" dxfId="37" priority="22">
      <formula>C4&lt;0</formula>
    </cfRule>
  </conditionalFormatting>
  <conditionalFormatting sqref="C6">
    <cfRule type="expression" dxfId="36" priority="14">
      <formula>$C$6&lt;0</formula>
    </cfRule>
  </conditionalFormatting>
  <conditionalFormatting sqref="C9">
    <cfRule type="expression" dxfId="35" priority="23">
      <formula>$C$9&lt;=0</formula>
    </cfRule>
  </conditionalFormatting>
  <conditionalFormatting sqref="C10:C11">
    <cfRule type="expression" dxfId="34" priority="15">
      <formula>$C$10&lt;0</formula>
    </cfRule>
  </conditionalFormatting>
  <conditionalFormatting sqref="C15">
    <cfRule type="expression" dxfId="33" priority="27">
      <formula>OR(C15&lt;=0, C15&gt;Q2)</formula>
    </cfRule>
  </conditionalFormatting>
  <conditionalFormatting sqref="C35">
    <cfRule type="expression" dxfId="32" priority="21">
      <formula>C35&lt;0</formula>
    </cfRule>
  </conditionalFormatting>
  <conditionalFormatting sqref="C36">
    <cfRule type="expression" dxfId="31" priority="26">
      <formula>OR($C$36&lt;0, $C$36&gt;=$C$9)</formula>
    </cfRule>
  </conditionalFormatting>
  <conditionalFormatting sqref="C37">
    <cfRule type="expression" dxfId="30" priority="13">
      <formula>OR($C$37&lt;0, $C$37&gt;=$C$10)</formula>
    </cfRule>
  </conditionalFormatting>
  <conditionalFormatting sqref="C38">
    <cfRule type="expression" dxfId="29" priority="28">
      <formula>OR(C38&lt;0, C38&gt;=C9)</formula>
    </cfRule>
  </conditionalFormatting>
  <conditionalFormatting sqref="C39">
    <cfRule type="expression" dxfId="28" priority="30">
      <formula>OR(C39&lt;0, C39&gt;=C4)</formula>
    </cfRule>
  </conditionalFormatting>
  <conditionalFormatting sqref="C42">
    <cfRule type="expression" dxfId="27" priority="31">
      <formula>OR(C42&lt;0, C42&gt;=C4)</formula>
    </cfRule>
  </conditionalFormatting>
  <conditionalFormatting sqref="C59">
    <cfRule type="expression" dxfId="26" priority="25">
      <formula>AND(C59&lt;&gt;330, C59&lt;&gt;270, C59&lt;&gt;250)</formula>
    </cfRule>
  </conditionalFormatting>
  <conditionalFormatting sqref="C60">
    <cfRule type="expression" dxfId="25" priority="24">
      <formula>C60&lt;&gt;40</formula>
    </cfRule>
  </conditionalFormatting>
  <conditionalFormatting sqref="C63">
    <cfRule type="expression" dxfId="24" priority="17">
      <formula>OR(C63&gt;0, ABS(ABS(C63)-740)&gt;=1)</formula>
    </cfRule>
  </conditionalFormatting>
  <conditionalFormatting sqref="C64">
    <cfRule type="expression" dxfId="23" priority="20">
      <formula>OR(C64&gt;0, ABS(ABS(C64)-550)&gt;=1)</formula>
    </cfRule>
  </conditionalFormatting>
  <conditionalFormatting sqref="C65">
    <cfRule type="expression" dxfId="22" priority="18">
      <formula>OR(C65&gt;0, ABS(ABS(C65)-1150)&gt;=1)</formula>
    </cfRule>
  </conditionalFormatting>
  <conditionalFormatting sqref="C66">
    <cfRule type="expression" dxfId="21" priority="19">
      <formula>OR(ABS(C66)&gt;=0.2)</formula>
    </cfRule>
  </conditionalFormatting>
  <conditionalFormatting sqref="H48">
    <cfRule type="expression" dxfId="20" priority="16">
      <formula>OR($H$48&lt;=1, INT($H$48)&lt;&gt;$H$48)</formula>
    </cfRule>
  </conditionalFormatting>
  <conditionalFormatting sqref="H52">
    <cfRule type="expression" dxfId="19" priority="12">
      <formula>ISERROR(INDIRECT($H$52&amp;"!$G$45"))</formula>
    </cfRule>
  </conditionalFormatting>
  <conditionalFormatting sqref="C25">
    <cfRule type="expression" dxfId="18" priority="32">
      <formula>OR(C25-QUOTIENT(C25,1)&lt;&gt;0, C25&lt;0, C25&gt;$C$67)</formula>
    </cfRule>
  </conditionalFormatting>
  <conditionalFormatting sqref="H50">
    <cfRule type="expression" dxfId="17" priority="11">
      <formula>OR($H$50&lt;1, INT($H$50)&lt;&gt;$H$50)</formula>
    </cfRule>
  </conditionalFormatting>
  <conditionalFormatting sqref="H51">
    <cfRule type="expression" dxfId="16" priority="10">
      <formula>OR($H$51&lt;0, INT($H$51)&lt;&gt;$H$51)</formula>
    </cfRule>
  </conditionalFormatting>
  <conditionalFormatting sqref="C23">
    <cfRule type="expression" dxfId="15" priority="33">
      <formula>OR($C$23&lt;=0, MOD($C$23,$C$22)&lt;&gt;0, $C$23&gt;=#REF!)</formula>
    </cfRule>
  </conditionalFormatting>
  <conditionalFormatting sqref="C26">
    <cfRule type="expression" dxfId="14" priority="34">
      <formula>OR($C$26&lt;=0, $C$26&gt;=MIN($C$23, $C$24))</formula>
    </cfRule>
  </conditionalFormatting>
  <conditionalFormatting sqref="N128:N133">
    <cfRule type="expression" dxfId="13" priority="9">
      <formula>$H$51&lt;0</formula>
    </cfRule>
  </conditionalFormatting>
  <conditionalFormatting sqref="N134:N141">
    <cfRule type="expression" dxfId="12" priority="8">
      <formula>$H$51&lt;0</formula>
    </cfRule>
  </conditionalFormatting>
  <conditionalFormatting sqref="C16">
    <cfRule type="expression" dxfId="11" priority="35">
      <formula>OR(C16&lt;=0, C16+C15&gt;Q2)</formula>
    </cfRule>
  </conditionalFormatting>
  <conditionalFormatting sqref="G1:G1048576">
    <cfRule type="expression" dxfId="10" priority="4">
      <formula>G1="X"</formula>
    </cfRule>
    <cfRule type="expression" dxfId="9" priority="5">
      <formula>G1="Y"</formula>
    </cfRule>
    <cfRule type="expression" dxfId="8" priority="6">
      <formula>G1="Z"</formula>
    </cfRule>
    <cfRule type="expression" dxfId="7" priority="7">
      <formula>G1="B"</formula>
    </cfRule>
  </conditionalFormatting>
  <conditionalFormatting sqref="H81:H96">
    <cfRule type="expression" dxfId="6" priority="3">
      <formula>$H$51&lt;0</formula>
    </cfRule>
  </conditionalFormatting>
  <conditionalFormatting sqref="C13">
    <cfRule type="expression" dxfId="0" priority="36">
      <formula>OR($C$13&gt;=$C$9, $C$13&gt;=$C$40)</formula>
    </cfRule>
  </conditionalFormatting>
  <conditionalFormatting sqref="C14">
    <cfRule type="expression" dxfId="5" priority="37">
      <formula>OR($C$14&gt;=$C$10, $C$14&gt;=$C$40)</formula>
    </cfRule>
  </conditionalFormatting>
  <conditionalFormatting sqref="C17">
    <cfRule type="expression" dxfId="4" priority="38">
      <formula>OR($C$17&lt;=0, $C$17&gt;=($C$9-#REF!)/2, $C$17&gt;=($C$36-#REF!)/2)</formula>
    </cfRule>
  </conditionalFormatting>
  <conditionalFormatting sqref="H77">
    <cfRule type="expression" dxfId="3" priority="39">
      <formula>$H$77&lt;=$C$27/2+$C$28</formula>
    </cfRule>
  </conditionalFormatting>
  <conditionalFormatting sqref="C27">
    <cfRule type="expression" dxfId="2" priority="2">
      <formula>OR($C$27&lt;=0, $C$27&gt;$C$26)</formula>
    </cfRule>
  </conditionalFormatting>
  <conditionalFormatting sqref="H49">
    <cfRule type="expression" dxfId="1" priority="1">
      <formula>OR($H$49&lt;0, INT($H$49)&lt;&gt;$H$49)</formula>
    </cfRule>
  </conditionalFormatting>
  <dataValidations count="1">
    <dataValidation imeMode="disabled" allowBlank="1" showInputMessage="1" showErrorMessage="1" sqref="C58:C67 H79 N128:N141 C47:C50 C53:C56 H54:H72 H81:H96 C3:C32 G1:G1048576" xr:uid="{6FF1CBA6-3527-4C83-B52C-7ADBA1A2B23E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tabSelected="1" workbookViewId="0">
      <selection activeCell="L53" sqref="L53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205</v>
      </c>
      <c r="B1" s="41" t="s">
        <v>206</v>
      </c>
      <c r="C1" s="41" t="s">
        <v>207</v>
      </c>
      <c r="D1" s="40" t="s">
        <v>208</v>
      </c>
      <c r="E1" s="42" t="s">
        <v>209</v>
      </c>
      <c r="F1" s="42" t="s">
        <v>210</v>
      </c>
      <c r="G1" s="42" t="s">
        <v>211</v>
      </c>
      <c r="H1" s="40" t="s">
        <v>212</v>
      </c>
      <c r="I1" s="40" t="s">
        <v>213</v>
      </c>
      <c r="J1" s="40" t="s">
        <v>214</v>
      </c>
      <c r="K1" s="40" t="s">
        <v>215</v>
      </c>
      <c r="L1" s="40" t="s">
        <v>216</v>
      </c>
      <c r="M1" s="40" t="s">
        <v>216</v>
      </c>
      <c r="N1" s="40" t="s">
        <v>217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118</v>
      </c>
      <c r="F2" s="42" t="s">
        <v>118</v>
      </c>
      <c r="G2" s="42" t="s">
        <v>118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40" priority="2">
      <formula>$A2&lt;&gt;""</formula>
    </cfRule>
  </conditionalFormatting>
  <conditionalFormatting sqref="I2:N42">
    <cfRule type="expression" dxfId="39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2023-12-13T07:44:36Z</dcterms:modified>
</cp:coreProperties>
</file>