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GitHub\mould\Mould_Database\"/>
    </mc:Choice>
  </mc:AlternateContent>
  <xr:revisionPtr revIDLastSave="0" documentId="13_ncr:1_{6CE051F0-33B1-4F57-9D32-5F57842F6583}" xr6:coauthVersionLast="47" xr6:coauthVersionMax="47" xr10:uidLastSave="{00000000-0000-0000-0000-000000000000}"/>
  <bookViews>
    <workbookView xWindow="0" yWindow="0" windowWidth="19305"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7" l="1"/>
  <c r="I7" i="17"/>
  <c r="H50" i="17"/>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44" i="17"/>
  <c r="N59" i="17" l="1"/>
  <c r="N58" i="17"/>
  <c r="N60" i="17"/>
  <c r="N50" i="17"/>
  <c r="N51" i="17"/>
  <c r="M42" i="19"/>
  <c r="L42" i="19"/>
  <c r="K42" i="19"/>
  <c r="J42" i="19"/>
  <c r="I42" i="19"/>
  <c r="F42" i="19"/>
  <c r="E42" i="19"/>
  <c r="G42" i="19" s="1"/>
  <c r="D42" i="19"/>
  <c r="N42" i="19" s="1"/>
  <c r="M41" i="19"/>
  <c r="L41" i="19"/>
  <c r="K41" i="19"/>
  <c r="J41" i="19"/>
  <c r="I41" i="19"/>
  <c r="F41" i="19"/>
  <c r="E41" i="19"/>
  <c r="D41" i="19"/>
  <c r="N41" i="19" s="1"/>
  <c r="M40" i="19"/>
  <c r="L40" i="19"/>
  <c r="K40" i="19"/>
  <c r="J40" i="19"/>
  <c r="I40" i="19"/>
  <c r="F40" i="19"/>
  <c r="E40" i="19"/>
  <c r="G40" i="19" s="1"/>
  <c r="D40" i="19"/>
  <c r="N40" i="19" s="1"/>
  <c r="M39" i="19"/>
  <c r="L39" i="19"/>
  <c r="K39" i="19"/>
  <c r="J39" i="19"/>
  <c r="I39" i="19"/>
  <c r="F39" i="19"/>
  <c r="E39" i="19"/>
  <c r="D39" i="19"/>
  <c r="N39" i="19" s="1"/>
  <c r="M38" i="19"/>
  <c r="L38" i="19"/>
  <c r="K38" i="19"/>
  <c r="J38" i="19"/>
  <c r="I38" i="19"/>
  <c r="F38" i="19"/>
  <c r="E38" i="19"/>
  <c r="G38" i="19" s="1"/>
  <c r="D38" i="19"/>
  <c r="N38" i="19" s="1"/>
  <c r="M37" i="19"/>
  <c r="L37" i="19"/>
  <c r="K37" i="19"/>
  <c r="J37" i="19"/>
  <c r="I37" i="19"/>
  <c r="F37" i="19"/>
  <c r="E37" i="19"/>
  <c r="D37" i="19"/>
  <c r="N37" i="19" s="1"/>
  <c r="M36" i="19"/>
  <c r="L36" i="19"/>
  <c r="K36" i="19"/>
  <c r="J36" i="19"/>
  <c r="I36" i="19"/>
  <c r="F36" i="19"/>
  <c r="G36" i="19" s="1"/>
  <c r="E36" i="19"/>
  <c r="D36" i="19"/>
  <c r="N36" i="19" s="1"/>
  <c r="M35" i="19"/>
  <c r="L35" i="19"/>
  <c r="K35" i="19"/>
  <c r="J35" i="19"/>
  <c r="I35" i="19"/>
  <c r="F35" i="19"/>
  <c r="E35" i="19"/>
  <c r="D35" i="19"/>
  <c r="N35" i="19" s="1"/>
  <c r="N34" i="19"/>
  <c r="M34" i="19"/>
  <c r="L34" i="19"/>
  <c r="K34" i="19"/>
  <c r="J34" i="19"/>
  <c r="I34" i="19"/>
  <c r="F34" i="19"/>
  <c r="E34" i="19"/>
  <c r="D34" i="19"/>
  <c r="M33" i="19"/>
  <c r="L33" i="19"/>
  <c r="K33" i="19"/>
  <c r="J33" i="19"/>
  <c r="I33" i="19"/>
  <c r="F33" i="19"/>
  <c r="E33" i="19"/>
  <c r="G33" i="19" s="1"/>
  <c r="D33" i="19"/>
  <c r="N33" i="19" s="1"/>
  <c r="M32" i="19"/>
  <c r="L32" i="19"/>
  <c r="K32" i="19"/>
  <c r="J32" i="19"/>
  <c r="I32" i="19"/>
  <c r="F32" i="19"/>
  <c r="E32" i="19"/>
  <c r="D32" i="19"/>
  <c r="N32" i="19" s="1"/>
  <c r="M31" i="19"/>
  <c r="L31" i="19"/>
  <c r="K31" i="19"/>
  <c r="J31" i="19"/>
  <c r="I31" i="19"/>
  <c r="F31" i="19"/>
  <c r="E31" i="19"/>
  <c r="D31" i="19"/>
  <c r="N31" i="19" s="1"/>
  <c r="M30" i="19"/>
  <c r="L30" i="19"/>
  <c r="K30" i="19"/>
  <c r="J30" i="19"/>
  <c r="I30" i="19"/>
  <c r="F30" i="19"/>
  <c r="E30" i="19"/>
  <c r="G30" i="19" s="1"/>
  <c r="D30" i="19"/>
  <c r="N30" i="19" s="1"/>
  <c r="N29" i="19"/>
  <c r="M29" i="19"/>
  <c r="L29" i="19"/>
  <c r="K29" i="19"/>
  <c r="J29" i="19"/>
  <c r="I29" i="19"/>
  <c r="F29" i="19"/>
  <c r="E29" i="19"/>
  <c r="D29" i="19"/>
  <c r="M28" i="19"/>
  <c r="L28" i="19"/>
  <c r="K28" i="19"/>
  <c r="J28" i="19"/>
  <c r="I28" i="19"/>
  <c r="F28" i="19"/>
  <c r="E28" i="19"/>
  <c r="D28" i="19"/>
  <c r="N28" i="19" s="1"/>
  <c r="M27" i="19"/>
  <c r="L27" i="19"/>
  <c r="K27" i="19"/>
  <c r="J27" i="19"/>
  <c r="I27" i="19"/>
  <c r="F27" i="19"/>
  <c r="E27" i="19"/>
  <c r="G27" i="19" s="1"/>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D23" i="19"/>
  <c r="N23" i="19" s="1"/>
  <c r="M22" i="19"/>
  <c r="L22" i="19"/>
  <c r="K22" i="19"/>
  <c r="J22" i="19"/>
  <c r="I22" i="19"/>
  <c r="F22" i="19"/>
  <c r="E22" i="19"/>
  <c r="D22" i="19"/>
  <c r="N22" i="19" s="1"/>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D16" i="19"/>
  <c r="N16" i="19" s="1"/>
  <c r="N15" i="19"/>
  <c r="M15" i="19"/>
  <c r="L15" i="19"/>
  <c r="K15" i="19"/>
  <c r="J15" i="19"/>
  <c r="I15" i="19"/>
  <c r="F15" i="19"/>
  <c r="E15" i="19"/>
  <c r="D15" i="19"/>
  <c r="M14" i="19"/>
  <c r="L14" i="19"/>
  <c r="K14" i="19"/>
  <c r="J14" i="19"/>
  <c r="I14" i="19"/>
  <c r="F14" i="19"/>
  <c r="E14" i="19"/>
  <c r="D14" i="19"/>
  <c r="N14" i="19" s="1"/>
  <c r="M13" i="19"/>
  <c r="L13" i="19"/>
  <c r="K13" i="19"/>
  <c r="J13" i="19"/>
  <c r="I13" i="19"/>
  <c r="F13" i="19"/>
  <c r="E13" i="19"/>
  <c r="G13" i="19" s="1"/>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D9" i="19"/>
  <c r="N9" i="19" s="1"/>
  <c r="M8" i="19"/>
  <c r="L8" i="19"/>
  <c r="K8" i="19"/>
  <c r="J8" i="19"/>
  <c r="I8" i="19"/>
  <c r="F8" i="19"/>
  <c r="E8" i="19"/>
  <c r="G8" i="19" s="1"/>
  <c r="D8" i="19"/>
  <c r="N8" i="19" s="1"/>
  <c r="M7" i="19"/>
  <c r="L7" i="19"/>
  <c r="K7" i="19"/>
  <c r="J7" i="19"/>
  <c r="I7" i="19"/>
  <c r="F7" i="19"/>
  <c r="E7" i="19"/>
  <c r="G7" i="19" s="1"/>
  <c r="D7" i="19"/>
  <c r="N7" i="19" s="1"/>
  <c r="M6" i="19"/>
  <c r="L6" i="19"/>
  <c r="K6" i="19"/>
  <c r="J6" i="19"/>
  <c r="I6" i="19"/>
  <c r="F6" i="19"/>
  <c r="E6" i="19"/>
  <c r="D6" i="19"/>
  <c r="N6" i="19" s="1"/>
  <c r="N5" i="19"/>
  <c r="M5" i="19"/>
  <c r="L5" i="19"/>
  <c r="K5" i="19"/>
  <c r="J5" i="19"/>
  <c r="I5" i="19"/>
  <c r="G5" i="19"/>
  <c r="F5" i="19"/>
  <c r="E5" i="19"/>
  <c r="D5" i="19"/>
  <c r="M4" i="19"/>
  <c r="L4" i="19"/>
  <c r="K4" i="19"/>
  <c r="J4" i="19"/>
  <c r="I4" i="19"/>
  <c r="F4" i="19"/>
  <c r="E4" i="19"/>
  <c r="D4" i="19"/>
  <c r="N4" i="19" s="1"/>
  <c r="M3" i="19"/>
  <c r="L3" i="19"/>
  <c r="K3" i="19"/>
  <c r="J3" i="19"/>
  <c r="I3" i="19"/>
  <c r="F3" i="19"/>
  <c r="E3" i="19"/>
  <c r="D3" i="19"/>
  <c r="N3" i="19" s="1"/>
  <c r="M2" i="19"/>
  <c r="L2" i="19"/>
  <c r="K2" i="19"/>
  <c r="J2" i="19"/>
  <c r="I2" i="19"/>
  <c r="D2" i="19"/>
  <c r="N2" i="19" s="1"/>
  <c r="N90" i="17"/>
  <c r="N91" i="17"/>
  <c r="N125" i="17"/>
  <c r="N124" i="17"/>
  <c r="N84" i="17"/>
  <c r="N40" i="17"/>
  <c r="N80" i="17"/>
  <c r="N52" i="17" a="1"/>
  <c r="H22" i="17"/>
  <c r="N38" i="17"/>
  <c r="N134" i="17"/>
  <c r="N48" i="17" a="1"/>
  <c r="N78" i="17"/>
  <c r="N46" i="17" a="1"/>
  <c r="N114" i="17"/>
  <c r="N45" i="17"/>
  <c r="N41" i="17"/>
  <c r="N39" i="17"/>
  <c r="H18" i="17" a="1"/>
  <c r="N53" i="17" a="1"/>
  <c r="N118" i="17"/>
  <c r="N112" i="17"/>
  <c r="N81" i="17"/>
  <c r="N115" i="17"/>
  <c r="N49" i="17" a="1"/>
  <c r="N79" i="17"/>
  <c r="N47" i="17" a="1"/>
  <c r="N113" i="17"/>
  <c r="N47" i="17" l="1"/>
  <c r="N49" i="17"/>
  <c r="N65" i="17" s="1"/>
  <c r="H18" i="17"/>
  <c r="N55" i="17"/>
  <c r="N57" i="17"/>
  <c r="N61" i="17"/>
  <c r="N48" i="17"/>
  <c r="N54" i="17"/>
  <c r="H70" i="17"/>
  <c r="N94" i="17" s="1"/>
  <c r="N97" i="17" s="1"/>
  <c r="N56" i="17"/>
  <c r="G4" i="19"/>
  <c r="G35" i="19"/>
  <c r="G41" i="19"/>
  <c r="G16" i="19"/>
  <c r="G39" i="19"/>
  <c r="G19" i="19"/>
  <c r="G22" i="19"/>
  <c r="G15" i="19"/>
  <c r="G31" i="19"/>
  <c r="G3" i="19"/>
  <c r="G37" i="19"/>
  <c r="G6" i="19"/>
  <c r="G23" i="19"/>
  <c r="G9" i="19"/>
  <c r="G29" i="19"/>
  <c r="G32" i="19"/>
  <c r="N53" i="17"/>
  <c r="N69" i="17" s="1"/>
  <c r="N67" i="17"/>
  <c r="N132" i="17" s="1"/>
  <c r="N46" i="17"/>
  <c r="N62" i="17" s="1"/>
  <c r="N52" i="17"/>
  <c r="N68" i="17" s="1"/>
  <c r="N66" i="17"/>
  <c r="N139" i="17" s="1"/>
  <c r="N64" i="17"/>
  <c r="N63" i="17"/>
  <c r="G24" i="19"/>
  <c r="G14" i="19"/>
  <c r="G12" i="19"/>
  <c r="G20" i="19"/>
  <c r="G28" i="19"/>
  <c r="G26" i="19"/>
  <c r="G34" i="19"/>
  <c r="N18" i="17"/>
  <c r="N15" i="17"/>
  <c r="N11" i="17"/>
  <c r="N10" i="17"/>
  <c r="N9" i="17"/>
  <c r="N108" i="17"/>
  <c r="N109" i="17"/>
  <c r="N87" i="17"/>
  <c r="N121" i="17"/>
  <c r="N120" i="17"/>
  <c r="N119" i="17"/>
  <c r="N86" i="17"/>
  <c r="N85" i="17"/>
  <c r="N122" i="17"/>
  <c r="N88" i="17"/>
  <c r="N89" i="17"/>
  <c r="N123" i="17"/>
  <c r="N93" i="17"/>
  <c r="N127" i="17"/>
  <c r="N136" i="17" l="1"/>
  <c r="N137" i="17"/>
  <c r="N138" i="17"/>
  <c r="H78" i="17"/>
  <c r="N140" i="17"/>
  <c r="N131" i="17"/>
  <c r="H54" i="17"/>
  <c r="N19" i="17"/>
  <c r="N20" i="17"/>
  <c r="N135" i="17"/>
  <c r="N129" i="17"/>
  <c r="N130" i="17"/>
  <c r="N128" i="17"/>
  <c r="H71" i="17"/>
  <c r="N102" i="17" s="1"/>
  <c r="H72" i="17"/>
  <c r="N103" i="17" s="1"/>
  <c r="N16" i="17"/>
  <c r="N17" i="17"/>
  <c r="N8" i="17"/>
  <c r="N7" i="17" s="1"/>
  <c r="N13" i="17" s="1"/>
  <c r="N92" i="17"/>
  <c r="N126" i="17"/>
  <c r="N105" i="17" l="1"/>
  <c r="N133" i="17"/>
  <c r="N141" i="17"/>
  <c r="N22" i="17"/>
  <c r="N95" i="17"/>
  <c r="N96" i="17" s="1"/>
  <c r="N98" i="17" s="1"/>
  <c r="N21" i="17"/>
  <c r="H49" i="17"/>
  <c r="H48" i="17"/>
  <c r="Q22" i="17"/>
  <c r="Q21" i="17"/>
  <c r="H11" i="17"/>
  <c r="C39" i="17"/>
  <c r="H23" i="17" s="1"/>
  <c r="Q7" i="17"/>
  <c r="Q16" i="17"/>
  <c r="N24" i="17" s="1"/>
  <c r="G2" i="16"/>
  <c r="G3" i="16" s="1"/>
  <c r="G4" i="16"/>
  <c r="N24" i="16" s="1"/>
  <c r="G8" i="16"/>
  <c r="N12" i="16"/>
  <c r="N13" i="16"/>
  <c r="O16" i="16"/>
  <c r="P16" i="16"/>
  <c r="Q16" i="16"/>
  <c r="R16" i="16"/>
  <c r="N17" i="16"/>
  <c r="O17" i="16"/>
  <c r="P17" i="16"/>
  <c r="Q17" i="16"/>
  <c r="R17" i="16"/>
  <c r="N18" i="16"/>
  <c r="O18" i="16"/>
  <c r="P18" i="16"/>
  <c r="Q18" i="16"/>
  <c r="R18" i="16"/>
  <c r="O19" i="16"/>
  <c r="P19" i="16"/>
  <c r="Q19" i="16"/>
  <c r="R19"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1" i="16" l="1"/>
  <c r="N20" i="16"/>
  <c r="N8" i="16"/>
  <c r="N10" i="16"/>
  <c r="N9" i="16"/>
  <c r="G10" i="16"/>
  <c r="N27" i="16"/>
  <c r="N99" i="17"/>
  <c r="H73" i="17" s="1"/>
  <c r="N101" i="17" s="1"/>
  <c r="N25" i="17"/>
  <c r="Q15" i="17" s="1"/>
  <c r="N26" i="17"/>
  <c r="N27" i="17"/>
  <c r="H45" i="17"/>
  <c r="N149" i="17"/>
  <c r="N150" i="17"/>
  <c r="N145" i="17"/>
  <c r="N151" i="17"/>
  <c r="N4" i="16"/>
  <c r="O4" i="16" s="1"/>
  <c r="N26" i="16"/>
  <c r="N21" i="16"/>
  <c r="N31" i="16"/>
  <c r="N15" i="16"/>
  <c r="O15" i="16" s="1"/>
  <c r="N25" i="16"/>
  <c r="N5" i="16"/>
  <c r="N19" i="16"/>
  <c r="N14" i="16"/>
  <c r="O14" i="16" s="1"/>
  <c r="G14" i="16"/>
  <c r="K6" i="16" s="1"/>
  <c r="N6" i="16"/>
  <c r="N16" i="16"/>
  <c r="O10" i="16"/>
  <c r="O11" i="16"/>
  <c r="O8" i="16"/>
  <c r="O12" i="16"/>
  <c r="G5" i="16"/>
  <c r="G9" i="16"/>
  <c r="G11" i="16" s="1"/>
  <c r="C12" i="16" s="1"/>
  <c r="O5" i="16"/>
  <c r="O9" i="16"/>
  <c r="O13" i="16"/>
  <c r="O6" i="16"/>
  <c r="N30" i="16"/>
  <c r="N7" i="16"/>
  <c r="O7" i="16" s="1"/>
  <c r="N3" i="16"/>
  <c r="O3" i="16" s="1"/>
  <c r="N29" i="16"/>
  <c r="N100" i="17" l="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P5" i="16"/>
  <c r="Q5" i="16" s="1"/>
  <c r="P11" i="16"/>
  <c r="Q11" i="16" s="1"/>
  <c r="P10" i="16"/>
  <c r="Q10" i="16" s="1"/>
  <c r="Q6" i="16" l="1"/>
  <c r="R5" i="16"/>
  <c r="H88" i="17"/>
  <c r="H85" i="17"/>
  <c r="H84" i="17"/>
  <c r="H80" i="17"/>
  <c r="H35" i="17"/>
  <c r="I35" i="17" s="1"/>
  <c r="R7" i="16"/>
  <c r="Q15" i="16"/>
  <c r="Q14" i="16"/>
  <c r="R3" i="16"/>
  <c r="N14" i="17"/>
  <c r="R12" i="16"/>
  <c r="N148" i="17"/>
  <c r="N154" i="17" s="1"/>
  <c r="N147" i="17"/>
  <c r="N153" i="17" s="1"/>
  <c r="R10" i="16"/>
  <c r="Q8" i="16"/>
  <c r="K10" i="16"/>
  <c r="R11" i="16"/>
  <c r="Q13" i="16"/>
  <c r="N3" i="17" l="1"/>
  <c r="N4" i="17" s="1"/>
  <c r="H8" i="17" s="1"/>
  <c r="Q17" i="17"/>
  <c r="N155" i="17"/>
  <c r="Q2" i="17"/>
  <c r="Q9" i="17"/>
  <c r="Q11" i="17"/>
  <c r="R11" i="17" s="1"/>
  <c r="Q10" i="17"/>
  <c r="Q8" i="17"/>
  <c r="H7" i="17" l="1"/>
  <c r="Q19" i="17"/>
  <c r="R19" i="17" s="1"/>
  <c r="R9" i="17"/>
  <c r="R8" i="17"/>
  <c r="R17" i="17"/>
  <c r="Q3" i="17"/>
  <c r="R2" i="17"/>
  <c r="R10" i="17"/>
  <c r="Q4" i="17"/>
  <c r="N2" i="17" l="1"/>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I74" i="17" s="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H75" i="17"/>
  <c r="H76" i="17" s="1"/>
  <c r="I76" i="17" s="1"/>
  <c r="H87" i="17" l="1"/>
  <c r="H95" i="17"/>
  <c r="N111" i="17"/>
  <c r="H7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<sst xmlns="http://schemas.openxmlformats.org/spreadsheetml/2006/main" count="607" uniqueCount="479">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</sst>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9">
    <dxf>
      <fill>
        <patternFill>
          <bgColor theme="8" tint="0.79998168889431442"/>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8">
  <autoFilter ref="A1:O34" xr:uid="{930C37C7-60F8-4ECF-BFC0-8D1FBF229D9E}"/>
  <tableColumns count="15">
    <tableColumn id="1" xr3:uid="{8506785A-7890-47E7-A8BD-4A0F82BDB757}" name="#zumen" dataDxfId="77"/>
    <tableColumn id="2" xr3:uid="{F1A7F9CC-0192-4A97-ADD1-658F8F5B6686}" name="#program" dataDxfId="76"/>
    <tableColumn id="9" xr3:uid="{D7C1D5F3-2999-4087-B4CA-13BFDB223D3E}" name="#wankyoku" dataDxfId="75"/>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3" dataDxfId="72">
  <autoFilter ref="A1:B8" xr:uid="{94AE3BD2-EFE7-457E-B899-E9CDBC550254}"/>
  <tableColumns count="2">
    <tableColumn id="1" xr3:uid="{DD1AAD38-FB24-4129-B8D0-D2194F7F54D1}" name="sp#" dataDxfId="71"/>
    <tableColumn id="2" xr3:uid="{B120DFEE-67CD-48C9-B60E-A1386DC60788}" name="列1"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9" dataDxfId="68">
  <autoFilter ref="A1:H4" xr:uid="{77557FFB-0B5A-443D-AB71-C42CDBDC9141}"/>
  <tableColumns count="8">
    <tableColumn id="1" xr3:uid="{DADD43D4-3823-4AAF-A2AE-265B1D4A415A}" name="#palette" dataDxfId="67"/>
    <tableColumn id="2" xr3:uid="{73F2BD72-9B36-4BC4-9408-D4D83DAED46B}" name="#length" dataDxfId="66"/>
    <tableColumn id="3" xr3:uid="{256650DF-5A48-4411-8444-32116323383E}" name="#haridashi" dataDxfId="65">
      <calculatedColumnFormula>テーブル4[[#This Row],['#length]]/2</calculatedColumnFormula>
    </tableColumn>
    <tableColumn id="4" xr3:uid="{0D20E067-D4A8-4678-8CF6-EE36EC74070C}" name="#fixedPoint" dataDxfId="64"/>
    <tableColumn id="5" xr3:uid="{254E8622-947D-4A7A-8CC9-9678DAFCBD5D}" name="#fixingHight" dataDxfId="63"/>
    <tableColumn id="6" xr3:uid="{B1AE96B8-72E2-45AB-A65A-28CC5A39F5B0}" name="#fixingWidth" dataDxfId="62"/>
    <tableColumn id="10" xr3:uid="{DDCA0989-DFE4-451A-AFAD-5F50F6B3E5CE}" name="#fixedPointBX" dataDxfId="61"/>
    <tableColumn id="9" xr3:uid="{6AB232C2-8AA1-4BE6-9ED3-FCE0F10D7750}" name="#fixedPointTX"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9" dataDxfId="58">
  <autoFilter ref="A1:C25" xr:uid="{84F2650A-011E-4D4A-AC8E-9B77A25CD334}"/>
  <sortState xmlns:xlrd2="http://schemas.microsoft.com/office/spreadsheetml/2017/richdata2" ref="A2:C25">
    <sortCondition ref="A1:A25"/>
  </sortState>
  <tableColumns count="3">
    <tableColumn id="1" xr3:uid="{508307B6-91DE-4D5D-A41E-EA3E5488C8CC}" name="#program" dataDxfId="57"/>
    <tableColumn id="2" xr3:uid="{2294E81D-5C1D-4C34-A722-57344553455E}" name="#cycleTime" dataDxfId="56"/>
    <tableColumn id="6" xr3:uid="{F6AA9104-E34E-4196-8563-02BE967ECEE4}" name="#cycleTimeS" dataDxfId="55">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16" priority="6">
      <formula>G9^2&lt;4*G10^2</formula>
    </cfRule>
  </conditionalFormatting>
  <conditionalFormatting sqref="C4">
    <cfRule type="expression" dxfId="15" priority="5">
      <formula>$C$4&lt;=0</formula>
    </cfRule>
  </conditionalFormatting>
  <conditionalFormatting sqref="C5">
    <cfRule type="expression" dxfId="14" priority="1">
      <formula>C5&lt;0</formula>
    </cfRule>
  </conditionalFormatting>
  <conditionalFormatting sqref="C6">
    <cfRule type="expression" dxfId="13" priority="10">
      <formula>OR(C5&gt;C6, C6&lt;0)</formula>
    </cfRule>
  </conditionalFormatting>
  <conditionalFormatting sqref="C7">
    <cfRule type="expression" dxfId="12" priority="9">
      <formula>AND(C7&lt;&gt;330, C7&lt;&gt;270, C7&lt;&gt;250)</formula>
    </cfRule>
  </conditionalFormatting>
  <conditionalFormatting sqref="C8">
    <cfRule type="expression" dxfId="11" priority="8">
      <formula>C8&lt;&gt;40</formula>
    </cfRule>
  </conditionalFormatting>
  <conditionalFormatting sqref="C9">
    <cfRule type="expression" dxfId="10" priority="7">
      <formula>C9&lt;&gt;100</formula>
    </cfRule>
  </conditionalFormatting>
  <conditionalFormatting sqref="K3:K4">
    <cfRule type="expression" dxfId="9" priority="15">
      <formula>OR(($K$8&gt;($C$5+$C$6-2*$C$7)),$K$3&lt;0)</formula>
    </cfRule>
  </conditionalFormatting>
  <conditionalFormatting sqref="M3:M32">
    <cfRule type="expression" dxfId="8" priority="2">
      <formula>Q3&gt;=1000000</formula>
    </cfRule>
    <cfRule type="expression" dxfId="7" priority="13">
      <formula>Q3=MIN($Q$3:$Q32)</formula>
    </cfRule>
  </conditionalFormatting>
  <conditionalFormatting sqref="O3:O32">
    <cfRule type="expression" dxfId="6" priority="3">
      <formula>Q3&gt;=1000000</formula>
    </cfRule>
    <cfRule type="expression" dxfId="5" priority="12">
      <formula>Q3=MIN($Q$3:$Q32)</formula>
    </cfRule>
  </conditionalFormatting>
  <conditionalFormatting sqref="P3:P32">
    <cfRule type="expression" dxfId="4" priority="4">
      <formula>Q3&gt;=1000000</formula>
    </cfRule>
    <cfRule type="expression" dxfId="3" priority="11">
      <formula>Q3=MIN($Q$3:$Q32)</formula>
    </cfRule>
  </conditionalFormatting>
  <conditionalFormatting sqref="R3:R32">
    <cfRule type="expression" dxfId="2"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A40" workbookViewId="0">
      <selection activeCell="I76" sqref="I76"/>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452</v>
      </c>
      <c r="M2" s="106" t="s">
        <v>160</v>
      </c>
      <c r="N2" s="54">
        <f>RADIANS($H$7)</f>
        <v>1.1205013797803596E-2</v>
      </c>
      <c r="P2" s="61" t="s">
        <v>138</v>
      </c>
      <c r="Q2" s="62">
        <f>C4+N154</f>
        <v>500.00000001278181</v>
      </c>
      <c r="R2" s="62">
        <f>C65+Q2</f>
        <v>-649.97399998721812</v>
      </c>
    </row>
    <row r="3" spans="1:18" ht="15" thickTop="1" x14ac:dyDescent="0.4">
      <c r="A3" s="55" t="s">
        <v>238</v>
      </c>
      <c r="B3" s="63" t="s">
        <v>32</v>
      </c>
      <c r="C3" s="64">
        <v>8922.7000000000007</v>
      </c>
      <c r="E3" s="55" t="s">
        <v>309</v>
      </c>
      <c r="F3" s="61" t="s">
        <v>457</v>
      </c>
      <c r="G3" s="65" t="s">
        <v>203</v>
      </c>
      <c r="H3" s="82">
        <f>$C$4+$N$13*$N$5</f>
        <v>500.01603829462465</v>
      </c>
      <c r="I3" s="82">
        <f>$C$65+H3</f>
        <v>-649.95796170537528</v>
      </c>
      <c r="K3" s="55">
        <f t="shared" ref="K3:K63" si="0">ROW(K3)</f>
        <v>3</v>
      </c>
      <c r="L3" s="97" t="s">
        <v>453</v>
      </c>
      <c r="M3" s="106" t="s">
        <v>161</v>
      </c>
      <c r="N3" s="54">
        <f>ASIN($N$14)</f>
        <v>1.1203216917671469E-2</v>
      </c>
      <c r="P3" s="61" t="s">
        <v>139</v>
      </c>
      <c r="Q3" s="62">
        <f>C4+C5-Q2</f>
        <v>499.99999998721819</v>
      </c>
      <c r="R3" s="62">
        <f>C65+Q3</f>
        <v>-649.97400001278174</v>
      </c>
    </row>
    <row r="4" spans="1:18" x14ac:dyDescent="0.4">
      <c r="A4" s="55" t="s">
        <v>239</v>
      </c>
      <c r="B4" s="66" t="s">
        <v>35</v>
      </c>
      <c r="C4" s="67">
        <v>400</v>
      </c>
      <c r="E4" s="55" t="s">
        <v>310</v>
      </c>
      <c r="F4" s="61" t="s">
        <v>458</v>
      </c>
      <c r="G4" s="65" t="s">
        <v>203</v>
      </c>
      <c r="H4" s="82">
        <f>$C$4+$C$5-$H$3</f>
        <v>499.98396170537535</v>
      </c>
      <c r="I4" s="82">
        <f>$C$65+H4</f>
        <v>-649.99003829462458</v>
      </c>
      <c r="K4" s="55">
        <f t="shared" si="0"/>
        <v>4</v>
      </c>
      <c r="L4" s="97" t="s">
        <v>454</v>
      </c>
      <c r="M4" s="106" t="s">
        <v>311</v>
      </c>
      <c r="N4" s="54">
        <f>DEGREES($N$3)</f>
        <v>0.64189704635213818</v>
      </c>
      <c r="P4" s="61" t="s">
        <v>140</v>
      </c>
      <c r="Q4" s="62">
        <f>Q2-C59</f>
        <v>170.00000001278181</v>
      </c>
    </row>
    <row r="5" spans="1:18" x14ac:dyDescent="0.4">
      <c r="A5" s="55" t="s">
        <v>240</v>
      </c>
      <c r="B5" s="66" t="s">
        <v>36</v>
      </c>
      <c r="C5" s="67">
        <v>600</v>
      </c>
      <c r="D5" s="54"/>
      <c r="F5" s="61" t="s">
        <v>459</v>
      </c>
      <c r="G5" s="65" t="s">
        <v>203</v>
      </c>
      <c r="H5" s="82">
        <f>$H$3-$C$59</f>
        <v>170.01603829462465</v>
      </c>
      <c r="K5" s="55">
        <f t="shared" si="0"/>
        <v>5</v>
      </c>
      <c r="L5" s="97" t="s">
        <v>162</v>
      </c>
      <c r="N5" s="54">
        <f>SIN($N$2)</f>
        <v>1.120477933000264E-2</v>
      </c>
      <c r="P5" s="61" t="s">
        <v>141</v>
      </c>
      <c r="Q5" s="62">
        <f>Q3-C59</f>
        <v>169.99999998721819</v>
      </c>
    </row>
    <row r="6" spans="1:18" x14ac:dyDescent="0.4">
      <c r="B6" s="66" t="s">
        <v>71</v>
      </c>
      <c r="C6" s="71">
        <v>7.1067335251979431</v>
      </c>
      <c r="D6" s="68"/>
      <c r="F6" s="61" t="s">
        <v>460</v>
      </c>
      <c r="G6" s="65" t="s">
        <v>203</v>
      </c>
      <c r="H6" s="102">
        <f>$H$4-$C$59</f>
        <v>169.98396170537535</v>
      </c>
      <c r="K6" s="55">
        <f t="shared" si="0"/>
        <v>6</v>
      </c>
      <c r="L6" s="97" t="s">
        <v>164</v>
      </c>
      <c r="N6" s="54">
        <f>COS($N$2)</f>
        <v>0.99993722448970057</v>
      </c>
      <c r="P6" s="69" t="s">
        <v>108</v>
      </c>
      <c r="Q6" s="70">
        <f>N149-N150</f>
        <v>7.1067335242896661</v>
      </c>
    </row>
    <row r="7" spans="1:18" x14ac:dyDescent="0.4">
      <c r="B7" s="73"/>
      <c r="C7" s="74"/>
      <c r="E7" s="55" t="s">
        <v>159</v>
      </c>
      <c r="F7" s="69" t="s">
        <v>455</v>
      </c>
      <c r="G7" s="72" t="s">
        <v>204</v>
      </c>
      <c r="H7" s="82">
        <f>ROUND($N$4,3)</f>
        <v>0.64200000000000002</v>
      </c>
      <c r="I7" s="82">
        <f>-$C$66+$H$7</f>
        <v>0.56900000000000006</v>
      </c>
      <c r="K7" s="55">
        <f t="shared" si="0"/>
        <v>7</v>
      </c>
      <c r="L7" s="97" t="s">
        <v>241</v>
      </c>
      <c r="N7" s="54">
        <f>SQRT($N$8^2-$N$9^2)</f>
        <v>8724.6943808938086</v>
      </c>
      <c r="P7" s="69" t="s">
        <v>153</v>
      </c>
      <c r="Q7" s="70">
        <f>C63+C10/2</f>
        <v>-648.5</v>
      </c>
    </row>
    <row r="8" spans="1:18" x14ac:dyDescent="0.4">
      <c r="B8" s="77" t="s">
        <v>34</v>
      </c>
      <c r="C8" s="78"/>
      <c r="E8" s="55" t="s">
        <v>159</v>
      </c>
      <c r="F8" s="109" t="s">
        <v>456</v>
      </c>
      <c r="G8" s="110" t="s">
        <v>204</v>
      </c>
      <c r="H8" s="108">
        <f>ROUND($N$4,0)</f>
        <v>1</v>
      </c>
      <c r="I8" s="108">
        <f>-$C$66+$H$8</f>
        <v>0.92700000000000005</v>
      </c>
      <c r="K8" s="55">
        <f t="shared" si="0"/>
        <v>8</v>
      </c>
      <c r="L8" s="97" t="s">
        <v>242</v>
      </c>
      <c r="M8" s="106" t="s">
        <v>98</v>
      </c>
      <c r="N8" s="54">
        <f>$N$10-$C$61</f>
        <v>8730.2000000000007</v>
      </c>
      <c r="P8" s="61" t="s">
        <v>142</v>
      </c>
      <c r="Q8" s="62">
        <f>-C62+(N16+N17)/2+C6/2-N153</f>
        <v>-8.3385574269177596</v>
      </c>
      <c r="R8" s="62">
        <f t="shared" ref="R8:R14" si="1">$C$64+Q8</f>
        <v>-558.35755742691777</v>
      </c>
    </row>
    <row r="9" spans="1:18" x14ac:dyDescent="0.4">
      <c r="B9" s="66" t="s">
        <v>154</v>
      </c>
      <c r="C9" s="67">
        <v>185</v>
      </c>
      <c r="F9" s="73"/>
      <c r="G9" s="75"/>
      <c r="H9" s="57"/>
      <c r="K9" s="55">
        <f t="shared" si="0"/>
        <v>9</v>
      </c>
      <c r="L9" s="97" t="s">
        <v>70</v>
      </c>
      <c r="M9" s="106" t="s">
        <v>157</v>
      </c>
      <c r="N9" s="54">
        <f>$C$59-$C$60/2</f>
        <v>310</v>
      </c>
      <c r="P9" s="61" t="s">
        <v>96</v>
      </c>
      <c r="Q9" s="62">
        <f>-C62+N15+C6/2-N153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C62-(N19+N20)/2-C6/2+N153</f>
        <v>19.565491184843268</v>
      </c>
      <c r="R10" s="62">
        <f t="shared" si="1"/>
        <v>-530.45350881515674</v>
      </c>
    </row>
    <row r="11" spans="1:18" x14ac:dyDescent="0.4">
      <c r="B11" s="73"/>
      <c r="C11" s="74"/>
      <c r="F11" s="61" t="s">
        <v>198</v>
      </c>
      <c r="G11" s="65" t="s">
        <v>205</v>
      </c>
      <c r="H11" s="82">
        <f>$C$63+C10/2</f>
        <v>-648.5</v>
      </c>
      <c r="K11" s="55">
        <f t="shared" si="0"/>
        <v>11</v>
      </c>
      <c r="L11" s="97" t="s">
        <v>244</v>
      </c>
      <c r="M11" s="106" t="s">
        <v>97</v>
      </c>
      <c r="N11" s="54">
        <f>$C$3+$C$9/2</f>
        <v>9015.2000000000007</v>
      </c>
      <c r="P11" s="61" t="s">
        <v>99</v>
      </c>
      <c r="Q11" s="62">
        <f>C62-N18-C6/2+N153</f>
        <v>19.56330812012493</v>
      </c>
      <c r="R11" s="62">
        <f t="shared" si="1"/>
        <v>-530.45569187987508</v>
      </c>
    </row>
    <row r="12" spans="1:18" x14ac:dyDescent="0.4">
      <c r="B12" s="77" t="s">
        <v>191</v>
      </c>
      <c r="C12" s="80"/>
      <c r="F12" s="61" t="s">
        <v>199</v>
      </c>
      <c r="G12" s="65" t="s">
        <v>206</v>
      </c>
      <c r="H12" s="82">
        <f>$N$21-$N$13*$N$6</f>
        <v>-11.905406231671805</v>
      </c>
      <c r="I12" s="82">
        <f>$C$64+H12</f>
        <v>-561.92440623167181</v>
      </c>
      <c r="K12" s="55">
        <f t="shared" si="0"/>
        <v>12</v>
      </c>
      <c r="L12" s="97" t="s">
        <v>245</v>
      </c>
      <c r="M12" s="106" t="s">
        <v>461</v>
      </c>
      <c r="N12" s="54">
        <f>($C$5-$C$4)/2</f>
        <v>100</v>
      </c>
      <c r="P12" s="61" t="s">
        <v>151</v>
      </c>
      <c r="Q12" s="62" t="e">
        <f>C62-(N19+N20)/2-C6/2+N153-#REF!/2-C35+C36/2</f>
        <v>#REF!</v>
      </c>
      <c r="R12" s="62" t="e">
        <f t="shared" si="1"/>
        <v>#REF!</v>
      </c>
    </row>
    <row r="13" spans="1:18" x14ac:dyDescent="0.4">
      <c r="B13" s="66" t="s">
        <v>121</v>
      </c>
      <c r="C13" s="67">
        <v>172.9</v>
      </c>
      <c r="F13" s="61" t="s">
        <v>201</v>
      </c>
      <c r="G13" s="65" t="s">
        <v>206</v>
      </c>
      <c r="H13" s="82">
        <f>$N$13*$N$6-$N$22</f>
        <v>23.132339989597313</v>
      </c>
      <c r="I13" s="82">
        <f>$C$64+H13</f>
        <v>-526.88666001040269</v>
      </c>
      <c r="K13" s="55">
        <f t="shared" si="0"/>
        <v>13</v>
      </c>
      <c r="L13" s="97" t="s">
        <v>158</v>
      </c>
      <c r="M13" s="106" t="s">
        <v>174</v>
      </c>
      <c r="N13" s="54">
        <f>$C$62+$N$7</f>
        <v>8926.1943808938086</v>
      </c>
      <c r="P13" s="61" t="s">
        <v>146</v>
      </c>
      <c r="Q13" s="62" t="e">
        <f>-Q12+C44</f>
        <v>#REF!</v>
      </c>
      <c r="R13" s="62" t="e">
        <f t="shared" si="1"/>
        <v>#REF!</v>
      </c>
    </row>
    <row r="14" spans="1:18" x14ac:dyDescent="0.4">
      <c r="B14" s="66" t="s">
        <v>281</v>
      </c>
      <c r="C14" s="67">
        <v>172.9</v>
      </c>
      <c r="F14" s="61" t="s">
        <v>200</v>
      </c>
      <c r="G14" s="65" t="s">
        <v>206</v>
      </c>
      <c r="H14" s="82">
        <f>$N$15-$N$13*$N$6</f>
        <v>-11.90443964239239</v>
      </c>
      <c r="I14" s="82">
        <f>$C$64+H14</f>
        <v>-561.9234396423924</v>
      </c>
      <c r="K14" s="55">
        <f t="shared" si="0"/>
        <v>14</v>
      </c>
      <c r="L14" s="97" t="s">
        <v>246</v>
      </c>
      <c r="M14" s="106" t="s">
        <v>163</v>
      </c>
      <c r="N14" s="54">
        <f>$N$12/$N$13</f>
        <v>1.1202982562652493E-2</v>
      </c>
      <c r="P14" s="61" t="s">
        <v>147</v>
      </c>
      <c r="Q14" s="62" t="e">
        <f>-C62+(N16+N17)/2+C6/2-N153+#REF!/2+C39-C40/2</f>
        <v>#REF!</v>
      </c>
      <c r="R14" s="62" t="e">
        <f t="shared" si="1"/>
        <v>#REF!</v>
      </c>
    </row>
    <row r="15" spans="1:18" x14ac:dyDescent="0.4">
      <c r="B15" s="66" t="s">
        <v>118</v>
      </c>
      <c r="C15" s="67">
        <v>12.05</v>
      </c>
      <c r="D15" s="68"/>
      <c r="F15" s="61" t="s">
        <v>202</v>
      </c>
      <c r="G15" s="65" t="s">
        <v>206</v>
      </c>
      <c r="H15" s="82">
        <f>$N$13*$N$6-$N$18</f>
        <v>23.130156924878975</v>
      </c>
      <c r="I15" s="82">
        <f>$C$64+H15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N25-C62+C6/2-N153</f>
        <v>-7.6307545676227164</v>
      </c>
      <c r="R17" s="62">
        <f>$C$64+Q17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-Q12+C44</f>
        <v>#REF!</v>
      </c>
      <c r="R18" s="62" t="e">
        <f>$C$64+Q18</f>
        <v>#REF!</v>
      </c>
    </row>
    <row r="19" spans="1:18" x14ac:dyDescent="0.4">
      <c r="B19" s="77" t="s">
        <v>192</v>
      </c>
      <c r="C19" s="80"/>
      <c r="D19" s="54"/>
      <c r="F19" s="61" t="s">
        <v>175</v>
      </c>
      <c r="G19" s="65" t="s">
        <v>206</v>
      </c>
      <c r="H19" s="82">
        <f>-$C$36/2+$C$35-$C$31</f>
        <v>-76.724999999999994</v>
      </c>
      <c r="I19" s="104"/>
      <c r="K19" s="55">
        <f t="shared" si="0"/>
        <v>19</v>
      </c>
      <c r="L19" s="97" t="s">
        <v>251</v>
      </c>
      <c r="M19" s="106" t="s">
        <v>116</v>
      </c>
      <c r="N19" s="54">
        <f>SQRT($N$11^2-$C$5^2)</f>
        <v>8995.2115617143772</v>
      </c>
      <c r="P19" s="62" t="s">
        <v>125</v>
      </c>
      <c r="Q19" s="62">
        <f>N26-C17-C13/2+N155-N13</f>
        <v>-7.6318892500185029</v>
      </c>
      <c r="R19" s="62">
        <f>$C$64+Q19</f>
        <v>-557.65088925001851</v>
      </c>
    </row>
    <row r="20" spans="1:18" x14ac:dyDescent="0.4">
      <c r="A20" s="55" t="s">
        <v>222</v>
      </c>
      <c r="B20" s="66" t="s">
        <v>132</v>
      </c>
      <c r="C20" s="67">
        <v>90</v>
      </c>
      <c r="D20" s="54"/>
      <c r="F20" s="61" t="s">
        <v>184</v>
      </c>
      <c r="G20" s="65" t="s">
        <v>206</v>
      </c>
      <c r="H20" s="82">
        <f ca="1">$H$13-$H$18/2-$C$35+$C$40/2</f>
        <v>22.287339989597314</v>
      </c>
      <c r="I20" s="82">
        <f ca="1">$C$64+H20</f>
        <v>-527.73166001040272</v>
      </c>
      <c r="K20" s="55">
        <f t="shared" si="0"/>
        <v>20</v>
      </c>
      <c r="L20" s="97" t="s">
        <v>252</v>
      </c>
      <c r="M20" s="106" t="s">
        <v>117</v>
      </c>
      <c r="N20" s="54">
        <f>SQRT($N$10^2-$C$5^2)</f>
        <v>8809.7918272794614</v>
      </c>
      <c r="P20" s="62" t="s">
        <v>127</v>
      </c>
      <c r="Q20" s="62">
        <f>Q3-Q16</f>
        <v>483.9249999872182</v>
      </c>
      <c r="R20" s="62">
        <f>C65+Q20</f>
        <v>-666.04900001278179</v>
      </c>
    </row>
    <row r="21" spans="1:18" x14ac:dyDescent="0.4">
      <c r="A21" s="55" t="s">
        <v>255</v>
      </c>
      <c r="B21" s="66" t="s">
        <v>133</v>
      </c>
      <c r="C21" s="67">
        <v>20</v>
      </c>
      <c r="D21" s="54"/>
      <c r="F21" s="61" t="s">
        <v>185</v>
      </c>
      <c r="G21" s="65" t="s">
        <v>206</v>
      </c>
      <c r="H21" s="82">
        <f ca="1">-$H$20+$C$44</f>
        <v>-11.287339989597314</v>
      </c>
      <c r="I21" s="82">
        <f ca="1">$C$64+H21</f>
        <v>-561.30633998959729</v>
      </c>
      <c r="K21" s="55">
        <f t="shared" si="0"/>
        <v>21</v>
      </c>
      <c r="L21" s="97" t="s">
        <v>446</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447</v>
      </c>
      <c r="M22" s="106" t="s">
        <v>169</v>
      </c>
      <c r="N22" s="54">
        <f>($N$19+$N$20)/2</f>
        <v>8902.5016944969193</v>
      </c>
      <c r="P22" s="62" t="s">
        <v>137</v>
      </c>
      <c r="Q22" s="81">
        <f>$C$24/$C$22+1</f>
        <v>6</v>
      </c>
    </row>
    <row r="23" spans="1:18" x14ac:dyDescent="0.4">
      <c r="A23" s="55" t="s">
        <v>383</v>
      </c>
      <c r="B23" s="66" t="s">
        <v>471</v>
      </c>
      <c r="C23" s="67">
        <v>102</v>
      </c>
      <c r="F23" s="61" t="s">
        <v>165</v>
      </c>
      <c r="G23" s="65" t="s">
        <v>206</v>
      </c>
      <c r="H23" s="82">
        <f>$C$40/2-$C$39+$C$31</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384</v>
      </c>
      <c r="B24" s="66" t="s">
        <v>472</v>
      </c>
      <c r="C24" s="67">
        <v>85</v>
      </c>
      <c r="F24" s="61" t="s">
        <v>186</v>
      </c>
      <c r="G24" s="65" t="s">
        <v>206</v>
      </c>
      <c r="H24" s="82">
        <f ca="1">-$N$13*$N$6+$N$21+$H$22/2+$C$39-$C$40/2</f>
        <v>-11.203906231671795</v>
      </c>
      <c r="I24" s="82">
        <f ca="1">$C$64+H24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$H$3-$C$41</f>
        <v>468.01603829462465</v>
      </c>
      <c r="I25" s="82">
        <f>$C$65+H25</f>
        <v>-681.95796170537528</v>
      </c>
      <c r="K25" s="55">
        <f t="shared" si="0"/>
        <v>25</v>
      </c>
      <c r="L25" s="97" t="s">
        <v>448</v>
      </c>
      <c r="M25" s="106" t="s">
        <v>124</v>
      </c>
      <c r="N25" s="54">
        <f>SQRT($C$3^2-$N$24^2)</f>
        <v>8914.4364311141399</v>
      </c>
      <c r="P25" s="62" t="s">
        <v>150</v>
      </c>
      <c r="Q25" s="62">
        <f ca="1">-Q$9*$N$62+Q$2*$N$95</f>
        <v>4500581.5260234261</v>
      </c>
    </row>
    <row r="26" spans="1:18" x14ac:dyDescent="0.4">
      <c r="B26" s="66" t="s">
        <v>477</v>
      </c>
      <c r="C26" s="71">
        <v>40</v>
      </c>
      <c r="F26" s="61" t="s">
        <v>188</v>
      </c>
      <c r="G26" s="65" t="s">
        <v>203</v>
      </c>
      <c r="H26" s="82">
        <f>$H$4-$C$38</f>
        <v>474.98396170537535</v>
      </c>
      <c r="I26" s="82">
        <f>$C$65+H26</f>
        <v>-674.99003829462458</v>
      </c>
      <c r="K26" s="55">
        <f t="shared" si="0"/>
        <v>26</v>
      </c>
      <c r="L26" s="97" t="s">
        <v>449</v>
      </c>
      <c r="M26" s="106" t="s">
        <v>172</v>
      </c>
      <c r="N26" s="54">
        <f>SQRT($N$11^2-$N$24^2)</f>
        <v>9007.0212964317452</v>
      </c>
    </row>
    <row r="27" spans="1:18" x14ac:dyDescent="0.4">
      <c r="B27" s="66" t="s">
        <v>478</v>
      </c>
      <c r="C27" s="71">
        <v>32</v>
      </c>
      <c r="H27" s="57"/>
      <c r="I27" s="57"/>
      <c r="K27" s="55">
        <f t="shared" si="0"/>
        <v>27</v>
      </c>
      <c r="L27" s="97" t="s">
        <v>450</v>
      </c>
      <c r="M27" s="106" t="s">
        <v>173</v>
      </c>
      <c r="N27" s="54">
        <f>SQRT($N$10^2-$N$24^2)</f>
        <v>8821.8497852987166</v>
      </c>
      <c r="P27" s="54"/>
    </row>
    <row r="28" spans="1:18" x14ac:dyDescent="0.4">
      <c r="B28" s="66" t="s">
        <v>298</v>
      </c>
      <c r="C28" s="71">
        <v>3</v>
      </c>
      <c r="F28" s="77" t="s">
        <v>191</v>
      </c>
      <c r="G28" s="79"/>
      <c r="H28" s="80"/>
      <c r="I28" s="80"/>
      <c r="K28" s="55">
        <f t="shared" si="0"/>
        <v>28</v>
      </c>
      <c r="L28" s="97" t="s">
        <v>462</v>
      </c>
      <c r="M28" s="106" t="s">
        <v>467</v>
      </c>
      <c r="N28" s="54">
        <f>$C$5-$C$49</f>
        <v>590</v>
      </c>
      <c r="P28" s="54"/>
    </row>
    <row r="29" spans="1:18" x14ac:dyDescent="0.4">
      <c r="B29" s="73"/>
      <c r="C29" s="74"/>
      <c r="F29" s="61" t="s">
        <v>118</v>
      </c>
      <c r="G29" s="65" t="s">
        <v>203</v>
      </c>
      <c r="H29" s="82">
        <f>$H$3-$C$15</f>
        <v>487.96603829462464</v>
      </c>
      <c r="I29" s="82">
        <f>$C$65+H29</f>
        <v>-662.00796170537524</v>
      </c>
      <c r="K29" s="55">
        <f t="shared" si="0"/>
        <v>29</v>
      </c>
      <c r="L29" s="97" t="s">
        <v>463</v>
      </c>
      <c r="M29" s="106" t="s">
        <v>468</v>
      </c>
      <c r="N29" s="54">
        <f>SQRT($C$3^2-$N$28^2)</f>
        <v>8903.1722037709678</v>
      </c>
    </row>
    <row r="30" spans="1:18" x14ac:dyDescent="0.4">
      <c r="B30" s="77" t="s">
        <v>299</v>
      </c>
      <c r="C30" s="80"/>
      <c r="F30" s="61" t="s">
        <v>179</v>
      </c>
      <c r="G30" s="65" t="s">
        <v>203</v>
      </c>
      <c r="H30" s="82">
        <f>$H$29-$C$16</f>
        <v>479.91603829462463</v>
      </c>
      <c r="I30" s="82">
        <f>$C$65+H30</f>
        <v>-670.05796170537531</v>
      </c>
      <c r="K30" s="55">
        <f t="shared" si="0"/>
        <v>30</v>
      </c>
      <c r="L30" s="97" t="s">
        <v>257</v>
      </c>
      <c r="M30" s="106" t="str">
        <f>IF($C$25&gt;=3, "振分中心-内面溝1列目間距離", "-")</f>
        <v>振分中心-内面溝1列目間距離</v>
      </c>
      <c r="N30" s="96">
        <f>$C$4-$C$20</f>
        <v>310</v>
      </c>
    </row>
    <row r="31" spans="1:18" x14ac:dyDescent="0.4">
      <c r="A31" s="55" t="s">
        <v>300</v>
      </c>
      <c r="B31" s="66" t="s">
        <v>100</v>
      </c>
      <c r="C31" s="67">
        <v>7.0000000000000007E-2</v>
      </c>
      <c r="F31" s="61" t="s">
        <v>166</v>
      </c>
      <c r="G31" s="65" t="s">
        <v>203</v>
      </c>
      <c r="H31" s="82">
        <f>$H$3-$N$23</f>
        <v>483.94103829462466</v>
      </c>
      <c r="I31" s="82">
        <f>$C$65+H31</f>
        <v>-666.03296170537533</v>
      </c>
      <c r="K31" s="55">
        <f t="shared" si="0"/>
        <v>31</v>
      </c>
      <c r="L31" s="97" t="s">
        <v>312</v>
      </c>
      <c r="M31" s="106" t="str">
        <f>IF($C$25&gt;=4, "振分中心-内面溝2列目間距離", "-")</f>
        <v>振分中心-内面溝2列目間距離</v>
      </c>
      <c r="N31" s="96">
        <f>IF($C$25&gt;=4,$N$30-1*$C$21, "-")</f>
        <v>290</v>
      </c>
    </row>
    <row r="32" spans="1:18" x14ac:dyDescent="0.4">
      <c r="B32" s="66" t="s">
        <v>301</v>
      </c>
      <c r="C32" s="91" t="s">
        <v>302</v>
      </c>
      <c r="F32" s="62" t="s">
        <v>167</v>
      </c>
      <c r="G32" s="82" t="s">
        <v>206</v>
      </c>
      <c r="H32" s="82">
        <f>$N$25-$N$15</f>
        <v>0.70683627001562854</v>
      </c>
      <c r="K32" s="55">
        <f t="shared" si="0"/>
        <v>32</v>
      </c>
      <c r="L32" s="97" t="s">
        <v>313</v>
      </c>
      <c r="M32" s="106" t="str">
        <f>IF($C$25&gt;=5, "振分中心-内面溝3列目間距離", "-")</f>
        <v>振分中心-内面溝3列目間距離</v>
      </c>
      <c r="N32" s="96">
        <f>IF($C$25&gt;=5,$N$30-2*$C$21, "-")</f>
        <v>270</v>
      </c>
    </row>
    <row r="33" spans="2:16" x14ac:dyDescent="0.4">
      <c r="F33" s="62" t="s">
        <v>131</v>
      </c>
      <c r="G33" s="82" t="s">
        <v>206</v>
      </c>
      <c r="H33" s="82">
        <f>$N$25-$N$13*$N$6</f>
        <v>-11.197603372376761</v>
      </c>
      <c r="I33" s="82">
        <f>$C$64+H33</f>
        <v>-561.21660337237677</v>
      </c>
      <c r="K33" s="55">
        <f t="shared" si="0"/>
        <v>33</v>
      </c>
      <c r="L33" s="97" t="s">
        <v>314</v>
      </c>
      <c r="M33" s="106" t="str">
        <f>IF($C$25&gt;=6, "振分中心-内面溝4列目間距離", "-")</f>
        <v>振分中心-内面溝4列目間距離</v>
      </c>
      <c r="N33" s="96">
        <f>IF($C$25&gt;=6,$N$30-3*$C$21, "-")</f>
        <v>250</v>
      </c>
    </row>
    <row r="34" spans="2:16" x14ac:dyDescent="0.4">
      <c r="B34" s="56" t="s">
        <v>193</v>
      </c>
      <c r="F34" s="62" t="s">
        <v>126</v>
      </c>
      <c r="G34" s="82" t="s">
        <v>206</v>
      </c>
      <c r="H34" s="82">
        <f ca="1">$H$21</f>
        <v>-11.287339989597314</v>
      </c>
      <c r="I34" s="82">
        <f ca="1">$C$64+H34</f>
        <v>-561.30633998959729</v>
      </c>
      <c r="K34" s="55">
        <f t="shared" si="0"/>
        <v>34</v>
      </c>
      <c r="L34" s="97" t="s">
        <v>316</v>
      </c>
      <c r="M34" s="106" t="str">
        <f>IF($C$25&gt;=7, "振分中心-内面溝5列目間距離", "-")</f>
        <v>-</v>
      </c>
      <c r="N34" s="96" t="str">
        <f>IF($C$25&gt;=7,$N$30-4*$C$21, "-")</f>
        <v>-</v>
      </c>
    </row>
    <row r="35" spans="2:16" x14ac:dyDescent="0.4">
      <c r="B35" s="66" t="s">
        <v>101</v>
      </c>
      <c r="C35" s="85">
        <v>13.82</v>
      </c>
      <c r="F35" s="62" t="s">
        <v>209</v>
      </c>
      <c r="G35" s="82" t="s">
        <v>206</v>
      </c>
      <c r="H35" s="82">
        <f>$N$26-$C$17-$C$13/2-$N$13</f>
        <v>-11.759084462064493</v>
      </c>
      <c r="I35" s="82">
        <f>$C$64+H35</f>
        <v>-561.7780844620645</v>
      </c>
      <c r="K35" s="55">
        <f t="shared" si="0"/>
        <v>35</v>
      </c>
      <c r="L35" s="97" t="s">
        <v>315</v>
      </c>
      <c r="M35" s="106" t="str">
        <f>IF($C$25&gt;=8, "振分中心-内面溝6列目間距離", "-")</f>
        <v>-</v>
      </c>
      <c r="N35" s="96" t="str">
        <f>IF($C$25&gt;=8,$N$30-5*$C$21, "-")</f>
        <v>-</v>
      </c>
    </row>
    <row r="36" spans="2:16" x14ac:dyDescent="0.4">
      <c r="B36" s="66" t="s">
        <v>282</v>
      </c>
      <c r="C36" s="85">
        <v>180.95</v>
      </c>
      <c r="F36" s="62" t="s">
        <v>210</v>
      </c>
      <c r="G36" s="82" t="s">
        <v>206</v>
      </c>
      <c r="H36" s="82">
        <f>$C$17+$C$13/2</f>
        <v>92.585999999999999</v>
      </c>
      <c r="K36" s="55">
        <f t="shared" si="0"/>
        <v>36</v>
      </c>
      <c r="L36" s="97" t="s">
        <v>261</v>
      </c>
      <c r="M36" s="106" t="s">
        <v>234</v>
      </c>
      <c r="N36" s="96">
        <f>$N$30-($C$25-2)*$C$21</f>
        <v>230</v>
      </c>
    </row>
    <row r="37" spans="2:16" x14ac:dyDescent="0.4">
      <c r="B37" s="66" t="s">
        <v>283</v>
      </c>
      <c r="C37" s="85">
        <v>180.95</v>
      </c>
      <c r="F37" s="62" t="s">
        <v>171</v>
      </c>
      <c r="G37" s="82" t="s">
        <v>206</v>
      </c>
      <c r="H37" s="82">
        <f ca="1">$H$24</f>
        <v>-11.203906231671795</v>
      </c>
      <c r="I37" s="82">
        <f ca="1">$C$64+H37</f>
        <v>-561.2229062316718</v>
      </c>
      <c r="K37" s="55">
        <f t="shared" si="0"/>
        <v>37</v>
      </c>
      <c r="L37" s="97" t="s">
        <v>260</v>
      </c>
      <c r="M37" s="106" t="s">
        <v>233</v>
      </c>
      <c r="N37" s="96">
        <f>$N$30-($C$25-1)*$C$21</f>
        <v>210</v>
      </c>
    </row>
    <row r="38" spans="2:16" x14ac:dyDescent="0.4">
      <c r="B38" s="66" t="s">
        <v>177</v>
      </c>
      <c r="C38" s="85">
        <v>25</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105</v>
      </c>
      <c r="C39" s="85">
        <f>12.745</f>
        <v>12.744999999999999</v>
      </c>
      <c r="F39" s="84" t="s">
        <v>207</v>
      </c>
      <c r="G39" s="57"/>
      <c r="H39" s="57"/>
      <c r="I39" s="57"/>
      <c r="K39" s="55">
        <f t="shared" si="0"/>
        <v>39</v>
      </c>
      <c r="L39" s="97" t="s">
        <v>317</v>
      </c>
      <c r="M39" s="106" t="str">
        <f>IF($C$25&gt;=4,"λj ≦ q+pz &lt; λj+1 の λj", "-")</f>
        <v>λj ≦ q+pz &lt; λj+1 の λj</v>
      </c>
      <c r="N39" s="96">
        <f ca="1">IF($C$25&gt;=4,LOOKUP($C$20+$C$21, INDIRECT($H$52&amp;"!$A:$A")),"-")</f>
        <v>100</v>
      </c>
    </row>
    <row r="40" spans="2:16" x14ac:dyDescent="0.4">
      <c r="B40" s="66" t="s">
        <v>464</v>
      </c>
      <c r="C40" s="85">
        <v>180.95</v>
      </c>
      <c r="F40" s="62" t="s">
        <v>181</v>
      </c>
      <c r="G40" s="82" t="s">
        <v>203</v>
      </c>
      <c r="H40" s="82">
        <f>$H$3-$C$53</f>
        <v>499.01603829462465</v>
      </c>
      <c r="I40" s="82">
        <f>$C$65+H40</f>
        <v>-650.95796170537528</v>
      </c>
      <c r="K40" s="55">
        <f t="shared" si="0"/>
        <v>40</v>
      </c>
      <c r="L40" s="97" t="s">
        <v>319</v>
      </c>
      <c r="M40" s="106" t="str">
        <f>IF($C$25&gt;=5,"λj ≦ q+2pz &lt; λj+1 の λj", "-")</f>
        <v>λj ≦ q+2pz &lt; λj+1 の λj</v>
      </c>
      <c r="N40" s="96">
        <f ca="1">IF($C$25&gt;=5,LOOKUP($C$20+2*$C$21, INDIRECT($H$52&amp;"!$A:$A")),"-")</f>
        <v>125</v>
      </c>
      <c r="P40" s="54"/>
    </row>
    <row r="41" spans="2:16" x14ac:dyDescent="0.4">
      <c r="B41" s="66" t="s">
        <v>176</v>
      </c>
      <c r="C41" s="85">
        <v>32</v>
      </c>
      <c r="F41" s="62" t="s">
        <v>180</v>
      </c>
      <c r="G41" s="82" t="s">
        <v>203</v>
      </c>
      <c r="H41" s="82">
        <f>$H$3-$C$55</f>
        <v>499.51603829462465</v>
      </c>
      <c r="I41" s="82">
        <f>$C$65+H41</f>
        <v>-650.45796170537528</v>
      </c>
      <c r="K41" s="55">
        <f t="shared" si="0"/>
        <v>41</v>
      </c>
      <c r="L41" s="97" t="s">
        <v>321</v>
      </c>
      <c r="M41" s="106" t="str">
        <f>IF($C$25&gt;=6,"λj ≦ q+3pz &lt; λj+1 の λj", "-")</f>
        <v>λj ≦ q+3pz &lt; λj+1 の λj</v>
      </c>
      <c r="N41" s="96">
        <f ca="1">IF($C$25&gt;=6,LOOKUP($C$20+3*$C$21, INDIRECT($H$52&amp;"!$A:$A")),"-")</f>
        <v>150</v>
      </c>
    </row>
    <row r="42" spans="2:16" x14ac:dyDescent="0.4">
      <c r="F42" s="62" t="s">
        <v>182</v>
      </c>
      <c r="G42" s="82" t="s">
        <v>203</v>
      </c>
      <c r="H42" s="82">
        <f>$H$4-$C$47</f>
        <v>495.98396170537535</v>
      </c>
      <c r="I42" s="82">
        <f>$C$65+H42</f>
        <v>-653.99003829462458</v>
      </c>
      <c r="K42" s="55">
        <f t="shared" si="0"/>
        <v>42</v>
      </c>
      <c r="L42" s="97" t="s">
        <v>322</v>
      </c>
      <c r="M42" s="106" t="str">
        <f>IF($C$25&gt;=7,"λj ≦ q+4pz &lt; λj+1 の λj", "-")</f>
        <v>-</v>
      </c>
      <c r="N42" s="96" t="str">
        <f ca="1">IF($C$25&gt;=7,LOOKUP($C$20+4*$C$21, INDIRECT($H$52&amp;"!$A:$A")),"-")</f>
        <v>-</v>
      </c>
    </row>
    <row r="43" spans="2:16" x14ac:dyDescent="0.4">
      <c r="B43" s="56" t="s">
        <v>194</v>
      </c>
      <c r="F43" s="62" t="s">
        <v>183</v>
      </c>
      <c r="G43" s="82" t="s">
        <v>203</v>
      </c>
      <c r="H43" s="82">
        <f>$H$4-$C$49</f>
        <v>489.98396170537535</v>
      </c>
      <c r="I43" s="82">
        <f>$C$65+H43</f>
        <v>-659.99003829462458</v>
      </c>
      <c r="K43" s="55">
        <f t="shared" si="0"/>
        <v>43</v>
      </c>
      <c r="L43" s="97" t="s">
        <v>323</v>
      </c>
      <c r="M43" s="106" t="str">
        <f>IF($C$25&gt;=8,"λj ≦ q+5pz &lt; λj+1 の λj", "-")</f>
        <v>-</v>
      </c>
      <c r="N43" s="96" t="str">
        <f ca="1">IF($C$25&gt;=8,LOOKUP($C$20+5*$C$21, INDIRECT($H$52&amp;"!$A:$A")),"-")</f>
        <v>-</v>
      </c>
    </row>
    <row r="44" spans="2:16" x14ac:dyDescent="0.4">
      <c r="B44" s="66" t="s">
        <v>102</v>
      </c>
      <c r="C44" s="85">
        <v>11</v>
      </c>
      <c r="F44" s="62" t="s">
        <v>451</v>
      </c>
      <c r="G44" s="82" t="s">
        <v>206</v>
      </c>
      <c r="H44" s="82"/>
      <c r="I44" s="105"/>
      <c r="K44" s="55">
        <f t="shared" si="0"/>
        <v>44</v>
      </c>
      <c r="L44" s="97" t="s">
        <v>325</v>
      </c>
      <c r="M44" s="106" t="s">
        <v>327</v>
      </c>
      <c r="N44" s="54">
        <f ca="1">LOOKUP($C$20+($C$25-2)*$C$21, INDIRECT($H$52&amp;"!$A:$A"))</f>
        <v>150</v>
      </c>
    </row>
    <row r="45" spans="2:16" x14ac:dyDescent="0.4">
      <c r="F45" s="62" t="s">
        <v>189</v>
      </c>
      <c r="G45" s="82" t="s">
        <v>206</v>
      </c>
      <c r="H45" s="82">
        <f>$N$29-$N$18</f>
        <v>0.66832620933018916</v>
      </c>
      <c r="I45" s="103"/>
      <c r="K45" s="55">
        <f t="shared" si="0"/>
        <v>45</v>
      </c>
      <c r="L45" s="97" t="s">
        <v>324</v>
      </c>
      <c r="M45" s="106" t="s">
        <v>326</v>
      </c>
      <c r="N45" s="54">
        <f ca="1">LOOKUP($C$20+($C$25-1)*$C$21, INDIRECT($H$52&amp;"!$A:$A"))</f>
        <v>175</v>
      </c>
    </row>
    <row r="46" spans="2:16" x14ac:dyDescent="0.4">
      <c r="B46" s="56" t="s">
        <v>465</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213</v>
      </c>
      <c r="C47" s="67">
        <v>4</v>
      </c>
      <c r="F47" s="86" t="s">
        <v>192</v>
      </c>
      <c r="G47" s="80"/>
      <c r="H47" s="80"/>
      <c r="K47" s="55">
        <f t="shared" si="0"/>
        <v>47</v>
      </c>
      <c r="L47" s="97" t="s">
        <v>318</v>
      </c>
      <c r="M47" s="106" t="str">
        <f>IF($C$25&gt;=4,"λj ≦ q+pz &lt; λj+1 の λj+1", "-")</f>
        <v>λj ≦ q+pz &lt; λj+1 の λj+1</v>
      </c>
      <c r="N47" s="96" cm="1">
        <f t="array" aca="1" ref="N47" ca="1">IF($C$25&gt;=4, INDEX(INDIRECT($H$52&amp;"!$A:$A"), MATCH($N39, INDIRECT($H$52&amp;"!$A:$A"), 0) +1),"-")</f>
        <v>125</v>
      </c>
    </row>
    <row r="48" spans="2:16" x14ac:dyDescent="0.4">
      <c r="B48" s="66" t="s">
        <v>214</v>
      </c>
      <c r="C48" s="67">
        <v>15</v>
      </c>
      <c r="E48" s="55" t="s">
        <v>334</v>
      </c>
      <c r="F48" s="87" t="s">
        <v>136</v>
      </c>
      <c r="G48" s="88" t="s">
        <v>197</v>
      </c>
      <c r="H48" s="100">
        <f>$C$23/$C$22+1</f>
        <v>7</v>
      </c>
      <c r="K48" s="55">
        <f t="shared" si="0"/>
        <v>48</v>
      </c>
      <c r="L48" s="97" t="s">
        <v>320</v>
      </c>
      <c r="M48" s="106" t="str">
        <f>IF($C$25&gt;=5,"λj ≦ q+2pz &lt; λj+1 の λj+1", "-")</f>
        <v>λj ≦ q+2pz &lt; λj+1 の λj+1</v>
      </c>
      <c r="N48" s="96" cm="1">
        <f t="array" aca="1" ref="N48" ca="1">IF($C$25&gt;=5, INDEX(INDIRECT($H$52&amp;"!$A:$A"), MATCH($N40, INDIRECT($H$52&amp;"!$A:$A"), 0) +1),"-")</f>
        <v>150</v>
      </c>
    </row>
    <row r="49" spans="1:14" x14ac:dyDescent="0.4">
      <c r="B49" s="66" t="s">
        <v>215</v>
      </c>
      <c r="C49" s="67">
        <v>10</v>
      </c>
      <c r="E49" s="55" t="s">
        <v>335</v>
      </c>
      <c r="F49" s="62" t="s">
        <v>137</v>
      </c>
      <c r="G49" s="82" t="s">
        <v>197</v>
      </c>
      <c r="H49" s="101">
        <f>$C$24/$C$22+1</f>
        <v>6</v>
      </c>
      <c r="K49" s="55">
        <f t="shared" si="0"/>
        <v>49</v>
      </c>
      <c r="L49" s="97" t="s">
        <v>328</v>
      </c>
      <c r="M49" s="106" t="str">
        <f>IF($C$25&gt;=6,"λj ≦ q+3pz &lt; λj+1 の λj+1", "-")</f>
        <v>λj ≦ q+3pz &lt; λj+1 の λj+1</v>
      </c>
      <c r="N49" s="96" cm="1">
        <f t="array" aca="1" ref="N49" ca="1">IF($C$25&gt;=6, INDEX(INDIRECT($H$52&amp;"!$A:$A"), MATCH($N41, INDIRECT($H$52&amp;"!$A:$A"), 0) +1),"-")</f>
        <v>175</v>
      </c>
    </row>
    <row r="50" spans="1:14" x14ac:dyDescent="0.4">
      <c r="B50" s="66" t="s">
        <v>216</v>
      </c>
      <c r="C50" s="67">
        <v>15</v>
      </c>
      <c r="F50" s="62" t="s">
        <v>307</v>
      </c>
      <c r="G50" s="82" t="s">
        <v>197</v>
      </c>
      <c r="H50" s="101">
        <f>_xlfn.CEILING.MATH($C$25/2)</f>
        <v>3</v>
      </c>
      <c r="K50" s="55">
        <f t="shared" si="0"/>
        <v>50</v>
      </c>
      <c r="L50" s="97" t="s">
        <v>329</v>
      </c>
      <c r="M50" s="106" t="str">
        <f>IF($C$25&gt;=7,"λj ≦ q+4pz &lt; λj+1 の λj+1", "-")</f>
        <v>-</v>
      </c>
      <c r="N50" s="96" t="str" cm="1">
        <f t="array" aca="1" ref="N50" ca="1">IF($C$25&gt;=7, INDEX(INDIRECT($H$52&amp;"!$A:$A"), MATCH($N42, INDIRECT($H$52&amp;"!$A:$A"), 0) +1),"-")</f>
        <v>-</v>
      </c>
    </row>
    <row r="51" spans="1:14" x14ac:dyDescent="0.4">
      <c r="F51" s="62" t="s">
        <v>308</v>
      </c>
      <c r="G51" s="82" t="s">
        <v>197</v>
      </c>
      <c r="H51" s="101">
        <f>QUOTIENT($C$25,2)</f>
        <v>3</v>
      </c>
      <c r="K51" s="55">
        <f t="shared" si="0"/>
        <v>51</v>
      </c>
      <c r="L51" s="97" t="s">
        <v>330</v>
      </c>
      <c r="M51" s="106" t="str">
        <f>IF($C$25&gt;=8,"λj ≦ q+5pz &lt; λj+1 の λj+1", "-")</f>
        <v>-</v>
      </c>
      <c r="N51" s="96" t="str" cm="1">
        <f t="array" aca="1" ref="N51" ca="1">IF($C$25&gt;=8, INDEX(INDIRECT($H$52&amp;"!$A:$A"), MATCH($N43, INDIRECT($H$52&amp;"!$A:$A"), 0) +1),"-")</f>
        <v>-</v>
      </c>
    </row>
    <row r="52" spans="1:14" x14ac:dyDescent="0.4">
      <c r="B52" s="56" t="s">
        <v>466</v>
      </c>
      <c r="F52" s="62" t="s">
        <v>301</v>
      </c>
      <c r="G52" s="82" t="s">
        <v>197</v>
      </c>
      <c r="H52" s="82" t="str">
        <f>IF(ISNUMBER(VALUE(LEFT($C$32, 1))), TEXT($C$32, "00000"), LEFT($C$32, 1) &amp; TEXT(MID($C$32, 2, LEN($C$32) - 1), "00000"))</f>
        <v>e00937</v>
      </c>
      <c r="K52" s="55">
        <f t="shared" si="0"/>
        <v>52</v>
      </c>
      <c r="L52" s="97" t="s">
        <v>331</v>
      </c>
      <c r="M52" s="106" t="s">
        <v>333</v>
      </c>
      <c r="N52" s="96" cm="1">
        <f t="array" aca="1" ref="N52" ca="1">INDEX(INDIRECT($H$52&amp;"!$A:$A"), MATCH($N44, INDIRECT($H$52&amp;"!$A:$A"), 0) +1)</f>
        <v>175</v>
      </c>
    </row>
    <row r="53" spans="1:14" x14ac:dyDescent="0.4">
      <c r="B53" s="66" t="s">
        <v>217</v>
      </c>
      <c r="C53" s="67">
        <v>1</v>
      </c>
      <c r="F53" s="84" t="s">
        <v>470</v>
      </c>
      <c r="K53" s="55">
        <f t="shared" si="0"/>
        <v>53</v>
      </c>
      <c r="L53" s="97" t="s">
        <v>332</v>
      </c>
      <c r="M53" s="106" t="s">
        <v>227</v>
      </c>
      <c r="N53" s="96" cm="1">
        <f t="array" aca="1" ref="N53" ca="1">INDEX(INDIRECT($H$52&amp;"!$A:$A"), MATCH($N45, INDIRECT($H$52&amp;"!$A:$A"), 0) +1)</f>
        <v>200</v>
      </c>
    </row>
    <row r="54" spans="1:14" x14ac:dyDescent="0.4">
      <c r="B54" s="66" t="s">
        <v>218</v>
      </c>
      <c r="C54" s="67">
        <v>45</v>
      </c>
      <c r="E54" s="55" t="s">
        <v>380</v>
      </c>
      <c r="F54" s="62" t="str">
        <f>IF($C$25&gt;=3,"内面溝1列目-トップ端 湾曲中心間X距離", "-")</f>
        <v>内面溝1列目-トップ端 湾曲中心間X距離</v>
      </c>
      <c r="G54" s="65" t="s">
        <v>206</v>
      </c>
      <c r="H54" s="82">
        <f>IF($C$25&gt;=$C$67-5,$N$70-$N$15, "-")</f>
        <v>3.5836378510248323</v>
      </c>
      <c r="K54" s="55">
        <f t="shared" si="0"/>
        <v>54</v>
      </c>
      <c r="L54" s="97" t="s">
        <v>228</v>
      </c>
      <c r="M54" s="106" t="str">
        <f>IF($C$25&gt;=3,"q-λj","")</f>
        <v>q-λj</v>
      </c>
      <c r="N54" s="96">
        <f ca="1">IF($C$25&gt;=3,$C$20-$N$38, "-")</f>
        <v>15</v>
      </c>
    </row>
    <row r="55" spans="1:14" ht="16.5" x14ac:dyDescent="0.4">
      <c r="B55" s="66" t="s">
        <v>219</v>
      </c>
      <c r="C55" s="67">
        <v>0.5</v>
      </c>
      <c r="E55" s="55" t="s">
        <v>381</v>
      </c>
      <c r="F55" s="62" t="str">
        <f>IF($C$25&gt;=4,"内面溝2列目-トップ端 湾曲中心間X距離", "-")</f>
        <v>内面溝2列目-トップ端 湾曲中心間X距離</v>
      </c>
      <c r="G55" s="65" t="s">
        <v>206</v>
      </c>
      <c r="H55" s="82">
        <f>IF($C$25&gt;=$C67-4,$N$71-$N$15, "-")</f>
        <v>4.2564608749580657</v>
      </c>
      <c r="K55" s="55">
        <f t="shared" si="0"/>
        <v>55</v>
      </c>
      <c r="L55" s="97" t="s">
        <v>336</v>
      </c>
      <c r="M55" s="106" t="str">
        <f>IF($C$25&gt;=4,"q+pz-λj","")</f>
        <v>q+pz-λj</v>
      </c>
      <c r="N55" s="96">
        <f ca="1">IF($C$25&gt;=4,$C$20+$C$21-$N$39, "-")</f>
        <v>10</v>
      </c>
    </row>
    <row r="56" spans="1:14" x14ac:dyDescent="0.4">
      <c r="B56" s="66" t="s">
        <v>212</v>
      </c>
      <c r="C56" s="67">
        <v>45</v>
      </c>
      <c r="F56" s="62" t="str">
        <f>IF($C$25&gt;=5,"内面溝3列目-トップ端 湾曲中心間X距離", "-")</f>
        <v>内面溝3列目-トップ端 湾曲中心間X距離</v>
      </c>
      <c r="G56" s="65" t="s">
        <v>206</v>
      </c>
      <c r="H56" s="82">
        <f>IF($C$25&gt;=$C$67-3,$N$72-$N$15, "-")</f>
        <v>4.8843832356542407</v>
      </c>
      <c r="K56" s="55">
        <f t="shared" si="0"/>
        <v>56</v>
      </c>
      <c r="L56" s="97" t="s">
        <v>337</v>
      </c>
      <c r="M56" s="106" t="str">
        <f>IF($C$25&gt;=5,"q+2pz-λj","")</f>
        <v>q+2pz-λj</v>
      </c>
      <c r="N56" s="96">
        <f ca="1">IF($C$25&gt;=5,$C$20+2*$C$21-$N$40, "-")</f>
        <v>5</v>
      </c>
    </row>
    <row r="57" spans="1:14" x14ac:dyDescent="0.4">
      <c r="F57" s="62" t="str">
        <f>IF($C$25&gt;=6,"内面溝4列目-トップ端 湾曲中心間X距離", "-")</f>
        <v>内面溝4列目-トップ端 湾曲中心間X距離</v>
      </c>
      <c r="G57" s="65" t="s">
        <v>206</v>
      </c>
      <c r="H57" s="82">
        <f>IF($C$25&gt;=$C$67-2,$N$73-$N$15, "-")</f>
        <v>5.4674144162945595</v>
      </c>
      <c r="K57" s="55">
        <f t="shared" si="0"/>
        <v>57</v>
      </c>
      <c r="L57" s="97" t="s">
        <v>338</v>
      </c>
      <c r="M57" s="106" t="str">
        <f>IF($C$25&gt;=6,"q+3pz-λj","")</f>
        <v>q+3pz-λj</v>
      </c>
      <c r="N57" s="96">
        <f ca="1">IF($C$25&gt;=6,$C$20+3*$C$21-$N$41, "-")</f>
        <v>0</v>
      </c>
    </row>
    <row r="58" spans="1:14" x14ac:dyDescent="0.4">
      <c r="B58" s="77" t="s">
        <v>211</v>
      </c>
      <c r="C58" s="80"/>
      <c r="F58" s="62" t="str">
        <f>IF($C$25&gt;=7,"内面溝5列目-トップ端 湾曲中心間X距離", "-")</f>
        <v>-</v>
      </c>
      <c r="G58" s="65" t="s">
        <v>206</v>
      </c>
      <c r="H58" s="82" t="str">
        <f>IF($C$25&gt;=$C67-1,$N$74-$N$15, "-")</f>
        <v>-</v>
      </c>
      <c r="K58" s="55">
        <f t="shared" si="0"/>
        <v>58</v>
      </c>
      <c r="L58" s="97" t="s">
        <v>339</v>
      </c>
      <c r="M58" s="106" t="str">
        <f>IF($C$25&gt;=7,"q+4pz-λj","-")</f>
        <v>-</v>
      </c>
      <c r="N58" s="96" t="str">
        <f>IF($C$25&gt;=7,$C$20+4*$C$21-$N$42, "-")</f>
        <v>-</v>
      </c>
    </row>
    <row r="59" spans="1:14" x14ac:dyDescent="0.4">
      <c r="A59" s="55" t="s">
        <v>28</v>
      </c>
      <c r="B59" s="66" t="s">
        <v>26</v>
      </c>
      <c r="C59" s="71">
        <v>330</v>
      </c>
      <c r="F59" s="62" t="str">
        <f>IF($C$25&gt;=8,"内面溝6列目-トップ端 湾曲中心間X距離", "-")</f>
        <v>-</v>
      </c>
      <c r="G59" s="65" t="s">
        <v>206</v>
      </c>
      <c r="H59" s="82" t="str">
        <f>IF($C$25&gt;=$C67,$N$75-$N$15, "-")</f>
        <v>-</v>
      </c>
      <c r="K59" s="55">
        <f t="shared" si="0"/>
        <v>59</v>
      </c>
      <c r="L59" s="97" t="s">
        <v>340</v>
      </c>
      <c r="M59" s="106" t="str">
        <f>IF($C$25&gt;=8,"q+5pz-λj","-")</f>
        <v>-</v>
      </c>
      <c r="N59" s="96" t="str">
        <f>IF($C$25&gt;=8,$C$20+5*$C$21-$N$43, "-")</f>
        <v>-</v>
      </c>
    </row>
    <row r="60" spans="1:14" x14ac:dyDescent="0.4">
      <c r="A60" s="55" t="s">
        <v>29</v>
      </c>
      <c r="B60" s="66" t="s">
        <v>27</v>
      </c>
      <c r="C60" s="71">
        <v>40</v>
      </c>
      <c r="F60" s="62" t="s">
        <v>349</v>
      </c>
      <c r="G60" s="65" t="s">
        <v>206</v>
      </c>
      <c r="H60" s="82">
        <f>$N$76-$N$15</f>
        <v>6.0055632197072555</v>
      </c>
      <c r="K60" s="55">
        <f t="shared" si="0"/>
        <v>60</v>
      </c>
      <c r="L60" s="97" t="s">
        <v>341</v>
      </c>
      <c r="M60" s="106" t="s">
        <v>341</v>
      </c>
      <c r="N60" s="96">
        <f ca="1">$C$20+($C$25-2)*$C$21-$N$44</f>
        <v>20</v>
      </c>
    </row>
    <row r="61" spans="1:14" x14ac:dyDescent="0.4">
      <c r="A61" s="55" t="s">
        <v>30</v>
      </c>
      <c r="B61" s="66" t="s">
        <v>31</v>
      </c>
      <c r="C61" s="71">
        <v>100</v>
      </c>
      <c r="E61" s="55" t="s">
        <v>382</v>
      </c>
      <c r="F61" s="62" t="s">
        <v>348</v>
      </c>
      <c r="G61" s="65" t="s">
        <v>206</v>
      </c>
      <c r="H61" s="82">
        <f>$N$77-$N$15</f>
        <v>6.4988377690224297</v>
      </c>
      <c r="K61" s="55">
        <f t="shared" si="0"/>
        <v>61</v>
      </c>
      <c r="L61" s="97" t="s">
        <v>230</v>
      </c>
      <c r="M61" s="106" t="s">
        <v>230</v>
      </c>
      <c r="N61" s="96">
        <f ca="1">$C$20+($C$25-1)*$C$21-$N$45</f>
        <v>15</v>
      </c>
    </row>
    <row r="62" spans="1:14" x14ac:dyDescent="0.4">
      <c r="A62" s="55" t="s">
        <v>45</v>
      </c>
      <c r="B62" s="66" t="s">
        <v>95</v>
      </c>
      <c r="C62" s="89">
        <v>201.5</v>
      </c>
      <c r="E62" s="55" t="s">
        <v>425</v>
      </c>
      <c r="F62" s="61" t="str">
        <f>IF($C$25&gt;=3,"（傾き前）1列目Z座標","-")</f>
        <v>（傾き前）1列目Z座標</v>
      </c>
      <c r="G62" s="65" t="s">
        <v>203</v>
      </c>
      <c r="H62" s="112">
        <f>IF($C$25&gt;=3,$H$3-$C$20,"-")</f>
        <v>410.01603829462465</v>
      </c>
      <c r="I62" s="82">
        <f>IF($C$25&gt;=3,$C$65+H62,"-")</f>
        <v>-739.95796170537528</v>
      </c>
      <c r="K62" s="55">
        <f t="shared" si="0"/>
        <v>62</v>
      </c>
      <c r="L62" s="97" t="s">
        <v>229</v>
      </c>
      <c r="M62" s="106" t="str">
        <f>IF($C$25&gt;=3, "λj+1-q", "-")</f>
        <v>λj+1-q</v>
      </c>
      <c r="N62" s="96">
        <f ca="1">IF($C$25&gt;=3,$N$46-$C$20, "-")</f>
        <v>10</v>
      </c>
    </row>
    <row r="63" spans="1:14" x14ac:dyDescent="0.4">
      <c r="B63" s="66" t="s">
        <v>152</v>
      </c>
      <c r="C63" s="89">
        <v>-740</v>
      </c>
      <c r="E63" s="55" t="s">
        <v>424</v>
      </c>
      <c r="F63" s="61" t="str">
        <f>IF($C$25&gt;=4,"（傾き前）2列目Z座標","-")</f>
        <v>（傾き前）2列目Z座標</v>
      </c>
      <c r="G63" s="65" t="s">
        <v>203</v>
      </c>
      <c r="H63" s="112">
        <f>IF($C$25&gt;=4,$H$3-$C$20-$C$21,"-")</f>
        <v>390.01603829462465</v>
      </c>
      <c r="I63" s="82">
        <f>IF($C$25&gt;=4,$C$65+H63,"-")</f>
        <v>-759.95796170537528</v>
      </c>
      <c r="K63" s="55">
        <f t="shared" si="0"/>
        <v>63</v>
      </c>
      <c r="L63" s="97" t="s">
        <v>342</v>
      </c>
      <c r="M63" s="106" t="str">
        <f>IF($C$25&gt;=4, "λj+1-q-pz", "-")</f>
        <v>λj+1-q-pz</v>
      </c>
      <c r="N63" s="96">
        <f ca="1">IF($C$25&gt;=4,$N$47-$C$20-$C$21, "-")</f>
        <v>15</v>
      </c>
    </row>
    <row r="64" spans="1:14" x14ac:dyDescent="0.4">
      <c r="B64" s="66" t="s">
        <v>103</v>
      </c>
      <c r="C64" s="89">
        <v>-550.01900000000001</v>
      </c>
      <c r="F64" s="61" t="str">
        <f>IF($C$25&gt;=5,"（傾き前）3列目Z座標","-")</f>
        <v>（傾き前）3列目Z座標</v>
      </c>
      <c r="G64" s="65" t="s">
        <v>203</v>
      </c>
      <c r="H64" s="112">
        <f>IF($C$25&gt;=5,$H$3-$C$20-2*$C$21,"-")</f>
        <v>370.01603829462465</v>
      </c>
      <c r="I64" s="82">
        <f>IF($C$25&gt;=5,$C$65+H64,"-")</f>
        <v>-779.95796170537528</v>
      </c>
      <c r="K64" s="55">
        <f t="shared" ref="K64:K154" si="2">ROW(K64)</f>
        <v>64</v>
      </c>
      <c r="L64" s="97" t="s">
        <v>343</v>
      </c>
      <c r="M64" s="106" t="str">
        <f>IF($C$25&gt;=5, "λj+1-q-2pz", "-")</f>
        <v>λj+1-q-2pz</v>
      </c>
      <c r="N64" s="96">
        <f ca="1">IF($C$25&gt;=5,$N$48-$C$20-2*$C$21, "-")</f>
        <v>20</v>
      </c>
    </row>
    <row r="65" spans="2:14" x14ac:dyDescent="0.4">
      <c r="B65" s="66" t="s">
        <v>104</v>
      </c>
      <c r="C65" s="89">
        <v>-1149.9739999999999</v>
      </c>
      <c r="F65" s="61" t="str">
        <f>IF($C$25&gt;=6,"（傾き前）4列目Z座標","-")</f>
        <v>（傾き前）4列目Z座標</v>
      </c>
      <c r="G65" s="65" t="s">
        <v>203</v>
      </c>
      <c r="H65" s="112">
        <f>IF($C$25&gt;=6,$H$3-$C$20-3*$C$21,"-")</f>
        <v>350.01603829462465</v>
      </c>
      <c r="I65" s="82">
        <f>IF($C$25&gt;=6,$C$65+H65,"-")</f>
        <v>-799.95796170537528</v>
      </c>
      <c r="K65" s="55">
        <f t="shared" si="2"/>
        <v>65</v>
      </c>
      <c r="L65" s="97" t="s">
        <v>344</v>
      </c>
      <c r="M65" s="106" t="str">
        <f>IF($C$25&gt;=6, "λj+1-q-3pz", "-")</f>
        <v>λj+1-q-3pz</v>
      </c>
      <c r="N65" s="96">
        <f ca="1">IF($C$25&gt;=6,$N$49-$C$20-3*$C$21, "-")</f>
        <v>25</v>
      </c>
    </row>
    <row r="66" spans="2:14" x14ac:dyDescent="0.4">
      <c r="B66" s="66" t="s">
        <v>130</v>
      </c>
      <c r="C66" s="89">
        <v>7.2999999999999995E-2</v>
      </c>
      <c r="F66" s="61" t="str">
        <f>IF($C$25&gt;=7,"（傾き前）5列目Z座標","-")</f>
        <v>-</v>
      </c>
      <c r="G66" s="65" t="s">
        <v>203</v>
      </c>
      <c r="H66" s="112" t="str">
        <f>IF($C$25&gt;=7,$H$3-$C$20-4*$C$21,"-")</f>
        <v>-</v>
      </c>
      <c r="I66" s="82" t="str">
        <f>IF($C$25&gt;=7,$C$65+H66,"-")</f>
        <v>-</v>
      </c>
      <c r="K66" s="55">
        <f t="shared" si="2"/>
        <v>66</v>
      </c>
      <c r="L66" s="97" t="s">
        <v>345</v>
      </c>
      <c r="M66" s="106" t="str">
        <f>IF($C$25&gt;=7, "λj+1-q-4pz", "-")</f>
        <v>-</v>
      </c>
      <c r="N66" s="96" t="str">
        <f>IF($C$25&gt;=7,$N$50-$C$20-4*$C$21, "-")</f>
        <v>-</v>
      </c>
    </row>
    <row r="67" spans="2:14" x14ac:dyDescent="0.4">
      <c r="B67" s="66" t="s">
        <v>220</v>
      </c>
      <c r="C67" s="90">
        <v>8</v>
      </c>
      <c r="F67" s="61" t="str">
        <f>IF($C$25&gt;=8,"（傾き前）6列目Z座標","-")</f>
        <v>-</v>
      </c>
      <c r="G67" s="65" t="s">
        <v>203</v>
      </c>
      <c r="H67" s="112" t="str">
        <f>IF($C$25&gt;=8,$H$3-$C$20-5*$C$21,"-")</f>
        <v>-</v>
      </c>
      <c r="I67" s="82" t="str">
        <f>IF($C$25&gt;=8,$C$65+H67,"-")</f>
        <v>-</v>
      </c>
      <c r="J67" s="55"/>
      <c r="K67" s="55">
        <f t="shared" si="2"/>
        <v>67</v>
      </c>
      <c r="L67" s="97" t="s">
        <v>346</v>
      </c>
      <c r="M67" s="106" t="str">
        <f>IF($C$25&gt;=8, "λj+1-q-5pz", "-")</f>
        <v>-</v>
      </c>
      <c r="N67" s="96" t="str">
        <f>IF($C$25&gt;=8,$N$51-$C$20-5*$C$21, "-")</f>
        <v>-</v>
      </c>
    </row>
    <row r="68" spans="2:14" x14ac:dyDescent="0.4">
      <c r="F68" s="61" t="s">
        <v>426</v>
      </c>
      <c r="G68" s="65" t="s">
        <v>203</v>
      </c>
      <c r="H68" s="112">
        <f>$H$3-$C$20-($C$25-2)*$C$21</f>
        <v>330.01603829462465</v>
      </c>
      <c r="I68" s="82">
        <f>$C$65+H68</f>
        <v>-819.95796170537528</v>
      </c>
      <c r="K68" s="55">
        <f t="shared" si="2"/>
        <v>68</v>
      </c>
      <c r="L68" s="97" t="s">
        <v>347</v>
      </c>
      <c r="M68" s="106" t="s">
        <v>347</v>
      </c>
      <c r="N68" s="54">
        <f ca="1">$N$52-$C$20-($C$25-2)*$C$21</f>
        <v>5</v>
      </c>
    </row>
    <row r="69" spans="2:14" x14ac:dyDescent="0.4">
      <c r="E69" s="55" t="s">
        <v>428</v>
      </c>
      <c r="F69" s="61" t="s">
        <v>427</v>
      </c>
      <c r="G69" s="65" t="s">
        <v>203</v>
      </c>
      <c r="H69" s="112">
        <f>$H$3-$C$20-($C$25-1)*$C$21</f>
        <v>310.01603829462465</v>
      </c>
      <c r="I69" s="82">
        <f>$C$65+H69</f>
        <v>-839.95796170537528</v>
      </c>
      <c r="K69" s="55">
        <f t="shared" si="2"/>
        <v>69</v>
      </c>
      <c r="L69" s="97" t="s">
        <v>262</v>
      </c>
      <c r="M69" s="106" t="s">
        <v>262</v>
      </c>
      <c r="N69" s="54">
        <f ca="1">$N$53-$C$20-($C$25-1)*$C$21</f>
        <v>10</v>
      </c>
    </row>
    <row r="70" spans="2:14" x14ac:dyDescent="0.4">
      <c r="E70" s="55" t="s">
        <v>385</v>
      </c>
      <c r="F70" s="62" t="s">
        <v>388</v>
      </c>
      <c r="G70" s="65" t="s">
        <v>206</v>
      </c>
      <c r="H70" s="82">
        <f ca="1">$H$22+$C$31*2</f>
        <v>157.00299999999999</v>
      </c>
      <c r="K70" s="55">
        <f t="shared" si="2"/>
        <v>70</v>
      </c>
      <c r="L70" s="97" t="s">
        <v>350</v>
      </c>
      <c r="M70" s="106" t="str">
        <f>IF($C$25&gt;=3,"1列目湾曲中心X","-")</f>
        <v>1列目湾曲中心X</v>
      </c>
      <c r="N70" s="98">
        <f>IF($C$25&gt;=3,SQRT($C$3^2-$N$30^2),"-")</f>
        <v>8917.3132326951491</v>
      </c>
    </row>
    <row r="71" spans="2:14" x14ac:dyDescent="0.4">
      <c r="E71" s="55" t="s">
        <v>387</v>
      </c>
      <c r="F71" s="62" t="str">
        <f>IF($C$25&gt;=3,"1列目 AC内径（水平・めっき含・概算）","-")</f>
        <v>1列目 AC内径（水平・めっき含・概算）</v>
      </c>
      <c r="G71" s="65" t="s">
        <v>206</v>
      </c>
      <c r="H71" s="82">
        <f ca="1">IF($C$25&gt;=3,($N$54*$N$86+$N$62*$N$78)/($N$46-$N$38)+$C$31*2,"-")</f>
        <v>156.59259999999998</v>
      </c>
      <c r="K71" s="55">
        <f t="shared" si="2"/>
        <v>71</v>
      </c>
      <c r="L71" s="97" t="s">
        <v>351</v>
      </c>
      <c r="M71" s="106" t="str">
        <f>IF($C$25&gt;=4,"2列目湾曲中心X","-")</f>
        <v>2列目湾曲中心X</v>
      </c>
      <c r="N71" s="98">
        <f>IF($C$25&gt;=4,SQRT($C$3^2-$N$31^2),"-")</f>
        <v>8917.9860557190823</v>
      </c>
    </row>
    <row r="72" spans="2:14" x14ac:dyDescent="0.4">
      <c r="F72" s="62" t="s">
        <v>389</v>
      </c>
      <c r="G72" s="65" t="s">
        <v>206</v>
      </c>
      <c r="H72" s="82">
        <f ca="1">($N$61*$N$93+$N$69*$N$85)/($N$53-$N$45)+$C$31*2</f>
        <v>156.16120000000001</v>
      </c>
      <c r="K72" s="55">
        <f t="shared" si="2"/>
        <v>72</v>
      </c>
      <c r="L72" s="97" t="s">
        <v>352</v>
      </c>
      <c r="M72" s="106" t="str">
        <f>IF($C$25&gt;=5,"3列目湾曲中心X","-")</f>
        <v>3列目湾曲中心X</v>
      </c>
      <c r="N72" s="98">
        <f>IF($C$25&gt;=5,SQRT($C$3^2-$N$32^2),"-")</f>
        <v>8918.6139780797785</v>
      </c>
    </row>
    <row r="73" spans="2:14" x14ac:dyDescent="0.4">
      <c r="E73" s="55" t="s">
        <v>402</v>
      </c>
      <c r="F73" s="62" t="s">
        <v>305</v>
      </c>
      <c r="G73" s="82" t="s">
        <v>204</v>
      </c>
      <c r="H73" s="82">
        <f ca="1">ROUND(DEGREES($N$99),3)</f>
        <v>2.13</v>
      </c>
      <c r="I73" s="57"/>
      <c r="K73" s="55">
        <f t="shared" si="2"/>
        <v>73</v>
      </c>
      <c r="L73" s="97" t="s">
        <v>353</v>
      </c>
      <c r="M73" s="106" t="str">
        <f>IF($C$25&gt;=6,"4列目湾曲中心X","-")</f>
        <v>4列目湾曲中心X</v>
      </c>
      <c r="N73" s="98">
        <f>IF($C$25&gt;=6,SQRT($C$3^2-$N$33^2),"-")</f>
        <v>8919.1970092604188</v>
      </c>
    </row>
    <row r="74" spans="2:14" x14ac:dyDescent="0.4">
      <c r="E74" s="55" t="s">
        <v>402</v>
      </c>
      <c r="F74" s="62" t="s">
        <v>306</v>
      </c>
      <c r="G74" s="82" t="s">
        <v>204</v>
      </c>
      <c r="H74" s="82">
        <f ca="1">$H$7+$H$73</f>
        <v>2.7719999999999998</v>
      </c>
      <c r="I74" s="82">
        <f ca="1">-$C$66+$H$74</f>
        <v>2.6989999999999998</v>
      </c>
      <c r="K74" s="55">
        <f t="shared" si="2"/>
        <v>74</v>
      </c>
      <c r="L74" s="97" t="s">
        <v>354</v>
      </c>
      <c r="M74" s="106" t="str">
        <f>IF($C$25&gt;=7,"5列目湾曲中心X","-")</f>
        <v>-</v>
      </c>
      <c r="N74" s="98" t="str">
        <f>IF($C$25&gt;=7,SQRT($C$3^2-$N$34^2),"-")</f>
        <v>-</v>
      </c>
    </row>
    <row r="75" spans="2:14" x14ac:dyDescent="0.4">
      <c r="E75" s="55" t="s">
        <v>403</v>
      </c>
      <c r="F75" s="111" t="s">
        <v>401</v>
      </c>
      <c r="G75" s="108" t="s">
        <v>204</v>
      </c>
      <c r="H75" s="108">
        <f ca="1">DEGREES($N$107)</f>
        <v>1.8081075579837422</v>
      </c>
      <c r="K75" s="55">
        <f t="shared" si="2"/>
        <v>75</v>
      </c>
      <c r="L75" s="97" t="s">
        <v>355</v>
      </c>
      <c r="M75" s="106" t="str">
        <f>IF($C$25&gt;=8,"6列目湾曲中心X","-")</f>
        <v>-</v>
      </c>
      <c r="N75" s="98" t="str">
        <f>IF($C$25&gt;=8,SQRT($C$3^2-$N$35^2),"-")</f>
        <v>-</v>
      </c>
    </row>
    <row r="76" spans="2:14" x14ac:dyDescent="0.4">
      <c r="E76" s="55" t="s">
        <v>403</v>
      </c>
      <c r="F76" s="111" t="s">
        <v>398</v>
      </c>
      <c r="G76" s="108" t="s">
        <v>204</v>
      </c>
      <c r="H76" s="108">
        <f ca="1">$H$7+$H$75</f>
        <v>2.4501075579837424</v>
      </c>
      <c r="I76" s="108">
        <f ca="1">-$C$66+$H$76</f>
        <v>2.3771075579837424</v>
      </c>
      <c r="K76" s="55">
        <f t="shared" si="2"/>
        <v>76</v>
      </c>
      <c r="L76" s="97" t="s">
        <v>356</v>
      </c>
      <c r="M76" s="106" t="s">
        <v>358</v>
      </c>
      <c r="N76" s="99">
        <f>SQRT($C$3^2-$N$36^2)</f>
        <v>8919.7351580638315</v>
      </c>
    </row>
    <row r="77" spans="2:14" x14ac:dyDescent="0.4">
      <c r="F77" s="62" t="s">
        <v>277</v>
      </c>
      <c r="G77" s="82" t="s">
        <v>206</v>
      </c>
      <c r="H77" s="82">
        <f ca="1">MIN($N$110, $N$111)</f>
        <v>21.495936780292737</v>
      </c>
      <c r="K77" s="55">
        <f t="shared" si="2"/>
        <v>77</v>
      </c>
      <c r="L77" s="97" t="s">
        <v>357</v>
      </c>
      <c r="M77" s="106" t="s">
        <v>359</v>
      </c>
      <c r="N77" s="99">
        <f>SQRT($C$3^2-$N$37^2)</f>
        <v>8920.2284326131467</v>
      </c>
    </row>
    <row r="78" spans="2:14" x14ac:dyDescent="0.4">
      <c r="F78" s="62" t="s">
        <v>431</v>
      </c>
      <c r="G78" s="65" t="s">
        <v>205</v>
      </c>
      <c r="H78" s="82">
        <f ca="1">($N$61*$N$127+$N$69*$N$119)/($N$53-$N$45)+$C$31*2</f>
        <v>154.14839999999998</v>
      </c>
      <c r="K78" s="55">
        <f t="shared" si="2"/>
        <v>78</v>
      </c>
      <c r="L78" s="97" t="s">
        <v>360</v>
      </c>
      <c r="M78" s="106" t="str">
        <f>IF($C$25&gt;=3,"λj ≦ q &lt; λj+1 の wAj", "-")</f>
        <v>λj ≦ q &lt; λj+1 の wAj</v>
      </c>
      <c r="N78" s="96">
        <f ca="1">IF($C$25&gt;=3, INDEX(INDIRECT($H$52&amp;"!B:B"), MATCH($N$38, INDIRECT($H$52&amp;"!A:A"), 0)),"-")</f>
        <v>156.52099999999999</v>
      </c>
    </row>
    <row r="79" spans="2:14" x14ac:dyDescent="0.4">
      <c r="F79" s="84" t="s">
        <v>469</v>
      </c>
      <c r="K79" s="55">
        <f t="shared" si="2"/>
        <v>79</v>
      </c>
      <c r="L79" s="97" t="s">
        <v>361</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IF($C$25&gt;=$C$67-5,$H$54*$N$101-$C$20*$N$100, "-")</f>
        <v>0.23613623834420849</v>
      </c>
      <c r="K80" s="55">
        <f t="shared" si="2"/>
        <v>80</v>
      </c>
      <c r="L80" s="97" t="s">
        <v>362</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IF($C$25&gt;=$C$67-4,$H$55*$N$101-($C$20+$C21)*$N$100, "-")</f>
        <v>0.16515537313498907</v>
      </c>
      <c r="K81" s="55">
        <f t="shared" si="2"/>
        <v>81</v>
      </c>
      <c r="L81" s="97" t="s">
        <v>363</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IF($C$25&gt;=$C$67-3,$H$56*$N$101-($C$20+2*$C$21)*$N$100, "-")</f>
        <v>4.930486789530697E-2</v>
      </c>
      <c r="K82" s="55">
        <f t="shared" si="2"/>
        <v>82</v>
      </c>
      <c r="L82" s="97" t="s">
        <v>364</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IF($C$25&gt;=$C$67-2,$H$57*$N$101-($C$20+3*$C$21)*$N$100, "-")</f>
        <v>-0.11140580074584783</v>
      </c>
      <c r="K83" s="55">
        <f t="shared" si="2"/>
        <v>83</v>
      </c>
      <c r="L83" s="97" t="s">
        <v>365</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IF($C$25&gt;=$C$67-1,$H$58*$N$101-($C$20+4*$C$21)*$N$100, "-")</f>
        <v>-</v>
      </c>
      <c r="K84" s="55">
        <f t="shared" si="2"/>
        <v>84</v>
      </c>
      <c r="L84" s="97" t="s">
        <v>366</v>
      </c>
      <c r="M84" s="106" t="s">
        <v>368</v>
      </c>
      <c r="N84" s="96">
        <f ca="1">INDEX(INDIRECT($H$52&amp;"!B:B"), MATCH($N$44, INDIRECT($H$52&amp;"!A:A"), 0))</f>
        <v>156.179</v>
      </c>
    </row>
    <row r="85" spans="6:14" x14ac:dyDescent="0.4">
      <c r="F85" s="62" t="str">
        <f>IF($C$25&gt;=8,"内面溝6列目-トップ端 湾曲中心間X距離", "-")</f>
        <v>-</v>
      </c>
      <c r="G85" s="65" t="s">
        <v>206</v>
      </c>
      <c r="H85" s="82" t="str">
        <f>IF($C$25&gt;=$C$67,$H$59*$N$101-($C$20+5*$C$21)*$N$100, "-")</f>
        <v>-</v>
      </c>
      <c r="K85" s="55">
        <f t="shared" si="2"/>
        <v>85</v>
      </c>
      <c r="L85" s="97" t="s">
        <v>367</v>
      </c>
      <c r="M85" s="106" t="s">
        <v>369</v>
      </c>
      <c r="N85" s="96">
        <f ca="1">INDEX(INDIRECT($H$52&amp;"!B:B"), MATCH($N$45, INDIRECT($H$52&amp;"!A:A"), 0))</f>
        <v>156.077</v>
      </c>
    </row>
    <row r="86" spans="6:14" x14ac:dyDescent="0.4">
      <c r="F86" s="62" t="s">
        <v>349</v>
      </c>
      <c r="G86" s="65" t="s">
        <v>206</v>
      </c>
      <c r="H86" s="82">
        <f ca="1">$H$60*$N$101-($C$20+($C$25-2)*$C$21)*$N$100</f>
        <v>-0.31696783604237844</v>
      </c>
      <c r="K86" s="55">
        <f t="shared" si="2"/>
        <v>86</v>
      </c>
      <c r="L86" s="97" t="s">
        <v>370</v>
      </c>
      <c r="M86" s="106" t="str">
        <f>IF($C$25&gt;=3,"λj ≦ q &lt; λj+1 の wAj+1", "-")</f>
        <v>λj ≦ q &lt; λj+1 の wAj+1</v>
      </c>
      <c r="N86" s="96">
        <f ca="1">IF($C$25&gt;=3, INDEX(INDIRECT($H$52&amp;"!B:B"), MATCH($N$46, INDIRECT($H$52&amp;"!A:A"), 0)),"-")</f>
        <v>156.40700000000001</v>
      </c>
    </row>
    <row r="87" spans="6:14" x14ac:dyDescent="0.4">
      <c r="F87" s="62" t="s">
        <v>348</v>
      </c>
      <c r="G87" s="65" t="s">
        <v>206</v>
      </c>
      <c r="H87" s="82">
        <f ca="1">$H$61*$N$101-($C$20+($C$25-1)*$C$21)*$N$100</f>
        <v>-0.56737312047669697</v>
      </c>
      <c r="K87" s="55">
        <f t="shared" si="2"/>
        <v>87</v>
      </c>
      <c r="L87" s="97" t="s">
        <v>371</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IF($C$25&gt;=$C$67-5,$H$54*$N$100+$C$20*$N$101, "-")</f>
        <v>90.071009208980442</v>
      </c>
      <c r="K88" s="55">
        <f t="shared" si="2"/>
        <v>88</v>
      </c>
      <c r="L88" s="97" t="s">
        <v>372</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IF($C$25&gt;=$C$67-4,$H$55*$N$100+($C$20+$C$21)*$N$101, "-")</f>
        <v>110.08219739305159</v>
      </c>
      <c r="K89" s="55">
        <f t="shared" si="2"/>
        <v>89</v>
      </c>
      <c r="L89" s="97" t="s">
        <v>373</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IF($C$25&gt;=$C$67-3,$H$56*$N$100+($C$20+2*$C$21)*$N$101, "-")</f>
        <v>130.09171675638208</v>
      </c>
      <c r="K90" s="55">
        <f t="shared" si="2"/>
        <v>90</v>
      </c>
      <c r="L90" s="97" t="s">
        <v>374</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IF($C$25&gt;=$C$67-2,$H$57*$N$100+($C$20+3*$C$21)*$N$101, "-")</f>
        <v>150.09956765143286</v>
      </c>
      <c r="K91" s="55">
        <f t="shared" si="2"/>
        <v>91</v>
      </c>
      <c r="L91" s="97" t="s">
        <v>375</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IF($C$25&gt;=$C$67-1,$H$58*$N$100+($C$20+4*$C$21)*$N$101, "-")</f>
        <v>-</v>
      </c>
      <c r="K92" s="55">
        <f t="shared" si="2"/>
        <v>92</v>
      </c>
      <c r="L92" s="97" t="s">
        <v>376</v>
      </c>
      <c r="M92" s="106" t="s">
        <v>378</v>
      </c>
      <c r="N92" s="96">
        <f ca="1">INDEX(INDIRECT($H$52&amp;"!B:B"), MATCH($N$52, INDIRECT($H$52&amp;"!A:A"), 0))</f>
        <v>156.077</v>
      </c>
    </row>
    <row r="93" spans="6:14" x14ac:dyDescent="0.4">
      <c r="F93" s="62" t="str">
        <f>IF($C$25&gt;=8,"内面溝6列目-トップ端 湾曲中心間Z距離", "-")</f>
        <v>-</v>
      </c>
      <c r="G93" s="65" t="s">
        <v>203</v>
      </c>
      <c r="H93" s="82" t="str">
        <f>IF($C$25&gt;=$C$67-0,$H$59*$N$100+($C$20+5*$C$21)*$N$101, "-")</f>
        <v>-</v>
      </c>
      <c r="K93" s="55">
        <f t="shared" si="2"/>
        <v>93</v>
      </c>
      <c r="L93" s="97" t="s">
        <v>377</v>
      </c>
      <c r="M93" s="106" t="s">
        <v>379</v>
      </c>
      <c r="N93" s="96">
        <f ca="1">INDEX(INDIRECT($H$52&amp;"!B:B"), MATCH($N$53, INDIRECT($H$52&amp;"!A:A"), 0))</f>
        <v>155.98400000000001</v>
      </c>
    </row>
    <row r="94" spans="6:14" x14ac:dyDescent="0.4">
      <c r="F94" s="62" t="s">
        <v>475</v>
      </c>
      <c r="G94" s="65" t="s">
        <v>203</v>
      </c>
      <c r="H94" s="82">
        <f ca="1">$H$60*$N$100+($C$20+($C$25-2)*$C$21)*$N$101</f>
        <v>170.10575040537816</v>
      </c>
      <c r="K94" s="55">
        <f t="shared" si="2"/>
        <v>94</v>
      </c>
      <c r="L94" s="97" t="s">
        <v>390</v>
      </c>
      <c r="M94" s="106" t="s">
        <v>303</v>
      </c>
      <c r="N94" s="54">
        <f ca="1">$C$3+$H$70/2</f>
        <v>9001.201500000001</v>
      </c>
    </row>
    <row r="95" spans="6:14" x14ac:dyDescent="0.4">
      <c r="F95" s="62" t="s">
        <v>476</v>
      </c>
      <c r="G95" s="65" t="s">
        <v>203</v>
      </c>
      <c r="H95" s="82">
        <f ca="1">$H$61*$N$100+($C$20+($C$25-1)*$C$21)*$N$101</f>
        <v>190.11026532013003</v>
      </c>
      <c r="K95" s="55">
        <f t="shared" si="2"/>
        <v>95</v>
      </c>
      <c r="L95" s="97" t="s">
        <v>391</v>
      </c>
      <c r="M95" s="106" t="s">
        <v>304</v>
      </c>
      <c r="N95" s="54">
        <f ca="1">$C$3+$H$71/2</f>
        <v>9000.9963000000007</v>
      </c>
    </row>
    <row r="96" spans="6:14" x14ac:dyDescent="0.4">
      <c r="K96" s="55">
        <f t="shared" ref="K96:K103" si="3">ROW(K96)</f>
        <v>96</v>
      </c>
      <c r="L96" s="97" t="s">
        <v>394</v>
      </c>
      <c r="M96" s="106" t="s">
        <v>275</v>
      </c>
      <c r="N96" s="54">
        <f ca="1">SQRT($N$95^2-$N$30^2)</f>
        <v>8995.6564181061131</v>
      </c>
    </row>
    <row r="97" spans="11:14" x14ac:dyDescent="0.4">
      <c r="K97" s="55">
        <f t="shared" si="3"/>
        <v>97</v>
      </c>
      <c r="L97" s="97" t="s">
        <v>395</v>
      </c>
      <c r="M97" s="106" t="s">
        <v>275</v>
      </c>
      <c r="N97" s="54">
        <f ca="1">SQRT($N$94^2-$C$4^2)</f>
        <v>8992.3094054643298</v>
      </c>
    </row>
    <row r="98" spans="11:14" x14ac:dyDescent="0.4">
      <c r="K98" s="55">
        <f t="shared" si="3"/>
        <v>98</v>
      </c>
      <c r="L98" s="97" t="s">
        <v>263</v>
      </c>
      <c r="M98" s="106" t="s">
        <v>263</v>
      </c>
      <c r="N98" s="54">
        <f ca="1">IF($N$96&gt;$N$97, ($N$96-$N$97)/$C$20, 0)</f>
        <v>3.7189029353147718E-2</v>
      </c>
    </row>
    <row r="99" spans="11:14" x14ac:dyDescent="0.4">
      <c r="K99" s="55">
        <f t="shared" si="3"/>
        <v>99</v>
      </c>
      <c r="L99" s="97" t="s">
        <v>264</v>
      </c>
      <c r="M99" s="106" t="s">
        <v>231</v>
      </c>
      <c r="N99" s="54">
        <f ca="1">ATAN($N$98)</f>
        <v>3.7171899126953054E-2</v>
      </c>
    </row>
    <row r="100" spans="11:14" x14ac:dyDescent="0.4">
      <c r="K100" s="55">
        <f t="shared" si="3"/>
        <v>100</v>
      </c>
      <c r="L100" s="97" t="s">
        <v>474</v>
      </c>
      <c r="M100" s="106" t="s">
        <v>474</v>
      </c>
      <c r="N100" s="54">
        <f ca="1">SIN(RADIANS($H$73))</f>
        <v>3.7166950783010577E-2</v>
      </c>
    </row>
    <row r="101" spans="11:14" x14ac:dyDescent="0.4">
      <c r="K101" s="55">
        <f t="shared" si="3"/>
        <v>101</v>
      </c>
      <c r="L101" s="97" t="s">
        <v>473</v>
      </c>
      <c r="M101" s="106" t="s">
        <v>473</v>
      </c>
      <c r="N101" s="54">
        <f ca="1">COS(RADIANS($H$73))</f>
        <v>0.9993090701927474</v>
      </c>
    </row>
    <row r="102" spans="11:14" x14ac:dyDescent="0.4">
      <c r="K102" s="55">
        <f t="shared" si="3"/>
        <v>102</v>
      </c>
      <c r="L102" s="97" t="s">
        <v>392</v>
      </c>
      <c r="M102" s="106" t="s">
        <v>224</v>
      </c>
      <c r="N102" s="54">
        <f ca="1">$C$3-$H$71/2</f>
        <v>8844.4037000000008</v>
      </c>
    </row>
    <row r="103" spans="11:14" x14ac:dyDescent="0.4">
      <c r="K103" s="55">
        <f t="shared" si="3"/>
        <v>103</v>
      </c>
      <c r="L103" s="97" t="s">
        <v>393</v>
      </c>
      <c r="M103" s="106" t="s">
        <v>225</v>
      </c>
      <c r="N103" s="54">
        <f ca="1">$C$3-$H$72/2</f>
        <v>8844.6194000000014</v>
      </c>
    </row>
    <row r="104" spans="11:14" x14ac:dyDescent="0.4">
      <c r="K104" s="55">
        <f t="shared" si="2"/>
        <v>104</v>
      </c>
      <c r="L104" s="97" t="s">
        <v>396</v>
      </c>
      <c r="M104" s="106" t="s">
        <v>276</v>
      </c>
      <c r="N104" s="54">
        <f ca="1">SQRT($N$103^2-$N$37^2)</f>
        <v>8842.1260074066122</v>
      </c>
    </row>
    <row r="105" spans="11:14" x14ac:dyDescent="0.4">
      <c r="K105" s="55">
        <f t="shared" si="2"/>
        <v>105</v>
      </c>
      <c r="L105" s="97" t="s">
        <v>397</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399</v>
      </c>
      <c r="M110" s="106" t="s">
        <v>278</v>
      </c>
      <c r="N110" s="54">
        <f ca="1">$H$70/2-$H$60-$N$108/2</f>
        <v>21.495936780292737</v>
      </c>
    </row>
    <row r="111" spans="11:14" x14ac:dyDescent="0.4">
      <c r="K111" s="55">
        <f t="shared" si="2"/>
        <v>111</v>
      </c>
      <c r="L111" s="97" t="s">
        <v>400</v>
      </c>
      <c r="M111" s="106" t="s">
        <v>279</v>
      </c>
      <c r="N111" s="54">
        <f ca="1">$H$70/2-$H$61-$N$109/2</f>
        <v>29.502662230977563</v>
      </c>
    </row>
    <row r="112" spans="11:14" x14ac:dyDescent="0.4">
      <c r="K112" s="55">
        <f t="shared" si="2"/>
        <v>112</v>
      </c>
      <c r="L112" s="97" t="s">
        <v>404</v>
      </c>
      <c r="M112" s="106" t="str">
        <f>IF($C$25&gt;=3,"λj ≦ q &lt; λj+1 の wBj", "-")</f>
        <v>λj ≦ q &lt; λj+1 の wBj</v>
      </c>
      <c r="N112" s="96">
        <f ca="1">IF($C$25&gt;=3, INDEX(INDIRECT($H$52&amp;"!C:C"), MATCH($N$38, INDIRECT($H$52&amp;"!A:A"), 0)),"-")</f>
        <v>154.501</v>
      </c>
    </row>
    <row r="113" spans="11:14" x14ac:dyDescent="0.4">
      <c r="K113" s="55">
        <f t="shared" si="2"/>
        <v>113</v>
      </c>
      <c r="L113" s="97" t="s">
        <v>405</v>
      </c>
      <c r="M113" s="106" t="str">
        <f>IF($C$25&gt;=4,"λj ≦ q+pz &lt; λj+1 の wBj", "-")</f>
        <v>λj ≦ q+pz &lt; λj+1 の wBj</v>
      </c>
      <c r="N113" s="96">
        <f ca="1">IF($C$25&gt;=4, INDEX(INDIRECT($H$52&amp;"!C:C"), MATCH($N$39, INDIRECT($H$52&amp;"!A:A"), 0)),"-")</f>
        <v>154.38900000000001</v>
      </c>
    </row>
    <row r="114" spans="11:14" x14ac:dyDescent="0.4">
      <c r="K114" s="55">
        <f t="shared" si="2"/>
        <v>114</v>
      </c>
      <c r="L114" s="97" t="s">
        <v>406</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407</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408</v>
      </c>
      <c r="M116" s="106" t="str">
        <f>IF($C$25&gt;=7,"λj ≦ q+4pz &lt; λj+1 の wBj", "-")</f>
        <v>-</v>
      </c>
      <c r="N116" s="96" t="str">
        <f ca="1">IF($C$25&gt;=7, INDEX(INDIRECT($H$52&amp;"!C:C"), MATCH($N$42, INDIRECT($H$52&amp;"!A:A"), 0)),"-")</f>
        <v>-</v>
      </c>
    </row>
    <row r="117" spans="11:14" x14ac:dyDescent="0.4">
      <c r="K117" s="55">
        <f t="shared" si="2"/>
        <v>117</v>
      </c>
      <c r="L117" s="97" t="s">
        <v>409</v>
      </c>
      <c r="M117" s="106" t="str">
        <f>IF($C$25&gt;=8,"λj ≦ q+5pz &lt; λj+1 の wBj", "-")</f>
        <v>-</v>
      </c>
      <c r="N117" s="96" t="str">
        <f ca="1">IF($C$25&gt;=8, INDEX(INDIRECT($H$52&amp;"!C:C"), MATCH($N$43, INDIRECT($H$52&amp;"!A:A"), 0)),"-")</f>
        <v>-</v>
      </c>
    </row>
    <row r="118" spans="11:14" x14ac:dyDescent="0.4">
      <c r="K118" s="55">
        <f t="shared" si="2"/>
        <v>118</v>
      </c>
      <c r="L118" s="97" t="s">
        <v>410</v>
      </c>
      <c r="M118" s="106" t="s">
        <v>420</v>
      </c>
      <c r="N118" s="96">
        <f ca="1">INDEX(INDIRECT($H$52&amp;"!C:C"), MATCH($N$44, INDIRECT($H$52&amp;"!A:A"), 0))</f>
        <v>154.16399999999999</v>
      </c>
    </row>
    <row r="119" spans="11:14" x14ac:dyDescent="0.4">
      <c r="K119" s="55">
        <f t="shared" si="2"/>
        <v>119</v>
      </c>
      <c r="L119" s="97" t="s">
        <v>411</v>
      </c>
      <c r="M119" s="106" t="s">
        <v>421</v>
      </c>
      <c r="N119" s="96">
        <f ca="1">INDEX(INDIRECT($H$52&amp;"!C:C"), MATCH($N$45, INDIRECT($H$52&amp;"!A:A"), 0))</f>
        <v>154.06299999999999</v>
      </c>
    </row>
    <row r="120" spans="11:14" x14ac:dyDescent="0.4">
      <c r="K120" s="55">
        <f t="shared" si="2"/>
        <v>120</v>
      </c>
      <c r="L120" s="97" t="s">
        <v>412</v>
      </c>
      <c r="M120" s="106" t="str">
        <f>IF($C$25&gt;=3,"λj ≦ q &lt; λj+1 の wBj+1", "-")</f>
        <v>λj ≦ q &lt; λj+1 の wBj+1</v>
      </c>
      <c r="N120" s="96">
        <f ca="1">IF($C$25&gt;=3, INDEX(INDIRECT($H$52&amp;"!C:C"), MATCH($N$46, INDIRECT($H$52&amp;"!A:A"), 0)),"-")</f>
        <v>154.38900000000001</v>
      </c>
    </row>
    <row r="121" spans="11:14" x14ac:dyDescent="0.4">
      <c r="K121" s="55">
        <f t="shared" si="2"/>
        <v>121</v>
      </c>
      <c r="L121" s="97" t="s">
        <v>413</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414</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415</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416</v>
      </c>
      <c r="M124" s="106" t="str">
        <f>IF($C$25&gt;=7,"λj ≦ q+4pz &lt; λj+1 の wBj+1", "-")</f>
        <v>-</v>
      </c>
      <c r="N124" s="96" t="str">
        <f ca="1">IF($C$25&gt;=7, INDEX(INDIRECT($H$52&amp;"!C:C"), MATCH($N$50, INDIRECT($H$52&amp;"!A:A"), 0)),"-")</f>
        <v>-</v>
      </c>
    </row>
    <row r="125" spans="11:14" x14ac:dyDescent="0.4">
      <c r="K125" s="55">
        <f t="shared" si="2"/>
        <v>125</v>
      </c>
      <c r="L125" s="97" t="s">
        <v>417</v>
      </c>
      <c r="M125" s="106" t="str">
        <f>IF($C$25&gt;=8,"λj ≦ q+5pz &lt; λj+1 の wBj+1", "-")</f>
        <v>-</v>
      </c>
      <c r="N125" s="96" t="str">
        <f ca="1">IF($C$25&gt;=8, INDEX(INDIRECT($H$52&amp;"!C:C"), MATCH($N$51, INDIRECT($H$52&amp;"!A:A"), 0)),"-")</f>
        <v>-</v>
      </c>
    </row>
    <row r="126" spans="11:14" x14ac:dyDescent="0.4">
      <c r="K126" s="55">
        <f t="shared" si="2"/>
        <v>126</v>
      </c>
      <c r="L126" s="97" t="s">
        <v>418</v>
      </c>
      <c r="M126" s="106" t="s">
        <v>422</v>
      </c>
      <c r="N126" s="54">
        <f ca="1">INDEX(INDIRECT($H$52&amp;"!C:C"), MATCH($N$52, INDIRECT($H$52&amp;"!A:A"), 0))</f>
        <v>154.06299999999999</v>
      </c>
    </row>
    <row r="127" spans="11:14" x14ac:dyDescent="0.4">
      <c r="K127" s="55">
        <f t="shared" si="2"/>
        <v>127</v>
      </c>
      <c r="L127" s="97" t="s">
        <v>419</v>
      </c>
      <c r="M127" s="106" t="s">
        <v>423</v>
      </c>
      <c r="N127" s="54">
        <f ca="1">INDEX(INDIRECT($H$52&amp;"!C:C"), MATCH($N$53, INDIRECT($H$52&amp;"!A:A"), 0))</f>
        <v>153.97200000000001</v>
      </c>
    </row>
    <row r="128" spans="11:14" x14ac:dyDescent="0.4">
      <c r="K128" s="55">
        <f t="shared" si="2"/>
        <v>128</v>
      </c>
      <c r="L128" s="97" t="s">
        <v>440</v>
      </c>
      <c r="M128" s="107" t="str">
        <f>IF($C$25&gt;=4,"2列目AC内径（水平・めっき含・概算）","-")</f>
        <v>2列目AC内径（水平・めっき含・概算）</v>
      </c>
      <c r="N128" s="96">
        <f ca="1">IF($C$25&gt;=4,($N$55*$N$87+$N$63*$N$79)/($N$47-$N$39)+$C$31*2,"-")</f>
        <v>156.50139999999999</v>
      </c>
    </row>
    <row r="129" spans="11:14" x14ac:dyDescent="0.4">
      <c r="K129" s="55">
        <f t="shared" si="2"/>
        <v>129</v>
      </c>
      <c r="L129" s="97" t="s">
        <v>441</v>
      </c>
      <c r="M129" s="107" t="str">
        <f>IF($C$25&gt;=5,"3列目AC内径（水平・めっき含・概算）","-")</f>
        <v>3列目AC内径（水平・めっき含・概算）</v>
      </c>
      <c r="N129" s="96">
        <f ca="1">IF($C$25&gt;=5,($N$56*$N$88+$N$64*$N$80)/($N$48-$N$40)+$C$31*2,"-")</f>
        <v>156.4102</v>
      </c>
    </row>
    <row r="130" spans="11:14" x14ac:dyDescent="0.4">
      <c r="K130" s="55">
        <f t="shared" si="2"/>
        <v>130</v>
      </c>
      <c r="L130" s="97" t="s">
        <v>442</v>
      </c>
      <c r="M130" s="107" t="str">
        <f>IF($C$25&gt;=6,"4列目AC内径（水平・めっき含・概算）","-")</f>
        <v>4列目AC内径（水平・めっき含・概算）</v>
      </c>
      <c r="N130" s="96">
        <f ca="1">IF($C$25&gt;=6,($N$57*$N$89+$N$65*$N$81)/($N$49-$N$41)+$C$31*2,"-")</f>
        <v>156.31899999999999</v>
      </c>
    </row>
    <row r="131" spans="11:14" x14ac:dyDescent="0.4">
      <c r="K131" s="55">
        <f t="shared" si="2"/>
        <v>131</v>
      </c>
      <c r="L131" s="97" t="s">
        <v>443</v>
      </c>
      <c r="M131" s="107" t="str">
        <f>IF($C$25&gt;=7,"5列目AC内径（水平・めっき含・概算）","-")</f>
        <v>-</v>
      </c>
      <c r="N131" s="96" t="str">
        <f>IF($C$25&gt;=7,($N$58*$N$90+$N$66*$N$82)/($N$50-$N$42)+$C$31*2,"-")</f>
        <v>-</v>
      </c>
    </row>
    <row r="132" spans="11:14" x14ac:dyDescent="0.4">
      <c r="K132" s="55">
        <f t="shared" si="2"/>
        <v>132</v>
      </c>
      <c r="L132" s="97" t="s">
        <v>444</v>
      </c>
      <c r="M132" s="107" t="str">
        <f>IF($C$25&gt;=8,"6列目AC内径（水平・めっき含・概算）","-")</f>
        <v>-</v>
      </c>
      <c r="N132" s="96" t="str">
        <f>IF($C$25&gt;=8,($N$59*$N$91+$N$67*$N$83)/($N$51-$N$43)+$C$31*2,"-")</f>
        <v>-</v>
      </c>
    </row>
    <row r="133" spans="11:14" x14ac:dyDescent="0.4">
      <c r="K133" s="55">
        <f t="shared" si="2"/>
        <v>133</v>
      </c>
      <c r="L133" s="97" t="s">
        <v>445</v>
      </c>
      <c r="M133" s="107" t="s">
        <v>430</v>
      </c>
      <c r="N133" s="54">
        <f ca="1">($N$60*$N$92+$N$68*$N$84)/($N$52-$N$44)+$C$31*2</f>
        <v>156.23739999999998</v>
      </c>
    </row>
    <row r="134" spans="11:14" x14ac:dyDescent="0.4">
      <c r="K134" s="55">
        <f t="shared" si="2"/>
        <v>134</v>
      </c>
      <c r="L134" s="97" t="s">
        <v>386</v>
      </c>
      <c r="M134" s="107" t="s">
        <v>432</v>
      </c>
      <c r="N134" s="54">
        <f ca="1">INDEX(INDIRECT($H$52&amp;"!C:C"), MATCH(0, INDIRECT($H$52&amp;"!A:A"), 0))+$C$31*2</f>
        <v>154.97899999999998</v>
      </c>
    </row>
    <row r="135" spans="11:14" x14ac:dyDescent="0.4">
      <c r="K135" s="55">
        <f t="shared" si="2"/>
        <v>135</v>
      </c>
      <c r="L135" s="97" t="s">
        <v>429</v>
      </c>
      <c r="M135" s="107" t="str">
        <f>IF($C$25&gt;=3,"1列目 BD内径（めっき含・概算）","-")</f>
        <v>1列目 BD内径（めっき含・概算）</v>
      </c>
      <c r="N135" s="96">
        <f ca="1">IF($C$25&gt;=3,($N$54*$N$120+$N$62*$N$112)/($N$46-$N$38)+$C$31*2,"-")</f>
        <v>154.57380000000001</v>
      </c>
    </row>
    <row r="136" spans="11:14" x14ac:dyDescent="0.4">
      <c r="K136" s="55">
        <f t="shared" si="2"/>
        <v>136</v>
      </c>
      <c r="L136" s="97" t="s">
        <v>434</v>
      </c>
      <c r="M136" s="107" t="str">
        <f>IF($C$25&gt;=4,"2列目 BD内径（めっき含・概算）","-")</f>
        <v>2列目 BD内径（めっき含・概算）</v>
      </c>
      <c r="N136" s="96">
        <f ca="1">IF($C$25&gt;=4,($N$55*$N$121+$N$63*$N$113)/($N$47-$N$39)+$C$31*2,"-")</f>
        <v>154.4838</v>
      </c>
    </row>
    <row r="137" spans="11:14" x14ac:dyDescent="0.4">
      <c r="K137" s="55">
        <f t="shared" si="2"/>
        <v>137</v>
      </c>
      <c r="L137" s="97" t="s">
        <v>435</v>
      </c>
      <c r="M137" s="107" t="str">
        <f>IF($C$25&gt;=5,"3列目 BD内径（めっき含・概算）","-")</f>
        <v>3列目 BD内径（めっき含・概算）</v>
      </c>
      <c r="N137" s="96">
        <f ca="1">IF($C$25&gt;=5,($N$56*$N$122+$N$64*$N$114)/($N$48-$N$40)+$C$31*2,"-")</f>
        <v>154.39359999999999</v>
      </c>
    </row>
    <row r="138" spans="11:14" x14ac:dyDescent="0.4">
      <c r="K138" s="55">
        <f t="shared" si="2"/>
        <v>138</v>
      </c>
      <c r="L138" s="97" t="s">
        <v>436</v>
      </c>
      <c r="M138" s="107" t="str">
        <f>IF($C$25&gt;=6,"4列目 BD内径（めっき含・概算）","-")</f>
        <v>4列目 BD内径（めっき含・概算）</v>
      </c>
      <c r="N138" s="96">
        <f ca="1">IF($C$25&gt;=6,($N$57*$N$123+$N$65*$N$115)/($N$49-$N$41)+$C$31*2,"-")</f>
        <v>154.30399999999997</v>
      </c>
    </row>
    <row r="139" spans="11:14" x14ac:dyDescent="0.4">
      <c r="K139" s="55">
        <f t="shared" si="2"/>
        <v>139</v>
      </c>
      <c r="L139" s="97" t="s">
        <v>437</v>
      </c>
      <c r="M139" s="107" t="str">
        <f>IF($C$25&gt;=7,"5列目 BD内径（めっき含・概算）","-")</f>
        <v>-</v>
      </c>
      <c r="N139" s="96" t="str">
        <f>IF($C$25&gt;=7,($N$58*$N$124+$N$66*$N$116)/($N$50-$N$42)+$C$31*2,"-")</f>
        <v>-</v>
      </c>
    </row>
    <row r="140" spans="11:14" x14ac:dyDescent="0.4">
      <c r="K140" s="55">
        <f t="shared" si="2"/>
        <v>140</v>
      </c>
      <c r="L140" s="97" t="s">
        <v>438</v>
      </c>
      <c r="M140" s="107" t="str">
        <f>IF($C$25&gt;=8,"6列目 BD内径（めっき含・概算）","-")</f>
        <v>-</v>
      </c>
      <c r="N140" s="96" t="str">
        <f>IF($C$25&gt;=8,($N$59*$N$125+$N$67*$N$117)/($N$51-$N$43)+$C$31*2,"-")</f>
        <v>-</v>
      </c>
    </row>
    <row r="141" spans="11:14" x14ac:dyDescent="0.4">
      <c r="K141" s="55">
        <f t="shared" si="2"/>
        <v>141</v>
      </c>
      <c r="L141" s="97" t="s">
        <v>439</v>
      </c>
      <c r="M141" s="107" t="s">
        <v>433</v>
      </c>
      <c r="N141" s="54">
        <f ca="1">($N$60*$N$126+$N$68*$N$118)/($N$52-$N$44)+$C$31*2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54" priority="123">
      <formula>$C$3&gt;2*N151</formula>
    </cfRule>
  </conditionalFormatting>
  <conditionalFormatting sqref="C4">
    <cfRule type="expression" dxfId="53" priority="43">
      <formula>C4&lt;0</formula>
    </cfRule>
  </conditionalFormatting>
  <conditionalFormatting sqref="C6">
    <cfRule type="expression" dxfId="52" priority="19">
      <formula>$C$6&lt;0</formula>
    </cfRule>
  </conditionalFormatting>
  <conditionalFormatting sqref="C9">
    <cfRule type="expression" dxfId="51" priority="47">
      <formula>$C$9&lt;=0</formula>
    </cfRule>
  </conditionalFormatting>
  <conditionalFormatting sqref="C10:C11">
    <cfRule type="expression" dxfId="50" priority="20">
      <formula>$C$10&lt;0</formula>
    </cfRule>
  </conditionalFormatting>
  <conditionalFormatting sqref="C15">
    <cfRule type="expression" dxfId="49" priority="98">
      <formula>OR(C15&lt;=0, C15&gt;Q2)</formula>
    </cfRule>
  </conditionalFormatting>
  <conditionalFormatting sqref="C35">
    <cfRule type="expression" dxfId="48" priority="42">
      <formula>C35&lt;0</formula>
    </cfRule>
  </conditionalFormatting>
  <conditionalFormatting sqref="C36">
    <cfRule type="expression" dxfId="47" priority="57">
      <formula>OR($C$36&lt;0, $C$36&gt;=$C$9)</formula>
    </cfRule>
  </conditionalFormatting>
  <conditionalFormatting sqref="C37">
    <cfRule type="expression" dxfId="46" priority="16">
      <formula>OR($C$37&lt;0, $C$37&gt;=$C$10)</formula>
    </cfRule>
  </conditionalFormatting>
  <conditionalFormatting sqref="C38">
    <cfRule type="expression" dxfId="45" priority="120">
      <formula>OR(C38&lt;0, C38&gt;=C9)</formula>
    </cfRule>
  </conditionalFormatting>
  <conditionalFormatting sqref="C39">
    <cfRule type="expression" dxfId="44" priority="127">
      <formula>OR(C39&lt;0, C39&gt;=C4)</formula>
    </cfRule>
  </conditionalFormatting>
  <conditionalFormatting sqref="C42">
    <cfRule type="expression" dxfId="43" priority="128">
      <formula>OR(C42&lt;0, C42&gt;=C4)</formula>
    </cfRule>
  </conditionalFormatting>
  <conditionalFormatting sqref="C59">
    <cfRule type="expression" dxfId="42" priority="51">
      <formula>AND(C59&lt;&gt;330, C59&lt;&gt;270, C59&lt;&gt;250)</formula>
    </cfRule>
  </conditionalFormatting>
  <conditionalFormatting sqref="C60">
    <cfRule type="expression" dxfId="41" priority="50">
      <formula>C60&lt;&gt;40</formula>
    </cfRule>
  </conditionalFormatting>
  <conditionalFormatting sqref="C63">
    <cfRule type="expression" dxfId="40" priority="27">
      <formula>OR(C63&gt;0, ABS(ABS(C63)-740)&gt;=1)</formula>
    </cfRule>
  </conditionalFormatting>
  <conditionalFormatting sqref="C64">
    <cfRule type="expression" dxfId="39" priority="40">
      <formula>OR(C64&gt;0, ABS(ABS(C64)-550)&gt;=1)</formula>
    </cfRule>
  </conditionalFormatting>
  <conditionalFormatting sqref="C65">
    <cfRule type="expression" dxfId="38" priority="33">
      <formula>OR(C65&gt;0, ABS(ABS(C65)-1150)&gt;=1)</formula>
    </cfRule>
  </conditionalFormatting>
  <conditionalFormatting sqref="C66">
    <cfRule type="expression" dxfId="37" priority="39">
      <formula>OR(ABS(C66)&gt;=0.2)</formula>
    </cfRule>
  </conditionalFormatting>
  <conditionalFormatting sqref="H48">
    <cfRule type="expression" dxfId="36" priority="23">
      <formula>OR($H$48&lt;=1, INT($H$48)&lt;&gt;$H$48)</formula>
    </cfRule>
  </conditionalFormatting>
  <conditionalFormatting sqref="H52">
    <cfRule type="expression" dxfId="35" priority="15">
      <formula>ISERROR(INDIRECT($H$52&amp;"!$G$45"))</formula>
    </cfRule>
  </conditionalFormatting>
  <conditionalFormatting sqref="C25">
    <cfRule type="expression" dxfId="34" priority="236">
      <formula>OR(C25-QUOTIENT(C25,1)&lt;&gt;0, C25&lt;0, C25&gt;$C$67)</formula>
    </cfRule>
  </conditionalFormatting>
  <conditionalFormatting sqref="H50">
    <cfRule type="expression" dxfId="33" priority="11">
      <formula>$H$50&lt;0</formula>
    </cfRule>
  </conditionalFormatting>
  <conditionalFormatting sqref="H78 H51:H52 H54:H72">
    <cfRule type="expression" dxfId="32" priority="10">
      <formula>$H$51&lt;0</formula>
    </cfRule>
  </conditionalFormatting>
  <conditionalFormatting sqref="C23">
    <cfRule type="expression" dxfId="31" priority="254">
      <formula>OR($C$23&lt;=0, MOD($C$23,$C$22)&lt;&gt;0, $C$23&gt;=#REF!)</formula>
    </cfRule>
  </conditionalFormatting>
  <conditionalFormatting sqref="C26">
    <cfRule type="expression" dxfId="30" priority="262">
      <formula>OR($C$26&lt;=0, $C$26&gt;=MIN($C$23, $C$24))</formula>
    </cfRule>
  </conditionalFormatting>
  <conditionalFormatting sqref="N128:N133">
    <cfRule type="expression" dxfId="29" priority="9">
      <formula>$H$51&lt;0</formula>
    </cfRule>
  </conditionalFormatting>
  <conditionalFormatting sqref="N134:N141">
    <cfRule type="expression" dxfId="28" priority="8">
      <formula>$H$51&lt;0</formula>
    </cfRule>
  </conditionalFormatting>
  <conditionalFormatting sqref="C16">
    <cfRule type="expression" dxfId="27" priority="274">
      <formula>OR(C16&lt;=0, C16+C15&gt;Q2)</formula>
    </cfRule>
  </conditionalFormatting>
  <conditionalFormatting sqref="G1:G1048576">
    <cfRule type="expression" dxfId="26" priority="3">
      <formula>G1="X"</formula>
    </cfRule>
    <cfRule type="expression" dxfId="25" priority="4">
      <formula>G1="Y"</formula>
    </cfRule>
    <cfRule type="expression" dxfId="24" priority="5">
      <formula>G1="Z"</formula>
    </cfRule>
    <cfRule type="expression" dxfId="23" priority="6">
      <formula>G1="B"</formula>
    </cfRule>
  </conditionalFormatting>
  <conditionalFormatting sqref="H80:H95">
    <cfRule type="expression" dxfId="22" priority="2">
      <formula>$H$51&lt;0</formula>
    </cfRule>
  </conditionalFormatting>
  <conditionalFormatting sqref="C13">
    <cfRule type="expression" dxfId="21" priority="276">
      <formula>OR($C$13&gt;=$C$9, $C$13&gt;=$C$40)</formula>
    </cfRule>
  </conditionalFormatting>
  <conditionalFormatting sqref="C14">
    <cfRule type="expression" dxfId="20" priority="277">
      <formula>OR($C$14&gt;=$C$10, $C$14&gt;=$C$40)</formula>
    </cfRule>
  </conditionalFormatting>
  <conditionalFormatting sqref="C17">
    <cfRule type="expression" dxfId="19" priority="278">
      <formula>OR($C$17&lt;=0, $C$17&gt;=($C$9-#REF!)/2, $C$17&gt;=($C$36-#REF!)/2)</formula>
    </cfRule>
  </conditionalFormatting>
  <conditionalFormatting sqref="H77">
    <cfRule type="expression" dxfId="18" priority="279">
      <formula>$H$77&lt;=$C$27/2+$C$28</formula>
    </cfRule>
  </conditionalFormatting>
  <conditionalFormatting sqref="C27">
    <cfRule type="expression" dxfId="17" priority="1">
      <formula>OR($C$27&lt;=0, $C$27&gt;$C$26)</formula>
    </cfRule>
  </conditionalFormatting>
  <dataValidations count="1">
    <dataValidation imeMode="disabled" allowBlank="1" showInputMessage="1" showErrorMessage="1" sqref="C58:C67 H78 N128:N141 C47:C50 C53:C56 H54:H72 H80:H95 G1:G1048576 C3:C32"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2023-11-09T02:45:33Z</dcterms:modified>
</cp:coreProperties>
</file>