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2CF85C50-E4D5-453F-81BA-E71249EFEC24}" xr6:coauthVersionLast="47" xr6:coauthVersionMax="47" xr10:uidLastSave="{00000000-0000-0000-0000-000000000000}"/>
  <bookViews>
    <workbookView xWindow="41250" yWindow="0" windowWidth="25020" windowHeight="21600" tabRatio="638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17" l="1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K155" i="20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N41" i="20"/>
  <c r="N49" i="20" a="1"/>
  <c r="N81" i="20"/>
  <c r="N115" i="20"/>
  <c r="N40" i="20"/>
  <c r="N45" i="20"/>
  <c r="N39" i="20"/>
  <c r="N47" i="20" s="1" a="1"/>
  <c r="N113" i="20"/>
  <c r="N80" i="20"/>
  <c r="N134" i="20"/>
  <c r="H18" i="20" a="1"/>
  <c r="N44" i="20"/>
  <c r="N38" i="20"/>
  <c r="H22" i="20"/>
  <c r="N56" i="17"/>
  <c r="N79" i="20"/>
  <c r="N78" i="20"/>
  <c r="N112" i="20"/>
  <c r="N150" i="20" l="1"/>
  <c r="N149" i="20"/>
  <c r="Q6" i="20" s="1"/>
  <c r="N47" i="20"/>
  <c r="H70" i="20"/>
  <c r="N49" i="20"/>
  <c r="N55" i="20"/>
  <c r="N57" i="20"/>
  <c r="H18" i="20"/>
  <c r="N54" i="20"/>
  <c r="N56" i="20"/>
  <c r="N60" i="20"/>
  <c r="N61" i="20"/>
  <c r="N13" i="20"/>
  <c r="N147" i="20"/>
  <c r="N21" i="20"/>
  <c r="N152" i="20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N89" i="20"/>
  <c r="N123" i="20"/>
  <c r="N46" i="20" a="1"/>
  <c r="N118" i="20"/>
  <c r="N114" i="20"/>
  <c r="N48" i="20" a="1"/>
  <c r="N84" i="20"/>
  <c r="N50" i="17"/>
  <c r="H18" i="17" a="1"/>
  <c r="N87" i="20"/>
  <c r="N121" i="20"/>
  <c r="N146" i="17"/>
  <c r="N64" i="17" a="1"/>
  <c r="N52" i="20" a="1"/>
  <c r="N130" i="17"/>
  <c r="N51" i="17"/>
  <c r="N59" i="17" s="1" a="1"/>
  <c r="N53" i="17"/>
  <c r="N58" i="17" a="1"/>
  <c r="N57" i="17"/>
  <c r="N52" i="17"/>
  <c r="N127" i="17"/>
  <c r="N85" i="20"/>
  <c r="N119" i="20"/>
  <c r="H22" i="17"/>
  <c r="N125" i="17"/>
  <c r="N53" i="20" a="1"/>
  <c r="N96" i="17"/>
  <c r="N48" i="20" l="1"/>
  <c r="N64" i="20" s="1"/>
  <c r="N46" i="20"/>
  <c r="N62" i="20" s="1"/>
  <c r="N52" i="20"/>
  <c r="N68" i="20" s="1"/>
  <c r="N53" i="20"/>
  <c r="N69" i="20" s="1"/>
  <c r="N154" i="20"/>
  <c r="Q2" i="20" s="1"/>
  <c r="N153" i="20"/>
  <c r="Q23" i="20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N63" i="20"/>
  <c r="N128" i="20" s="1"/>
  <c r="N59" i="17"/>
  <c r="N75" i="17" s="1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58" i="17"/>
  <c r="N7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122" i="20"/>
  <c r="N88" i="20"/>
  <c r="N131" i="17"/>
  <c r="N90" i="17"/>
  <c r="N126" i="20"/>
  <c r="N127" i="20"/>
  <c r="N120" i="20"/>
  <c r="N86" i="20"/>
  <c r="N91" i="17"/>
  <c r="N99" i="17"/>
  <c r="N92" i="17"/>
  <c r="N126" i="17"/>
  <c r="N93" i="17"/>
  <c r="N97" i="17"/>
  <c r="N60" i="17" a="1"/>
  <c r="N61" i="17" a="1"/>
  <c r="N98" i="17"/>
  <c r="N133" i="17"/>
  <c r="N124" i="17"/>
  <c r="N65" i="17" a="1"/>
  <c r="N92" i="20"/>
  <c r="N93" i="20"/>
  <c r="N132" i="17"/>
  <c r="N32" i="17" l="1"/>
  <c r="N31" i="17"/>
  <c r="N29" i="17"/>
  <c r="H78" i="20"/>
  <c r="N137" i="20"/>
  <c r="N65" i="17"/>
  <c r="N81" i="17" s="1"/>
  <c r="N60" i="17"/>
  <c r="N136" i="20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N61" i="17"/>
  <c r="N148" i="17"/>
  <c r="N152" i="17"/>
  <c r="N143" i="17"/>
  <c r="H54" i="17"/>
  <c r="N19" i="17"/>
  <c r="N20" i="17"/>
  <c r="N147" i="17"/>
  <c r="N140" i="17"/>
  <c r="H71" i="17"/>
  <c r="N114" i="17" s="1"/>
  <c r="N16" i="17"/>
  <c r="N17" i="17"/>
  <c r="N8" i="17"/>
  <c r="N7" i="17" s="1"/>
  <c r="N13" i="17" s="1"/>
  <c r="N138" i="17"/>
  <c r="N139" i="17"/>
  <c r="N105" i="17"/>
  <c r="N101" i="17"/>
  <c r="N104" i="17"/>
  <c r="N134" i="17"/>
  <c r="N100" i="17"/>
  <c r="N135" i="17"/>
  <c r="N37" i="17" l="1"/>
  <c r="N33" i="17"/>
  <c r="N95" i="20"/>
  <c r="N96" i="20" s="1"/>
  <c r="N98" i="20" s="1"/>
  <c r="N99" i="20" s="1"/>
  <c r="H73" i="20" s="1"/>
  <c r="H74" i="20" s="1"/>
  <c r="I74" i="20" s="1"/>
  <c r="H72" i="17"/>
  <c r="N115" i="17" s="1"/>
  <c r="H79" i="17"/>
  <c r="N76" i="17"/>
  <c r="N141" i="17" s="1"/>
  <c r="Q20" i="20"/>
  <c r="R20" i="20" s="1"/>
  <c r="Q5" i="20"/>
  <c r="R3" i="20"/>
  <c r="Q18" i="20"/>
  <c r="R18" i="20" s="1"/>
  <c r="R12" i="20"/>
  <c r="Q13" i="20"/>
  <c r="R13" i="20" s="1"/>
  <c r="R9" i="20"/>
  <c r="N2" i="20"/>
  <c r="I7" i="20"/>
  <c r="N106" i="20"/>
  <c r="N107" i="20" s="1"/>
  <c r="H75" i="20" s="1"/>
  <c r="H76" i="20" s="1"/>
  <c r="I76" i="20" s="1"/>
  <c r="N77" i="17"/>
  <c r="N150" i="17" s="1"/>
  <c r="N117" i="17"/>
  <c r="N145" i="17"/>
  <c r="N153" i="17"/>
  <c r="N22" i="17"/>
  <c r="N107" i="17"/>
  <c r="N108" i="17" s="1"/>
  <c r="N110" i="17" s="1"/>
  <c r="N21" i="17"/>
  <c r="H49" i="17"/>
  <c r="H48" i="17"/>
  <c r="Q22" i="17"/>
  <c r="Q21" i="17"/>
  <c r="H11" i="17"/>
  <c r="C41" i="17"/>
  <c r="H23" i="17" s="1"/>
  <c r="Q7" i="17"/>
  <c r="Q16" i="17"/>
  <c r="N101" i="20" l="1"/>
  <c r="N100" i="20"/>
  <c r="Q24" i="20"/>
  <c r="Q25" i="20"/>
  <c r="N149" i="17"/>
  <c r="H84" i="20"/>
  <c r="H92" i="20"/>
  <c r="N5" i="20"/>
  <c r="H3" i="20" s="1"/>
  <c r="N6" i="20"/>
  <c r="N142" i="17"/>
  <c r="N111" i="17"/>
  <c r="N28" i="17"/>
  <c r="Q15" i="17" s="1"/>
  <c r="N30" i="17"/>
  <c r="N161" i="17"/>
  <c r="N162" i="17"/>
  <c r="N157" i="17"/>
  <c r="N163" i="17"/>
  <c r="N34" i="17" l="1"/>
  <c r="N38" i="17" s="1"/>
  <c r="N35" i="17"/>
  <c r="N36" i="17" s="1"/>
  <c r="N39" i="17" s="1"/>
  <c r="H96" i="20"/>
  <c r="H88" i="20"/>
  <c r="H90" i="20"/>
  <c r="H95" i="20"/>
  <c r="H91" i="20"/>
  <c r="H89" i="20"/>
  <c r="H82" i="20"/>
  <c r="H87" i="20"/>
  <c r="H83" i="20"/>
  <c r="H81" i="20"/>
  <c r="H12" i="20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13" i="17" s="1"/>
  <c r="H32" i="17"/>
  <c r="Q6" i="17"/>
  <c r="Q23" i="17"/>
  <c r="H36" i="17"/>
  <c r="N164" i="17"/>
  <c r="N158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12" i="17"/>
  <c r="H86" i="17"/>
  <c r="H85" i="17"/>
  <c r="H35" i="17"/>
  <c r="I35" i="17" s="1"/>
  <c r="N14" i="17"/>
  <c r="N160" i="17"/>
  <c r="N166" i="17" s="1"/>
  <c r="N159" i="17"/>
  <c r="N165" i="17" s="1"/>
  <c r="I100" i="20" l="1"/>
  <c r="H102" i="20"/>
  <c r="I20" i="20"/>
  <c r="H21" i="20"/>
  <c r="H103" i="20"/>
  <c r="I101" i="20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H8" i="17" l="1"/>
  <c r="I8" i="17" s="1"/>
  <c r="H34" i="20"/>
  <c r="I34" i="20" s="1"/>
  <c r="I21" i="20"/>
  <c r="H7" i="17"/>
  <c r="Q19" i="17"/>
  <c r="R19" i="17" s="1"/>
  <c r="R9" i="17"/>
  <c r="R8" i="17"/>
  <c r="R17" i="17"/>
  <c r="Q3" i="17"/>
  <c r="R2" i="17"/>
  <c r="R10" i="17"/>
  <c r="Q4" i="17"/>
  <c r="I7" i="17" l="1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<sst xmlns="http://schemas.openxmlformats.org/spreadsheetml/2006/main" count="1055" uniqueCount="440">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</sst>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tabSelected="1" workbookViewId="0"/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Q2-C61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$H$3-$C$61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Q3-C61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$H$4-$C$61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N161-N162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C65+C10/2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$N$10-$C$63</f>
        <v>8730.2000000000007</v>
      </c>
      <c r="P8" s="9" t="s">
        <v>63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$C$61-$C$62/2</f>
        <v>310</v>
      </c>
      <c r="P9" s="9" t="s">
        <v>17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$C$65+C10/2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6">
        <v>1</v>
      </c>
      <c r="F12" s="9" t="s">
        <v>120</v>
      </c>
      <c r="G12" s="13" t="s">
        <v>127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$C$64+$N$7</f>
        <v>8926.1943808938086</v>
      </c>
      <c r="P13" s="9" t="s">
        <v>67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422</v>
      </c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N28-N15</f>
        <v>0.70683627001562854</v>
      </c>
    </row>
    <row r="16" spans="1:18" x14ac:dyDescent="0.4">
      <c r="A16" s="3" t="s">
        <v>423</v>
      </c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A17" s="3" t="s">
        <v>433</v>
      </c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$C$42/2-$C$41+$C$31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DEGREES($N$66)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$C$4-$N$23</f>
        <v>383.92500000000001</v>
      </c>
      <c r="P24" s="10" t="s">
        <v>70</v>
      </c>
      <c r="Q24" s="10">
        <f ca="1">Q9*$N$107+Q2*$N$74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415</v>
      </c>
      <c r="M25" s="54" t="s">
        <v>417</v>
      </c>
      <c r="N25" s="2">
        <f>$C$15+$C$16</f>
        <v>20.100000000000001</v>
      </c>
      <c r="P25" s="10" t="s">
        <v>71</v>
      </c>
      <c r="Q25" s="10">
        <f ca="1">-Q$9*$N$74+Q$2*$N$107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416</v>
      </c>
      <c r="M26" s="54" t="s">
        <v>420</v>
      </c>
      <c r="N26" s="2">
        <f>$C$4-$N$25</f>
        <v>379.9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419</v>
      </c>
      <c r="M27" s="54" t="s">
        <v>421</v>
      </c>
      <c r="N27" s="2">
        <f>$C$4-$C$15</f>
        <v>387.95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369</v>
      </c>
      <c r="M28" s="54" t="s">
        <v>45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370</v>
      </c>
      <c r="M29" s="54" t="s">
        <v>93</v>
      </c>
      <c r="N29" s="2">
        <f>SQRT($N$11^2-$N$24^2)</f>
        <v>9007.0212964317452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371</v>
      </c>
      <c r="M30" s="54" t="s">
        <v>94</v>
      </c>
      <c r="N30" s="2">
        <f>SQRT($N$10^2-$N$24^2)</f>
        <v>8821.8497852987166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413</v>
      </c>
      <c r="M31" s="54" t="s">
        <v>414</v>
      </c>
      <c r="N31" s="2">
        <f>SQRT($N$11^2-$N$26^2)</f>
        <v>9007.1919614272683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$N$28-$N$15</f>
        <v>0.70683627001562854</v>
      </c>
      <c r="K32" s="3">
        <f t="shared" si="0"/>
        <v>32</v>
      </c>
      <c r="L32" s="45" t="s">
        <v>418</v>
      </c>
      <c r="M32" s="54" t="s">
        <v>436</v>
      </c>
      <c r="N32" s="2">
        <f>SQRT($N$11^2-$N$27^2)</f>
        <v>9006.8488295019142</v>
      </c>
    </row>
    <row r="33" spans="2:16" x14ac:dyDescent="0.4">
      <c r="F33" s="10" t="s">
        <v>52</v>
      </c>
      <c r="G33" s="30" t="s">
        <v>127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424</v>
      </c>
      <c r="M33" s="54" t="s">
        <v>426</v>
      </c>
      <c r="N33" s="2">
        <f>($N$31-$N$29)/$C$16</f>
        <v>2.1200620561877194E-2</v>
      </c>
    </row>
    <row r="34" spans="2:16" x14ac:dyDescent="0.4">
      <c r="B34" s="4" t="s">
        <v>438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425</v>
      </c>
      <c r="M34" s="54" t="s">
        <v>427</v>
      </c>
      <c r="N34" s="2">
        <f>SIN(ATAN($N$33))</f>
        <v>2.1195857685011355E-2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428</v>
      </c>
      <c r="M35" s="54" t="s">
        <v>429</v>
      </c>
      <c r="N35" s="2">
        <f>COS(ATAN($N$33))</f>
        <v>0.99977534257301859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435</v>
      </c>
      <c r="N36" s="2">
        <f>2*$N$35/(1+$N$35^2)</f>
        <v>0.99999997475885016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430</v>
      </c>
      <c r="M37" s="54" t="s">
        <v>437</v>
      </c>
      <c r="N37" s="2">
        <f>$N$29-$N$32</f>
        <v>0.1724669298309891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431</v>
      </c>
      <c r="N38" s="2">
        <f>$C$16*$N$34/2</f>
        <v>8.5313327182170717E-2</v>
      </c>
    </row>
    <row r="39" spans="2:16" x14ac:dyDescent="0.4">
      <c r="B39" s="21"/>
      <c r="C39" s="21"/>
      <c r="F39" s="32" t="s">
        <v>128</v>
      </c>
      <c r="G39" s="5"/>
      <c r="H39" s="5"/>
      <c r="I39" s="5"/>
      <c r="K39" s="3">
        <f t="shared" si="0"/>
        <v>39</v>
      </c>
      <c r="L39" s="45" t="s">
        <v>432</v>
      </c>
      <c r="M39" s="54" t="s">
        <v>434</v>
      </c>
      <c r="N39" s="2">
        <f>$N$36*($C$17-$N$38)+$N$37</f>
        <v>6.2231534499225303</v>
      </c>
    </row>
    <row r="40" spans="2:16" x14ac:dyDescent="0.4">
      <c r="B40" s="25" t="s">
        <v>439</v>
      </c>
      <c r="C40" s="28"/>
      <c r="F40" s="10" t="s">
        <v>102</v>
      </c>
      <c r="G40" s="30" t="s">
        <v>124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409</v>
      </c>
      <c r="M40" s="54" t="s">
        <v>386</v>
      </c>
      <c r="N40" s="2">
        <f>$C$5-$C$51</f>
        <v>590</v>
      </c>
      <c r="P40" s="2"/>
    </row>
    <row r="41" spans="2:16" x14ac:dyDescent="0.4">
      <c r="B41" s="14" t="s">
        <v>26</v>
      </c>
      <c r="C41" s="33">
        <f>12.745</f>
        <v>12.744999999999999</v>
      </c>
      <c r="F41" s="10" t="s">
        <v>101</v>
      </c>
      <c r="G41" s="30" t="s">
        <v>124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410</v>
      </c>
      <c r="M41" s="54" t="s">
        <v>387</v>
      </c>
      <c r="N41" s="2">
        <f>SQRT($C$3^2-$N$40^2)</f>
        <v>8903.1722037709678</v>
      </c>
    </row>
    <row r="42" spans="2:16" x14ac:dyDescent="0.4">
      <c r="B42" s="14" t="s">
        <v>383</v>
      </c>
      <c r="C42" s="33">
        <v>180.95</v>
      </c>
      <c r="F42" s="10" t="s">
        <v>103</v>
      </c>
      <c r="G42" s="30" t="s">
        <v>124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178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97</v>
      </c>
      <c r="C43" s="33">
        <v>32</v>
      </c>
      <c r="F43" s="10" t="s">
        <v>104</v>
      </c>
      <c r="G43" s="30" t="s">
        <v>124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233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234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115</v>
      </c>
      <c r="F45" s="10" t="s">
        <v>110</v>
      </c>
      <c r="G45" s="30" t="s">
        <v>127</v>
      </c>
      <c r="H45" s="30">
        <f>$N$41-$N$18</f>
        <v>0.66832620933018916</v>
      </c>
      <c r="I45" s="51"/>
      <c r="K45" s="3">
        <f t="shared" si="0"/>
        <v>45</v>
      </c>
      <c r="L45" s="45" t="s">
        <v>235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23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237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113</v>
      </c>
      <c r="G47" s="28"/>
      <c r="H47" s="28"/>
      <c r="K47" s="3">
        <f t="shared" si="0"/>
        <v>47</v>
      </c>
      <c r="L47" s="45" t="s">
        <v>236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384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182</v>
      </c>
      <c r="M48" s="54" t="s">
        <v>155</v>
      </c>
      <c r="N48" s="44">
        <f>$N$42-($C$25-2)*$C$21</f>
        <v>230</v>
      </c>
    </row>
    <row r="49" spans="1:14" x14ac:dyDescent="0.4">
      <c r="B49" s="14" t="s">
        <v>134</v>
      </c>
      <c r="C49" s="15">
        <v>4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181</v>
      </c>
      <c r="M49" s="54" t="s">
        <v>154</v>
      </c>
      <c r="N49" s="44">
        <f>$N$42-($C$25-1)*$C$21</f>
        <v>210</v>
      </c>
    </row>
    <row r="50" spans="1:14" x14ac:dyDescent="0.4">
      <c r="B50" s="14" t="s">
        <v>135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179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136</v>
      </c>
      <c r="C51" s="15">
        <v>10</v>
      </c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238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137</v>
      </c>
      <c r="C52" s="15">
        <v>15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240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389</v>
      </c>
      <c r="K53" s="3">
        <f t="shared" si="0"/>
        <v>53</v>
      </c>
      <c r="L53" s="45" t="s">
        <v>242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IF($C$25&gt;=$C$69-5,$N$82-$N$15, "-")</f>
        <v>3.5836378510248323</v>
      </c>
      <c r="K54" s="3">
        <f t="shared" si="0"/>
        <v>54</v>
      </c>
      <c r="L54" s="45" t="s">
        <v>243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138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IF($C$25&gt;=$C69-4,$N$83-$N$15, "-")</f>
        <v>4.2564608749580657</v>
      </c>
      <c r="K55" s="3">
        <f t="shared" si="0"/>
        <v>55</v>
      </c>
      <c r="L55" s="45" t="s">
        <v>244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139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IF($C$25&gt;=$C$69-3,$N$84-$N$15, "-")</f>
        <v>4.8843832356542407</v>
      </c>
      <c r="K56" s="3">
        <f t="shared" si="0"/>
        <v>56</v>
      </c>
      <c r="L56" s="45" t="s">
        <v>246</v>
      </c>
      <c r="M56" s="54" t="s">
        <v>248</v>
      </c>
      <c r="N56" s="2">
        <f ca="1">LOOKUP($C$20+($C$25-2)*$C$21, INDIRECT($H$52&amp;"!$A:$A"))</f>
        <v>150</v>
      </c>
    </row>
    <row r="57" spans="1:14" x14ac:dyDescent="0.4">
      <c r="B57" s="14" t="s">
        <v>140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IF($C$25&gt;=$C$69-2,$N$85-$N$15, "-")</f>
        <v>5.4674144162945595</v>
      </c>
      <c r="K57" s="3">
        <f t="shared" si="0"/>
        <v>57</v>
      </c>
      <c r="L57" s="45" t="s">
        <v>245</v>
      </c>
      <c r="M57" s="54" t="s">
        <v>247</v>
      </c>
      <c r="N57" s="2">
        <f ca="1">LOOKUP($C$20+($C$25-1)*$C$21, INDIRECT($H$52&amp;"!$A:$A"))</f>
        <v>175</v>
      </c>
    </row>
    <row r="58" spans="1:14" x14ac:dyDescent="0.4">
      <c r="B58" s="14" t="s">
        <v>133</v>
      </c>
      <c r="C58" s="15">
        <v>45</v>
      </c>
      <c r="F58" s="10" t="str">
        <f>IF($C$25&gt;=7,"内面溝5列目-トップ端 湾曲中心間X距離", "-")</f>
        <v>-</v>
      </c>
      <c r="G58" s="13" t="s">
        <v>127</v>
      </c>
      <c r="H58" s="30" t="str">
        <f>IF($C$25&gt;=$C69-1,$N$86-$N$15, "-")</f>
        <v>-</v>
      </c>
      <c r="K58" s="3">
        <f t="shared" si="0"/>
        <v>58</v>
      </c>
      <c r="L58" s="45" t="s">
        <v>180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127</v>
      </c>
      <c r="H59" s="30" t="str">
        <f>IF($C$25&gt;=$C69,$N$87-$N$15, "-")</f>
        <v>-</v>
      </c>
      <c r="K59" s="3">
        <f t="shared" si="0"/>
        <v>59</v>
      </c>
      <c r="L59" s="45" t="s">
        <v>239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132</v>
      </c>
      <c r="C60" s="28"/>
      <c r="F60" s="10" t="s">
        <v>270</v>
      </c>
      <c r="G60" s="13" t="s">
        <v>127</v>
      </c>
      <c r="H60" s="30">
        <f>$N$88-$N$15</f>
        <v>6.0055632197072555</v>
      </c>
      <c r="K60" s="3">
        <f t="shared" si="0"/>
        <v>60</v>
      </c>
      <c r="L60" s="45" t="s">
        <v>241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2</v>
      </c>
      <c r="B61" s="14" t="s">
        <v>0</v>
      </c>
      <c r="C61" s="19">
        <v>330</v>
      </c>
      <c r="E61" s="3" t="s">
        <v>303</v>
      </c>
      <c r="F61" s="10" t="s">
        <v>269</v>
      </c>
      <c r="G61" s="13" t="s">
        <v>127</v>
      </c>
      <c r="H61" s="30">
        <f>$N$89-$N$15</f>
        <v>6.4988377690224297</v>
      </c>
      <c r="K61" s="3">
        <f t="shared" si="0"/>
        <v>61</v>
      </c>
      <c r="L61" s="45" t="s">
        <v>249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3</v>
      </c>
      <c r="B62" s="14" t="s">
        <v>1</v>
      </c>
      <c r="C62" s="19">
        <v>40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250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4</v>
      </c>
      <c r="B63" s="14" t="s">
        <v>5</v>
      </c>
      <c r="C63" s="19">
        <v>100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251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11</v>
      </c>
      <c r="B64" s="14" t="s">
        <v>16</v>
      </c>
      <c r="C64" s="37">
        <v>201.5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252</v>
      </c>
      <c r="M64" s="54" t="s">
        <v>254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73</v>
      </c>
      <c r="C65" s="37">
        <v>-740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253</v>
      </c>
      <c r="M65" s="54" t="s">
        <v>148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24</v>
      </c>
      <c r="C66" s="37">
        <v>-550.01900000000001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149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25</v>
      </c>
      <c r="C67" s="37">
        <v>-1149.9739999999999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257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51</v>
      </c>
      <c r="C68" s="37">
        <v>7.2999999999999995E-2</v>
      </c>
      <c r="F68" s="9" t="s">
        <v>347</v>
      </c>
      <c r="G68" s="13" t="s">
        <v>124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258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141</v>
      </c>
      <c r="C69" s="38">
        <v>8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259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0"/>
        <v>70</v>
      </c>
      <c r="L70" s="45" t="s">
        <v>260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" t="s">
        <v>398</v>
      </c>
      <c r="C71" s="5">
        <v>-561.11400000000003</v>
      </c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261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B72" s="1" t="s">
        <v>399</v>
      </c>
      <c r="C72" s="5">
        <v>-648.33199999999999</v>
      </c>
      <c r="F72" s="10" t="s">
        <v>310</v>
      </c>
      <c r="G72" s="13" t="s">
        <v>127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262</v>
      </c>
      <c r="M72" s="54" t="s">
        <v>262</v>
      </c>
      <c r="N72" s="44">
        <f ca="1">$C$20+($C$25-2)*$C$21-$N$56</f>
        <v>20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>
        <f ca="1">ROUND(DEGREES($N$111),3)</f>
        <v>2.13</v>
      </c>
      <c r="I73" s="5"/>
      <c r="K73" s="3">
        <f t="shared" si="0"/>
        <v>73</v>
      </c>
      <c r="L73" s="45" t="s">
        <v>151</v>
      </c>
      <c r="M73" s="54" t="s">
        <v>151</v>
      </c>
      <c r="N73" s="44">
        <f ca="1">$C$20+($C$25-1)*$C$21-$N$57</f>
        <v>15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150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>
        <f ca="1">DEGREES($N$119)</f>
        <v>1.8081075579837422</v>
      </c>
      <c r="K75" s="3">
        <f t="shared" si="0"/>
        <v>75</v>
      </c>
      <c r="L75" s="45" t="s">
        <v>263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264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198</v>
      </c>
      <c r="G77" s="30" t="s">
        <v>127</v>
      </c>
      <c r="H77" s="30">
        <f ca="1">MIN($N$122, $N$123)</f>
        <v>21.495936780292737</v>
      </c>
      <c r="K77" s="3">
        <f t="shared" si="2"/>
        <v>77</v>
      </c>
      <c r="L77" s="45" t="s">
        <v>265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266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352</v>
      </c>
      <c r="G79" s="13" t="s">
        <v>126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267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388</v>
      </c>
      <c r="K80" s="3">
        <f t="shared" si="2"/>
        <v>80</v>
      </c>
      <c r="L80" s="45" t="s">
        <v>268</v>
      </c>
      <c r="M80" s="54" t="s">
        <v>268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IF($C$25&gt;=$C$69-5,$H$54*$N$113-$C$20*$N$112, "-")</f>
        <v>0.23613623834420849</v>
      </c>
      <c r="K81" s="3">
        <f t="shared" si="2"/>
        <v>81</v>
      </c>
      <c r="L81" s="45" t="s">
        <v>183</v>
      </c>
      <c r="M81" s="54" t="s">
        <v>183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IF($C$25&gt;=$C$69-4,$H$55*$N$113-($C$20+$C21)*$N$112, "-")</f>
        <v>0.16515537313498907</v>
      </c>
      <c r="K82" s="3">
        <f t="shared" si="2"/>
        <v>82</v>
      </c>
      <c r="L82" s="45" t="s">
        <v>271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IF($C$25&gt;=$C$69-3,$H$56*$N$113-($C$20+2*$C$21)*$N$112, "-")</f>
        <v>4.930486789530697E-2</v>
      </c>
      <c r="K83" s="3">
        <f t="shared" si="2"/>
        <v>83</v>
      </c>
      <c r="L83" s="45" t="s">
        <v>272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IF($C$25&gt;=$C$69-2,$H$57*$N$113-($C$20+3*$C$21)*$N$112, "-")</f>
        <v>-0.11140580074584783</v>
      </c>
      <c r="K84" s="3">
        <f t="shared" si="2"/>
        <v>84</v>
      </c>
      <c r="L84" s="45" t="s">
        <v>273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IF($C$25&gt;=$C$69-1,$H$58*$N$113-($C$20+4*$C$21)*$N$112, "-")</f>
        <v>-</v>
      </c>
      <c r="K85" s="3">
        <f t="shared" si="2"/>
        <v>85</v>
      </c>
      <c r="L85" s="45" t="s">
        <v>274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IF($C$25&gt;=$C$69,$H$59*$N$113-($C$20+5*$C$21)*$N$112, "-")</f>
        <v>-</v>
      </c>
      <c r="K86" s="3">
        <f t="shared" si="2"/>
        <v>86</v>
      </c>
      <c r="L86" s="45" t="s">
        <v>275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270</v>
      </c>
      <c r="G87" s="13" t="s">
        <v>127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276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269</v>
      </c>
      <c r="G88" s="13" t="s">
        <v>127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277</v>
      </c>
      <c r="M88" s="54" t="s">
        <v>279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IF($C$25&gt;=$C$69-5,$H$54*$N$112+$C$20*$N$113, "-")</f>
        <v>90.071009208980442</v>
      </c>
      <c r="K89" s="3">
        <f t="shared" si="2"/>
        <v>89</v>
      </c>
      <c r="L89" s="45" t="s">
        <v>278</v>
      </c>
      <c r="M89" s="54" t="s">
        <v>280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IF($C$25&gt;=$C$69-4,$H$55*$N$112+($C$20+$C$21)*$N$113, "-")</f>
        <v>110.08219739305159</v>
      </c>
      <c r="K90" s="3">
        <f t="shared" si="2"/>
        <v>90</v>
      </c>
      <c r="L90" s="45" t="s">
        <v>281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IF($C$25&gt;=$C$69-3,$H$56*$N$112+($C$20+2*$C$21)*$N$113, "-")</f>
        <v>130.09171675638208</v>
      </c>
      <c r="K91" s="3">
        <f t="shared" si="2"/>
        <v>91</v>
      </c>
      <c r="L91" s="45" t="s">
        <v>282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IF($C$25&gt;=$C$69-2,$H$57*$N$112+($C$20+3*$C$21)*$N$113, "-")</f>
        <v>150.09956765143286</v>
      </c>
      <c r="K92" s="3">
        <f t="shared" si="2"/>
        <v>92</v>
      </c>
      <c r="L92" s="45" t="s">
        <v>283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IF($C$25&gt;=$C$69-1,$H$58*$N$112+($C$20+4*$C$21)*$N$113, "-")</f>
        <v>-</v>
      </c>
      <c r="K93" s="3">
        <f t="shared" si="2"/>
        <v>93</v>
      </c>
      <c r="L93" s="45" t="s">
        <v>284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IF($C$25&gt;=$C$69-0,$H$59*$N$112+($C$20+5*$C$21)*$N$113, "-")</f>
        <v>-</v>
      </c>
      <c r="K94" s="3">
        <f t="shared" si="2"/>
        <v>94</v>
      </c>
      <c r="L94" s="45" t="s">
        <v>285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394</v>
      </c>
      <c r="G95" s="13" t="s">
        <v>124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286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395</v>
      </c>
      <c r="G96" s="13" t="s">
        <v>124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287</v>
      </c>
      <c r="M96" s="54" t="s">
        <v>289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412</v>
      </c>
      <c r="K97" s="3">
        <f t="shared" si="2"/>
        <v>97</v>
      </c>
      <c r="L97" s="45" t="s">
        <v>288</v>
      </c>
      <c r="M97" s="54" t="s">
        <v>290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$C$71-$C66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291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292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293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294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2"/>
        <v>102</v>
      </c>
      <c r="L102" s="45" t="s">
        <v>295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2"/>
        <v>103</v>
      </c>
      <c r="L103" s="45" t="s">
        <v>296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297</v>
      </c>
      <c r="M104" s="54" t="s">
        <v>299</v>
      </c>
      <c r="N104" s="44">
        <f ca="1">INDEX(INDIRECT($H$52&amp;"!B:B"), MATCH($N$64, INDIRECT($H$52&amp;"!A:A"), 0))</f>
        <v>156.077</v>
      </c>
    </row>
    <row r="105" spans="5:14" x14ac:dyDescent="0.4">
      <c r="K105" s="3">
        <f t="shared" si="2"/>
        <v>105</v>
      </c>
      <c r="L105" s="45" t="s">
        <v>298</v>
      </c>
      <c r="M105" s="54" t="s">
        <v>300</v>
      </c>
      <c r="N105" s="44">
        <f ca="1">INDEX(INDIRECT($H$52&amp;"!B:B"), MATCH($N$65, INDIRECT($H$52&amp;"!A:A"), 0))</f>
        <v>155.98400000000001</v>
      </c>
    </row>
    <row r="106" spans="5:14" x14ac:dyDescent="0.4">
      <c r="K106" s="3">
        <f t="shared" si="2"/>
        <v>106</v>
      </c>
      <c r="L106" s="45" t="s">
        <v>311</v>
      </c>
      <c r="M106" s="54" t="s">
        <v>224</v>
      </c>
      <c r="N106" s="2">
        <f ca="1">$C$3+$H$70/2</f>
        <v>9001.201500000001</v>
      </c>
    </row>
    <row r="107" spans="5:14" x14ac:dyDescent="0.4">
      <c r="K107" s="3">
        <f t="shared" si="2"/>
        <v>107</v>
      </c>
      <c r="L107" s="45" t="s">
        <v>312</v>
      </c>
      <c r="M107" s="54" t="s">
        <v>225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315</v>
      </c>
      <c r="M108" s="54" t="s">
        <v>196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316</v>
      </c>
      <c r="M109" s="54" t="s">
        <v>196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184</v>
      </c>
      <c r="M110" s="54" t="s">
        <v>184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185</v>
      </c>
      <c r="M111" s="54" t="s">
        <v>152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393</v>
      </c>
      <c r="M112" s="54" t="s">
        <v>393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392</v>
      </c>
      <c r="M113" s="54" t="s">
        <v>392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313</v>
      </c>
      <c r="M114" s="54" t="s">
        <v>145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314</v>
      </c>
      <c r="M115" s="54" t="s">
        <v>146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317</v>
      </c>
      <c r="M116" s="54" t="s">
        <v>197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318</v>
      </c>
      <c r="M117" s="54" t="s">
        <v>197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186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187</v>
      </c>
      <c r="M119" s="54" t="s">
        <v>153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189</v>
      </c>
      <c r="M120" s="54" t="s">
        <v>157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188</v>
      </c>
      <c r="M121" s="54" t="s">
        <v>156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320</v>
      </c>
      <c r="M122" s="54" t="s">
        <v>199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321</v>
      </c>
      <c r="M123" s="54" t="s">
        <v>200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325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326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327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328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329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330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331</v>
      </c>
      <c r="M130" s="54" t="s">
        <v>341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332</v>
      </c>
      <c r="M131" s="54" t="s">
        <v>342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333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334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335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336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337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338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339</v>
      </c>
      <c r="M138" s="54" t="s">
        <v>343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340</v>
      </c>
      <c r="M139" s="54" t="s">
        <v>344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361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362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363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364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365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366</v>
      </c>
      <c r="M145" s="55" t="s">
        <v>351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307</v>
      </c>
      <c r="M146" s="55" t="s">
        <v>353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350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355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356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357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358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359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360</v>
      </c>
      <c r="M153" s="55" t="s">
        <v>354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190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191</v>
      </c>
      <c r="M158" s="54" t="s">
        <v>30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65</v>
      </c>
      <c r="M159" s="54" t="s">
        <v>31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66</v>
      </c>
      <c r="M160" s="54" t="s">
        <v>32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192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193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194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195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76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77</v>
      </c>
      <c r="M166" s="54" t="s">
        <v>28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43</v>
      </c>
      <c r="M167" s="54" t="s">
        <v>27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9" priority="124">
      <formula>$C$3&gt;2*N163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41">
    <cfRule type="expression" dxfId="69" priority="128">
      <formula>OR(C41&lt;0, C41&gt;=C4)</formula>
    </cfRule>
  </conditionalFormatting>
  <conditionalFormatting sqref="C44">
    <cfRule type="expression" dxfId="68" priority="129">
      <formula>OR(C44&lt;0, C44&gt;=C4)</formula>
    </cfRule>
  </conditionalFormatting>
  <conditionalFormatting sqref="C61">
    <cfRule type="expression" dxfId="67" priority="52">
      <formula>AND(C61&lt;&gt;330, C61&lt;&gt;270, C61&lt;&gt;250)</formula>
    </cfRule>
  </conditionalFormatting>
  <conditionalFormatting sqref="C62">
    <cfRule type="expression" dxfId="66" priority="51">
      <formula>C62&lt;&gt;40</formula>
    </cfRule>
  </conditionalFormatting>
  <conditionalFormatting sqref="C65">
    <cfRule type="expression" dxfId="65" priority="28">
      <formula>OR(C65&gt;0, ABS(ABS(C65)-740)&gt;=1)</formula>
    </cfRule>
  </conditionalFormatting>
  <conditionalFormatting sqref="C66">
    <cfRule type="expression" dxfId="64" priority="41">
      <formula>OR(C66&gt;0, ABS(ABS(C66)-550)&gt;=1)</formula>
    </cfRule>
  </conditionalFormatting>
  <conditionalFormatting sqref="C67">
    <cfRule type="expression" dxfId="63" priority="34">
      <formula>OR(C67&gt;0, ABS(ABS(C67)-1150)&gt;=1)</formula>
    </cfRule>
  </conditionalFormatting>
  <conditionalFormatting sqref="C68">
    <cfRule type="expression" dxfId="62" priority="40">
      <formula>OR(ABS(C68)&gt;=0.2)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C25&gt;$C$69)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40:N145">
    <cfRule type="expression" dxfId="54" priority="10">
      <formula>$H$51&lt;0</formula>
    </cfRule>
  </conditionalFormatting>
  <conditionalFormatting sqref="N146:N153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7">
    <cfRule type="expression" dxfId="46" priority="279">
      <formula>OR($C$17&lt;=0, $C$17&gt;=($C$9-#REF!)/2, $C$17&gt;=($C$36-#REF!)/2)</formula>
    </cfRule>
  </conditionalFormatting>
  <conditionalFormatting sqref="H77">
    <cfRule type="expression" dxfId="45" priority="280">
      <formula>$H$77&lt;=$C$27/2+$C$28</formula>
    </cfRule>
  </conditionalFormatting>
  <conditionalFormatting sqref="C27">
    <cfRule type="expression" dxfId="44" priority="2">
      <formula>OR($C$27&lt;=0, $C$27&gt;$C$26)</formula>
    </cfRule>
  </conditionalFormatting>
  <conditionalFormatting sqref="H49">
    <cfRule type="expression" dxfId="43" priority="1">
      <formula>OR($H$49&lt;0, INT($H$49)&lt;&gt;$H$49)</formula>
    </cfRule>
  </conditionalFormatting>
  <conditionalFormatting sqref="C13">
    <cfRule type="expression" dxfId="1" priority="285">
      <formula>OR($C$13&gt;=$C$9, $C$13&gt;=$C$42)</formula>
    </cfRule>
  </conditionalFormatting>
  <conditionalFormatting sqref="C14">
    <cfRule type="expression" dxfId="0" priority="286">
      <formula>OR($C$14&gt;=$C$10, $C$14&gt;=$C$42)</formula>
    </cfRule>
  </conditionalFormatting>
  <dataValidations count="1">
    <dataValidation imeMode="disabled" allowBlank="1" showInputMessage="1" showErrorMessage="1" sqref="C60:C69 H79 N140:N153 C49:C52 C55:C58 H54:H72 H81:H96 C3:C32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5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42" priority="29">
      <formula>$C$3&gt;2*N151</formula>
    </cfRule>
  </conditionalFormatting>
  <conditionalFormatting sqref="C4">
    <cfRule type="expression" dxfId="41" priority="22">
      <formula>C4&lt;0</formula>
    </cfRule>
  </conditionalFormatting>
  <conditionalFormatting sqref="C6">
    <cfRule type="expression" dxfId="40" priority="14">
      <formula>$C$6&lt;0</formula>
    </cfRule>
  </conditionalFormatting>
  <conditionalFormatting sqref="C9">
    <cfRule type="expression" dxfId="39" priority="23">
      <formula>$C$9&lt;=0</formula>
    </cfRule>
  </conditionalFormatting>
  <conditionalFormatting sqref="C10:C11">
    <cfRule type="expression" dxfId="38" priority="15">
      <formula>$C$10&lt;0</formula>
    </cfRule>
  </conditionalFormatting>
  <conditionalFormatting sqref="C15">
    <cfRule type="expression" dxfId="37" priority="27">
      <formula>OR(C15&lt;=0, C15&gt;Q2)</formula>
    </cfRule>
  </conditionalFormatting>
  <conditionalFormatting sqref="C35">
    <cfRule type="expression" dxfId="36" priority="21">
      <formula>C35&lt;0</formula>
    </cfRule>
  </conditionalFormatting>
  <conditionalFormatting sqref="C36">
    <cfRule type="expression" dxfId="35" priority="26">
      <formula>OR($C$36&lt;0, $C$36&gt;=$C$9)</formula>
    </cfRule>
  </conditionalFormatting>
  <conditionalFormatting sqref="C37">
    <cfRule type="expression" dxfId="34" priority="13">
      <formula>OR($C$37&lt;0, $C$37&gt;=$C$10)</formula>
    </cfRule>
  </conditionalFormatting>
  <conditionalFormatting sqref="C38">
    <cfRule type="expression" dxfId="33" priority="28">
      <formula>OR(C38&lt;0, C38&gt;=C9)</formula>
    </cfRule>
  </conditionalFormatting>
  <conditionalFormatting sqref="C39">
    <cfRule type="expression" dxfId="32" priority="30">
      <formula>OR(C39&lt;0, C39&gt;=C4)</formula>
    </cfRule>
  </conditionalFormatting>
  <conditionalFormatting sqref="C42">
    <cfRule type="expression" dxfId="31" priority="31">
      <formula>OR(C42&lt;0, C42&gt;=C4)</formula>
    </cfRule>
  </conditionalFormatting>
  <conditionalFormatting sqref="C59">
    <cfRule type="expression" dxfId="30" priority="25">
      <formula>AND(C59&lt;&gt;330, C59&lt;&gt;270, C59&lt;&gt;250)</formula>
    </cfRule>
  </conditionalFormatting>
  <conditionalFormatting sqref="C60">
    <cfRule type="expression" dxfId="29" priority="24">
      <formula>C60&lt;&gt;40</formula>
    </cfRule>
  </conditionalFormatting>
  <conditionalFormatting sqref="C63">
    <cfRule type="expression" dxfId="28" priority="17">
      <formula>OR(C63&gt;0, ABS(ABS(C63)-740)&gt;=1)</formula>
    </cfRule>
  </conditionalFormatting>
  <conditionalFormatting sqref="C64">
    <cfRule type="expression" dxfId="27" priority="20">
      <formula>OR(C64&gt;0, ABS(ABS(C64)-550)&gt;=1)</formula>
    </cfRule>
  </conditionalFormatting>
  <conditionalFormatting sqref="C65">
    <cfRule type="expression" dxfId="26" priority="18">
      <formula>OR(C65&gt;0, ABS(ABS(C65)-1150)&gt;=1)</formula>
    </cfRule>
  </conditionalFormatting>
  <conditionalFormatting sqref="C66">
    <cfRule type="expression" dxfId="25" priority="19">
      <formula>OR(ABS(C66)&gt;=0.2)</formula>
    </cfRule>
  </conditionalFormatting>
  <conditionalFormatting sqref="H48">
    <cfRule type="expression" dxfId="24" priority="16">
      <formula>OR($H$48&lt;=1, INT($H$48)&lt;&gt;$H$48)</formula>
    </cfRule>
  </conditionalFormatting>
  <conditionalFormatting sqref="H52">
    <cfRule type="expression" dxfId="23" priority="12">
      <formula>ISERROR(INDIRECT($H$52&amp;"!$G$45"))</formula>
    </cfRule>
  </conditionalFormatting>
  <conditionalFormatting sqref="C25">
    <cfRule type="expression" dxfId="22" priority="32">
      <formula>OR(C25-QUOTIENT(C25,1)&lt;&gt;0, C25&lt;0, C25&gt;$C$67)</formula>
    </cfRule>
  </conditionalFormatting>
  <conditionalFormatting sqref="H50">
    <cfRule type="expression" dxfId="21" priority="11">
      <formula>OR($H$50&lt;1, INT($H$50)&lt;&gt;$H$50)</formula>
    </cfRule>
  </conditionalFormatting>
  <conditionalFormatting sqref="H51">
    <cfRule type="expression" dxfId="20" priority="10">
      <formula>OR($H$51&lt;0, INT($H$51)&lt;&gt;$H$51)</formula>
    </cfRule>
  </conditionalFormatting>
  <conditionalFormatting sqref="C23">
    <cfRule type="expression" dxfId="19" priority="33">
      <formula>OR($C$23&lt;=0, MOD($C$23,$C$22)&lt;&gt;0, $C$23&gt;=#REF!)</formula>
    </cfRule>
  </conditionalFormatting>
  <conditionalFormatting sqref="C26">
    <cfRule type="expression" dxfId="18" priority="34">
      <formula>OR($C$26&lt;=0, $C$26&gt;=MIN($C$23, $C$24))</formula>
    </cfRule>
  </conditionalFormatting>
  <conditionalFormatting sqref="N128:N133">
    <cfRule type="expression" dxfId="17" priority="9">
      <formula>$H$51&lt;0</formula>
    </cfRule>
  </conditionalFormatting>
  <conditionalFormatting sqref="N134:N141">
    <cfRule type="expression" dxfId="16" priority="8">
      <formula>$H$51&lt;0</formula>
    </cfRule>
  </conditionalFormatting>
  <conditionalFormatting sqref="C16">
    <cfRule type="expression" dxfId="15" priority="35">
      <formula>OR(C16&lt;=0, C16+C15&gt;Q2)</formula>
    </cfRule>
  </conditionalFormatting>
  <conditionalFormatting sqref="G1:G1048576">
    <cfRule type="expression" dxfId="14" priority="4">
      <formula>G1="X"</formula>
    </cfRule>
    <cfRule type="expression" dxfId="13" priority="5">
      <formula>G1="Y"</formula>
    </cfRule>
    <cfRule type="expression" dxfId="12" priority="6">
      <formula>G1="Z"</formula>
    </cfRule>
    <cfRule type="expression" dxfId="11" priority="7">
      <formula>G1="B"</formula>
    </cfRule>
  </conditionalFormatting>
  <conditionalFormatting sqref="H81:H96">
    <cfRule type="expression" dxfId="10" priority="3">
      <formula>$H$51&lt;0</formula>
    </cfRule>
  </conditionalFormatting>
  <conditionalFormatting sqref="C13">
    <cfRule type="expression" dxfId="9" priority="36">
      <formula>OR($C$13&gt;=$C$9, $C$13&gt;=$C$40)</formula>
    </cfRule>
  </conditionalFormatting>
  <conditionalFormatting sqref="C14">
    <cfRule type="expression" dxfId="8" priority="37">
      <formula>OR($C$14&gt;=$C$10, $C$14&gt;=$C$40)</formula>
    </cfRule>
  </conditionalFormatting>
  <conditionalFormatting sqref="C17">
    <cfRule type="expression" dxfId="7" priority="38">
      <formula>OR($C$17&lt;=0, $C$17&gt;=($C$9-#REF!)/2, $C$17&gt;=($C$36-#REF!)/2)</formula>
    </cfRule>
  </conditionalFormatting>
  <conditionalFormatting sqref="H77">
    <cfRule type="expression" dxfId="6" priority="39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3" priority="2">
      <formula>$A2&lt;&gt;""</formula>
    </cfRule>
  </conditionalFormatting>
  <conditionalFormatting sqref="I2:N42">
    <cfRule type="expression" dxfId="2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2024-01-26T06:02:57Z</dcterms:modified>
</cp:coreProperties>
</file>